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rgio\Documents\Dropbox\GitHub\SANAID_GLOBAL\MATLAB\AIRCRAFT\"/>
    </mc:Choice>
  </mc:AlternateContent>
  <xr:revisionPtr revIDLastSave="0" documentId="13_ncr:1_{7B53B54A-8E31-4EA6-AB55-BC0207A595C8}" xr6:coauthVersionLast="47" xr6:coauthVersionMax="47" xr10:uidLastSave="{00000000-0000-0000-0000-000000000000}"/>
  <bookViews>
    <workbookView xWindow="28680" yWindow="-120" windowWidth="29040" windowHeight="15720" tabRatio="850" activeTab="2" xr2:uid="{A53F58CF-8559-4968-A9C4-0AEBAAC03D1E}"/>
  </bookViews>
  <sheets>
    <sheet name="1MATLAB" sheetId="2" r:id="rId1"/>
    <sheet name="2Studies" sheetId="9" r:id="rId2"/>
    <sheet name="3AC_Data" sheetId="11" r:id="rId3"/>
    <sheet name="4Propulsion" sheetId="13" r:id="rId4"/>
    <sheet name="5Weights" sheetId="16" r:id="rId5"/>
    <sheet name="6CAD_data" sheetId="17" r:id="rId6"/>
    <sheet name="7Performance" sheetId="14" r:id="rId7"/>
    <sheet name="8AeroA" sheetId="6" r:id="rId8"/>
    <sheet name="8AeroB" sheetId="26" r:id="rId9"/>
    <sheet name="9Stability" sheetId="4" r:id="rId10"/>
    <sheet name="10Configuration" sheetId="8" r:id="rId11"/>
    <sheet name="11InputGeometry" sheetId="18" r:id="rId12"/>
    <sheet name="12Plots" sheetId="10" r:id="rId13"/>
    <sheet name="13InputPerforInitial" sheetId="22" r:id="rId14"/>
    <sheet name="14PerfoMision_Selection" sheetId="23" r:id="rId15"/>
    <sheet name="15PerformanceVariable" sheetId="24" r:id="rId16"/>
    <sheet name="16PerformanceVariable3" sheetId="25" r:id="rId17"/>
    <sheet name="Units" sheetId="20" r:id="rId18"/>
    <sheet name="Prop_limits" sheetId="15" r:id="rId19"/>
  </sheets>
  <externalReferences>
    <externalReference r:id="rId20"/>
  </externalReference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7" l="1"/>
  <c r="D27" i="17" s="1"/>
  <c r="M73" i="18"/>
  <c r="M28" i="13"/>
  <c r="M27" i="13"/>
  <c r="M44" i="16"/>
  <c r="AG72" i="18"/>
  <c r="AG11" i="18"/>
  <c r="AG12" i="18" s="1"/>
  <c r="AG9" i="4"/>
  <c r="AG8" i="4"/>
  <c r="AG39" i="16"/>
  <c r="AG42" i="16" s="1"/>
  <c r="AG22" i="16"/>
  <c r="AG28" i="13"/>
  <c r="AG27" i="13"/>
  <c r="AC18" i="17"/>
  <c r="AE7" i="14"/>
  <c r="AD7" i="14"/>
  <c r="AD9" i="4"/>
  <c r="AD8" i="4"/>
  <c r="G20" i="17"/>
  <c r="D20" i="17" s="1"/>
  <c r="G22" i="17"/>
  <c r="D22" i="17" s="1"/>
  <c r="AD39" i="16"/>
  <c r="AD42" i="16" s="1"/>
  <c r="AD22" i="16"/>
  <c r="G43" i="16"/>
  <c r="D43" i="16" s="1"/>
  <c r="G44" i="16"/>
  <c r="D44" i="16" s="1"/>
  <c r="X44" i="16"/>
  <c r="Y44" i="16"/>
  <c r="AB44" i="16"/>
  <c r="AH39" i="16"/>
  <c r="D25" i="10"/>
  <c r="AH72" i="18"/>
  <c r="AH8" i="4"/>
  <c r="AH42" i="16"/>
  <c r="AH9" i="4"/>
  <c r="AF22" i="16" l="1"/>
  <c r="AF39" i="16"/>
  <c r="AF42" i="16" s="1"/>
  <c r="G19" i="17"/>
  <c r="D19" i="17" s="1"/>
  <c r="G45" i="6"/>
  <c r="D45" i="6" s="1"/>
  <c r="D27" i="10"/>
  <c r="AE39" i="16"/>
  <c r="AE42" i="16" s="1"/>
  <c r="C77" i="6"/>
  <c r="B77" i="6"/>
  <c r="AE218" i="18"/>
  <c r="G44" i="6"/>
  <c r="D44" i="6" s="1"/>
  <c r="AF69" i="18" l="1"/>
  <c r="AF57" i="18"/>
  <c r="AF21" i="18"/>
  <c r="AF12" i="18"/>
  <c r="AF8" i="18"/>
  <c r="AF9" i="4"/>
  <c r="AF8" i="4"/>
  <c r="AF8" i="14"/>
  <c r="AF7" i="14"/>
  <c r="AF28" i="13"/>
  <c r="AF27" i="13"/>
  <c r="AF5" i="13"/>
  <c r="AE9" i="4"/>
  <c r="AE8" i="4"/>
  <c r="G9" i="6"/>
  <c r="D9" i="6" s="1"/>
  <c r="G10" i="6"/>
  <c r="D10" i="6" s="1"/>
  <c r="G11" i="6"/>
  <c r="D11" i="6" s="1"/>
  <c r="G12" i="6"/>
  <c r="D12" i="6" s="1"/>
  <c r="G13" i="6"/>
  <c r="D13" i="6" s="1"/>
  <c r="G14" i="6"/>
  <c r="D14" i="6" s="1"/>
  <c r="G237" i="18"/>
  <c r="D237" i="18" s="1"/>
  <c r="G122" i="18"/>
  <c r="D122" i="18" s="1"/>
  <c r="G123" i="18"/>
  <c r="D123" i="18" s="1"/>
  <c r="G124" i="18"/>
  <c r="D124" i="18" s="1"/>
  <c r="G125" i="18"/>
  <c r="D125" i="18" s="1"/>
  <c r="G126" i="18"/>
  <c r="D126" i="18" s="1"/>
  <c r="G127" i="18"/>
  <c r="D127" i="18" s="1"/>
  <c r="G128" i="18"/>
  <c r="D128" i="18" s="1"/>
  <c r="G129" i="18"/>
  <c r="D129" i="18" s="1"/>
  <c r="G130" i="18"/>
  <c r="D130" i="18" s="1"/>
  <c r="G131" i="18"/>
  <c r="D131" i="18" s="1"/>
  <c r="G132" i="18"/>
  <c r="D132" i="18" s="1"/>
  <c r="G133" i="18"/>
  <c r="D133" i="18" s="1"/>
  <c r="G134" i="18"/>
  <c r="D134" i="18" s="1"/>
  <c r="G135" i="18"/>
  <c r="D135" i="18" s="1"/>
  <c r="E104" i="18"/>
  <c r="E103" i="18"/>
  <c r="D103" i="18" s="1"/>
  <c r="E101" i="18"/>
  <c r="E100" i="18"/>
  <c r="D100" i="18" s="1"/>
  <c r="E92" i="18"/>
  <c r="D92" i="18" s="1"/>
  <c r="E91" i="18"/>
  <c r="D91" i="18" s="1"/>
  <c r="E89" i="18"/>
  <c r="D89" i="18" s="1"/>
  <c r="E88" i="18"/>
  <c r="D88" i="18" s="1"/>
  <c r="E80" i="18"/>
  <c r="D80" i="18" s="1"/>
  <c r="E79" i="18"/>
  <c r="D79" i="18" s="1"/>
  <c r="E77" i="18"/>
  <c r="D77" i="18" s="1"/>
  <c r="E76" i="18"/>
  <c r="D76" i="18" s="1"/>
  <c r="E68" i="18"/>
  <c r="D68" i="18" s="1"/>
  <c r="E67" i="18"/>
  <c r="D67" i="18" s="1"/>
  <c r="E65" i="18"/>
  <c r="D65" i="18" s="1"/>
  <c r="E64" i="18"/>
  <c r="D64" i="18" s="1"/>
  <c r="D70" i="18"/>
  <c r="D71" i="18"/>
  <c r="D82" i="18"/>
  <c r="D83" i="18"/>
  <c r="D95" i="18"/>
  <c r="D96" i="18"/>
  <c r="D101" i="18"/>
  <c r="D104" i="18"/>
  <c r="G59" i="18"/>
  <c r="D59" i="18" s="1"/>
  <c r="G60" i="18"/>
  <c r="D60" i="18" s="1"/>
  <c r="G34" i="6"/>
  <c r="D34" i="6" s="1"/>
  <c r="G33" i="6"/>
  <c r="D33" i="6" s="1"/>
  <c r="G35" i="6"/>
  <c r="D35" i="6" s="1"/>
  <c r="G36" i="6"/>
  <c r="D36" i="6" s="1"/>
  <c r="G6" i="6"/>
  <c r="D6" i="6" s="1"/>
  <c r="G15" i="17"/>
  <c r="D15" i="17" s="1"/>
  <c r="G28" i="16"/>
  <c r="D28" i="16" s="1"/>
  <c r="G8" i="26"/>
  <c r="D8" i="26" s="1"/>
  <c r="G23" i="6"/>
  <c r="D23" i="6" s="1"/>
  <c r="G24" i="6"/>
  <c r="D24" i="6" s="1"/>
  <c r="G17" i="6"/>
  <c r="D17" i="6" s="1"/>
  <c r="G18" i="6"/>
  <c r="D18" i="6" s="1"/>
  <c r="G5" i="6"/>
  <c r="D5" i="6" s="1"/>
  <c r="G195" i="18"/>
  <c r="D195" i="18" s="1"/>
  <c r="G196" i="18"/>
  <c r="D196" i="18" s="1"/>
  <c r="G149" i="18"/>
  <c r="D149" i="18" s="1"/>
  <c r="G150" i="18"/>
  <c r="D150" i="18" s="1"/>
  <c r="G81" i="18"/>
  <c r="D81" i="18" s="1"/>
  <c r="H81" i="18"/>
  <c r="P81" i="18"/>
  <c r="Q81" i="18"/>
  <c r="R81" i="18"/>
  <c r="AB81" i="18"/>
  <c r="G84" i="18"/>
  <c r="D84" i="18" s="1"/>
  <c r="H84" i="18"/>
  <c r="P84" i="18"/>
  <c r="Q84" i="18"/>
  <c r="R84" i="18"/>
  <c r="AB84" i="18"/>
  <c r="G85" i="18"/>
  <c r="D85" i="18" s="1"/>
  <c r="H85" i="18"/>
  <c r="P85" i="18"/>
  <c r="Q85" i="18"/>
  <c r="R85" i="18"/>
  <c r="AB85" i="18"/>
  <c r="G86" i="18"/>
  <c r="D86" i="18" s="1"/>
  <c r="H86" i="18"/>
  <c r="P86" i="18"/>
  <c r="Q86" i="18"/>
  <c r="R86" i="18"/>
  <c r="AB86" i="18"/>
  <c r="E87" i="18"/>
  <c r="G87" i="18"/>
  <c r="H87" i="18"/>
  <c r="P87" i="18"/>
  <c r="Q87" i="18"/>
  <c r="R87" i="18"/>
  <c r="AB87" i="18"/>
  <c r="E90" i="18"/>
  <c r="G90" i="18"/>
  <c r="H90" i="18"/>
  <c r="P90" i="18"/>
  <c r="Q90" i="18"/>
  <c r="R90" i="18"/>
  <c r="AB90" i="18"/>
  <c r="G20" i="13"/>
  <c r="D20" i="13" s="1"/>
  <c r="G26" i="17"/>
  <c r="D26" i="17" s="1"/>
  <c r="G3" i="18"/>
  <c r="G19" i="13"/>
  <c r="D19" i="13" s="1"/>
  <c r="G18" i="13"/>
  <c r="D18" i="13" s="1"/>
  <c r="G16" i="13"/>
  <c r="D16" i="13" s="1"/>
  <c r="G17" i="13"/>
  <c r="D17" i="13" s="1"/>
  <c r="G4" i="25"/>
  <c r="G5" i="25"/>
  <c r="G6" i="25"/>
  <c r="G3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AC1" i="25"/>
  <c r="AD1" i="25"/>
  <c r="AE1" i="25"/>
  <c r="AF1" i="25"/>
  <c r="AG1" i="25"/>
  <c r="AH1" i="25"/>
  <c r="AI1" i="25"/>
  <c r="AJ1" i="25"/>
  <c r="AK1" i="25"/>
  <c r="AC2" i="25"/>
  <c r="AD2" i="25"/>
  <c r="AE2" i="25"/>
  <c r="AF2" i="25"/>
  <c r="AG2" i="25"/>
  <c r="AH2" i="25"/>
  <c r="AI2" i="25"/>
  <c r="AJ2" i="25"/>
  <c r="AK2" i="25"/>
  <c r="AC1" i="24"/>
  <c r="AD1" i="24"/>
  <c r="AE1" i="24"/>
  <c r="AF1" i="24"/>
  <c r="AG1" i="24"/>
  <c r="AH1" i="24"/>
  <c r="AI1" i="24"/>
  <c r="AJ1" i="24"/>
  <c r="AK1" i="24"/>
  <c r="AC2" i="24"/>
  <c r="AD2" i="24"/>
  <c r="AE2" i="24"/>
  <c r="AF2" i="24"/>
  <c r="AG2" i="24"/>
  <c r="AH2" i="24"/>
  <c r="AI2" i="24"/>
  <c r="AJ2" i="24"/>
  <c r="AK2" i="24"/>
  <c r="G3" i="23"/>
  <c r="G4" i="23"/>
  <c r="G5" i="23"/>
  <c r="G6" i="23"/>
  <c r="G7" i="23"/>
  <c r="G8" i="23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3" i="22"/>
  <c r="G4" i="18"/>
  <c r="G5" i="18"/>
  <c r="G6" i="18"/>
  <c r="G7" i="18"/>
  <c r="G8" i="18"/>
  <c r="G9" i="18"/>
  <c r="G10" i="18"/>
  <c r="G11" i="18"/>
  <c r="G12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D26" i="18" s="1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62" i="18"/>
  <c r="D62" i="18" s="1"/>
  <c r="G66" i="18"/>
  <c r="G69" i="18"/>
  <c r="D69" i="18" s="1"/>
  <c r="G72" i="18"/>
  <c r="D72" i="18" s="1"/>
  <c r="G73" i="18"/>
  <c r="D73" i="18" s="1"/>
  <c r="G74" i="18"/>
  <c r="D74" i="18" s="1"/>
  <c r="G75" i="18"/>
  <c r="G78" i="18"/>
  <c r="G93" i="18"/>
  <c r="D93" i="18" s="1"/>
  <c r="G94" i="18"/>
  <c r="D94" i="18" s="1"/>
  <c r="G97" i="18"/>
  <c r="D97" i="18" s="1"/>
  <c r="G98" i="18"/>
  <c r="D98" i="18" s="1"/>
  <c r="G99" i="18"/>
  <c r="G102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51" i="18"/>
  <c r="G152" i="18"/>
  <c r="G153" i="18"/>
  <c r="D153" i="18" s="1"/>
  <c r="G154" i="18"/>
  <c r="D154" i="18" s="1"/>
  <c r="G155" i="18"/>
  <c r="D155" i="18" s="1"/>
  <c r="G156" i="18"/>
  <c r="D156" i="18" s="1"/>
  <c r="G157" i="18"/>
  <c r="D157" i="18" s="1"/>
  <c r="G158" i="18"/>
  <c r="D158" i="18" s="1"/>
  <c r="G159" i="18"/>
  <c r="D159" i="18" s="1"/>
  <c r="G160" i="18"/>
  <c r="D160" i="18" s="1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7" i="18"/>
  <c r="G198" i="18"/>
  <c r="G199" i="18"/>
  <c r="D199" i="18" s="1"/>
  <c r="G200" i="18"/>
  <c r="D200" i="18" s="1"/>
  <c r="G201" i="18"/>
  <c r="D201" i="18" s="1"/>
  <c r="G202" i="18"/>
  <c r="D202" i="18" s="1"/>
  <c r="G203" i="18"/>
  <c r="D203" i="18" s="1"/>
  <c r="G204" i="18"/>
  <c r="D204" i="18" s="1"/>
  <c r="G205" i="18"/>
  <c r="D205" i="18" s="1"/>
  <c r="G206" i="18"/>
  <c r="D206" i="18" s="1"/>
  <c r="G207" i="18"/>
  <c r="G208" i="18"/>
  <c r="G209" i="18"/>
  <c r="G210" i="18"/>
  <c r="G211" i="18"/>
  <c r="G213" i="18"/>
  <c r="G214" i="18"/>
  <c r="G215" i="18"/>
  <c r="G216" i="18"/>
  <c r="G217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8" i="18"/>
  <c r="G239" i="18"/>
  <c r="D239" i="18" s="1"/>
  <c r="G240" i="18"/>
  <c r="D240" i="18" s="1"/>
  <c r="G241" i="18"/>
  <c r="D241" i="18" s="1"/>
  <c r="G242" i="18"/>
  <c r="D242" i="18" s="1"/>
  <c r="G4" i="8"/>
  <c r="G5" i="8"/>
  <c r="G3" i="8"/>
  <c r="G4" i="4"/>
  <c r="G5" i="4"/>
  <c r="G6" i="4"/>
  <c r="G7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" i="4"/>
  <c r="G4" i="26"/>
  <c r="G5" i="26"/>
  <c r="G6" i="26"/>
  <c r="G7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3" i="26"/>
  <c r="G4" i="6"/>
  <c r="G7" i="6"/>
  <c r="G8" i="6"/>
  <c r="G15" i="6"/>
  <c r="G16" i="6"/>
  <c r="G19" i="6"/>
  <c r="G20" i="6"/>
  <c r="G21" i="6"/>
  <c r="G22" i="6"/>
  <c r="G25" i="6"/>
  <c r="G26" i="6"/>
  <c r="G39" i="6"/>
  <c r="G40" i="6"/>
  <c r="G41" i="6"/>
  <c r="G27" i="6"/>
  <c r="G28" i="6"/>
  <c r="G29" i="6"/>
  <c r="G30" i="6"/>
  <c r="G37" i="6"/>
  <c r="G38" i="6"/>
  <c r="G31" i="6"/>
  <c r="G32" i="6"/>
  <c r="G42" i="6"/>
  <c r="G43" i="6"/>
  <c r="G3" i="6"/>
  <c r="G4" i="14"/>
  <c r="G5" i="14"/>
  <c r="G6" i="14"/>
  <c r="G8" i="14"/>
  <c r="G9" i="14"/>
  <c r="G10" i="14"/>
  <c r="G11" i="14"/>
  <c r="G12" i="14"/>
  <c r="G13" i="14"/>
  <c r="G14" i="14"/>
  <c r="D14" i="14" s="1"/>
  <c r="G15" i="14"/>
  <c r="D15" i="14" s="1"/>
  <c r="G3" i="14"/>
  <c r="G4" i="17"/>
  <c r="G5" i="17"/>
  <c r="G6" i="17"/>
  <c r="G7" i="17"/>
  <c r="G8" i="17"/>
  <c r="G9" i="17"/>
  <c r="G10" i="17"/>
  <c r="G11" i="17"/>
  <c r="G12" i="17"/>
  <c r="G13" i="17"/>
  <c r="G14" i="17"/>
  <c r="G16" i="17"/>
  <c r="G17" i="17"/>
  <c r="G18" i="17"/>
  <c r="D18" i="17" s="1"/>
  <c r="G21" i="17"/>
  <c r="G23" i="17"/>
  <c r="G24" i="17"/>
  <c r="D24" i="17" s="1"/>
  <c r="G25" i="17"/>
  <c r="D25" i="17" s="1"/>
  <c r="G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3" i="16"/>
  <c r="G24" i="16"/>
  <c r="G25" i="16"/>
  <c r="G26" i="16"/>
  <c r="G27" i="16"/>
  <c r="G29" i="16"/>
  <c r="G30" i="16"/>
  <c r="G31" i="16"/>
  <c r="G32" i="16"/>
  <c r="G33" i="16"/>
  <c r="G34" i="16"/>
  <c r="G35" i="16"/>
  <c r="G36" i="16"/>
  <c r="G37" i="16"/>
  <c r="G38" i="16"/>
  <c r="G40" i="16"/>
  <c r="G41" i="16"/>
  <c r="G45" i="16"/>
  <c r="G46" i="16"/>
  <c r="G47" i="16"/>
  <c r="G3" i="16"/>
  <c r="G4" i="13"/>
  <c r="G5" i="13"/>
  <c r="G6" i="13"/>
  <c r="G7" i="13"/>
  <c r="G8" i="13"/>
  <c r="G9" i="13"/>
  <c r="G10" i="13"/>
  <c r="G11" i="13"/>
  <c r="G12" i="13"/>
  <c r="G13" i="13"/>
  <c r="G14" i="13"/>
  <c r="G15" i="13"/>
  <c r="G21" i="13"/>
  <c r="G22" i="13"/>
  <c r="G23" i="13"/>
  <c r="G24" i="13"/>
  <c r="G25" i="13"/>
  <c r="G26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3" i="13"/>
  <c r="G3" i="11"/>
  <c r="G4" i="11"/>
  <c r="G5" i="11"/>
  <c r="G6" i="11"/>
  <c r="G7" i="11"/>
  <c r="G8" i="11"/>
  <c r="G9" i="11"/>
  <c r="E175" i="18"/>
  <c r="E176" i="18"/>
  <c r="E177" i="18"/>
  <c r="E178" i="18"/>
  <c r="E179" i="18"/>
  <c r="E180" i="18"/>
  <c r="E181" i="18"/>
  <c r="E182" i="18"/>
  <c r="AC28" i="13"/>
  <c r="AC27" i="13"/>
  <c r="G27" i="13" s="1"/>
  <c r="Z42" i="16"/>
  <c r="AC42" i="16"/>
  <c r="AI13" i="18"/>
  <c r="AJ13" i="18"/>
  <c r="AK13" i="18"/>
  <c r="AI58" i="18"/>
  <c r="AJ58" i="18"/>
  <c r="AK58" i="18"/>
  <c r="AI61" i="18"/>
  <c r="AJ61" i="18"/>
  <c r="AK61" i="18"/>
  <c r="AI63" i="18"/>
  <c r="AJ63" i="18"/>
  <c r="AK63" i="18"/>
  <c r="AI212" i="18"/>
  <c r="AJ212" i="18"/>
  <c r="AK212" i="18"/>
  <c r="AI218" i="18"/>
  <c r="AJ218" i="18"/>
  <c r="AK218" i="18"/>
  <c r="AC1" i="18"/>
  <c r="AD1" i="18"/>
  <c r="AE1" i="18"/>
  <c r="AF1" i="18"/>
  <c r="AG1" i="18"/>
  <c r="AH1" i="18"/>
  <c r="AI1" i="18"/>
  <c r="AJ1" i="18"/>
  <c r="AK1" i="18"/>
  <c r="AC2" i="18"/>
  <c r="AD2" i="18"/>
  <c r="AE2" i="18"/>
  <c r="AF2" i="18"/>
  <c r="AG2" i="18"/>
  <c r="AH2" i="18"/>
  <c r="AI2" i="18"/>
  <c r="AJ2" i="18"/>
  <c r="AK2" i="18"/>
  <c r="AC1" i="8"/>
  <c r="AD1" i="8"/>
  <c r="AE1" i="8"/>
  <c r="AF1" i="8"/>
  <c r="AG1" i="8"/>
  <c r="AH1" i="8"/>
  <c r="AI1" i="8"/>
  <c r="AJ1" i="8"/>
  <c r="AK1" i="8"/>
  <c r="AC2" i="8"/>
  <c r="AD2" i="8"/>
  <c r="AE2" i="8"/>
  <c r="AF2" i="8"/>
  <c r="AG2" i="8"/>
  <c r="AH2" i="8"/>
  <c r="AI2" i="8"/>
  <c r="AJ2" i="8"/>
  <c r="AK2" i="8"/>
  <c r="AI8" i="4"/>
  <c r="AJ8" i="4"/>
  <c r="AK8" i="4"/>
  <c r="AI9" i="4"/>
  <c r="AJ9" i="4"/>
  <c r="AK9" i="4"/>
  <c r="AC9" i="4"/>
  <c r="AC8" i="4"/>
  <c r="AC1" i="4"/>
  <c r="AD1" i="4"/>
  <c r="AE1" i="4"/>
  <c r="AF1" i="4"/>
  <c r="AG1" i="4"/>
  <c r="AH1" i="4"/>
  <c r="AI1" i="4"/>
  <c r="AJ1" i="4"/>
  <c r="AK1" i="4"/>
  <c r="AC2" i="4"/>
  <c r="AD2" i="4"/>
  <c r="AE2" i="4"/>
  <c r="AF2" i="4"/>
  <c r="AG2" i="4"/>
  <c r="AH2" i="4"/>
  <c r="AI2" i="4"/>
  <c r="AJ2" i="4"/>
  <c r="AK2" i="4"/>
  <c r="AJ1" i="26"/>
  <c r="AK1" i="26"/>
  <c r="AJ2" i="26"/>
  <c r="AK2" i="26"/>
  <c r="AC1" i="26"/>
  <c r="AD1" i="26"/>
  <c r="AE1" i="26"/>
  <c r="AF1" i="26"/>
  <c r="AG1" i="26"/>
  <c r="AH1" i="26"/>
  <c r="AI1" i="26"/>
  <c r="AC2" i="26"/>
  <c r="AD2" i="26"/>
  <c r="AE2" i="26"/>
  <c r="AF2" i="26"/>
  <c r="AG2" i="26"/>
  <c r="AH2" i="26"/>
  <c r="AI2" i="26"/>
  <c r="AJ1" i="6"/>
  <c r="AK1" i="6"/>
  <c r="AJ2" i="6"/>
  <c r="AK2" i="6"/>
  <c r="AC1" i="6"/>
  <c r="AD1" i="6"/>
  <c r="AE1" i="6"/>
  <c r="AF1" i="6"/>
  <c r="AG1" i="6"/>
  <c r="AH1" i="6"/>
  <c r="AI1" i="6"/>
  <c r="AC2" i="6"/>
  <c r="AD2" i="6"/>
  <c r="AE2" i="6"/>
  <c r="AF2" i="6"/>
  <c r="AG2" i="6"/>
  <c r="AH2" i="6"/>
  <c r="AI2" i="6"/>
  <c r="AI7" i="14"/>
  <c r="AJ7" i="14"/>
  <c r="AK7" i="14"/>
  <c r="AC7" i="14"/>
  <c r="G7" i="14" s="1"/>
  <c r="AJ1" i="14"/>
  <c r="AK1" i="14"/>
  <c r="AJ2" i="14"/>
  <c r="AK2" i="14"/>
  <c r="AC1" i="14"/>
  <c r="AD1" i="14"/>
  <c r="AE1" i="14"/>
  <c r="AF1" i="14"/>
  <c r="AG1" i="14"/>
  <c r="AH1" i="14"/>
  <c r="AI1" i="14"/>
  <c r="AC2" i="14"/>
  <c r="AD2" i="14"/>
  <c r="AE2" i="14"/>
  <c r="AF2" i="14"/>
  <c r="AG2" i="14"/>
  <c r="AH2" i="14"/>
  <c r="AI2" i="14"/>
  <c r="AK1" i="17"/>
  <c r="AK2" i="17"/>
  <c r="AC1" i="17"/>
  <c r="AD1" i="17"/>
  <c r="AE1" i="17"/>
  <c r="AF1" i="17"/>
  <c r="AG1" i="17"/>
  <c r="AH1" i="17"/>
  <c r="AI1" i="17"/>
  <c r="AJ1" i="17"/>
  <c r="AC2" i="17"/>
  <c r="AD2" i="17"/>
  <c r="AE2" i="17"/>
  <c r="AF2" i="17"/>
  <c r="AG2" i="17"/>
  <c r="AH2" i="17"/>
  <c r="AI2" i="17"/>
  <c r="AJ2" i="17"/>
  <c r="AJ22" i="16"/>
  <c r="AK22" i="16"/>
  <c r="AJ39" i="16"/>
  <c r="AJ42" i="16" s="1"/>
  <c r="AK39" i="16"/>
  <c r="AK42" i="16" s="1"/>
  <c r="AI22" i="16"/>
  <c r="AI39" i="16"/>
  <c r="AI42" i="16"/>
  <c r="AC22" i="16"/>
  <c r="AC1" i="16"/>
  <c r="AD1" i="16"/>
  <c r="AE1" i="16"/>
  <c r="AF1" i="16"/>
  <c r="AG1" i="16"/>
  <c r="AH1" i="16"/>
  <c r="AI1" i="16"/>
  <c r="AJ1" i="16"/>
  <c r="AK1" i="16"/>
  <c r="AC2" i="16"/>
  <c r="AD2" i="16"/>
  <c r="AE2" i="16"/>
  <c r="AF2" i="16"/>
  <c r="AG2" i="16"/>
  <c r="AH2" i="16"/>
  <c r="AI2" i="16"/>
  <c r="AJ2" i="16"/>
  <c r="AK2" i="16"/>
  <c r="AJ1" i="13"/>
  <c r="AK1" i="13"/>
  <c r="AJ2" i="13"/>
  <c r="AK2" i="13"/>
  <c r="AC1" i="13"/>
  <c r="AD1" i="13"/>
  <c r="AE1" i="13"/>
  <c r="AF1" i="13"/>
  <c r="AG1" i="13"/>
  <c r="AH1" i="13"/>
  <c r="AI1" i="13"/>
  <c r="AC2" i="13"/>
  <c r="AD2" i="13"/>
  <c r="AE2" i="13"/>
  <c r="AF2" i="13"/>
  <c r="AG2" i="13"/>
  <c r="AH2" i="13"/>
  <c r="AI2" i="13"/>
  <c r="AB39" i="16"/>
  <c r="AB42" i="16" s="1"/>
  <c r="AB9" i="4"/>
  <c r="L39" i="16"/>
  <c r="N39" i="16"/>
  <c r="O39" i="16"/>
  <c r="P39" i="16"/>
  <c r="Q39" i="16"/>
  <c r="S39" i="16"/>
  <c r="T39" i="16"/>
  <c r="U39" i="16"/>
  <c r="G39" i="16" s="1"/>
  <c r="V39" i="16"/>
  <c r="V42" i="16" s="1"/>
  <c r="W39" i="16"/>
  <c r="W42" i="16" s="1"/>
  <c r="AA39" i="16"/>
  <c r="AA42" i="16" s="1"/>
  <c r="AB17" i="16"/>
  <c r="AB102" i="18"/>
  <c r="AB99" i="18"/>
  <c r="AB98" i="18"/>
  <c r="AB78" i="18"/>
  <c r="AB75" i="18"/>
  <c r="AB74" i="18"/>
  <c r="AB66" i="18"/>
  <c r="AB42" i="18"/>
  <c r="AB39" i="18"/>
  <c r="AB38" i="18"/>
  <c r="AB8" i="4"/>
  <c r="AB7" i="14"/>
  <c r="AB22" i="16"/>
  <c r="K9" i="4"/>
  <c r="L9" i="4"/>
  <c r="M9" i="4"/>
  <c r="N9" i="4"/>
  <c r="O9" i="4"/>
  <c r="P9" i="4"/>
  <c r="Q9" i="4"/>
  <c r="R9" i="4"/>
  <c r="S9" i="4"/>
  <c r="T9" i="4"/>
  <c r="U9" i="4"/>
  <c r="G9" i="4" s="1"/>
  <c r="V9" i="4"/>
  <c r="W9" i="4"/>
  <c r="X9" i="4"/>
  <c r="Y9" i="4"/>
  <c r="Z9" i="4"/>
  <c r="AA9" i="4"/>
  <c r="J8" i="4"/>
  <c r="K8" i="4"/>
  <c r="L8" i="4"/>
  <c r="M8" i="4"/>
  <c r="N8" i="4"/>
  <c r="O8" i="4"/>
  <c r="P8" i="4"/>
  <c r="Q8" i="4"/>
  <c r="R8" i="4"/>
  <c r="S8" i="4"/>
  <c r="T8" i="4"/>
  <c r="U8" i="4"/>
  <c r="G8" i="4" s="1"/>
  <c r="V8" i="4"/>
  <c r="W8" i="4"/>
  <c r="X8" i="4"/>
  <c r="Y8" i="4"/>
  <c r="Z8" i="4"/>
  <c r="AA8" i="4"/>
  <c r="AA7" i="14"/>
  <c r="AA136" i="18"/>
  <c r="AA124" i="18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H2" i="24"/>
  <c r="H2" i="23"/>
  <c r="Z2" i="25"/>
  <c r="AA2" i="25"/>
  <c r="AB2" i="25"/>
  <c r="AB2" i="22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H1" i="25"/>
  <c r="AB2" i="23"/>
  <c r="AB1" i="23"/>
  <c r="AB1" i="22"/>
  <c r="AB2" i="18"/>
  <c r="AB1" i="18"/>
  <c r="AB2" i="8"/>
  <c r="AB1" i="8"/>
  <c r="AB2" i="4"/>
  <c r="AB1" i="4"/>
  <c r="AB2" i="26"/>
  <c r="AB1" i="26"/>
  <c r="AB2" i="6"/>
  <c r="AB1" i="6"/>
  <c r="AB2" i="14"/>
  <c r="AB1" i="14"/>
  <c r="AB2" i="17"/>
  <c r="AB1" i="17"/>
  <c r="AB2" i="16"/>
  <c r="AB1" i="16"/>
  <c r="AB2" i="13"/>
  <c r="AB1" i="13"/>
  <c r="J69" i="18"/>
  <c r="J57" i="18"/>
  <c r="J21" i="18"/>
  <c r="J12" i="18"/>
  <c r="J8" i="18"/>
  <c r="D90" i="18" l="1"/>
  <c r="D87" i="18"/>
  <c r="D180" i="18"/>
  <c r="D179" i="18"/>
  <c r="D175" i="18"/>
  <c r="D182" i="18"/>
  <c r="D177" i="18"/>
  <c r="D178" i="18"/>
  <c r="D181" i="18"/>
  <c r="D176" i="18"/>
  <c r="J9" i="4"/>
  <c r="E57" i="22"/>
  <c r="E56" i="22"/>
  <c r="E45" i="22"/>
  <c r="E40" i="22"/>
  <c r="E39" i="22"/>
  <c r="E18" i="22"/>
  <c r="E14" i="22"/>
  <c r="Y25" i="18" l="1"/>
  <c r="Y24" i="18"/>
  <c r="Y21" i="18"/>
  <c r="Y13" i="18"/>
  <c r="Y9" i="18"/>
  <c r="Y12" i="18" s="1"/>
  <c r="I1" i="23" l="1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H2" i="22"/>
  <c r="D226" i="18"/>
  <c r="D227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H2" i="1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H2" i="8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H2" i="4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H2" i="2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H2" i="6"/>
  <c r="Z7" i="14"/>
  <c r="Y7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H2" i="14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H2" i="17"/>
  <c r="AA22" i="16"/>
  <c r="Z22" i="16"/>
  <c r="Y40" i="16"/>
  <c r="Y39" i="16" s="1"/>
  <c r="Y42" i="16" s="1"/>
  <c r="Y22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H2" i="16"/>
  <c r="AA28" i="13"/>
  <c r="AA27" i="13"/>
  <c r="Z1" i="13"/>
  <c r="AA1" i="13"/>
  <c r="Z2" i="13"/>
  <c r="AA2" i="13"/>
  <c r="D3" i="11"/>
  <c r="D4" i="11"/>
  <c r="Y28" i="13"/>
  <c r="Y27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H2" i="13"/>
  <c r="Y1" i="13"/>
  <c r="J8" i="14"/>
  <c r="J7" i="14"/>
  <c r="J39" i="16"/>
  <c r="J22" i="16"/>
  <c r="J28" i="13"/>
  <c r="J27" i="13"/>
  <c r="J5" i="13"/>
  <c r="D22" i="4" l="1"/>
  <c r="U7" i="14" l="1"/>
  <c r="U218" i="18"/>
  <c r="G218" i="18" s="1"/>
  <c r="U212" i="18"/>
  <c r="G212" i="18" s="1"/>
  <c r="U63" i="18"/>
  <c r="G63" i="18" s="1"/>
  <c r="U61" i="18"/>
  <c r="G61" i="18" s="1"/>
  <c r="D61" i="18" s="1"/>
  <c r="U58" i="18"/>
  <c r="G58" i="18" s="1"/>
  <c r="U13" i="18"/>
  <c r="G13" i="18" s="1"/>
  <c r="X212" i="18" l="1"/>
  <c r="X210" i="18"/>
  <c r="X218" i="18"/>
  <c r="X216" i="18"/>
  <c r="X9" i="18"/>
  <c r="D9" i="18" s="1"/>
  <c r="E52" i="18"/>
  <c r="D52" i="18" s="1"/>
  <c r="E53" i="18"/>
  <c r="E54" i="18"/>
  <c r="D54" i="18" s="1"/>
  <c r="E55" i="18"/>
  <c r="D55" i="18" s="1"/>
  <c r="E56" i="18"/>
  <c r="D56" i="18" s="1"/>
  <c r="E40" i="18"/>
  <c r="D40" i="18" s="1"/>
  <c r="E41" i="18"/>
  <c r="D41" i="18" s="1"/>
  <c r="E42" i="18"/>
  <c r="D42" i="18" s="1"/>
  <c r="E43" i="18"/>
  <c r="D43" i="18" s="1"/>
  <c r="E44" i="18"/>
  <c r="E28" i="18"/>
  <c r="D28" i="18" s="1"/>
  <c r="E29" i="18"/>
  <c r="D29" i="18" s="1"/>
  <c r="E30" i="18"/>
  <c r="D30" i="18" s="1"/>
  <c r="E31" i="18"/>
  <c r="D31" i="18" s="1"/>
  <c r="E32" i="18"/>
  <c r="D32" i="18" s="1"/>
  <c r="E19" i="18"/>
  <c r="D19" i="18" s="1"/>
  <c r="E20" i="18"/>
  <c r="D20" i="18" s="1"/>
  <c r="E16" i="18"/>
  <c r="E17" i="18"/>
  <c r="D17" i="18" s="1"/>
  <c r="D4" i="18"/>
  <c r="D5" i="18"/>
  <c r="D6" i="18"/>
  <c r="D7" i="18"/>
  <c r="D10" i="18"/>
  <c r="D11" i="18"/>
  <c r="D12" i="18"/>
  <c r="D14" i="18"/>
  <c r="D21" i="18"/>
  <c r="D22" i="18"/>
  <c r="D23" i="18"/>
  <c r="D33" i="18"/>
  <c r="D34" i="18"/>
  <c r="D35" i="18"/>
  <c r="D36" i="18"/>
  <c r="D37" i="18"/>
  <c r="D38" i="18"/>
  <c r="D45" i="18"/>
  <c r="D46" i="18"/>
  <c r="D47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51" i="18"/>
  <c r="D15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7" i="18"/>
  <c r="D198" i="18"/>
  <c r="D211" i="18"/>
  <c r="D213" i="18"/>
  <c r="D214" i="18"/>
  <c r="D215" i="18"/>
  <c r="D217" i="18"/>
  <c r="D219" i="18"/>
  <c r="D220" i="18"/>
  <c r="D221" i="18"/>
  <c r="D222" i="18"/>
  <c r="D223" i="18"/>
  <c r="D224" i="18"/>
  <c r="D225" i="18"/>
  <c r="D228" i="18"/>
  <c r="D229" i="18"/>
  <c r="D230" i="18"/>
  <c r="D231" i="18"/>
  <c r="D232" i="18"/>
  <c r="D233" i="18"/>
  <c r="D234" i="18"/>
  <c r="D235" i="18"/>
  <c r="D236" i="18"/>
  <c r="D238" i="18"/>
  <c r="B44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7" i="26"/>
  <c r="D6" i="26"/>
  <c r="D5" i="26"/>
  <c r="D4" i="26"/>
  <c r="D3" i="26"/>
  <c r="H1" i="26"/>
  <c r="K33" i="16"/>
  <c r="K32" i="16"/>
  <c r="K31" i="16"/>
  <c r="H1" i="24"/>
  <c r="H1" i="23"/>
  <c r="H1" i="22"/>
  <c r="H1" i="18"/>
  <c r="H1" i="8"/>
  <c r="H1" i="4"/>
  <c r="H1" i="6"/>
  <c r="H1" i="14"/>
  <c r="H1" i="17"/>
  <c r="H1" i="16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H1" i="13"/>
  <c r="X62" i="18"/>
  <c r="X58" i="18"/>
  <c r="X61" i="18"/>
  <c r="X26" i="18"/>
  <c r="X25" i="18"/>
  <c r="N26" i="18"/>
  <c r="N25" i="18"/>
  <c r="N24" i="18"/>
  <c r="D34" i="4"/>
  <c r="D35" i="4"/>
  <c r="D36" i="4"/>
  <c r="D47" i="16"/>
  <c r="D25" i="18" l="1"/>
  <c r="D58" i="18"/>
  <c r="D44" i="18"/>
  <c r="D53" i="18"/>
  <c r="D16" i="18"/>
  <c r="D43" i="6"/>
  <c r="D15" i="6"/>
  <c r="D16" i="6"/>
  <c r="D19" i="6"/>
  <c r="D20" i="6"/>
  <c r="D3" i="22"/>
  <c r="D3" i="25"/>
  <c r="D4" i="25"/>
  <c r="D5" i="25"/>
  <c r="D6" i="25"/>
  <c r="D3" i="24"/>
  <c r="D4" i="24"/>
  <c r="D6" i="24"/>
  <c r="D7" i="24"/>
  <c r="D8" i="24"/>
  <c r="D10" i="24"/>
  <c r="D11" i="24"/>
  <c r="D12" i="24"/>
  <c r="D13" i="24"/>
  <c r="D14" i="24"/>
  <c r="D15" i="24"/>
  <c r="B19" i="24"/>
  <c r="B20" i="24"/>
  <c r="B21" i="24"/>
  <c r="B22" i="24"/>
  <c r="B23" i="24"/>
  <c r="B24" i="24"/>
  <c r="B25" i="24"/>
  <c r="B26" i="24"/>
  <c r="B27" i="24"/>
  <c r="B28" i="24"/>
  <c r="D5" i="23"/>
  <c r="D6" i="23"/>
  <c r="D7" i="23"/>
  <c r="D8" i="23"/>
  <c r="D4" i="22"/>
  <c r="D5" i="22"/>
  <c r="D6" i="22"/>
  <c r="D7" i="22"/>
  <c r="D8" i="22"/>
  <c r="D9" i="22"/>
  <c r="D10" i="22"/>
  <c r="D11" i="22"/>
  <c r="D12" i="22"/>
  <c r="D13" i="22"/>
  <c r="D15" i="22"/>
  <c r="D16" i="22"/>
  <c r="D17" i="22"/>
  <c r="D19" i="22"/>
  <c r="D20" i="22"/>
  <c r="D21" i="22"/>
  <c r="D22" i="22"/>
  <c r="D23" i="22"/>
  <c r="D24" i="22"/>
  <c r="D25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8" i="22"/>
  <c r="D59" i="22"/>
  <c r="D60" i="22"/>
  <c r="D61" i="22"/>
  <c r="D62" i="22"/>
  <c r="D63" i="22"/>
  <c r="D64" i="22"/>
  <c r="D65" i="22"/>
  <c r="D66" i="22"/>
  <c r="D67" i="22"/>
  <c r="D68" i="22"/>
  <c r="D39" i="22" l="1"/>
  <c r="D26" i="22"/>
  <c r="D14" i="22"/>
  <c r="D18" i="22"/>
  <c r="D40" i="22"/>
  <c r="D57" i="22"/>
  <c r="D56" i="22"/>
  <c r="W207" i="18"/>
  <c r="W62" i="18"/>
  <c r="B48" i="9"/>
  <c r="H22" i="16"/>
  <c r="X40" i="16"/>
  <c r="X207" i="18"/>
  <c r="B86" i="13"/>
  <c r="B85" i="13"/>
  <c r="D21" i="13"/>
  <c r="D22" i="13"/>
  <c r="X39" i="16" l="1"/>
  <c r="X42" i="16" s="1"/>
  <c r="D207" i="18"/>
  <c r="W7" i="14"/>
  <c r="W27" i="13"/>
  <c r="W28" i="13"/>
  <c r="X209" i="18"/>
  <c r="X208" i="18"/>
  <c r="D45" i="16"/>
  <c r="D46" i="16"/>
  <c r="D208" i="18" l="1"/>
  <c r="D209" i="18"/>
  <c r="D218" i="18"/>
  <c r="W218" i="18"/>
  <c r="R217" i="18"/>
  <c r="D216" i="18"/>
  <c r="W216" i="18"/>
  <c r="D212" i="18"/>
  <c r="W212" i="18"/>
  <c r="R211" i="18"/>
  <c r="D210" i="18"/>
  <c r="W210" i="18"/>
  <c r="R102" i="18"/>
  <c r="Q102" i="18"/>
  <c r="P102" i="18"/>
  <c r="R99" i="18"/>
  <c r="Q99" i="18"/>
  <c r="P99" i="18"/>
  <c r="X98" i="18"/>
  <c r="W98" i="18"/>
  <c r="R98" i="18"/>
  <c r="Q98" i="18"/>
  <c r="P98" i="18"/>
  <c r="X97" i="18"/>
  <c r="W97" i="18"/>
  <c r="X94" i="18"/>
  <c r="W94" i="18"/>
  <c r="X93" i="18"/>
  <c r="W93" i="18"/>
  <c r="R78" i="18"/>
  <c r="Q78" i="18"/>
  <c r="P78" i="18"/>
  <c r="R75" i="18"/>
  <c r="Q75" i="18"/>
  <c r="P75" i="18"/>
  <c r="R74" i="18"/>
  <c r="Q74" i="18"/>
  <c r="P74" i="18"/>
  <c r="R66" i="18"/>
  <c r="Q66" i="18"/>
  <c r="P66" i="18"/>
  <c r="R63" i="18"/>
  <c r="Q63" i="18"/>
  <c r="P63" i="18"/>
  <c r="V62" i="18"/>
  <c r="R62" i="18"/>
  <c r="Q62" i="18"/>
  <c r="P62" i="18"/>
  <c r="W61" i="18"/>
  <c r="V61" i="18"/>
  <c r="W58" i="18"/>
  <c r="X57" i="18"/>
  <c r="W57" i="18"/>
  <c r="R54" i="18"/>
  <c r="Q54" i="18"/>
  <c r="P54" i="18"/>
  <c r="R51" i="18"/>
  <c r="Q51" i="18"/>
  <c r="P51" i="18"/>
  <c r="X50" i="18"/>
  <c r="W50" i="18"/>
  <c r="R50" i="18"/>
  <c r="Q50" i="18"/>
  <c r="P50" i="18"/>
  <c r="X49" i="18"/>
  <c r="W49" i="18"/>
  <c r="X48" i="18"/>
  <c r="W48" i="18"/>
  <c r="R42" i="18"/>
  <c r="Q42" i="18"/>
  <c r="P42" i="18"/>
  <c r="R39" i="18"/>
  <c r="Q39" i="18"/>
  <c r="P39" i="18"/>
  <c r="R38" i="18"/>
  <c r="Q38" i="18"/>
  <c r="P38" i="18"/>
  <c r="W26" i="18"/>
  <c r="O26" i="18"/>
  <c r="L26" i="18"/>
  <c r="W25" i="18"/>
  <c r="R25" i="18"/>
  <c r="Q25" i="18"/>
  <c r="P25" i="18"/>
  <c r="O25" i="18"/>
  <c r="L25" i="18"/>
  <c r="X24" i="18"/>
  <c r="W24" i="18"/>
  <c r="R24" i="18"/>
  <c r="Q24" i="18"/>
  <c r="P24" i="18"/>
  <c r="O24" i="18"/>
  <c r="L24" i="18"/>
  <c r="R21" i="18"/>
  <c r="Q21" i="18"/>
  <c r="P21" i="18"/>
  <c r="O21" i="18"/>
  <c r="L21" i="18"/>
  <c r="O14" i="18"/>
  <c r="N14" i="18"/>
  <c r="L14" i="18"/>
  <c r="X13" i="18"/>
  <c r="W13" i="18"/>
  <c r="R13" i="18"/>
  <c r="Q13" i="18"/>
  <c r="P13" i="18"/>
  <c r="O13" i="18"/>
  <c r="N13" i="18"/>
  <c r="L13" i="18"/>
  <c r="R12" i="18"/>
  <c r="Q12" i="18"/>
  <c r="P12" i="18"/>
  <c r="O12" i="18"/>
  <c r="N12" i="18"/>
  <c r="L12" i="18"/>
  <c r="W9" i="18"/>
  <c r="R9" i="18"/>
  <c r="Q9" i="18"/>
  <c r="P9" i="18"/>
  <c r="X8" i="18"/>
  <c r="W8" i="18"/>
  <c r="V8" i="18"/>
  <c r="R8" i="18"/>
  <c r="Q8" i="18"/>
  <c r="P8" i="18"/>
  <c r="O8" i="18"/>
  <c r="N8" i="18"/>
  <c r="M8" i="18"/>
  <c r="L8" i="18"/>
  <c r="R4" i="18"/>
  <c r="Q4" i="18"/>
  <c r="P4" i="18"/>
  <c r="Q3" i="18"/>
  <c r="P3" i="18"/>
  <c r="D13" i="18" l="1"/>
  <c r="D50" i="18"/>
  <c r="D57" i="18"/>
  <c r="D48" i="18"/>
  <c r="D49" i="18"/>
  <c r="D24" i="18"/>
  <c r="D8" i="18"/>
  <c r="D11" i="14"/>
  <c r="D12" i="14"/>
  <c r="D13" i="14"/>
  <c r="B30" i="14"/>
  <c r="B33" i="14"/>
  <c r="B27" i="14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C60" i="6"/>
  <c r="B60" i="6"/>
  <c r="D42" i="6"/>
  <c r="D9" i="11"/>
  <c r="U42" i="16"/>
  <c r="G42" i="16" s="1"/>
  <c r="H9" i="4"/>
  <c r="I9" i="4"/>
  <c r="H8" i="4"/>
  <c r="I8" i="4"/>
  <c r="X7" i="14"/>
  <c r="I212" i="18"/>
  <c r="I211" i="18"/>
  <c r="I218" i="18"/>
  <c r="I217" i="18"/>
  <c r="H218" i="18"/>
  <c r="H217" i="18"/>
  <c r="H212" i="18"/>
  <c r="H211" i="18"/>
  <c r="D42" i="16" l="1"/>
  <c r="D27" i="6"/>
  <c r="D28" i="6"/>
  <c r="D29" i="6"/>
  <c r="D30" i="6"/>
  <c r="D37" i="6"/>
  <c r="D38" i="6"/>
  <c r="D31" i="6"/>
  <c r="D32" i="6"/>
  <c r="D23" i="17" l="1"/>
  <c r="D39" i="6"/>
  <c r="D40" i="6"/>
  <c r="D41" i="6"/>
  <c r="D21" i="17" l="1"/>
  <c r="D5" i="8"/>
  <c r="D4" i="8"/>
  <c r="D3" i="8"/>
  <c r="H12" i="18" l="1"/>
  <c r="I12" i="18"/>
  <c r="B69" i="9" l="1"/>
  <c r="X22" i="16"/>
  <c r="W22" i="16"/>
  <c r="V22" i="16"/>
  <c r="U22" i="16"/>
  <c r="G22" i="16" s="1"/>
  <c r="X28" i="13"/>
  <c r="X27" i="13"/>
  <c r="V7" i="14"/>
  <c r="E15" i="13"/>
  <c r="V28" i="13"/>
  <c r="V27" i="13"/>
  <c r="E33" i="4" l="1"/>
  <c r="E32" i="4"/>
  <c r="E31" i="4"/>
  <c r="E30" i="4"/>
  <c r="E29" i="4"/>
  <c r="E27" i="4"/>
  <c r="E28" i="4"/>
  <c r="E18" i="4"/>
  <c r="B102" i="9"/>
  <c r="B99" i="9"/>
  <c r="B134" i="13" l="1"/>
  <c r="B56" i="6"/>
  <c r="B84" i="16" l="1"/>
  <c r="B78" i="16"/>
  <c r="B79" i="16"/>
  <c r="B80" i="16"/>
  <c r="B81" i="16"/>
  <c r="B82" i="16"/>
  <c r="B83" i="16"/>
  <c r="B70" i="16"/>
  <c r="B71" i="16"/>
  <c r="B72" i="16"/>
  <c r="B73" i="16"/>
  <c r="B74" i="16"/>
  <c r="B75" i="16"/>
  <c r="B76" i="16"/>
  <c r="B77" i="16"/>
  <c r="R22" i="16"/>
  <c r="Q22" i="16"/>
  <c r="P22" i="16"/>
  <c r="I22" i="16" l="1"/>
  <c r="B133" i="13"/>
  <c r="B132" i="13"/>
  <c r="B130" i="13"/>
  <c r="B131" i="13"/>
  <c r="B128" i="13"/>
  <c r="B129" i="13"/>
  <c r="B125" i="13"/>
  <c r="B126" i="13"/>
  <c r="B127" i="13"/>
  <c r="B124" i="13"/>
  <c r="R7" i="14" l="1"/>
  <c r="S28" i="13"/>
  <c r="T28" i="13"/>
  <c r="T27" i="13"/>
  <c r="Q7" i="14"/>
  <c r="S27" i="13"/>
  <c r="R28" i="13"/>
  <c r="Q28" i="13"/>
  <c r="Q27" i="13"/>
  <c r="I102" i="18" l="1"/>
  <c r="I99" i="18"/>
  <c r="I98" i="18"/>
  <c r="I54" i="18"/>
  <c r="I51" i="18"/>
  <c r="I50" i="18"/>
  <c r="I42" i="18"/>
  <c r="I39" i="18"/>
  <c r="I38" i="18"/>
  <c r="I25" i="18"/>
  <c r="I24" i="18"/>
  <c r="I21" i="18"/>
  <c r="I13" i="18"/>
  <c r="I9" i="18"/>
  <c r="I8" i="18"/>
  <c r="I4" i="18"/>
  <c r="B21" i="2" l="1"/>
  <c r="I7" i="14" l="1"/>
  <c r="K7" i="14"/>
  <c r="L7" i="14"/>
  <c r="M7" i="14"/>
  <c r="N7" i="14"/>
  <c r="O7" i="14"/>
  <c r="P7" i="14"/>
  <c r="H7" i="14"/>
  <c r="B66" i="4"/>
  <c r="C66" i="4"/>
  <c r="B67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56" i="4"/>
  <c r="C56" i="4"/>
  <c r="P28" i="13"/>
  <c r="P27" i="13"/>
  <c r="E17" i="4" l="1"/>
  <c r="E16" i="4"/>
  <c r="E12" i="4"/>
  <c r="E14" i="4"/>
  <c r="E13" i="4"/>
  <c r="B120" i="13"/>
  <c r="B113" i="13"/>
  <c r="B106" i="13"/>
  <c r="B102" i="13"/>
  <c r="H3" i="18" l="1"/>
  <c r="E174" i="18"/>
  <c r="D174" i="18" s="1"/>
  <c r="E173" i="18"/>
  <c r="D173" i="18" s="1"/>
  <c r="E172" i="18"/>
  <c r="D172" i="18" s="1"/>
  <c r="E171" i="18"/>
  <c r="D171" i="18" s="1"/>
  <c r="E170" i="18"/>
  <c r="D170" i="18" s="1"/>
  <c r="E169" i="18"/>
  <c r="D169" i="18" s="1"/>
  <c r="E168" i="18"/>
  <c r="D168" i="18" s="1"/>
  <c r="E167" i="18"/>
  <c r="D167" i="18" s="1"/>
  <c r="E166" i="18"/>
  <c r="D166" i="18" s="1"/>
  <c r="E165" i="18"/>
  <c r="D165" i="18" s="1"/>
  <c r="E164" i="18"/>
  <c r="D164" i="18" s="1"/>
  <c r="E163" i="18"/>
  <c r="D163" i="18" s="1"/>
  <c r="E162" i="18"/>
  <c r="D162" i="18" s="1"/>
  <c r="E161" i="18"/>
  <c r="D161" i="18" s="1"/>
  <c r="E102" i="18"/>
  <c r="D102" i="18" s="1"/>
  <c r="E99" i="18"/>
  <c r="D99" i="18" s="1"/>
  <c r="E78" i="18"/>
  <c r="D78" i="18" s="1"/>
  <c r="E75" i="18"/>
  <c r="D75" i="18" s="1"/>
  <c r="E66" i="18"/>
  <c r="D66" i="18" s="1"/>
  <c r="E63" i="18"/>
  <c r="D63" i="18" s="1"/>
  <c r="E51" i="18"/>
  <c r="D51" i="18" s="1"/>
  <c r="E39" i="18"/>
  <c r="D39" i="18" s="1"/>
  <c r="E27" i="18"/>
  <c r="D27" i="18" s="1"/>
  <c r="E18" i="18"/>
  <c r="D18" i="18" s="1"/>
  <c r="E15" i="18"/>
  <c r="D15" i="18" s="1"/>
  <c r="H102" i="18"/>
  <c r="H99" i="18"/>
  <c r="H98" i="18"/>
  <c r="H78" i="18"/>
  <c r="H75" i="18"/>
  <c r="H74" i="18"/>
  <c r="H66" i="18"/>
  <c r="H63" i="18"/>
  <c r="H62" i="18"/>
  <c r="H42" i="18"/>
  <c r="H39" i="18"/>
  <c r="H38" i="18"/>
  <c r="H25" i="18"/>
  <c r="H24" i="18"/>
  <c r="H21" i="18"/>
  <c r="H13" i="18"/>
  <c r="H9" i="18"/>
  <c r="H8" i="18"/>
  <c r="H4" i="18"/>
  <c r="C55" i="4"/>
  <c r="C54" i="4"/>
  <c r="C53" i="4"/>
  <c r="B55" i="4"/>
  <c r="B54" i="4"/>
  <c r="B53" i="4"/>
  <c r="B50" i="4"/>
  <c r="B46" i="4"/>
  <c r="B43" i="4"/>
  <c r="I27" i="13" l="1"/>
  <c r="L27" i="13"/>
  <c r="N27" i="13"/>
  <c r="O27" i="13"/>
  <c r="I28" i="13"/>
  <c r="L28" i="13"/>
  <c r="G28" i="13"/>
  <c r="N28" i="13"/>
  <c r="O28" i="13"/>
  <c r="H28" i="13"/>
  <c r="H27" i="13"/>
  <c r="B38" i="11" l="1"/>
  <c r="B31" i="17"/>
  <c r="B30" i="17"/>
  <c r="B349" i="18"/>
  <c r="B350" i="18"/>
  <c r="B351" i="18"/>
  <c r="B347" i="18"/>
  <c r="B348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24" i="18"/>
  <c r="B325" i="18"/>
  <c r="B326" i="18"/>
  <c r="B327" i="18"/>
  <c r="B328" i="18"/>
  <c r="B329" i="18"/>
  <c r="B330" i="18"/>
  <c r="B331" i="18"/>
  <c r="B332" i="18"/>
  <c r="B333" i="18"/>
  <c r="B334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246" i="18"/>
  <c r="B245" i="18" l="1"/>
  <c r="B100" i="13"/>
  <c r="B101" i="13"/>
  <c r="B99" i="13"/>
  <c r="B98" i="13"/>
  <c r="B91" i="13"/>
  <c r="B87" i="13"/>
  <c r="B18" i="8"/>
  <c r="B13" i="8"/>
  <c r="B8" i="8"/>
  <c r="B46" i="15" l="1"/>
  <c r="B39" i="15"/>
  <c r="B35" i="15"/>
  <c r="B26" i="14"/>
  <c r="B49" i="6"/>
  <c r="B50" i="6"/>
  <c r="B51" i="6"/>
  <c r="B52" i="6"/>
  <c r="B53" i="6"/>
  <c r="B48" i="6"/>
  <c r="B40" i="4" l="1"/>
  <c r="B39" i="4"/>
  <c r="B69" i="16"/>
  <c r="B84" i="13"/>
  <c r="B35" i="17" l="1"/>
  <c r="B34" i="17"/>
  <c r="B33" i="17"/>
  <c r="B32" i="17"/>
  <c r="B66" i="16"/>
  <c r="B63" i="16" l="1"/>
  <c r="B64" i="16"/>
  <c r="B65" i="16"/>
  <c r="B57" i="16"/>
  <c r="B58" i="16"/>
  <c r="B59" i="16"/>
  <c r="B60" i="16"/>
  <c r="B61" i="16"/>
  <c r="B62" i="16"/>
  <c r="B56" i="16"/>
  <c r="B55" i="16"/>
  <c r="B54" i="16"/>
  <c r="B53" i="16"/>
  <c r="B52" i="16"/>
  <c r="B51" i="16"/>
  <c r="B50" i="16"/>
  <c r="B25" i="14"/>
  <c r="B80" i="13"/>
  <c r="B74" i="13"/>
  <c r="B28" i="15" l="1"/>
  <c r="B29" i="15"/>
  <c r="B32" i="15"/>
  <c r="B22" i="15"/>
  <c r="B27" i="15"/>
  <c r="B26" i="15"/>
  <c r="B25" i="15"/>
  <c r="B24" i="15"/>
  <c r="B23" i="15"/>
  <c r="B21" i="15"/>
  <c r="B24" i="14"/>
  <c r="B23" i="14"/>
  <c r="B22" i="14"/>
  <c r="B21" i="14"/>
  <c r="B20" i="14"/>
  <c r="B19" i="14"/>
  <c r="B69" i="13"/>
  <c r="B68" i="13"/>
  <c r="B67" i="13"/>
  <c r="B64" i="13"/>
  <c r="B63" i="13"/>
  <c r="B59" i="13"/>
  <c r="B58" i="13"/>
  <c r="B57" i="13"/>
  <c r="B56" i="13"/>
  <c r="B50" i="13"/>
  <c r="B21" i="11"/>
  <c r="B34" i="11"/>
  <c r="B30" i="11"/>
  <c r="B15" i="11"/>
  <c r="B12" i="11"/>
  <c r="B96" i="9"/>
  <c r="B93" i="9"/>
  <c r="B90" i="9"/>
  <c r="B87" i="9"/>
  <c r="B84" i="9"/>
  <c r="B81" i="9"/>
  <c r="B78" i="9"/>
  <c r="B75" i="9"/>
  <c r="B72" i="9"/>
  <c r="B66" i="9"/>
  <c r="B63" i="9"/>
  <c r="B60" i="9"/>
  <c r="B57" i="9"/>
  <c r="B54" i="9"/>
  <c r="B51" i="9"/>
  <c r="B45" i="9"/>
  <c r="B42" i="9"/>
  <c r="B39" i="9"/>
  <c r="B36" i="9"/>
  <c r="B18" i="2"/>
  <c r="B15" i="2"/>
  <c r="B12" i="2"/>
  <c r="D3" i="18"/>
  <c r="D5" i="11"/>
  <c r="D6" i="11"/>
  <c r="D7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3" i="17"/>
  <c r="D4" i="17"/>
  <c r="D5" i="17"/>
  <c r="D6" i="17"/>
  <c r="D7" i="17"/>
  <c r="D8" i="17"/>
  <c r="D9" i="17"/>
  <c r="D10" i="17"/>
  <c r="D11" i="17"/>
  <c r="D12" i="17"/>
  <c r="D13" i="17"/>
  <c r="D14" i="17"/>
  <c r="D16" i="17"/>
  <c r="D17" i="17"/>
  <c r="D3" i="14"/>
  <c r="D4" i="14"/>
  <c r="D5" i="14"/>
  <c r="D6" i="14"/>
  <c r="D7" i="14"/>
  <c r="D8" i="14"/>
  <c r="D9" i="14"/>
  <c r="D10" i="14"/>
  <c r="D3" i="6"/>
  <c r="D4" i="6"/>
  <c r="D7" i="6"/>
  <c r="D8" i="6"/>
  <c r="D21" i="6"/>
  <c r="D22" i="6"/>
  <c r="D25" i="6"/>
  <c r="D26" i="6"/>
  <c r="D3" i="4"/>
  <c r="D4" i="4"/>
  <c r="D5" i="4"/>
  <c r="D6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M40" i="16"/>
  <c r="M42" i="16"/>
</calcChain>
</file>

<file path=xl/sharedStrings.xml><?xml version="1.0" encoding="utf-8"?>
<sst xmlns="http://schemas.openxmlformats.org/spreadsheetml/2006/main" count="3210" uniqueCount="1738">
  <si>
    <t>Check Efficiency of code</t>
  </si>
  <si>
    <t>Plot incompatibility with older version</t>
  </si>
  <si>
    <t>Options</t>
  </si>
  <si>
    <t xml:space="preserve">        type_battery = 2;</t>
  </si>
  <si>
    <t xml:space="preserve">        AC_CONFIGURATION.type_battery = type_battery;</t>
  </si>
  <si>
    <t>MATLAB_in</t>
  </si>
  <si>
    <t>CHECK_Efficiency</t>
  </si>
  <si>
    <t>Detailed_Profile</t>
  </si>
  <si>
    <t>Selection</t>
  </si>
  <si>
    <t>Explanation</t>
  </si>
  <si>
    <t>Modified codes for compatibility</t>
  </si>
  <si>
    <t>Normal codes</t>
  </si>
  <si>
    <t>Runs the MATLAB profile</t>
  </si>
  <si>
    <t>Does NOT Run the MATLAB profile</t>
  </si>
  <si>
    <t>Conducts Detailed profile</t>
  </si>
  <si>
    <t>Does NOT Conducts Detailed profile</t>
  </si>
  <si>
    <t>AERODYNAMIC_STUDY</t>
  </si>
  <si>
    <t>Variable in MATLAB</t>
  </si>
  <si>
    <t xml:space="preserve">PROP_STUDY </t>
  </si>
  <si>
    <t xml:space="preserve">PERFORMANCE_STUDY </t>
  </si>
  <si>
    <t xml:space="preserve">STABILITY_STUDY </t>
  </si>
  <si>
    <t>Conducts Aerodynamic Studies</t>
  </si>
  <si>
    <t>Conducts Proppeller Studies</t>
  </si>
  <si>
    <t>Conducts Performance Studies</t>
  </si>
  <si>
    <t>Conducts Stability Studies</t>
  </si>
  <si>
    <t>No studies</t>
  </si>
  <si>
    <t>Studies</t>
  </si>
  <si>
    <t>Detailed Profile Study</t>
  </si>
  <si>
    <t>Aditional comments</t>
  </si>
  <si>
    <t>Flag that determines MATLAB incompatibility (For example functions that do not work in MATLAB 2017 )</t>
  </si>
  <si>
    <t>Weight Fraction Study</t>
  </si>
  <si>
    <t>Performance Analysis integrated with AP Codes varying Conditions</t>
  </si>
  <si>
    <t>Variable Speed Performance Studies</t>
  </si>
  <si>
    <t>Variable Mass Performance Studies</t>
  </si>
  <si>
    <t>Trim conditions - one case</t>
  </si>
  <si>
    <t>Trim conditions - variation V and mass</t>
  </si>
  <si>
    <t>Trim conditions - variation XCG</t>
  </si>
  <si>
    <t>Longitudinal Stability Analysis</t>
  </si>
  <si>
    <t>Lateral-Directional Stability Analysis</t>
  </si>
  <si>
    <t>Lateral Directional Trim</t>
  </si>
  <si>
    <t>Turning Stability</t>
  </si>
  <si>
    <t>Plots Stability Derivatives</t>
  </si>
  <si>
    <t>STUDY_Weight_Fraction</t>
  </si>
  <si>
    <t>ANALYSIS_PERFORMANCE_AP</t>
  </si>
  <si>
    <t>ANALYSIS_PERFORMANCE_AP_var</t>
  </si>
  <si>
    <t>variable_speed_AP</t>
  </si>
  <si>
    <t>variable_weight_AP</t>
  </si>
  <si>
    <t>STABILITY_STUDY_Trim</t>
  </si>
  <si>
    <t>STABILITY_STUDY_Trim_varV_m0</t>
  </si>
  <si>
    <t>STABILITY_STUDY_Trim_var_XCG</t>
  </si>
  <si>
    <t>STABILITY_STUDY_Long_dyn</t>
  </si>
  <si>
    <t>STABILITY_STUDY_LatDir_dyn</t>
  </si>
  <si>
    <t>STABILITY_STUDY_Trim_lat</t>
  </si>
  <si>
    <t>STABILITY_STUDY_Turning</t>
  </si>
  <si>
    <t>STABILITY_STUDY_Stability_Derivatives_varV_m0</t>
  </si>
  <si>
    <t>Longitudinal Dynamic Response Plots</t>
  </si>
  <si>
    <t>Lateral-Directional Dynamic Response Plots</t>
  </si>
  <si>
    <t>STABILITY_STUDY_Stability_Analysis_varV_m0_lat</t>
  </si>
  <si>
    <t>STABILITY_STUDY_Stability_Analysis_varV_m0_long</t>
  </si>
  <si>
    <t>Prints plots - Aero</t>
  </si>
  <si>
    <t>Prints plots - Aero Polar</t>
  </si>
  <si>
    <t>Print Plots for Propulsive Models</t>
  </si>
  <si>
    <t>Prints plots for 3D</t>
  </si>
  <si>
    <t>Prints plots of SM analysis</t>
  </si>
  <si>
    <t>Prints plots of longitudinal Trim</t>
  </si>
  <si>
    <t>Prints plots of longitudinal Trim with Variable mass &amp; Variable Speed</t>
  </si>
  <si>
    <t>Prints plots of lateral Trim</t>
  </si>
  <si>
    <t>Prints plots of lateral Turning</t>
  </si>
  <si>
    <t>Prints PLOTS STABILITY DERIVATIVES FOR VAR MASS AND VELOCITY</t>
  </si>
  <si>
    <t>Prints PLOTS STABILITY ANALYSIS FOR VAR MASS AND VELOCITY</t>
  </si>
  <si>
    <t>Prints PLOTS PERFORMANCE STUDY</t>
  </si>
  <si>
    <t>PLOTS</t>
  </si>
  <si>
    <t>No PLOTS</t>
  </si>
  <si>
    <t>prefix</t>
  </si>
  <si>
    <t>Selection of String Characters that Define the AC selection</t>
  </si>
  <si>
    <t>EMERGENTIA_100_</t>
  </si>
  <si>
    <t>CERVERA_</t>
  </si>
  <si>
    <t>WIG_</t>
  </si>
  <si>
    <t>PEPINO_XXXL_</t>
  </si>
  <si>
    <t>SF</t>
  </si>
  <si>
    <t>Scaling Factor</t>
  </si>
  <si>
    <t>Weight Estimation</t>
  </si>
  <si>
    <t>Weight_Estimation</t>
  </si>
  <si>
    <t>Weight_Estimation from composite - Cefiro III</t>
  </si>
  <si>
    <t>Weight_Estimation from wood - Cefiro I</t>
  </si>
  <si>
    <t>Factores lineales</t>
  </si>
  <si>
    <t>Exact Extimation</t>
  </si>
  <si>
    <t>Aircaft Type</t>
  </si>
  <si>
    <t>Flying wing</t>
  </si>
  <si>
    <t>Conventional 2 surface: wing + HTP + VTP</t>
  </si>
  <si>
    <t>3 surface: cannard + wing + HTP + VTP</t>
  </si>
  <si>
    <t>2 surface: wing + V-tail</t>
  </si>
  <si>
    <t>3 surface: cannard + wing + V-tail</t>
  </si>
  <si>
    <t>AC_type</t>
  </si>
  <si>
    <t>Determines the fuselage than will be shown</t>
  </si>
  <si>
    <t>CASE_fuse</t>
  </si>
  <si>
    <t>Determine the type of scaling</t>
  </si>
  <si>
    <t>ESCALADO</t>
  </si>
  <si>
    <t>Type of engine</t>
  </si>
  <si>
    <t>propul(1)</t>
  </si>
  <si>
    <t xml:space="preserve">TURBOFAN </t>
  </si>
  <si>
    <t>TURBOPROP</t>
  </si>
  <si>
    <t xml:space="preserve">PISTON </t>
  </si>
  <si>
    <t>ELECTRIC_PROP</t>
  </si>
  <si>
    <t>Number of engines</t>
  </si>
  <si>
    <t>propul(2)</t>
  </si>
  <si>
    <t>EMPUJE/POTENCIA A NIVEL DEL MAR: % Thrust (lbf) or Power (shp) per engine</t>
  </si>
  <si>
    <t>CONSUMO ESPECIFICO: % Specificl Fuel consumption  (lb/lbf*h)/(lb/shp*h)</t>
  </si>
  <si>
    <t>EFICIENCIA DE LA HELICE (ETA_P)</t>
  </si>
  <si>
    <t>CAPACIDAD CALORIFICA DEL COMBUSTIBLE</t>
  </si>
  <si>
    <t>DIAMETRO DEL MOTOR(TURBOHELICES)</t>
  </si>
  <si>
    <t>propul(3)</t>
  </si>
  <si>
    <t>propul(4)</t>
  </si>
  <si>
    <t>propul(5)</t>
  </si>
  <si>
    <t>propul(6)</t>
  </si>
  <si>
    <t>propul(7)</t>
  </si>
  <si>
    <t>propul(8)</t>
  </si>
  <si>
    <t>propul(9)</t>
  </si>
  <si>
    <t>Low By-pass</t>
  </si>
  <si>
    <t>Medium By-pass</t>
  </si>
  <si>
    <t>High By-pass</t>
  </si>
  <si>
    <t>Militar</t>
  </si>
  <si>
    <t>Civil</t>
  </si>
  <si>
    <t>Type Battery Used for Propulsion</t>
  </si>
  <si>
    <t>type_battery</t>
  </si>
  <si>
    <t>LiFePO4</t>
  </si>
  <si>
    <t>LiPo</t>
  </si>
  <si>
    <t>FuelCells</t>
  </si>
  <si>
    <t>Super-Condensators</t>
  </si>
  <si>
    <t xml:space="preserve">DERIVACION(TURBOFANES) By-pass </t>
  </si>
  <si>
    <t>Normativa Propulsion</t>
  </si>
  <si>
    <t>CASE_fuse = 1 - Just STL of fuselage</t>
  </si>
  <si>
    <t>CASE_fuse = 2 - STL of the entire aircraft</t>
  </si>
  <si>
    <t>CASE_fuse = 3 - Fuselage from XFLR5</t>
  </si>
  <si>
    <t>no scaling Ratio =1</t>
  </si>
  <si>
    <t>scaling acording to desired for each 3 axix</t>
  </si>
  <si>
    <t>Endurance</t>
  </si>
  <si>
    <t>h_climb</t>
  </si>
  <si>
    <t>Endurance_v</t>
  </si>
  <si>
    <t xml:space="preserve">h_init </t>
  </si>
  <si>
    <t xml:space="preserve">V_init </t>
  </si>
  <si>
    <t>V_max_init</t>
  </si>
  <si>
    <t>Range</t>
  </si>
  <si>
    <t>Preliminar Performance conditions: Climb altitude (m)</t>
  </si>
  <si>
    <t>Preliminar Performance conditions: Endurance in Hoovering (min)</t>
  </si>
  <si>
    <t>Preliminar Performance conditions: Cruise initial altitude (m)</t>
  </si>
  <si>
    <t>Preliminar Performance conditions: Cruise initial airspeed (m/s)</t>
  </si>
  <si>
    <t>Preliminar Performance conditions: Cruise max speed</t>
  </si>
  <si>
    <t>Preliminar Performance conditions: Cruise Range (m)</t>
  </si>
  <si>
    <t>Preliminar Performance conditions: Cruise Endurance (min)</t>
  </si>
  <si>
    <t>pp = 0.90; % Percentaje of throttle</t>
  </si>
  <si>
    <t>Range of vertical speeds - min speed</t>
  </si>
  <si>
    <t>Range of vertical speeds - max speed</t>
  </si>
  <si>
    <t xml:space="preserve">RPMMAX_APC = 150000; </t>
  </si>
  <si>
    <t>RPMMAX_APC = 150000; % From APC https://www.apcprop.com/technical-information/rpm-limits/</t>
  </si>
  <si>
    <t>From APC https://www.apcprop.com/technical-information/rpm-limits/</t>
  </si>
  <si>
    <t>Vv_min</t>
  </si>
  <si>
    <t>Vv_max</t>
  </si>
  <si>
    <t>Range of horizontal speeds - min speed</t>
  </si>
  <si>
    <t>Number of points of horizontl flight iteration points</t>
  </si>
  <si>
    <t>Number of points of vertical flight iteration points</t>
  </si>
  <si>
    <t>Range of horizontal speeds - max speed</t>
  </si>
  <si>
    <t>N_Vv</t>
  </si>
  <si>
    <t>N_Vh</t>
  </si>
  <si>
    <t>Vh_min</t>
  </si>
  <si>
    <t>Vh_max</t>
  </si>
  <si>
    <t>Flag to determine if vertical flight analyzed</t>
  </si>
  <si>
    <t>Study_horizontal</t>
  </si>
  <si>
    <t>Study_vertical</t>
  </si>
  <si>
    <t>Conducted</t>
  </si>
  <si>
    <t>NO Conducted</t>
  </si>
  <si>
    <t>Flag to determine if horizontal flight analyzed</t>
  </si>
  <si>
    <t>Control_surface</t>
  </si>
  <si>
    <t>Determines the ammount of control surface in the w2 aileron &amp; elevator</t>
  </si>
  <si>
    <t>Engine location</t>
  </si>
  <si>
    <t>Engine_loc</t>
  </si>
  <si>
    <t>Engine_loc = 2 - fuselage - in front</t>
  </si>
  <si>
    <t>Engine_loc = 3 - fuselage - rear</t>
  </si>
  <si>
    <t>Engine_loc = 4 - wingtips - n_eng at each side</t>
  </si>
  <si>
    <t>Engine configuration</t>
  </si>
  <si>
    <t>Engine_conf</t>
  </si>
  <si>
    <t>Pusher prop</t>
  </si>
  <si>
    <t>Puller prop</t>
  </si>
  <si>
    <t>Turbine</t>
  </si>
  <si>
    <t>Mass of engine (kg)</t>
  </si>
  <si>
    <t>Mass of ESC (kg)</t>
  </si>
  <si>
    <t>Mass of electronic wiring (kg)</t>
  </si>
  <si>
    <t>Mass of misc (kg)</t>
  </si>
  <si>
    <t>Mass of Systems (kg)</t>
  </si>
  <si>
    <t xml:space="preserve">Number of servos </t>
  </si>
  <si>
    <t>Mass per servo (kg)</t>
  </si>
  <si>
    <t>Mass of landing gear (kg)</t>
  </si>
  <si>
    <t>Number of Passangers</t>
  </si>
  <si>
    <t>Number of Crew</t>
  </si>
  <si>
    <t>Mass per Passenger (kg)</t>
  </si>
  <si>
    <t>Mass per Crew  (kg)</t>
  </si>
  <si>
    <t>Mass of luggage (kg)</t>
  </si>
  <si>
    <t>Mass of payload cargo (kg)</t>
  </si>
  <si>
    <t>Mass of batteries (kg)</t>
  </si>
  <si>
    <t>Mass of fuel (kg)</t>
  </si>
  <si>
    <t xml:space="preserve">W_eng </t>
  </si>
  <si>
    <t>m_prop</t>
  </si>
  <si>
    <t>m_ESC</t>
  </si>
  <si>
    <t>n_servos</t>
  </si>
  <si>
    <t>m_servo</t>
  </si>
  <si>
    <t>m_wiring</t>
  </si>
  <si>
    <t>m_metal</t>
  </si>
  <si>
    <t>m_systems</t>
  </si>
  <si>
    <t>m_landing_gear</t>
  </si>
  <si>
    <t>n_pax</t>
  </si>
  <si>
    <t>n_crew</t>
  </si>
  <si>
    <t>m_pax</t>
  </si>
  <si>
    <t>m_crew</t>
  </si>
  <si>
    <t>m_luggage</t>
  </si>
  <si>
    <t>m_cargo</t>
  </si>
  <si>
    <t>m_batteries</t>
  </si>
  <si>
    <t>m_fuel</t>
  </si>
  <si>
    <t>flag_landing_gear</t>
  </si>
  <si>
    <t>Determination of Landing Gear Estimation if available</t>
  </si>
  <si>
    <t>No landing gear</t>
  </si>
  <si>
    <t>Landing Gear</t>
  </si>
  <si>
    <t>nSections</t>
  </si>
  <si>
    <t>nPoints</t>
  </si>
  <si>
    <t>lecture_Geo</t>
  </si>
  <si>
    <t>STL_PLOT</t>
  </si>
  <si>
    <t>XFLR5_file</t>
  </si>
  <si>
    <t>Fuselage_DATA_scaled.txt</t>
  </si>
  <si>
    <t>number of elements per section (y and z coordinates)</t>
  </si>
  <si>
    <t>lineas a partir desde donde empieza a leer</t>
  </si>
  <si>
    <t>Generates Fuselage mesh from CAD STL</t>
  </si>
  <si>
    <t>D_prop</t>
  </si>
  <si>
    <t>Preliminary Prop Diameter (m)</t>
  </si>
  <si>
    <t>f_f</t>
  </si>
  <si>
    <t>Fudge Factor that increments the weight estimation</t>
  </si>
  <si>
    <t>Desired Static Margin (%)</t>
  </si>
  <si>
    <t>SM_des</t>
  </si>
  <si>
    <t>index_w1</t>
  </si>
  <si>
    <t>i_w1</t>
  </si>
  <si>
    <t>w1</t>
  </si>
  <si>
    <t>Selects the AoA of each surface relative to fuselage line (w1)</t>
  </si>
  <si>
    <t>Selects the AoA of each surface relative to fuselage line (w2)</t>
  </si>
  <si>
    <t>Selects the AoA of each surface relative to fuselage line (w3)</t>
  </si>
  <si>
    <t>No element</t>
  </si>
  <si>
    <t>include element</t>
  </si>
  <si>
    <t>Selection of elements for theoretical polar estimation - wing</t>
  </si>
  <si>
    <t>Selection of elements for theoretical polar estimation - HTP</t>
  </si>
  <si>
    <t>Selection of elements for theoretical polar estimation - VTP</t>
  </si>
  <si>
    <t>Selection of elements for theoretical polar estimation - twin VTP</t>
  </si>
  <si>
    <t>Selection of elements for theoretical polar estimation - Vtail</t>
  </si>
  <si>
    <t>Selection of elements for theoretical polar estimation - canard</t>
  </si>
  <si>
    <t>Selection of elements for theoretical polar estimation - fuselage</t>
  </si>
  <si>
    <t>Selection of elements for theoretical polar estimation - multiple fuselage</t>
  </si>
  <si>
    <t>Selection of elements for theoretical polar estimation - nacelle</t>
  </si>
  <si>
    <t>Selection of elements for theoretical polar estimation - number of multiple fuselage</t>
  </si>
  <si>
    <t>Selection of elements for theoretical polar estimation - landing gear</t>
  </si>
  <si>
    <t>h</t>
  </si>
  <si>
    <t>v</t>
  </si>
  <si>
    <t>v2</t>
  </si>
  <si>
    <t>vtail</t>
  </si>
  <si>
    <t>can</t>
  </si>
  <si>
    <t>fus</t>
  </si>
  <si>
    <t>m_fus</t>
  </si>
  <si>
    <t>n_m_fus</t>
  </si>
  <si>
    <t>nac</t>
  </si>
  <si>
    <t>landgear</t>
  </si>
  <si>
    <t>Flight_SF</t>
  </si>
  <si>
    <t xml:space="preserve">Flight Safety Margin - normal </t>
  </si>
  <si>
    <t>Comparison of Prop data being used</t>
  </si>
  <si>
    <t xml:space="preserve">% - Model 1 - APC data </t>
  </si>
  <si>
    <t>% - Model 2 - Wind tunnel data for different props</t>
  </si>
  <si>
    <t>% - Model 3 - Wind tunnel data for different angle of attack for APC 22x12W</t>
  </si>
  <si>
    <t>model_prop</t>
  </si>
  <si>
    <t>Prop Selected for  Model 2 - Wind tunnel data for different props</t>
  </si>
  <si>
    <t>prop_selec_APC</t>
  </si>
  <si>
    <t>prop_selec_WT1</t>
  </si>
  <si>
    <t>% 1 - APC 20x8</t>
  </si>
  <si>
    <t>% 2 - APC 22x10</t>
  </si>
  <si>
    <t>% 3 - APC 22x12</t>
  </si>
  <si>
    <t>% 4 - APC 22x12W % 22x12WE Thin Electric Wide Blade - https://www.apcprop.com/product/20x12we/</t>
  </si>
  <si>
    <t>% 5 - APC 21x13W</t>
  </si>
  <si>
    <t>% 6 - APC 21x14</t>
  </si>
  <si>
    <t xml:space="preserve">Prop Selected for  Model 1 - APC data </t>
  </si>
  <si>
    <t>Model 1 APC</t>
  </si>
  <si>
    <t>Model 2 APC</t>
  </si>
  <si>
    <t>Model of Aircraft</t>
  </si>
  <si>
    <t>Case2) Removing sweep in wing</t>
  </si>
  <si>
    <t>Control_surface 0 = ELEVON;</t>
  </si>
  <si>
    <t>Control_surface 1 = W1 AND W2: FLAPS, AILERONS + RUDDERVATOR;</t>
  </si>
  <si>
    <t>Control_surface 2 = 2-SURFACE;</t>
  </si>
  <si>
    <t>Control_surface 3 = 3-SURFACE;</t>
  </si>
  <si>
    <t>Aircraft type</t>
  </si>
  <si>
    <t>CASE</t>
  </si>
  <si>
    <t>% AC_type = 1 - flying wing</t>
  </si>
  <si>
    <t>% AC_type = 2 - Conventional 2 surface: wing + HTP + VTP</t>
  </si>
  <si>
    <t>% AC_type = 3 - 3 surface: cannard + wing + HTP + VTP</t>
  </si>
  <si>
    <t>% AC_type = 4 - 2 surface: wing + V-tail</t>
  </si>
  <si>
    <t>% AC_type = 5 - 3 surface: cannard + wing + V-tail</t>
  </si>
  <si>
    <t>Engine_loc = 1 - under wings - n-engines symetrica</t>
  </si>
  <si>
    <t>Input</t>
  </si>
  <si>
    <t>Units</t>
  </si>
  <si>
    <t>in</t>
  </si>
  <si>
    <t>Type of Propeller</t>
  </si>
  <si>
    <t>type_prop</t>
  </si>
  <si>
    <t>% type_prop = 1; - propeller driven airplanes with fixed pitch propellers:</t>
  </si>
  <si>
    <t>% type_prop = 2; - propeller driven airplane with variable pitch (constant speed propellers):</t>
  </si>
  <si>
    <t>% type_prop = 0; - for turbofan assume 0</t>
  </si>
  <si>
    <t>Prop_type</t>
  </si>
  <si>
    <t>Engine geometry - length</t>
  </si>
  <si>
    <t>Engine geometry - diameter</t>
  </si>
  <si>
    <t>l_eng</t>
  </si>
  <si>
    <t>d_eng</t>
  </si>
  <si>
    <t>l_nc</t>
  </si>
  <si>
    <t>d_nc</t>
  </si>
  <si>
    <t>Nacelle geometry - length</t>
  </si>
  <si>
    <t>Nacelle geometry - diameter</t>
  </si>
  <si>
    <t xml:space="preserve">% 2 - APC 22x10 </t>
  </si>
  <si>
    <t xml:space="preserve">% 3 - APC 22x12 </t>
  </si>
  <si>
    <t xml:space="preserve">% 5 - APC 21x13W </t>
  </si>
  <si>
    <t xml:space="preserve">% 6 - APC 21x14 </t>
  </si>
  <si>
    <t>x_offset_CAD</t>
  </si>
  <si>
    <t>z_offset_CAD</t>
  </si>
  <si>
    <t>Distance from origin in CATIa to Fuselage (offset value) - x</t>
  </si>
  <si>
    <t>Distance from origin in CATIa to Fuselage (offset value) - z</t>
  </si>
  <si>
    <t>Fuselage geomtry (Units in m) - approx - length</t>
  </si>
  <si>
    <t>Fuselage geomtry (Units in m) - approx - width</t>
  </si>
  <si>
    <t>Fuselage geomtry (Units in m) - approx - height</t>
  </si>
  <si>
    <t>Fuselage geomtry (Units in m) - approx - diameter</t>
  </si>
  <si>
    <t>w_fus</t>
  </si>
  <si>
    <t>h_fus</t>
  </si>
  <si>
    <t>l_fus</t>
  </si>
  <si>
    <t>d_fus</t>
  </si>
  <si>
    <t>y loc of wing (w1) root chord LE position (distance from CAD refference point)</t>
  </si>
  <si>
    <t>y_loc_1R_y1_w1_CAD</t>
  </si>
  <si>
    <t>y_loc_1R_y2_w1_CAD</t>
  </si>
  <si>
    <t>z_loc_1R_y1_w1_CAD</t>
  </si>
  <si>
    <t>z loc of wing (w1) root chord LE position (distance from CAD refference point)</t>
  </si>
  <si>
    <t>y loc of wing (w1) tip chord LE position (distance from CAD refference point)</t>
  </si>
  <si>
    <t>y loc of wing (w2) root chord LE position (distance from CAD refference point)</t>
  </si>
  <si>
    <t>y loc of wing (w2) tip chord LE position (distance from CAD refference point)</t>
  </si>
  <si>
    <t>z loc of wing (w2) root chord LE position (distance from CAD refference point)</t>
  </si>
  <si>
    <t>y_loc_1R_y1_w2_CAD</t>
  </si>
  <si>
    <t>y_loc_1R_y2_w2_CAD</t>
  </si>
  <si>
    <t>z_loc_1R_y1_w2_CAD</t>
  </si>
  <si>
    <t>y loc of wing (can) root chord LE position (distance from CAD refference point)</t>
  </si>
  <si>
    <t>y loc of wing (can) tip chord LE position (distance from CAD refference point)</t>
  </si>
  <si>
    <t>z loc of wing (can) root chord LE position (distance from CAD refference point)</t>
  </si>
  <si>
    <t>y loc of wing (HTP) root chord LE position (distance from CAD refference point)</t>
  </si>
  <si>
    <t>y loc of wing (HTP) tip chord LE position (distance from CAD refference point)</t>
  </si>
  <si>
    <t>z loc of wing (HTP) root chord LE position (distance from CAD refference point)</t>
  </si>
  <si>
    <t>y loc of wing (vee) root chord LE position (distance from CAD refference point)</t>
  </si>
  <si>
    <t>y loc of wing (vee) tip chord LE position (distance from CAD refference point)</t>
  </si>
  <si>
    <t>z loc of wing (vee) root chord LE position (distance from CAD refference point)</t>
  </si>
  <si>
    <t>y_loc_1R_y1_can_CAD</t>
  </si>
  <si>
    <t>y_loc_1R_y2_can_CAD</t>
  </si>
  <si>
    <t>z_loc_1R_y1_can_CAD</t>
  </si>
  <si>
    <t>y_loc_1R_y1_HTP_CAD</t>
  </si>
  <si>
    <t>y_loc_1R_y2_HTP_CAD</t>
  </si>
  <si>
    <t>z_loc_1R_y1_HTP_CAD</t>
  </si>
  <si>
    <t>y_loc_1R_y1_VTP_CAD</t>
  </si>
  <si>
    <t>z_loc_1R_y1_VTP_CAD</t>
  </si>
  <si>
    <t>y_loc_1R_y1_vee_CAD</t>
  </si>
  <si>
    <t>y_loc_1R_y2_vee_CAD</t>
  </si>
  <si>
    <t>z_loc_1R_y1_vee_CAD</t>
  </si>
  <si>
    <t>Lambda_LE_w1_e</t>
  </si>
  <si>
    <t>dihedral_w1_e</t>
  </si>
  <si>
    <t>CASE1</t>
  </si>
  <si>
    <t>CASE 3</t>
  </si>
  <si>
    <t>CASE 4</t>
  </si>
  <si>
    <t>CASE 2</t>
  </si>
  <si>
    <t>Lambda_LE_w2_e</t>
  </si>
  <si>
    <t>dihedral_w2_e</t>
  </si>
  <si>
    <t>x loc of wing (w1) root chord LE position (distance from CAD refference point)</t>
  </si>
  <si>
    <t>x loc of wing (w2) root chord LE position (distance from CAD refference point)</t>
  </si>
  <si>
    <t>Dihedral of w1 (deg)</t>
  </si>
  <si>
    <t>Sweep of w1 (deg)</t>
  </si>
  <si>
    <t>Sweep of w2 (deg)</t>
  </si>
  <si>
    <t>Dihedral of w2 (deg)</t>
  </si>
  <si>
    <t>Selected CASE</t>
  </si>
  <si>
    <t>x loc of wing (can) root chord LE position (distance from CAD refference point)</t>
  </si>
  <si>
    <t>Sweep of can (deg)</t>
  </si>
  <si>
    <t>Dihedral of can (deg)</t>
  </si>
  <si>
    <t>x loc of wing (HTP) root chord LE position (distance from CAD refference point)</t>
  </si>
  <si>
    <t>Sweep of HTP (deg)</t>
  </si>
  <si>
    <t>Dihedral of HTP (deg)</t>
  </si>
  <si>
    <t>x loc of wing (VTP) root chord LE position (distance from CAD refference point)</t>
  </si>
  <si>
    <t>Sweep of VTP (deg)</t>
  </si>
  <si>
    <t>Dihedral of VTP (deg)</t>
  </si>
  <si>
    <t>x loc of wing (vee) root chord LE position (distance from CAD refference point)</t>
  </si>
  <si>
    <t>Sweep of vee (deg)</t>
  </si>
  <si>
    <t>Dihedral of vee (deg)</t>
  </si>
  <si>
    <t>Lambda_LE_can_e</t>
  </si>
  <si>
    <t>dihedral_can_e</t>
  </si>
  <si>
    <t>Lambda_LE_HTP_e</t>
  </si>
  <si>
    <t>dihedral_HTP_e</t>
  </si>
  <si>
    <t>Lambda_LE_VTP_e</t>
  </si>
  <si>
    <t>dihedral_VTP_e</t>
  </si>
  <si>
    <t xml:space="preserve"> x_loc_1R_y1_vee_CAD</t>
  </si>
  <si>
    <t>Lambda_LE_vee_e</t>
  </si>
  <si>
    <t>dihedral_vee_e</t>
  </si>
  <si>
    <t>y loc of wing (2VTP) root chord LE position (distance from CAD refference point)</t>
  </si>
  <si>
    <t>z loc of wing (2VTP) root chord LE position (distance from CAD refference point)</t>
  </si>
  <si>
    <t>x loc of wing (2VTP) root chord LE position (distance from CAD refference point)</t>
  </si>
  <si>
    <t>Sweep of 2VTP (deg)</t>
  </si>
  <si>
    <t>Dihedral of 2VTP (deg)</t>
  </si>
  <si>
    <t>y_loc_1R_y1_2VTP_CAD</t>
  </si>
  <si>
    <t>z_loc_1R_y1_2VTP_CAD</t>
  </si>
  <si>
    <t xml:space="preserve"> x_loc_1R_y1_2VTP_CAD</t>
  </si>
  <si>
    <t>Lambda_LE_2VTP_e</t>
  </si>
  <si>
    <t>dihedral_2VTP_e</t>
  </si>
  <si>
    <t>Root Chord w1</t>
  </si>
  <si>
    <t>Tip Chord w1</t>
  </si>
  <si>
    <t>cR_w1</t>
  </si>
  <si>
    <t>cT_w1</t>
  </si>
  <si>
    <t>Root Chord w2</t>
  </si>
  <si>
    <t>Tip Chord w2</t>
  </si>
  <si>
    <t>cR_w2</t>
  </si>
  <si>
    <t>cT_w2</t>
  </si>
  <si>
    <t>Root Chord canard</t>
  </si>
  <si>
    <t>Tip Chord canard</t>
  </si>
  <si>
    <t>Root Chord HTP</t>
  </si>
  <si>
    <t>Tip Chord HTP</t>
  </si>
  <si>
    <t>Root Chord VTP</t>
  </si>
  <si>
    <t>Tip Chord VTP</t>
  </si>
  <si>
    <t>Root Chord vee</t>
  </si>
  <si>
    <t>Tip Chord vee</t>
  </si>
  <si>
    <t>Root Chord Twin VTP</t>
  </si>
  <si>
    <t>cR_can</t>
  </si>
  <si>
    <t>cT_can</t>
  </si>
  <si>
    <t>cR_HTP</t>
  </si>
  <si>
    <t>cT_HTP</t>
  </si>
  <si>
    <t>cR_VTP</t>
  </si>
  <si>
    <t>cT_VTP</t>
  </si>
  <si>
    <t>cR_vee</t>
  </si>
  <si>
    <t>cT_vee</t>
  </si>
  <si>
    <t>cR_2VTP</t>
  </si>
  <si>
    <t>cT_2VTP</t>
  </si>
  <si>
    <t>% of aileron from effective wing surface - inner position</t>
  </si>
  <si>
    <t>% of aileron from effective wing surface - outter position</t>
  </si>
  <si>
    <t>% of elevator from effective HTP surface - inner position</t>
  </si>
  <si>
    <t>% of elevator from effective HTP surface  - outter position</t>
  </si>
  <si>
    <t>% of elevon from effective wing surface - outter position</t>
  </si>
  <si>
    <t>% of elevon from effective wing surface - inner position</t>
  </si>
  <si>
    <t>% of flap from effective wing surface - inner position</t>
  </si>
  <si>
    <t>% of flap from effective wing surface - outter position</t>
  </si>
  <si>
    <t>% of rudder from effective VTP surface - inner position</t>
  </si>
  <si>
    <t>% of rudder from effective VTP surface  - outter position</t>
  </si>
  <si>
    <t>% of ruddervator from effective V-tail surface - inner position</t>
  </si>
  <si>
    <t>% of ruddervator from effective V-tail surface  - outter position</t>
  </si>
  <si>
    <t>% of canard control surface from effective canard surface - inner position</t>
  </si>
  <si>
    <t>% of canard control surface from effective canard surface - outter position</t>
  </si>
  <si>
    <t>K_y1_ail_w1</t>
  </si>
  <si>
    <t>K_y1_rudder_VTP</t>
  </si>
  <si>
    <t>K_y2_flap_w1</t>
  </si>
  <si>
    <t>K_y1_flap_w1</t>
  </si>
  <si>
    <t>K_y2_elevon_w1</t>
  </si>
  <si>
    <t>K_y1_elevon_w1</t>
  </si>
  <si>
    <t>K_y2_ele_w2</t>
  </si>
  <si>
    <t>K_y1_ele_w2</t>
  </si>
  <si>
    <t>K_y2_ail_w1</t>
  </si>
  <si>
    <t>K_y2_rudder_VTP</t>
  </si>
  <si>
    <t>Maximum aileron deflection</t>
  </si>
  <si>
    <t>Minimum aileron deflection</t>
  </si>
  <si>
    <t>Minimum elevator deflection</t>
  </si>
  <si>
    <t>Minimum ruddervator deflection</t>
  </si>
  <si>
    <t>Maximum ruddervator deflection</t>
  </si>
  <si>
    <t>Maximum elevator deflection</t>
  </si>
  <si>
    <t>Minimum elevon deflection</t>
  </si>
  <si>
    <t>Maximum elevon deflection</t>
  </si>
  <si>
    <t>Minimum flap deflection</t>
  </si>
  <si>
    <t>Maximum flap deflection</t>
  </si>
  <si>
    <t>Minimum rudder deflection</t>
  </si>
  <si>
    <t>Maximum rudder deflection</t>
  </si>
  <si>
    <t>Minimum canard deflection</t>
  </si>
  <si>
    <t>Maximum canard deflection</t>
  </si>
  <si>
    <t xml:space="preserve">delta_ail_min </t>
  </si>
  <si>
    <t>delta_ail_max</t>
  </si>
  <si>
    <t>delta_ele_min</t>
  </si>
  <si>
    <t>delta_ele_max</t>
  </si>
  <si>
    <t>delta_elevon_min</t>
  </si>
  <si>
    <t>delta_elevon_max</t>
  </si>
  <si>
    <t>delta_flap_min</t>
  </si>
  <si>
    <t>delta_flap_max</t>
  </si>
  <si>
    <t>delta_rudder_min</t>
  </si>
  <si>
    <t>delta_rudder_max</t>
  </si>
  <si>
    <t>delta_rudvtr_min</t>
  </si>
  <si>
    <t>delta_rudvtr_max</t>
  </si>
  <si>
    <t>delta_can_min</t>
  </si>
  <si>
    <t>delta_can_max</t>
  </si>
  <si>
    <t>deg</t>
  </si>
  <si>
    <t>Thinckness 2 chord ratio associated to the airfoil - aileron</t>
  </si>
  <si>
    <t>%  of control surface aileron (chrodwise)</t>
  </si>
  <si>
    <t>cf_ail</t>
  </si>
  <si>
    <t>t_c_ail</t>
  </si>
  <si>
    <t>%  of control surface elevator (chrodwise)</t>
  </si>
  <si>
    <t>Thinckness 2 chord ratio associated to the airfoil - elevator</t>
  </si>
  <si>
    <t>Thinckness 2 chord ratio associated to the airfoil - elevon</t>
  </si>
  <si>
    <t>%  of control surface elevon (chrodwise)</t>
  </si>
  <si>
    <t>Thinckness 2 chord ratio associated to the airfoil - flap</t>
  </si>
  <si>
    <t>%  of control surface flap (chrodwise)</t>
  </si>
  <si>
    <t>Thinckness 2 chord ratio associated to the airfoil - rudder</t>
  </si>
  <si>
    <t>%  of control surface rudder (chrodwise)</t>
  </si>
  <si>
    <t>Thinckness 2 chord ratio associated to the airfoil - ruddervator</t>
  </si>
  <si>
    <t>%  of control surface ruddervator (chrodwise)</t>
  </si>
  <si>
    <t>Thinckness 2 chord ratio associated to the airfoil - canard</t>
  </si>
  <si>
    <t>%  of control surface canard (chrodwise)</t>
  </si>
  <si>
    <t>cf_ele</t>
  </si>
  <si>
    <t>t_c_ele</t>
  </si>
  <si>
    <t>cf_elevon</t>
  </si>
  <si>
    <t>t_c_elevon</t>
  </si>
  <si>
    <t>cf_flap</t>
  </si>
  <si>
    <t>t_c_flap</t>
  </si>
  <si>
    <t>cf_rudder</t>
  </si>
  <si>
    <t>t_c_rudder</t>
  </si>
  <si>
    <t>cf_rudvtr</t>
  </si>
  <si>
    <t>t_c_rudvtr</t>
  </si>
  <si>
    <t>Initial estimation of center of gravity - x coordinate</t>
  </si>
  <si>
    <t>Initial estimation of center of gravity - y coordinate</t>
  </si>
  <si>
    <t>Initial estimation of center of gravity - z coordinate</t>
  </si>
  <si>
    <t>x_XCG</t>
  </si>
  <si>
    <t>y_XCG</t>
  </si>
  <si>
    <t>z_XCG</t>
  </si>
  <si>
    <t>Existing_AC</t>
  </si>
  <si>
    <t>E26_TAMIZ</t>
  </si>
  <si>
    <t>Number of sections (x coordinate) (eliminated 1 for convergence)</t>
  </si>
  <si>
    <t>Aircraft Model Analized</t>
  </si>
  <si>
    <t>case_AC</t>
  </si>
  <si>
    <t>Prop Wash Effet</t>
  </si>
  <si>
    <t>prop_wash_effect</t>
  </si>
  <si>
    <t>Prop Wash Effect neglected</t>
  </si>
  <si>
    <t>Prop Wash Effect considered</t>
  </si>
  <si>
    <t>CASE 5</t>
  </si>
  <si>
    <t>CASE 6</t>
  </si>
  <si>
    <t>CASE 7</t>
  </si>
  <si>
    <t>CASE 8</t>
  </si>
  <si>
    <t>EMERGENTIA_Scaled</t>
  </si>
  <si>
    <t>EMERGENTIA</t>
  </si>
  <si>
    <t xml:space="preserve">                 g</t>
  </si>
  <si>
    <t xml:space="preserve">               R2D</t>
  </si>
  <si>
    <t xml:space="preserve">               D2R</t>
  </si>
  <si>
    <t xml:space="preserve">              ft2m</t>
  </si>
  <si>
    <t xml:space="preserve">              m2ft</t>
  </si>
  <si>
    <t xml:space="preserve">              in2m</t>
  </si>
  <si>
    <t>% Degrees to radians</t>
  </si>
  <si>
    <t>% feet 2 m</t>
  </si>
  <si>
    <t>% meter 2 feet</t>
  </si>
  <si>
    <t>% Watt to hp</t>
  </si>
  <si>
    <t>% m/s 2 ft/s</t>
  </si>
  <si>
    <t>% kg 2 lb</t>
  </si>
  <si>
    <t>% lb 2 kg</t>
  </si>
  <si>
    <t>% ft/m 2 m/s</t>
  </si>
  <si>
    <t>% Gravity</t>
  </si>
  <si>
    <t>% in 2 m</t>
  </si>
  <si>
    <t>% m/s 2 knot</t>
  </si>
  <si>
    <t>% Wats to pft/sec</t>
  </si>
  <si>
    <t>% m^2 to ft^2</t>
  </si>
  <si>
    <t>% density SI to density IMP</t>
  </si>
  <si>
    <t>% dynamic pressure in SI to IMP</t>
  </si>
  <si>
    <t>% Newton to lb force</t>
  </si>
  <si>
    <t>% radians to degrees</t>
  </si>
  <si>
    <t>% Kg 2 TM</t>
  </si>
  <si>
    <t>% meter 2 km</t>
  </si>
  <si>
    <t>% km 2 nautical miles</t>
  </si>
  <si>
    <t>% litter to gal</t>
  </si>
  <si>
    <t>% seg 2 hours</t>
  </si>
  <si>
    <t>1/1000</t>
  </si>
  <si>
    <t>1/2,20462</t>
  </si>
  <si>
    <t xml:space="preserve">           hrs2seg</t>
  </si>
  <si>
    <t>% hours 2 seg</t>
  </si>
  <si>
    <t xml:space="preserve">           seg2hrs</t>
  </si>
  <si>
    <t xml:space="preserve">             N2lbf</t>
  </si>
  <si>
    <t xml:space="preserve">         qmet2qimp</t>
  </si>
  <si>
    <t xml:space="preserve">             l2gal</t>
  </si>
  <si>
    <t xml:space="preserve">    rho_SI2rho_IMP</t>
  </si>
  <si>
    <t xml:space="preserve">            m22ft2</t>
  </si>
  <si>
    <t xml:space="preserve">             kg2Tm</t>
  </si>
  <si>
    <t xml:space="preserve">             lb2kg</t>
  </si>
  <si>
    <t xml:space="preserve">             kg2lb</t>
  </si>
  <si>
    <t xml:space="preserve">          ftpm2mps</t>
  </si>
  <si>
    <t xml:space="preserve">          mps2knot</t>
  </si>
  <si>
    <t xml:space="preserve">          mps2ftps</t>
  </si>
  <si>
    <t xml:space="preserve">          W2pftsec</t>
  </si>
  <si>
    <t xml:space="preserve">              W2hp</t>
  </si>
  <si>
    <t xml:space="preserve">              m2km</t>
  </si>
  <si>
    <t xml:space="preserve">             km2nm</t>
  </si>
  <si>
    <t>km2m</t>
  </si>
  <si>
    <t>% km 2 m</t>
  </si>
  <si>
    <t xml:space="preserve">              m2in</t>
  </si>
  <si>
    <t xml:space="preserve">             nm2km</t>
  </si>
  <si>
    <t xml:space="preserve">              hp2W</t>
  </si>
  <si>
    <t xml:space="preserve">          pftsec2W</t>
  </si>
  <si>
    <t xml:space="preserve">          ftps2mps</t>
  </si>
  <si>
    <t xml:space="preserve">          knot2mps</t>
  </si>
  <si>
    <t xml:space="preserve">          mps2ftpm</t>
  </si>
  <si>
    <t xml:space="preserve">             Tm2kg</t>
  </si>
  <si>
    <t xml:space="preserve">            ft22m2</t>
  </si>
  <si>
    <t xml:space="preserve">    rho_IMP2rho_SI</t>
  </si>
  <si>
    <t xml:space="preserve">             gal2l</t>
  </si>
  <si>
    <t xml:space="preserve">         qimp2qmet</t>
  </si>
  <si>
    <t xml:space="preserve">             lbf2N</t>
  </si>
  <si>
    <t>V_high</t>
  </si>
  <si>
    <t>kg</t>
  </si>
  <si>
    <t>Selection configuration Xcg</t>
  </si>
  <si>
    <t xml:space="preserve"> Selects XCG from desired stability conditions in Forward Flight </t>
  </si>
  <si>
    <t xml:space="preserve"> Selects XCG NOT from desired stability conditions in Forward Flight </t>
  </si>
  <si>
    <t>XCG_FF</t>
  </si>
  <si>
    <t>StabilityModel</t>
  </si>
  <si>
    <t>Dynamic Stability Formulation</t>
  </si>
  <si>
    <t>Stability_Pamadi = 0 - Fran's Formulation</t>
  </si>
  <si>
    <t>Stability_Pamadi = 1 - Pamadi</t>
  </si>
  <si>
    <t>Stability_Pamadi = 2 - Roskam</t>
  </si>
  <si>
    <t>only_trim</t>
  </si>
  <si>
    <t>Conducts only Trim study</t>
  </si>
  <si>
    <t>Only conducts Trim Stability Calculations</t>
  </si>
  <si>
    <t>Conducts Complete Stability Calculations</t>
  </si>
  <si>
    <t>Trim Conditions Velocity Range - V low</t>
  </si>
  <si>
    <t>V_low</t>
  </si>
  <si>
    <t>N_V_VAR</t>
  </si>
  <si>
    <t>Number of iteration variation Speed</t>
  </si>
  <si>
    <t>Number of iteration variation Weight</t>
  </si>
  <si>
    <t>N_m_VAR</t>
  </si>
  <si>
    <t>Case1) Not making Any changes in the geometry, the airple is really stable in forward flight</t>
  </si>
  <si>
    <t>Case3) Putting wing backwards almost 20 cm and removing sweep</t>
  </si>
  <si>
    <t>Case4) Putting wing backwards almos 20 cm and removing sweep from both wing and Vtail</t>
  </si>
  <si>
    <t>RC_1_body.txt</t>
  </si>
  <si>
    <t>Compares 3 prop models</t>
  </si>
  <si>
    <t>Model 1 - APC data</t>
  </si>
  <si>
    <t>Model 2 - Wind tunnel data for different props</t>
  </si>
  <si>
    <t>Model 3 - Wind tunnel data for different angle of attack for APC 22x12W</t>
  </si>
  <si>
    <t>Model 3 - Wind tunnel data for different angle of attack</t>
  </si>
  <si>
    <t>APC DATA from Web: APC 22x12WE, RPM 7000</t>
  </si>
  <si>
    <t>APC DATA from Web: APC 22x12WE, RPM 8000</t>
  </si>
  <si>
    <t>APC DATA from Web: XXX</t>
  </si>
  <si>
    <t>Future Data From Wind Tunnel</t>
  </si>
  <si>
    <t>prop_selec_WT2</t>
  </si>
  <si>
    <t>Trim Lateral Stability Conditions -side slip angle (beta)</t>
  </si>
  <si>
    <t>beta</t>
  </si>
  <si>
    <t>beta_i</t>
  </si>
  <si>
    <t>beta_f</t>
  </si>
  <si>
    <t>Trim Lateral Stability Conditions -Variable side slip angle (initial beta)</t>
  </si>
  <si>
    <t>Trim Lateral Stability Conditions -Variable side slip angle (final beta)</t>
  </si>
  <si>
    <t>N_Delta_beta</t>
  </si>
  <si>
    <t>Trim Lateral Stability Conditions -Variable side slip angle (Number of beta's)</t>
  </si>
  <si>
    <t>Turning Condition Stability Conditions -Variable bank angle (initial phi)</t>
  </si>
  <si>
    <t>Turning Condition Stability Conditions -Variable bank angle (final phi)</t>
  </si>
  <si>
    <t>Turning Condition Stability Conditions -Variable bank angle (Number of beta's)</t>
  </si>
  <si>
    <t>phi_i</t>
  </si>
  <si>
    <t>phi_f</t>
  </si>
  <si>
    <t>phi</t>
  </si>
  <si>
    <t>Turning Condition Stability Conditions -bank angle (beta)</t>
  </si>
  <si>
    <t>N_Delta_phi</t>
  </si>
  <si>
    <t xml:space="preserve">Loading factur during turning flight </t>
  </si>
  <si>
    <t>n_viraje</t>
  </si>
  <si>
    <t>CASE9</t>
  </si>
  <si>
    <t xml:space="preserve">Include Munk's fuselage contribution todetermine Xac, &amp; desired Xcg location for an SM </t>
  </si>
  <si>
    <t>Munk_fuselage_constribution</t>
  </si>
  <si>
    <t xml:space="preserve">Does not include Munk fuselage contribution </t>
  </si>
  <si>
    <t xml:space="preserve">Does include Munk fuselage contribution </t>
  </si>
  <si>
    <t>Storing MAT Data</t>
  </si>
  <si>
    <t>save_MAT</t>
  </si>
  <si>
    <t>Saves MAT Structures</t>
  </si>
  <si>
    <t>Does NOT Saves MAT Structures</t>
  </si>
  <si>
    <t>EMERGENTIA w2</t>
  </si>
  <si>
    <t>EMERGENTIA w1</t>
  </si>
  <si>
    <t>CASE10</t>
  </si>
  <si>
    <t>CASE11</t>
  </si>
  <si>
    <t>EMERGENTIA Manufactured</t>
  </si>
  <si>
    <t>EMERGENTIA_MANUFACTURED</t>
  </si>
  <si>
    <t>ALO</t>
  </si>
  <si>
    <t>CASE12</t>
  </si>
  <si>
    <t>EMERGENTIA_WT2_</t>
  </si>
  <si>
    <t>EMERGENTIA_WT1_</t>
  </si>
  <si>
    <t>EMERGENTIA_MANUFACTURED_</t>
  </si>
  <si>
    <t>CASE13</t>
  </si>
  <si>
    <t>Print Plots for Estimation ofXAC</t>
  </si>
  <si>
    <t>BODY_GEOMETRY.txt</t>
  </si>
  <si>
    <t>eta_m</t>
  </si>
  <si>
    <t>eta_esc</t>
  </si>
  <si>
    <t>eta_gear</t>
  </si>
  <si>
    <t>eta_dist</t>
  </si>
  <si>
    <t>Gearbox efficiency</t>
  </si>
  <si>
    <t>Motor efficiency</t>
  </si>
  <si>
    <t>ESC efficiency</t>
  </si>
  <si>
    <t>Electrical distribution efficiency</t>
  </si>
  <si>
    <t>SE_LiFePO4</t>
  </si>
  <si>
    <t>SE_LiPo</t>
  </si>
  <si>
    <t>SE_FuelCells</t>
  </si>
  <si>
    <t>SP_motor</t>
  </si>
  <si>
    <t>SP_ESC</t>
  </si>
  <si>
    <t>m_prop_din</t>
  </si>
  <si>
    <t>Wh/kg</t>
  </si>
  <si>
    <t>kW/kg</t>
  </si>
  <si>
    <t>Motor Specific Power kW/kg - TIER 1</t>
  </si>
  <si>
    <t>ESC  Specific Power kW/kg - TIER 1</t>
  </si>
  <si>
    <t>in/kg</t>
  </si>
  <si>
    <t>Mass of propeller as a function of diameter in inches</t>
  </si>
  <si>
    <t>Specific Energy of LiPo batteries (Wh/kg)</t>
  </si>
  <si>
    <t xml:space="preserve">Specific Energy of fuel cells (Wh/kg) </t>
  </si>
  <si>
    <t xml:space="preserve">Specific Energy of LiFePO4 batteries 90–160 Wh/kg (320–580 J/g or kJ/kg) </t>
  </si>
  <si>
    <t>m_cell_A123</t>
  </si>
  <si>
    <t>Mass of one A123 cell</t>
  </si>
  <si>
    <t>Mass of propeller (kg)</t>
  </si>
  <si>
    <t>Mass of wing</t>
  </si>
  <si>
    <t>m_w1</t>
  </si>
  <si>
    <t>m_HTP</t>
  </si>
  <si>
    <t>m_VTP</t>
  </si>
  <si>
    <t>m_Can</t>
  </si>
  <si>
    <t>m_Vee</t>
  </si>
  <si>
    <t>m_fus_fairing</t>
  </si>
  <si>
    <t>m_prop_fairing</t>
  </si>
  <si>
    <t>Mass of HTP</t>
  </si>
  <si>
    <t>Mass of VTP</t>
  </si>
  <si>
    <t>Mass of Canard</t>
  </si>
  <si>
    <t>Mass of V tail</t>
  </si>
  <si>
    <t>Mass of Fuselage &amp; fairing</t>
  </si>
  <si>
    <t>Mass of prop nacelle</t>
  </si>
  <si>
    <t>Ixx</t>
  </si>
  <si>
    <t>Iyy</t>
  </si>
  <si>
    <t>Izz</t>
  </si>
  <si>
    <t>Ixy</t>
  </si>
  <si>
    <t>Ixz</t>
  </si>
  <si>
    <t>Iyz</t>
  </si>
  <si>
    <t>kg-m^2</t>
  </si>
  <si>
    <t>Moments of Inertia Ixx</t>
  </si>
  <si>
    <t>Moments of Inertia Iyy</t>
  </si>
  <si>
    <t>Moments of Inertia Izz</t>
  </si>
  <si>
    <t>Moments of Inertia Ixy</t>
  </si>
  <si>
    <t>Moments of Inertia Ixz</t>
  </si>
  <si>
    <t>Moments of Inertia Iyz</t>
  </si>
  <si>
    <t>flag_moments_inertia</t>
  </si>
  <si>
    <t>Determination of Moments of innertia from literature</t>
  </si>
  <si>
    <t>Use given moments of innertia</t>
  </si>
  <si>
    <t>Calculate moments of innertia from literature</t>
  </si>
  <si>
    <t>ALO_FC</t>
  </si>
  <si>
    <t>compare = 1 elements: w1,w2, vtp... Alone</t>
  </si>
  <si>
    <t xml:space="preserve">compare = 2 elements: w1,w2, vtp... </t>
  </si>
  <si>
    <t xml:space="preserve">compare = 3 elements: w1,w2, vtp... </t>
  </si>
  <si>
    <t>Determines the aero plots to compare</t>
  </si>
  <si>
    <t>compare_plot_aero</t>
  </si>
  <si>
    <t>Determinee Plots to compare different propulsion models</t>
  </si>
  <si>
    <t>compare_prop</t>
  </si>
  <si>
    <t>compares APC with wind tunnel models</t>
  </si>
  <si>
    <t>compares APC Models alone</t>
  </si>
  <si>
    <t>Impulse Longitudinal Dynamic Response Plots</t>
  </si>
  <si>
    <t>Impulse Lateral-Directional Dynamic Response Plots</t>
  </si>
  <si>
    <t>STABILITY_STUDY_Stability_Analysis_dyna_impulse_long</t>
  </si>
  <si>
    <t>STABILITY_STUDY_Stability_Analysis_dyna_impulse_lat</t>
  </si>
  <si>
    <t>tf1_long</t>
  </si>
  <si>
    <t>tf2_long</t>
  </si>
  <si>
    <t>Du</t>
  </si>
  <si>
    <t>Dalpha</t>
  </si>
  <si>
    <t>Dq</t>
  </si>
  <si>
    <t>Dtheta</t>
  </si>
  <si>
    <t>tf1_lat</t>
  </si>
  <si>
    <t>Dbeta</t>
  </si>
  <si>
    <t>Dp</t>
  </si>
  <si>
    <t>Dr</t>
  </si>
  <si>
    <t>Dphi</t>
  </si>
  <si>
    <t>Time period ploting Phugoid Mode</t>
  </si>
  <si>
    <t>Time period ploting Short Period Mode</t>
  </si>
  <si>
    <t>Time period ploting Dutch Roll</t>
  </si>
  <si>
    <t>Perturbation in forward speed velocity (percentage of trim velocity)</t>
  </si>
  <si>
    <t>Perturbation in angle of attack</t>
  </si>
  <si>
    <t>%</t>
  </si>
  <si>
    <t>Perturbation in pitch rate</t>
  </si>
  <si>
    <t>Perturbation in pitch angle</t>
  </si>
  <si>
    <t>Perturbation in side slip angle</t>
  </si>
  <si>
    <t>Perturbation in roll rate</t>
  </si>
  <si>
    <t>Perturbation in yaw rate</t>
  </si>
  <si>
    <t>Perturbation in bank angle</t>
  </si>
  <si>
    <t>deg/s</t>
  </si>
  <si>
    <t>Prints PLOTS DYNAMIC STABILITY ANALYSIS AFTER IMPULSE</t>
  </si>
  <si>
    <t>A320-200</t>
  </si>
  <si>
    <t>EMERGENTIA_v2</t>
  </si>
  <si>
    <t>CASE14</t>
  </si>
  <si>
    <t>CASE15</t>
  </si>
  <si>
    <t>CI</t>
  </si>
  <si>
    <t>Propeller Used (APC Experiments)</t>
  </si>
  <si>
    <t>Fuel Density</t>
  </si>
  <si>
    <t>density_fuel</t>
  </si>
  <si>
    <t>Kg/l</t>
  </si>
  <si>
    <t>Cost Fuel</t>
  </si>
  <si>
    <t>cost_fuel</t>
  </si>
  <si>
    <t>Cost Index</t>
  </si>
  <si>
    <t>cts/gal</t>
  </si>
  <si>
    <t>kg/s</t>
  </si>
  <si>
    <t>TARSIS 75</t>
  </si>
  <si>
    <t>CASE16</t>
  </si>
  <si>
    <t>TARSIS 120</t>
  </si>
  <si>
    <t>CASE17</t>
  </si>
  <si>
    <t>STABILITY_STUDY_Regular</t>
  </si>
  <si>
    <t>Trim conditions - Regular</t>
  </si>
  <si>
    <t>Defines file to be used for the Fuselage geometry - XFLR5</t>
  </si>
  <si>
    <t>Defines file to be used for the Fuselage geometry - STL</t>
  </si>
  <si>
    <t>Defines file to be used for the complete aircraft - STL</t>
  </si>
  <si>
    <t>STL_ac</t>
  </si>
  <si>
    <t>STL_fus</t>
  </si>
  <si>
    <t>STL_wing</t>
  </si>
  <si>
    <t>STL_canard</t>
  </si>
  <si>
    <t>STL_HTP</t>
  </si>
  <si>
    <t>STL_VTP</t>
  </si>
  <si>
    <t>STL_Vee</t>
  </si>
  <si>
    <t>STL_engine</t>
  </si>
  <si>
    <t>STL_nacelle</t>
  </si>
  <si>
    <t>Defines file to be used for the wing geometry - STL</t>
  </si>
  <si>
    <t>Defines file to be used for the HTP geometry - STL</t>
  </si>
  <si>
    <t>Defines file to be used for the VTP geometry - STL</t>
  </si>
  <si>
    <t>Defines file to be used for the Vee geometry - STL</t>
  </si>
  <si>
    <t>Defines file to be used for the engine geometry - STL</t>
  </si>
  <si>
    <t>Defines file to be used for the nacelle geometry - STL</t>
  </si>
  <si>
    <t>Defines file to be used for the canard geometry - STL</t>
  </si>
  <si>
    <t>AC_EMERGENTIA.stl</t>
  </si>
  <si>
    <t>fuselage_EMERGENTIA.stl</t>
  </si>
  <si>
    <t>HTP_A320.stl</t>
  </si>
  <si>
    <t>VTP_A320.stl</t>
  </si>
  <si>
    <t>wing_A320.stl</t>
  </si>
  <si>
    <t>Location of the center of the Force of propulsion system 1</t>
  </si>
  <si>
    <t>x_eng_ybar1</t>
  </si>
  <si>
    <t>y_eng_ybar1</t>
  </si>
  <si>
    <t>z_eng_ybar1</t>
  </si>
  <si>
    <t>x_eng_ybar2</t>
  </si>
  <si>
    <t>y_eng_ybar2</t>
  </si>
  <si>
    <t>z_eng_ybar2</t>
  </si>
  <si>
    <t xml:space="preserve"> Location of the center of the Force of propulsion system 2</t>
  </si>
  <si>
    <t>Location of the center of the Force of propulsion system 2</t>
  </si>
  <si>
    <t>index_VTP</t>
  </si>
  <si>
    <t>Selects the AoA of each surface relative to fuselage line (VTP)</t>
  </si>
  <si>
    <t>i_VTP</t>
  </si>
  <si>
    <t>Use Global Weights</t>
  </si>
  <si>
    <t>flag_total_weights</t>
  </si>
  <si>
    <t>MTOW</t>
  </si>
  <si>
    <t>MLW</t>
  </si>
  <si>
    <t>MF</t>
  </si>
  <si>
    <t>WPL</t>
  </si>
  <si>
    <t>MCREW</t>
  </si>
  <si>
    <t>ME</t>
  </si>
  <si>
    <t>MTOW_true</t>
  </si>
  <si>
    <t>ME_true</t>
  </si>
  <si>
    <t>MCREW_true</t>
  </si>
  <si>
    <t>MLW_true</t>
  </si>
  <si>
    <t>MF_true</t>
  </si>
  <si>
    <t>MPL_true</t>
  </si>
  <si>
    <t>Scaling for original ac, maintaing the same ratio all 3 axis</t>
  </si>
  <si>
    <t>ALO_</t>
  </si>
  <si>
    <t>ALO_Fuel_Cell_</t>
  </si>
  <si>
    <t>EMERGENTIA_v2_</t>
  </si>
  <si>
    <t>TARSIS 75_</t>
  </si>
  <si>
    <t>TARSIS 120_</t>
  </si>
  <si>
    <t>A320-200_</t>
  </si>
  <si>
    <t>SF_CAD</t>
  </si>
  <si>
    <t>Defines Scaling Factor for STL files for units conversion (example mm 2 m)</t>
  </si>
  <si>
    <t>AC_STL_Compare</t>
  </si>
  <si>
    <t>x_nac_ybar1</t>
  </si>
  <si>
    <t>y_nac_ybar1</t>
  </si>
  <si>
    <t>z_nac_ybar1</t>
  </si>
  <si>
    <t>Location of the center of LE (x) Nacelle of propulsion system 1</t>
  </si>
  <si>
    <t>Location of the center of LE (y) Nacelle of propulsion system 1</t>
  </si>
  <si>
    <t>Location of the center of LE (z) Nacelle of propulsion system 1</t>
  </si>
  <si>
    <t>wing_offset_w1</t>
  </si>
  <si>
    <t>Wing Offset: Determines if the wing geometrý includes center section offset</t>
  </si>
  <si>
    <t>Reads Aero data from XFLR5</t>
  </si>
  <si>
    <t>Reads Aero data from FLOW5</t>
  </si>
  <si>
    <t>read_XFLR5</t>
  </si>
  <si>
    <t>read_FLOW5</t>
  </si>
  <si>
    <t>Shows plots individually or collecting similar plots</t>
  </si>
  <si>
    <t>plot_individuals</t>
  </si>
  <si>
    <t>Plotsfuselage slices to check if they are rotated accordingly</t>
  </si>
  <si>
    <t>PLOT_Slices_fuselage_STL</t>
  </si>
  <si>
    <t>fuselage_EMERGENTIA_manufacture.stl</t>
  </si>
  <si>
    <t>AC_EMERGENTIA_manufacture.stl</t>
  </si>
  <si>
    <t>AC_EMERGENTIA_v2.stl</t>
  </si>
  <si>
    <t>airfoil_w1</t>
  </si>
  <si>
    <t>airfoil_w2</t>
  </si>
  <si>
    <t>Airfoil for wing (secondary)</t>
  </si>
  <si>
    <t>Airfoil for wing (primary)</t>
  </si>
  <si>
    <t>Airfoil for canard (primary)</t>
  </si>
  <si>
    <t>Airfoil for canard (secondary)</t>
  </si>
  <si>
    <t>Airfoil for HTP (primary)</t>
  </si>
  <si>
    <t>Airfoil for HTP (secondary)</t>
  </si>
  <si>
    <t>Airfoil for VTP (primary)</t>
  </si>
  <si>
    <t>Airfoil for VTP (secondary)</t>
  </si>
  <si>
    <t>airfoil_HTP1</t>
  </si>
  <si>
    <t>airfoil_HTP2</t>
  </si>
  <si>
    <t>airfoil_VTP1</t>
  </si>
  <si>
    <t>airfoil_VTP2</t>
  </si>
  <si>
    <t>Airfoil for VeeTail (primary)</t>
  </si>
  <si>
    <t>Airfoil for VeeTail (secondary)</t>
  </si>
  <si>
    <t>Bell_A821201.dat</t>
  </si>
  <si>
    <t>NACA_2313.dat</t>
  </si>
  <si>
    <t>NACA_2318.dat</t>
  </si>
  <si>
    <t>NACA_0010.dat</t>
  </si>
  <si>
    <t>NACA_0012.dat</t>
  </si>
  <si>
    <t>NACA_0012-64.dat</t>
  </si>
  <si>
    <t>St_CYR_24.dat</t>
  </si>
  <si>
    <t>NACA_2412.dat</t>
  </si>
  <si>
    <t xml:space="preserve"> </t>
  </si>
  <si>
    <t>dummy.dat</t>
  </si>
  <si>
    <t>% AC_type = 6 - 2 surface: cannard + wing + VTP</t>
  </si>
  <si>
    <t>x_nac_ybar2</t>
  </si>
  <si>
    <t>y_nac_ybar2</t>
  </si>
  <si>
    <t>z_nac_ybar2</t>
  </si>
  <si>
    <t>Location of the center of LE (x) Nacelle of propulsion system 2</t>
  </si>
  <si>
    <t>Location of the center of LE (y) Nacelle of propulsion system 2</t>
  </si>
  <si>
    <t>Location of the center of LE (z) Nacelle of propulsion system 2</t>
  </si>
  <si>
    <t>Engine_loc = 5 - wingtips for wing and canard configuration n_eng at each side</t>
  </si>
  <si>
    <t>Canard Offset: Determines if the canard geometrý includes center section offset</t>
  </si>
  <si>
    <t>canard_offset_can</t>
  </si>
  <si>
    <t>K_y1_canard_can</t>
  </si>
  <si>
    <t>K_y2_canard_can</t>
  </si>
  <si>
    <t>cf_canard</t>
  </si>
  <si>
    <t>t_c_canard</t>
  </si>
  <si>
    <t>x_loc_1R_y1_can_CAD</t>
  </si>
  <si>
    <t>x_loc_1R_y1_VTP_CAD</t>
  </si>
  <si>
    <t>x_loc_1R_y1_w2_CAD</t>
  </si>
  <si>
    <t>z_loc_1R_y2_VTP_CAD</t>
  </si>
  <si>
    <t>z_loc_1R_y2_2VTP_CAD</t>
  </si>
  <si>
    <t>x_loc_1R_y1_w1_CAD</t>
  </si>
  <si>
    <t>x_loc_1R_y1_HTP_CAD</t>
  </si>
  <si>
    <t>fuselage_T75.stl</t>
  </si>
  <si>
    <t>zoffset_fuselage</t>
  </si>
  <si>
    <t>Show_messages_Reults_Screen</t>
  </si>
  <si>
    <t>show_messages_screen</t>
  </si>
  <si>
    <t>Modifications: twin vertical</t>
  </si>
  <si>
    <t>twin_vertical</t>
  </si>
  <si>
    <t>z loc of wing (2VTP) tip chord LE position (distance from CAD refference point)</t>
  </si>
  <si>
    <t xml:space="preserve">Use Estimated Polar </t>
  </si>
  <si>
    <t>polar_model</t>
  </si>
  <si>
    <t>composite build up method</t>
  </si>
  <si>
    <t>CFD</t>
  </si>
  <si>
    <t>Given</t>
  </si>
  <si>
    <t>Experiments</t>
  </si>
  <si>
    <t xml:space="preserve">Flight Condition - Cruise </t>
  </si>
  <si>
    <t>Flight Condition - TakeOff</t>
  </si>
  <si>
    <t>Flight Condition - Climb</t>
  </si>
  <si>
    <t>Flight_cruise</t>
  </si>
  <si>
    <t>Flight_takeoff</t>
  </si>
  <si>
    <t>Flight_climb</t>
  </si>
  <si>
    <t xml:space="preserve">Not </t>
  </si>
  <si>
    <t>Yes</t>
  </si>
  <si>
    <t>AC_Pepiño_ASCII.stl</t>
  </si>
  <si>
    <t>fuselage_Pepiño_ASCII.stl</t>
  </si>
  <si>
    <t>Fraction of fuel</t>
  </si>
  <si>
    <t>Fraction of payload</t>
  </si>
  <si>
    <t>fraction_MF</t>
  </si>
  <si>
    <t>fraction_PL</t>
  </si>
  <si>
    <t>PISTON CUSTOM</t>
  </si>
  <si>
    <t>prop_known</t>
  </si>
  <si>
    <t>Flag that determines if the prop is known</t>
  </si>
  <si>
    <t>model of prop</t>
  </si>
  <si>
    <t>MISSIONS_STUDY</t>
  </si>
  <si>
    <t>Conducts Mission Studies</t>
  </si>
  <si>
    <t>Plots both Generated Geometry and Aircraft STL comparisson</t>
  </si>
  <si>
    <t>AC_T75small.stl</t>
  </si>
  <si>
    <t xml:space="preserve">    % case 11 % 'Descenso dados V inicial,final y palanca'</t>
  </si>
  <si>
    <t xml:space="preserve">    % case 10 % 'Descenso "slowest sink"'</t>
  </si>
  <si>
    <t xml:space="preserve">    % case 9 % 'Descenso a minimo gamma'</t>
  </si>
  <si>
    <t xml:space="preserve">    % case 8 % 'Descenso dados V inicial,final y gamma'</t>
  </si>
  <si>
    <t xml:space="preserve">    % case 7 % 'Descenso dados TAS y palanca'</t>
  </si>
  <si>
    <t xml:space="preserve">    % case 6 % 'Descenso dados EAS y palanca'</t>
  </si>
  <si>
    <t xml:space="preserve">    % case 5 % 'Descenso dados M y palanca'</t>
  </si>
  <si>
    <t xml:space="preserve">    % case 4 % 'Descenso dados TAS y gamma'</t>
  </si>
  <si>
    <t xml:space="preserve">    % case 3 % 'Descenso dados EAS y gamma';</t>
  </si>
  <si>
    <t>% case 2 % 'Descenso dados M y gamma'</t>
  </si>
  <si>
    <t>Descent options</t>
  </si>
  <si>
    <t xml:space="preserve">    % case 10 % 'V.H dado palanca y a radio min'</t>
  </si>
  <si>
    <t xml:space="preserve">    % case 9 % 'V.H dado palanca y a v de guiñada max'</t>
  </si>
  <si>
    <t xml:space="preserve">    % case 8 % 'V.H dado palanca y a factor de carga max'</t>
  </si>
  <si>
    <t xml:space="preserve">    % case 7 % 'V.H dado V y velocidad de guiñada';...</t>
  </si>
  <si>
    <t xml:space="preserve">    % case 6 % 'V.H dado V y radio de giro '</t>
  </si>
  <si>
    <t xml:space="preserve">    % case 5 % 'Viraje horizontal dado V y n'</t>
  </si>
  <si>
    <t xml:space="preserve">    % case 4 % 'Viraje horizontal dado V y balance'</t>
  </si>
  <si>
    <t xml:space="preserve">    % case 3 % 'Viraje horizontal dado V y CL'</t>
  </si>
  <si>
    <t>% case 2 % 'Viraje horizontal dado V y palanca'</t>
  </si>
  <si>
    <t>Turn options</t>
  </si>
  <si>
    <t xml:space="preserve">    % case 7 % 'Crucero de max autonomia dado peso final'</t>
  </si>
  <si>
    <t xml:space="preserve">    % case 6 % 'Crucero de max alcance dado peso final'</t>
  </si>
  <si>
    <t xml:space="preserve">    % case 5 % 'Crucero con polar en funcion de M';</t>
  </si>
  <si>
    <t xml:space="preserve">    % case 4 % ;'Crucero dados V inicial,final y palanca'</t>
  </si>
  <si>
    <t xml:space="preserve">    % case 3 % ;'Crucero dado CL y distancia'</t>
  </si>
  <si>
    <t xml:space="preserve"> % case 2 % 'Crucero dado M y distancia'</t>
  </si>
  <si>
    <t>Cruise options</t>
  </si>
  <si>
    <t xml:space="preserve">    % case 11 % 'Subida dados V inicial,final y palanca'</t>
  </si>
  <si>
    <t xml:space="preserve">    % case 10 % 'Subida fastest climb';</t>
  </si>
  <si>
    <t xml:space="preserve">    % case 9 % 'Subida steppest climb';</t>
  </si>
  <si>
    <t xml:space="preserve">    % case 8 % 'Subida dados V inicial,final y gamma';</t>
  </si>
  <si>
    <t xml:space="preserve">    % case 7 % 'Subida dados TAS y palanca';</t>
  </si>
  <si>
    <t xml:space="preserve">    % case 6 % 'Subida dados EAS y palanca';</t>
  </si>
  <si>
    <t xml:space="preserve">    % case 5 % 'Subida dados M y palanca';</t>
  </si>
  <si>
    <t xml:space="preserve">    % case 4 % 'Subida dados TAS y gamma';</t>
  </si>
  <si>
    <t xml:space="preserve">    % case 3 % 'Subida dados EAS y gamma';</t>
  </si>
  <si>
    <t>% case 2 % 'Subida dados M y gamma';</t>
  </si>
  <si>
    <t>Climb options</t>
  </si>
  <si>
    <t xml:space="preserve">    % - 13 = Dummy to complete the 3 segment requirement for AP</t>
  </si>
  <si>
    <t xml:space="preserve">    % - 12 = Landing</t>
  </si>
  <si>
    <t xml:space="preserve">    % - 11 = Turn loitter 45 min</t>
  </si>
  <si>
    <t xml:space="preserve">    % - 10 = Alternative Airport climb to 3000ft</t>
  </si>
  <si>
    <t xml:space="preserve">    % - 9 = Descent (VTOL)</t>
  </si>
  <si>
    <t xml:space="preserve">    % - 8 = Descent</t>
  </si>
  <si>
    <t xml:space="preserve">    % - 7 = Turn</t>
  </si>
  <si>
    <t xml:space="preserve">    % - 6 = Load Deployment</t>
  </si>
  <si>
    <t xml:space="preserve">    % - 5 = Cruise</t>
  </si>
  <si>
    <t xml:space="preserve">    % - 4 = VTOL Climb</t>
  </si>
  <si>
    <t xml:space="preserve">    % - 3 = Climb</t>
  </si>
  <si>
    <t xml:space="preserve">    % - 2 TakeOff</t>
  </si>
  <si>
    <t xml:space="preserve">    % - 1 Taxy</t>
  </si>
  <si>
    <t>Type of Mission Segments</t>
  </si>
  <si>
    <t>dummy(3)</t>
  </si>
  <si>
    <t>DUMMY SEGMENT: VELOCIDAD (CRUISE)</t>
  </si>
  <si>
    <t>dummy(2)</t>
  </si>
  <si>
    <t>DUMMY SEGMENT: DISTANCIA FINAL</t>
  </si>
  <si>
    <t>dummy(1)</t>
  </si>
  <si>
    <t>DUMMY SEGMENT: ALTURA INICIAL (CRUISE)</t>
  </si>
  <si>
    <t>sec</t>
  </si>
  <si>
    <t>t_brake</t>
  </si>
  <si>
    <t>LANDING: 'Tiempo en activar frenos' - [s]</t>
  </si>
  <si>
    <t>delta_T_LND</t>
  </si>
  <si>
    <t>LANDING:  PALANCA DE REVERSA</t>
  </si>
  <si>
    <t>mu_LND</t>
  </si>
  <si>
    <t>LANDING: COEFICIENTE DE FRICCION CON LA PISTA (MU)</t>
  </si>
  <si>
    <t>Pa</t>
  </si>
  <si>
    <t>P_local_LND</t>
  </si>
  <si>
    <t>LANDING:  PRESION LOCAL (Pa)</t>
  </si>
  <si>
    <t>m</t>
  </si>
  <si>
    <t>h_inicial_LND</t>
  </si>
  <si>
    <t>LANDING: ALTURA LOCAL (m)</t>
  </si>
  <si>
    <t>C</t>
  </si>
  <si>
    <t>temp_local_LND</t>
  </si>
  <si>
    <t>LANDING:  TEMPERATURA LOCAL (Celsius)</t>
  </si>
  <si>
    <t>R_tr_wt</t>
  </si>
  <si>
    <t>TURN WAIT: RADIO DE GIRO (m)</t>
  </si>
  <si>
    <t>n_tr_wt</t>
  </si>
  <si>
    <t>TURN WAIT: FACTOR DE CARGA</t>
  </si>
  <si>
    <t>rad/sec</t>
  </si>
  <si>
    <t>V_psi_wt</t>
  </si>
  <si>
    <t>TURN WAIT: VELOCIDAD DE GUIÑADA (rads/seg)</t>
  </si>
  <si>
    <t>phi_tr_wt</t>
  </si>
  <si>
    <t>TURN WAIT: ANGULO DE ALABEO (rads)</t>
  </si>
  <si>
    <t>delta_T_tr_wt</t>
  </si>
  <si>
    <t>TURN WAIT: PALANCA DE GASES</t>
  </si>
  <si>
    <t>V_turn_wt</t>
  </si>
  <si>
    <t>TURN WAIT: turn velocity</t>
  </si>
  <si>
    <t>min</t>
  </si>
  <si>
    <t>t_final_tr_wt</t>
  </si>
  <si>
    <t>TURN WAIT: TIEMPO FINAL (seg)</t>
  </si>
  <si>
    <t>h_inicial_tr_wt</t>
  </si>
  <si>
    <t>TURN WAIT:  ALTURA INICIAL</t>
  </si>
  <si>
    <t>V_fin_d</t>
  </si>
  <si>
    <t>DESCENT : VELOCIDAD FINAL (PARA DESCENSO ACELERADA)  - [m/s]</t>
  </si>
  <si>
    <t>V_ini_d</t>
  </si>
  <si>
    <t>DESCENT : VELOCIDAD INICIAL (PARA DESCENSO ACELERADA)  - [m/s]</t>
  </si>
  <si>
    <t>delta_T_d</t>
  </si>
  <si>
    <t>DESCENT : PALANCA DE GASES  - [-]</t>
  </si>
  <si>
    <t>TAS_d</t>
  </si>
  <si>
    <t>DESCENT : VELOCIDAD EAS  - [m/s]</t>
  </si>
  <si>
    <t>EAS_d</t>
  </si>
  <si>
    <t>DESCENT : VELOCIDAD TAS  - [m/s]</t>
  </si>
  <si>
    <t>m/s</t>
  </si>
  <si>
    <t>V_d</t>
  </si>
  <si>
    <t>DESCENT: VELOCIDAD DE DESCENSI</t>
  </si>
  <si>
    <t>gamma_d</t>
  </si>
  <si>
    <t>DESCENT: GAMMA</t>
  </si>
  <si>
    <t>h_final_d</t>
  </si>
  <si>
    <t>DESCENT:  ALTURA FINAL</t>
  </si>
  <si>
    <t>h_inicial_d</t>
  </si>
  <si>
    <t>DESCENT: ALTURA INICIAL</t>
  </si>
  <si>
    <t>R_tr</t>
  </si>
  <si>
    <t>TURN: RADIO DE GIRO (m)</t>
  </si>
  <si>
    <t>n_tr</t>
  </si>
  <si>
    <t>TURN: FACTOR DE CARGA</t>
  </si>
  <si>
    <t>rad/s</t>
  </si>
  <si>
    <t>V_psi</t>
  </si>
  <si>
    <t>TURN: VELOCIDAD DE GUIÑADA (rads/seg)</t>
  </si>
  <si>
    <t xml:space="preserve">phi_tr </t>
  </si>
  <si>
    <t>TURN: ANGULO DE ALABEO (rads)</t>
  </si>
  <si>
    <t>delta_T_tr</t>
  </si>
  <si>
    <t>TURN: PALANCA DE GASES</t>
  </si>
  <si>
    <t xml:space="preserve">V_turn </t>
  </si>
  <si>
    <t>TURN: turn velocity</t>
  </si>
  <si>
    <t>t_final_tr</t>
  </si>
  <si>
    <t>TURN: TIEMPO FINAL (seg)</t>
  </si>
  <si>
    <t>h_inicial_tr</t>
  </si>
  <si>
    <t>TURN:  ALTURA INICIAL</t>
  </si>
  <si>
    <t>k2_cr</t>
  </si>
  <si>
    <t>CRUISE: K2 = F(M)  K1: CD = CD0 + K1*CL^2 - K2*CL</t>
  </si>
  <si>
    <t>k1_cr</t>
  </si>
  <si>
    <t>CRUISE: K1 = F(M)  K1: CD = CD0 + K1*CL^2 - K2*CL</t>
  </si>
  <si>
    <t>Cd0_cr</t>
  </si>
  <si>
    <t>CRUISE: CDO = F(M)  CD0: CD = CD0 + K1*CL^2 - K2*CL</t>
  </si>
  <si>
    <t>fuel_cr</t>
  </si>
  <si>
    <t>CRUISE: COMBUSTIBLE A QUEMAR</t>
  </si>
  <si>
    <t>V_fin_cr</t>
  </si>
  <si>
    <t>CRUISE: VELOCIDAD FINAL</t>
  </si>
  <si>
    <t>V_ini_cr</t>
  </si>
  <si>
    <t>CRUISE:  VELOCIDAD INICIAL</t>
  </si>
  <si>
    <t>delta_T_cr</t>
  </si>
  <si>
    <t>CRUISE:  PALANCA DE GASES</t>
  </si>
  <si>
    <t>V_cr</t>
  </si>
  <si>
    <t>CRUISE: VELOCIDAD</t>
  </si>
  <si>
    <t>km</t>
  </si>
  <si>
    <t>dist_final_cr</t>
  </si>
  <si>
    <t>CRUISE: DISTANCIA FINAL</t>
  </si>
  <si>
    <t>h_inicial_cr</t>
  </si>
  <si>
    <t>CRUISE: ALTURA INICIAL</t>
  </si>
  <si>
    <t xml:space="preserve">V_fin_cl </t>
  </si>
  <si>
    <t>CLIMB : VELOCIDAD FINAL (PARA SUBIDA ACELERADA)  - [m/s]</t>
  </si>
  <si>
    <t xml:space="preserve">V_ini_cl </t>
  </si>
  <si>
    <t>CLIMB : VELOCIDAD INICIAL (PARA SUBIDA ACELERADA)  - [m/s]</t>
  </si>
  <si>
    <t>delta_T_cl</t>
  </si>
  <si>
    <t>CLIMB : PALANCA DE GASES  - [-]</t>
  </si>
  <si>
    <t xml:space="preserve">EAS_cl </t>
  </si>
  <si>
    <t>CLIMB : VELOCIDAD EAS  - [m/s]</t>
  </si>
  <si>
    <t xml:space="preserve">TAS_cl </t>
  </si>
  <si>
    <t>CLIMB : VELOCIDAD TAS  - [m/s]</t>
  </si>
  <si>
    <t>M</t>
  </si>
  <si>
    <t xml:space="preserve">Mach_cl </t>
  </si>
  <si>
    <t>CLIMB : MACH DE VUELO  - [-]</t>
  </si>
  <si>
    <t xml:space="preserve">gamma_cl </t>
  </si>
  <si>
    <t>CLIMB : GAMMA DE SUBIDA - [-]</t>
  </si>
  <si>
    <t xml:space="preserve">h_final_cl </t>
  </si>
  <si>
    <t>CLIMB : ALTURA FINAL - [m]</t>
  </si>
  <si>
    <t xml:space="preserve">h_inicial_cl </t>
  </si>
  <si>
    <t>CLIMB : ALTURA INICIAL - [m]</t>
  </si>
  <si>
    <t>delta_T_TO</t>
  </si>
  <si>
    <t>TAKEOFF: PALANCA DE GASES PARA DESPEGUE</t>
  </si>
  <si>
    <t>gamma_climb_TO</t>
  </si>
  <si>
    <t>TAKEOFF: GAMMA DE SUBIDA MINIMO</t>
  </si>
  <si>
    <t>h_obstacle_TO</t>
  </si>
  <si>
    <t>TAKEOFF: ALTURA DE OBSTACULO (35 FT CIVIL, 50 FT MILITAR)</t>
  </si>
  <si>
    <t>mu_TO</t>
  </si>
  <si>
    <t>TAKEOFF: COEFICIENTE DE FRICCION CON LA PISTA (MU)</t>
  </si>
  <si>
    <t>P_local_TO</t>
  </si>
  <si>
    <t>TAKEOFF: PRESION LOCAL (Pa)</t>
  </si>
  <si>
    <t>h_inicial_TO</t>
  </si>
  <si>
    <t>TAKEOFF: ALTURA LOCAL (m)</t>
  </si>
  <si>
    <t>temp_local_TO</t>
  </si>
  <si>
    <t>TAKEOFF: TEMPERATURA LOCAL (Celsius)</t>
  </si>
  <si>
    <t>t_taxy</t>
  </si>
  <si>
    <t>TAXY: TIEMPO DE ESPERA EN TAXI (s)</t>
  </si>
  <si>
    <t>V_taxy</t>
  </si>
  <si>
    <t>TAXY:  VELOCIDAD A LA QUE HACE EL TAXI (m/s)</t>
  </si>
  <si>
    <t>delta_T_taxy</t>
  </si>
  <si>
    <t>TAXY: PALANCA DE RALENTI EN TAXI = 0.05</t>
  </si>
  <si>
    <t>P_local_taxy</t>
  </si>
  <si>
    <t>TAXY: Local Pressure</t>
  </si>
  <si>
    <t>h_inicial_taxy</t>
  </si>
  <si>
    <t>TAXY: INITIAL ALTITUDE</t>
  </si>
  <si>
    <t>temp_local_taxy</t>
  </si>
  <si>
    <t>TAXY: TEMPERATURA LOCAL (Celsius)</t>
  </si>
  <si>
    <t>Does conduct Post Processing Performance</t>
  </si>
  <si>
    <t>Does not conduct Post Processing Performance</t>
  </si>
  <si>
    <t>Post Processing Performance</t>
  </si>
  <si>
    <t>descent_mode</t>
  </si>
  <si>
    <t>Selects Descent Mode Option</t>
  </si>
  <si>
    <t>turn_mode</t>
  </si>
  <si>
    <t>Selects Turn Mode Option</t>
  </si>
  <si>
    <t>cruise_mode</t>
  </si>
  <si>
    <t>Selects Cruise Mode Option</t>
  </si>
  <si>
    <t>climb_mode</t>
  </si>
  <si>
    <t>Selects Climb Mode Option</t>
  </si>
  <si>
    <t>num_missions_WF</t>
  </si>
  <si>
    <t>Number of Segments</t>
  </si>
  <si>
    <t>type_missions_WF</t>
  </si>
  <si>
    <t>Selection Type of Mission</t>
  </si>
  <si>
    <t>Post_processing_PERFORMANCE</t>
  </si>
  <si>
    <t>Conducts the Post processing PERFORMANCE</t>
  </si>
  <si>
    <t>W_single</t>
  </si>
  <si>
    <t>Performance Study - Single Weight</t>
  </si>
  <si>
    <t>N_Wp_VAR_perf</t>
  </si>
  <si>
    <t>Performance Variable study for Weight - Number of variable points</t>
  </si>
  <si>
    <t>Wp_high</t>
  </si>
  <si>
    <t>Performance Variable study - High weight  in m/s</t>
  </si>
  <si>
    <t>Wp_low</t>
  </si>
  <si>
    <t>Performance Variable study - Low weight  in m/s</t>
  </si>
  <si>
    <t>V_single</t>
  </si>
  <si>
    <t>Performance Study - Single Speed</t>
  </si>
  <si>
    <t>N_V_VAR_perf</t>
  </si>
  <si>
    <t>Performance Variable study for Velocity - Number of variable points</t>
  </si>
  <si>
    <t>Performance Variable study - High velocity  in m/s</t>
  </si>
  <si>
    <t xml:space="preserve">V_low </t>
  </si>
  <si>
    <t>Performance Variable study - Low velocity  in m/s</t>
  </si>
  <si>
    <t>TARSIS_120_</t>
  </si>
  <si>
    <t>TARSIS_75_</t>
  </si>
  <si>
    <t>Selection of TXT that are used for the aerodynamic analysis (w1) - LLT</t>
  </si>
  <si>
    <t>Selection of TXT that are used for the aerodynamic analysis (VTP)- LLT</t>
  </si>
  <si>
    <t>Selection of TXT that are used for the aerodynamic analysis (w1) - VLM</t>
  </si>
  <si>
    <t>Selection of TXT that are used for the aerodynamic analysis (w2)- VLM</t>
  </si>
  <si>
    <t>Selection of TXT that are used for the aerodynamic analysis (w3)- VLM</t>
  </si>
  <si>
    <t>Selection of TXT that are used for the aerodynamic analysis (VTP)- VLM</t>
  </si>
  <si>
    <t>index_w1_VLM</t>
  </si>
  <si>
    <t>index_VTP_VLM</t>
  </si>
  <si>
    <t xml:space="preserve">Write Data into Excel </t>
  </si>
  <si>
    <t>write_data</t>
  </si>
  <si>
    <t>fname</t>
  </si>
  <si>
    <t>Selection of String Characters that Define the AC selection storing location</t>
  </si>
  <si>
    <t>Selection of Which figures are represented</t>
  </si>
  <si>
    <t>LS = 2; % Line size</t>
  </si>
  <si>
    <t>FS = 12; % Text Font size</t>
  </si>
  <si>
    <t>LFS = 8; % Legend Font Size</t>
  </si>
  <si>
    <t>Video_3D = 0; % Saves video 3D</t>
  </si>
  <si>
    <t>SAVE_FIGS = 1; % saves the plots: fig, jpg and pdf</t>
  </si>
  <si>
    <t>LS</t>
  </si>
  <si>
    <t>FS</t>
  </si>
  <si>
    <t>LFS</t>
  </si>
  <si>
    <t>Video_3D</t>
  </si>
  <si>
    <t>SAVE_FIGS</t>
  </si>
  <si>
    <t>ONEiRE_</t>
  </si>
  <si>
    <t>Selection of Storing Location of PLOTS that Define the AC selection</t>
  </si>
  <si>
    <t>fuse_aero_FLOW_and_CBM</t>
  </si>
  <si>
    <t>tailboom</t>
  </si>
  <si>
    <t>missile</t>
  </si>
  <si>
    <t>n_missile</t>
  </si>
  <si>
    <t>Selection of elements for theoretical polar estimation - missile</t>
  </si>
  <si>
    <t>Selection of elements for theoretical polar estimation - number of missile</t>
  </si>
  <si>
    <t>l_tailboom</t>
  </si>
  <si>
    <t>length_tailboom</t>
  </si>
  <si>
    <t>width tailboom</t>
  </si>
  <si>
    <t>w_tailboom</t>
  </si>
  <si>
    <t>height tailboom</t>
  </si>
  <si>
    <t>h_tailboom</t>
  </si>
  <si>
    <t>m_tailboom</t>
  </si>
  <si>
    <t>n_m_tailboom</t>
  </si>
  <si>
    <t>Selection of elements for theoretical polar estimation - multiple tailboom</t>
  </si>
  <si>
    <t>Selection of elements for theoretical polar estimation - number of multiple tailboom</t>
  </si>
  <si>
    <t>Selection of elements for theoretical polar estimation - tailboom</t>
  </si>
  <si>
    <t>length  pods</t>
  </si>
  <si>
    <t>width  pods</t>
  </si>
  <si>
    <t>height  pods</t>
  </si>
  <si>
    <t>l_pod</t>
  </si>
  <si>
    <t>w_pod</t>
  </si>
  <si>
    <t>h_pod</t>
  </si>
  <si>
    <t>pod</t>
  </si>
  <si>
    <t>Selection of elements for theoretical polar estimation - pods at each side of main wing</t>
  </si>
  <si>
    <t>Variation of XCG study</t>
  </si>
  <si>
    <t>get_shift_XCG_variation</t>
  </si>
  <si>
    <t>Prints plots of longitudinal Trim with V-n diagram n &amp; Variable Speed</t>
  </si>
  <si>
    <t>n_min</t>
  </si>
  <si>
    <t>n_max</t>
  </si>
  <si>
    <t>N_n_var</t>
  </si>
  <si>
    <t>gs</t>
  </si>
  <si>
    <t>Minimum Load Factor</t>
  </si>
  <si>
    <t>Maximum Load Factor</t>
  </si>
  <si>
    <t>Number of iterations for variation of load factor</t>
  </si>
  <si>
    <t>Trim Conditions Velocity Range - V high VD</t>
  </si>
  <si>
    <t>wing1_MILVIUS.stl</t>
  </si>
  <si>
    <t>wing2_MILVIUS.stl</t>
  </si>
  <si>
    <t>Vtail_MILVIUS.stl</t>
  </si>
  <si>
    <t>MILVUS</t>
  </si>
  <si>
    <t>MILVUS_</t>
  </si>
  <si>
    <t>NACA_0007.dat</t>
  </si>
  <si>
    <t>d_ele</t>
  </si>
  <si>
    <t>d_elevon</t>
  </si>
  <si>
    <t>d_flap</t>
  </si>
  <si>
    <t>d_rudder</t>
  </si>
  <si>
    <t>d_rudvtr</t>
  </si>
  <si>
    <t>d_can</t>
  </si>
  <si>
    <t>Definition of available control surface - elevator</t>
  </si>
  <si>
    <t>Definition of available control surface - aileron</t>
  </si>
  <si>
    <t>Definition of available control surface - elevon</t>
  </si>
  <si>
    <t>Definition of available control surface - flap</t>
  </si>
  <si>
    <t>Definition of available control surface - rudder</t>
  </si>
  <si>
    <t>Definition of available control surface - ruddervator</t>
  </si>
  <si>
    <t>Definition of available control surface - canard</t>
  </si>
  <si>
    <t>A400M_</t>
  </si>
  <si>
    <t>flap</t>
  </si>
  <si>
    <t>LED_type</t>
  </si>
  <si>
    <t>Flap_type</t>
  </si>
  <si>
    <t>High Lift  Device Flaps</t>
  </si>
  <si>
    <t>case 0 % No Flap</t>
  </si>
  <si>
    <t>case 1 % Plain and split</t>
  </si>
  <si>
    <t>case 2 % Slotted</t>
  </si>
  <si>
    <t>case 3 % Fowler</t>
  </si>
  <si>
    <t>case 4 % Doble slotted</t>
  </si>
  <si>
    <t>case 5 % Triple slotted</t>
  </si>
  <si>
    <t>case 0 % No leading Edge Devices</t>
  </si>
  <si>
    <t>case 1 % Fixed Slot</t>
  </si>
  <si>
    <t>case 2 % Leading Edge Flap</t>
  </si>
  <si>
    <t>case 3 % Krugger Flap</t>
  </si>
  <si>
    <t>case 4 % Slat</t>
  </si>
  <si>
    <t>High Lift  Device Leading Edge</t>
  </si>
  <si>
    <t>A400M</t>
  </si>
  <si>
    <t>PEPINO_XXXL</t>
  </si>
  <si>
    <t>NACA 2312.dat</t>
  </si>
  <si>
    <t>NACA_0010_H.dat</t>
  </si>
  <si>
    <t>AC_A400M.stl</t>
  </si>
  <si>
    <t>fuselage_A400M.stl</t>
  </si>
  <si>
    <t>y loc of wing (w1) kink1 chord LE position (distance from CAD refference point)</t>
  </si>
  <si>
    <t>y_loc_1R_yB1_w1_CAD</t>
  </si>
  <si>
    <t>y loc of wing (w1) kink2 chord LE position (distance from CAD refference point)</t>
  </si>
  <si>
    <t>y_loc_1R_yB2_w1_CAD</t>
  </si>
  <si>
    <t>y_loc_1R_yB1_w2_CAD</t>
  </si>
  <si>
    <t>y_loc_1R_yB2_w2_CAD</t>
  </si>
  <si>
    <t>y_loc_1R_yB1_can_CAD</t>
  </si>
  <si>
    <t>y_loc_1R_yB2_can_CAD</t>
  </si>
  <si>
    <t>y_loc_1R_yB1_HTP_CAD</t>
  </si>
  <si>
    <t>y_loc_1R_yB2_HTP_CAD</t>
  </si>
  <si>
    <t>Sweep of kink1 (deg)</t>
  </si>
  <si>
    <t>Lambda_LE_w1_k1_e</t>
  </si>
  <si>
    <t>Sweep of kink2 (deg)</t>
  </si>
  <si>
    <t>Lambda_LE_w1_k2_e</t>
  </si>
  <si>
    <t>Dihedral of kink1 (deg)</t>
  </si>
  <si>
    <t>dihedral_w1_k1_e</t>
  </si>
  <si>
    <t>Dihedral of kink2 (deg)</t>
  </si>
  <si>
    <t>dihedral_w1_k2_e</t>
  </si>
  <si>
    <t>Lambda_LE_w2_k1_e</t>
  </si>
  <si>
    <t>Lambda_LE_w2_k2_e</t>
  </si>
  <si>
    <t>Lambda_LE_can_k1_e</t>
  </si>
  <si>
    <t>Lambda_LE_can_k2_e</t>
  </si>
  <si>
    <t>Lambda_LE_HTP_k1_e</t>
  </si>
  <si>
    <t>Lambda_LE_HTP_k2_e</t>
  </si>
  <si>
    <t>dihedral_w2_k1_e</t>
  </si>
  <si>
    <t>dihedral_w2_k2_e</t>
  </si>
  <si>
    <t>dihedral_can_k1_e</t>
  </si>
  <si>
    <t>dihedral_can_k2_e</t>
  </si>
  <si>
    <t>dihedral_HTP_k1_e</t>
  </si>
  <si>
    <t>dihedral_HTP_k2_e</t>
  </si>
  <si>
    <t>Kink1 Chord w1</t>
  </si>
  <si>
    <t>cB_k1_w1</t>
  </si>
  <si>
    <t>Kink2 Chord w1</t>
  </si>
  <si>
    <t>cB_k2_w1</t>
  </si>
  <si>
    <t>cB_k1_w2</t>
  </si>
  <si>
    <t>cB_k2_w2</t>
  </si>
  <si>
    <t>cB_k1_can</t>
  </si>
  <si>
    <t>cB_k2_can</t>
  </si>
  <si>
    <t>cB_k1_HTP</t>
  </si>
  <si>
    <t>cB_k2_HTP</t>
  </si>
  <si>
    <t>A400_</t>
  </si>
  <si>
    <t>AC_ A320_V2.stl</t>
  </si>
  <si>
    <t>fuselage_A320_V2.stl</t>
  </si>
  <si>
    <t>y loc of wing (w2) kink1 chord LE position (distance from CAD refference point)</t>
  </si>
  <si>
    <t>y loc of wing (w2) kink2 chord LE position (distance from CAD refference point)</t>
  </si>
  <si>
    <t>MISC1_</t>
  </si>
  <si>
    <t>MISC2_</t>
  </si>
  <si>
    <t>flagwingspan2bodydiam</t>
  </si>
  <si>
    <t xml:space="preserve">Takes into account thew wing span to body diameter interference </t>
  </si>
  <si>
    <t>Selection of TXT that are used for the aerodynamic analysis (vtail-sideslip) - LLT</t>
  </si>
  <si>
    <t>index_vee_cy</t>
  </si>
  <si>
    <t>BAT</t>
  </si>
  <si>
    <t>CASE18</t>
  </si>
  <si>
    <t>CASE19</t>
  </si>
  <si>
    <t>CASE20</t>
  </si>
  <si>
    <t>2 surface: cannard + wing + VTP</t>
  </si>
  <si>
    <t>% AC_type = 7 - 3 surface: wing + V-tail + VTP</t>
  </si>
  <si>
    <t>3 surface: wing + V-tail + VTP</t>
  </si>
  <si>
    <t>Prints plots of lateral Trim - asymmetries</t>
  </si>
  <si>
    <t>Prints plots of lateral Trim - accelerations</t>
  </si>
  <si>
    <t xml:space="preserve">Lateral Directional Trim - Assymetries </t>
  </si>
  <si>
    <t>Lateral Directional Trim - Accelertations</t>
  </si>
  <si>
    <t>STABILITY_STUDY_Trim_lat_asymmetries</t>
  </si>
  <si>
    <t>STABILITY_STUDY_Trim_lat_accelerations</t>
  </si>
  <si>
    <t>FALCON2000</t>
  </si>
  <si>
    <t>CASE21</t>
  </si>
  <si>
    <t>SOLARTII</t>
  </si>
  <si>
    <t>FALCON2000_</t>
  </si>
  <si>
    <t>SOLARTTII_</t>
  </si>
  <si>
    <t>MH_92_15.49%.dat</t>
  </si>
  <si>
    <t>NACA 0010.dat</t>
  </si>
  <si>
    <t>Kink1 Chord w2</t>
  </si>
  <si>
    <t>Kink2 Chord w2</t>
  </si>
  <si>
    <t>Kink1 Chord can</t>
  </si>
  <si>
    <t>Kink2 Chordcan</t>
  </si>
  <si>
    <t>BAT_</t>
  </si>
  <si>
    <t>SOLARTII_</t>
  </si>
  <si>
    <t>fuselage_SOLARTII_ASCII.stl</t>
  </si>
  <si>
    <t>AC_SOLARTII_v1_ASCII.stl</t>
  </si>
  <si>
    <t>y loc of wing (can) kink1 chord LE position (distance from CAD refference point)</t>
  </si>
  <si>
    <t>y loc of wing (can) kink2 chord LE position (distance from CAD refference point)</t>
  </si>
  <si>
    <t>y loc of wing (HTP) kink1 chord LE position (distance from CAD refference point)</t>
  </si>
  <si>
    <t>y loc of wing (HTP) kink2 chord LE position (distance from CAD refference point)</t>
  </si>
  <si>
    <t>Sweep of kink1 HTP (deg)</t>
  </si>
  <si>
    <t>Sweep of kink2 HTP (deg)</t>
  </si>
  <si>
    <t>Dihedral of kink1 HTP (deg)</t>
  </si>
  <si>
    <t>Dihedral of kink2 HTP (deg)</t>
  </si>
  <si>
    <t>Sweep of kink1 can (deg)</t>
  </si>
  <si>
    <t>Sweep of kink2 can (deg)</t>
  </si>
  <si>
    <t>Dihedral of kink1 can (deg)</t>
  </si>
  <si>
    <t>Dihedral of kink2 can (deg)</t>
  </si>
  <si>
    <t>Sweep of kink1 w2 (deg)</t>
  </si>
  <si>
    <t>Sweep of kink2 w2 (deg)</t>
  </si>
  <si>
    <t>Dihedral of kink1 w2 (deg)</t>
  </si>
  <si>
    <t>Dihedral of kink2 w2 (deg)</t>
  </si>
  <si>
    <t>relative z loc of  (VTP) root chord LE position (distance from CAD refference point)</t>
  </si>
  <si>
    <t>relative y loc of  (VTP) root chord LE position (distance from CAD refference point)</t>
  </si>
  <si>
    <t>z loc of wing (VTP) tip chord LE position (distance from CAD refference point)</t>
  </si>
  <si>
    <t>d_ail</t>
  </si>
  <si>
    <t>N_m_VAR_perfo</t>
  </si>
  <si>
    <t>N_V_VAR_perfo</t>
  </si>
  <si>
    <t>dummy</t>
  </si>
  <si>
    <t>VANTUS24</t>
  </si>
  <si>
    <t>S7075_Bueno.dat</t>
  </si>
  <si>
    <t>SD8020-010-88.dat</t>
  </si>
  <si>
    <t>VANTUS24_</t>
  </si>
  <si>
    <t>CAD Offset for plotting</t>
  </si>
  <si>
    <t>x_CAD_OFSET_Plot</t>
  </si>
  <si>
    <t>CAD_Kink_Wing</t>
  </si>
  <si>
    <t>Plots Wing with the Kink</t>
  </si>
  <si>
    <t>CASE22</t>
  </si>
  <si>
    <t>Cessna208</t>
  </si>
  <si>
    <t>CASE23</t>
  </si>
  <si>
    <t>CASE24</t>
  </si>
  <si>
    <t>CASE25</t>
  </si>
  <si>
    <t>CASE26</t>
  </si>
  <si>
    <t>Future5</t>
  </si>
  <si>
    <t>Future6</t>
  </si>
  <si>
    <t>Future7</t>
  </si>
  <si>
    <t>CASE27</t>
  </si>
  <si>
    <t>CASE28</t>
  </si>
  <si>
    <t>CASE29</t>
  </si>
  <si>
    <t>CASE30</t>
  </si>
  <si>
    <t>KingAir</t>
  </si>
  <si>
    <t>Cessna208_</t>
  </si>
  <si>
    <t>KingAir350_</t>
  </si>
  <si>
    <t>Future5_</t>
  </si>
  <si>
    <t>Future6_</t>
  </si>
  <si>
    <t>Future7_</t>
  </si>
  <si>
    <t>NACA 23017_custom.dat</t>
  </si>
  <si>
    <t>NACA 23012_custom.dat</t>
  </si>
  <si>
    <t>NACA 0008_custom.dat</t>
  </si>
  <si>
    <t>High Lift Devices  - Leading  Edge (Flaps)</t>
  </si>
  <si>
    <t>High Lift Devices  - Trailing Edge</t>
  </si>
  <si>
    <t>% of Trim Tab aileron from effective wing surface - inner position</t>
  </si>
  <si>
    <t>% of Trim Tab  aileron from effective wing surface - outter position</t>
  </si>
  <si>
    <t>% of Trim Tab  elevator from effective HTP surface - inner position</t>
  </si>
  <si>
    <t>% of Trim Tab  elevator from effective HTP surface  - outter position</t>
  </si>
  <si>
    <t>K_y1_TT_ail_w1</t>
  </si>
  <si>
    <t>K_y2_TT_ail_w1</t>
  </si>
  <si>
    <t>% of Trim Tab rudder from effective VTP surface - inner position</t>
  </si>
  <si>
    <t>% of Trim Tab rudder from effective VTP surface  - outter position</t>
  </si>
  <si>
    <t>K_y1_TT_rudder_VTP</t>
  </si>
  <si>
    <t>% of Trim Tab spoiler from effective wing surface - inner position</t>
  </si>
  <si>
    <t>% of Trim Tab spoiler from effective wing surface  - outter position</t>
  </si>
  <si>
    <t>K_y1_TT_sp_w1</t>
  </si>
  <si>
    <t>K_y2_TT_sp_w1</t>
  </si>
  <si>
    <t>K_y2_TT_rudder_VTP</t>
  </si>
  <si>
    <t>Minimum Trim Tab aileron deflection</t>
  </si>
  <si>
    <t>Maximum Trim Tab  aileron deflection</t>
  </si>
  <si>
    <t>Minimum Trim Tab  elevator deflection</t>
  </si>
  <si>
    <t>Minimum Trim Tab  rudder deflection</t>
  </si>
  <si>
    <t>Maximum Trim Tab rudder deflection</t>
  </si>
  <si>
    <t>Maximum Trim Tab elevator deflection</t>
  </si>
  <si>
    <t>Maximum Trim Tab spoiler deflection</t>
  </si>
  <si>
    <t xml:space="preserve">delta_TT_ail_min </t>
  </si>
  <si>
    <t>delta_TT_ail_max</t>
  </si>
  <si>
    <t>delta_TT_ele_min</t>
  </si>
  <si>
    <t>delta_TT_ele_max</t>
  </si>
  <si>
    <t>delta_TT_rudder_min</t>
  </si>
  <si>
    <t>delta_TT_rudder_max</t>
  </si>
  <si>
    <t>delta_TT_sp_max</t>
  </si>
  <si>
    <t>delta_TT_sp_min</t>
  </si>
  <si>
    <t>cf_TT_ail</t>
  </si>
  <si>
    <t>t_c_TT_ail</t>
  </si>
  <si>
    <t>cf_TT_ele</t>
  </si>
  <si>
    <t>t_c_TT_ele</t>
  </si>
  <si>
    <t>t_c_TT_sp</t>
  </si>
  <si>
    <t>cf_TT_sp</t>
  </si>
  <si>
    <t>Thinckness 2 chord ratio associated to the  Trim Tab airfoil - aileron</t>
  </si>
  <si>
    <t>Thinckness 2 chord ratio associated to the airfoil -  Trim Tab elevator</t>
  </si>
  <si>
    <t>cf_TT_rudder</t>
  </si>
  <si>
    <t>t_c_TT_rudder</t>
  </si>
  <si>
    <t>Thinckness 2 chord ratio associated to the airfoil - Trim Tab rudder</t>
  </si>
  <si>
    <t>Thinckness 2 chord ratio associated to the airfoil - Spoiler</t>
  </si>
  <si>
    <t>d_TT_ail</t>
  </si>
  <si>
    <t>d_TT_ele</t>
  </si>
  <si>
    <t>d_TT_rudder</t>
  </si>
  <si>
    <t>d_TT_sp</t>
  </si>
  <si>
    <t>Definition of available control surface - Trim Tab elevator</t>
  </si>
  <si>
    <t>Definition of available control surface - Trim Tab rudder</t>
  </si>
  <si>
    <t>Definition of available control surface - Trim Tab Spoiler</t>
  </si>
  <si>
    <t>Definition of available control surface - Trim Tab aileron</t>
  </si>
  <si>
    <t>RPM limits (if known) - LOW LIMIT</t>
  </si>
  <si>
    <t>RPM_min</t>
  </si>
  <si>
    <t>RPM limits (if known) - HIGH LIMIT</t>
  </si>
  <si>
    <t>Ptch angle</t>
  </si>
  <si>
    <t>beta_pitch</t>
  </si>
  <si>
    <t>Use of tables of family of variable pitch propellers</t>
  </si>
  <si>
    <t>beta_variable_pitch</t>
  </si>
  <si>
    <t>VANTUS_</t>
  </si>
  <si>
    <t>STL_reading_test</t>
  </si>
  <si>
    <t>New STL Method - On test only for Cessna 208</t>
  </si>
  <si>
    <t>Number of blades</t>
  </si>
  <si>
    <t>b_prop</t>
  </si>
  <si>
    <t>%  of control surface Trim Tab aileron (chrodwise) wrt. aileron</t>
  </si>
  <si>
    <t>%  of control surface  Trim Tab elevator (chrodwise) wrt. Elevator</t>
  </si>
  <si>
    <t>%  of control surface Trim Tab rudder (chrodwise)  wrt. Rudder</t>
  </si>
  <si>
    <t>%  of control surface Spoler (chrodwise) wrt. Wing</t>
  </si>
  <si>
    <t>STABILITY_STUDY_Trim_lat_Trim_TAB</t>
  </si>
  <si>
    <t>Lateral Directional Trim - Trim Tab</t>
  </si>
  <si>
    <t>Prints plots of lateral Trim - Trim Tabs</t>
  </si>
  <si>
    <t>Minimum Trim Tab spoiler deflection</t>
  </si>
  <si>
    <t>y loc of wing (vee2) root chord LE position (distance from CAD refference point)</t>
  </si>
  <si>
    <t>y loc of wing (vee2) tip chord LE position (distance from CAD refference point)</t>
  </si>
  <si>
    <t>z loc of wing (vee2) root chord LE position (distance from CAD refference point)</t>
  </si>
  <si>
    <t>x loc of wing (vee2) root chord LE position (distance from CAD refference point)</t>
  </si>
  <si>
    <t>Sweep of vee2 (deg)</t>
  </si>
  <si>
    <t>Dihedral of vee2 (deg)</t>
  </si>
  <si>
    <t>y_loc_1R_y1_vee2_CAD</t>
  </si>
  <si>
    <t>y_loc_1R_y2_vee2_CAD</t>
  </si>
  <si>
    <t>z_loc_1R_y1_vee2_CAD</t>
  </si>
  <si>
    <t xml:space="preserve"> x_loc_1R_y1_vee2_CAD</t>
  </si>
  <si>
    <t>Lambda_LE_vee2_e</t>
  </si>
  <si>
    <t>dihedral_vee2_e</t>
  </si>
  <si>
    <t>Root Chord vee2</t>
  </si>
  <si>
    <t>Tip Chord vee2</t>
  </si>
  <si>
    <t>cR_vee2</t>
  </si>
  <si>
    <t>cT_vee2</t>
  </si>
  <si>
    <t>% of ruddervator from effective V-tail2 surface - inner position</t>
  </si>
  <si>
    <t>% of ruddervator from effective V-tail2 surface  - outter position</t>
  </si>
  <si>
    <t>cf_rudvtr2</t>
  </si>
  <si>
    <t>t_c_rudvtr2</t>
  </si>
  <si>
    <t>Selection of TXT that are used for the aerodynamic analysis (vee)- LLT</t>
  </si>
  <si>
    <t>index_vee</t>
  </si>
  <si>
    <t>Selection of TXT that are used for the aerodynamic analysis (vee2)- LLT</t>
  </si>
  <si>
    <t>index_vee2</t>
  </si>
  <si>
    <t>index_vee2_cy</t>
  </si>
  <si>
    <t>Selection of TXT that are used for the aerodynamic analysis (vee)- VLM</t>
  </si>
  <si>
    <t>index_vee_VLM</t>
  </si>
  <si>
    <t>Selection of TXT that are used for the aerodynamic analysis (vee2)- VLM</t>
  </si>
  <si>
    <t>index_vee2_VLM</t>
  </si>
  <si>
    <t>Selects the AoA of each surface relative to fuselage line (vee)</t>
  </si>
  <si>
    <t>i_vee</t>
  </si>
  <si>
    <t>Selects the AoA of each surface relative to fuselage line (vee2)</t>
  </si>
  <si>
    <t>i_vee2</t>
  </si>
  <si>
    <t>Selection of elements for theoretical polar estimation - Vtail2</t>
  </si>
  <si>
    <t>vtail2</t>
  </si>
  <si>
    <t>2 surface: wing + V-tail+V-tail</t>
  </si>
  <si>
    <t>Mass of V tail2</t>
  </si>
  <si>
    <t>m_Vee2</t>
  </si>
  <si>
    <t>Defines file to be used for the Vee2 geometry - STL</t>
  </si>
  <si>
    <t>STL_Vee2</t>
  </si>
  <si>
    <t>% AC_type = 8 - 2 surface: wing + V-tail + V-tail</t>
  </si>
  <si>
    <t>index_can</t>
  </si>
  <si>
    <t>index_HTP</t>
  </si>
  <si>
    <t>Selection of TXT that are used for the aerodynamic analysis (HTP)- LLT</t>
  </si>
  <si>
    <t>Selection of TXT that are used for the aerodynamic analysis (can)- LLT</t>
  </si>
  <si>
    <t>index_HTP_VLM</t>
  </si>
  <si>
    <t>index_can_VLM</t>
  </si>
  <si>
    <t>index_w1_cy</t>
  </si>
  <si>
    <t>index_HTP_cy</t>
  </si>
  <si>
    <t>index_can_cy</t>
  </si>
  <si>
    <t>index_VTP_cy</t>
  </si>
  <si>
    <t>Selection of TXT that are used for the aerodynamic analysis (w1-sideslip) - LLT</t>
  </si>
  <si>
    <t>Selection of TXT that are used for the aerodynamic analysis (HTP-sideslip) - LLT</t>
  </si>
  <si>
    <t>i_HTP</t>
  </si>
  <si>
    <t>i_can</t>
  </si>
  <si>
    <t>airfoil_Vee11</t>
  </si>
  <si>
    <t>airfoil_Vee12</t>
  </si>
  <si>
    <t>airfoil_Vee21</t>
  </si>
  <si>
    <t>airfoil_Vee22</t>
  </si>
  <si>
    <t>z loc of VTP kink1 chord LE position (distance from CAD refference point)</t>
  </si>
  <si>
    <t>z loc of wing (HTP) kink2 chord LE position (distance from CAD refference point)</t>
  </si>
  <si>
    <t>z_loc_1R_yB1_VTP_CAD</t>
  </si>
  <si>
    <t>z_loc_1R_yB2_VTP_CAD</t>
  </si>
  <si>
    <t>Sweep of kink1 VTP (deg)</t>
  </si>
  <si>
    <t>Sweep of kink2 TP (dVeg)</t>
  </si>
  <si>
    <t>Lambda_LE_VTP_k1_e</t>
  </si>
  <si>
    <t>Lambda_LE_VTP_k2_e</t>
  </si>
  <si>
    <t>Dihedral of kink1 VTP (deg)</t>
  </si>
  <si>
    <t>Dihedral of kink2 VTP (deg)</t>
  </si>
  <si>
    <t>dihedral_VTP_k1_e</t>
  </si>
  <si>
    <t>dihedral_VTP_k2_e</t>
  </si>
  <si>
    <t>y loc of wing (vee) kink1 chord LE position (distance from CAD refference point)</t>
  </si>
  <si>
    <t>y loc of wing (vee) kink2 chord LE position (distance from CAD refference point)</t>
  </si>
  <si>
    <t>y_loc_1R_yB1_vee_CAD</t>
  </si>
  <si>
    <t>y_loc_1R_yB2_vee_CAD</t>
  </si>
  <si>
    <t>Sweep of kink1 Vee (deg)</t>
  </si>
  <si>
    <t>Sweep of kink2 Vee (dVeg)</t>
  </si>
  <si>
    <t>Lambda_LE_vee_k1_e</t>
  </si>
  <si>
    <t>Lambda_LE_vee_k2_e</t>
  </si>
  <si>
    <t>Dihedral of kink1 Vee (deg)</t>
  </si>
  <si>
    <t>Dihedral of kink2 Vee (deg)</t>
  </si>
  <si>
    <t>dihedral_vee_k1_e</t>
  </si>
  <si>
    <t>dihedral_vee_k2_e</t>
  </si>
  <si>
    <t>y_loc_1R_yB1_vee2_CAD</t>
  </si>
  <si>
    <t>y_loc_1R_yB2_vee2_CAD</t>
  </si>
  <si>
    <t>y loc of wing (vee2) kink1 chord LE position (distance from CAD refference point)</t>
  </si>
  <si>
    <t>y loc of wing (vee2) kink2 chord LE position (distance from CAD refference point)</t>
  </si>
  <si>
    <t>Sweep of kink1 Vee2 (deg)</t>
  </si>
  <si>
    <t>Sweep of kink2 Vee2 (dVeg)</t>
  </si>
  <si>
    <t>Lambda_LE_vee2_k1_e</t>
  </si>
  <si>
    <t>Lambda_LE_vee2_k2_e</t>
  </si>
  <si>
    <t>Dihedral of kink1 Vee2 (deg)</t>
  </si>
  <si>
    <t>Dihedral of kink2 Vee2 (deg)</t>
  </si>
  <si>
    <t>dihedral_vee2_k1_e</t>
  </si>
  <si>
    <t>dihedral_vee2_k2_e</t>
  </si>
  <si>
    <t>z_loc_1R_yB1_2VTP_CAD</t>
  </si>
  <si>
    <t>z_loc_1R_yB2_2VTP_CAD</t>
  </si>
  <si>
    <t>z loc of 2VTP kink1 chord LE position (distance from CAD refference point)</t>
  </si>
  <si>
    <t>z loc of 2wing (HTP) kink2 chord LE position (distance from CAD refference point)</t>
  </si>
  <si>
    <t>Lambda_LE_2VTP_k1_e</t>
  </si>
  <si>
    <t>Lambda_LE_2VTP_k2_e</t>
  </si>
  <si>
    <t>Sweep of kink1 2VTP (deg)</t>
  </si>
  <si>
    <t>Sweep of kink2 2VTP (dVeg)</t>
  </si>
  <si>
    <t>Dihedral of kink1 2VTP (deg)</t>
  </si>
  <si>
    <t>Dihedral of kink2 2VTP (deg)</t>
  </si>
  <si>
    <t>dihedral_2VTP_k1_e</t>
  </si>
  <si>
    <t>dihedral_2VTP_k2_e</t>
  </si>
  <si>
    <t>cB_k1_VTP</t>
  </si>
  <si>
    <t>cB_k2_VTP</t>
  </si>
  <si>
    <t>Kink1 Chord VTP</t>
  </si>
  <si>
    <t>Kink2 Chord VTP</t>
  </si>
  <si>
    <t>cB_k1_vee</t>
  </si>
  <si>
    <t>cB_k2_vee</t>
  </si>
  <si>
    <t>Kink1 Chord Vee</t>
  </si>
  <si>
    <t>Kink2 Chord Vee</t>
  </si>
  <si>
    <t>cB_k1_vee2</t>
  </si>
  <si>
    <t>Kink1 Chord Vee2</t>
  </si>
  <si>
    <t>Kink2 Chord Vee2</t>
  </si>
  <si>
    <t>cB_k2_vee2</t>
  </si>
  <si>
    <t>cB_k1_2VTP</t>
  </si>
  <si>
    <t>cB_k2_2VTP</t>
  </si>
  <si>
    <t>Kink1 Chord 2VTP</t>
  </si>
  <si>
    <t>Kink2 Chord 2VTP</t>
  </si>
  <si>
    <t>Tip Chord Twin 2VTP</t>
  </si>
  <si>
    <t>K_y1_rudvtr_vee</t>
  </si>
  <si>
    <t>K_y2_rudvtr_vee</t>
  </si>
  <si>
    <t>K_y1_rudvtr_vee2</t>
  </si>
  <si>
    <t>K_y2_TT_ele_HTP</t>
  </si>
  <si>
    <t>K_y1_TT_ele_HTP</t>
  </si>
  <si>
    <t>MK84_</t>
  </si>
  <si>
    <t>d_rudvtr2</t>
  </si>
  <si>
    <t>Definition of available control surface - ruddervator2</t>
  </si>
  <si>
    <t>MK84</t>
  </si>
  <si>
    <t>MK84minusVee</t>
  </si>
  <si>
    <t>MK84B_</t>
  </si>
  <si>
    <t>datos_sin_diedro</t>
  </si>
  <si>
    <t>Uso de NACA Report 823 para estimación de datos Vtail</t>
  </si>
  <si>
    <t>write_data_der_parts</t>
  </si>
  <si>
    <t>Write Data into Excel in Der Parts</t>
  </si>
  <si>
    <r>
      <t xml:space="preserve">case </t>
    </r>
    <r>
      <rPr>
        <sz val="10"/>
        <color theme="1"/>
        <rFont val="Consolas"/>
        <family val="3"/>
      </rPr>
      <t xml:space="preserve">1 </t>
    </r>
    <r>
      <rPr>
        <sz val="10"/>
        <color rgb="FF008013"/>
        <rFont val="Consolas"/>
        <family val="3"/>
      </rPr>
      <t>% FUSE FLOW &amp; CBM</t>
    </r>
  </si>
  <si>
    <r>
      <t xml:space="preserve">case </t>
    </r>
    <r>
      <rPr>
        <sz val="10"/>
        <color theme="1"/>
        <rFont val="Consolas"/>
        <family val="3"/>
      </rPr>
      <t xml:space="preserve">2 </t>
    </r>
    <r>
      <rPr>
        <sz val="10"/>
        <color rgb="FF008013"/>
        <rFont val="Consolas"/>
        <family val="3"/>
      </rPr>
      <t>% FLOW</t>
    </r>
  </si>
  <si>
    <r>
      <t xml:space="preserve">case </t>
    </r>
    <r>
      <rPr>
        <sz val="10"/>
        <color theme="1"/>
        <rFont val="Consolas"/>
        <family val="3"/>
      </rPr>
      <t xml:space="preserve">3 </t>
    </r>
    <r>
      <rPr>
        <sz val="10"/>
        <color rgb="FF008013"/>
        <rFont val="Consolas"/>
        <family val="3"/>
      </rPr>
      <t>% CBM</t>
    </r>
  </si>
  <si>
    <t>variable_speed_weight_AP</t>
  </si>
  <si>
    <t>airfoil_can1</t>
  </si>
  <si>
    <t>airfoil_can2</t>
  </si>
  <si>
    <t>NACA_65-410_MK84.dat</t>
  </si>
  <si>
    <t>Use FLOW 5 to determine Lateral properties of aerodynamic Surfaces</t>
  </si>
  <si>
    <t>FLOW_LATERAL</t>
  </si>
  <si>
    <t>vee_MK84_Vtail.stl</t>
  </si>
  <si>
    <t>wing_MK84.stl</t>
  </si>
  <si>
    <t>AC_MK84_v2_ASCII.stl</t>
  </si>
  <si>
    <t>fuselage_MK84_v3_ASCII.stl</t>
  </si>
  <si>
    <t>SF_CAD_AC</t>
  </si>
  <si>
    <t>Defines Scaling Factor for STL files for units conversion (example mm 2 m) for the case of Aircraft</t>
  </si>
  <si>
    <t>Weight_Estimation from from - Jaleo</t>
  </si>
  <si>
    <t>HA</t>
  </si>
  <si>
    <t>FR</t>
  </si>
  <si>
    <t>wing_Hunter_Aero_ASCII.stl</t>
  </si>
  <si>
    <t>vtail_Hunter_Aero_ASCII.stl</t>
  </si>
  <si>
    <t>fuselage_Hunter_ASCII.stl</t>
  </si>
  <si>
    <t>HA_</t>
  </si>
  <si>
    <t>FR_</t>
  </si>
  <si>
    <t>AC_FR1_ASCII_v1.stl</t>
  </si>
  <si>
    <t>fuselage_FR1_ASCII_v1.stl</t>
  </si>
  <si>
    <t>Performance Analysis integrated with AP Codes - Nominal</t>
  </si>
  <si>
    <t>01_EMERGENTIA_100_</t>
  </si>
  <si>
    <t>02_EMERGENTIA_SCALED_</t>
  </si>
  <si>
    <t>03_PEPINO_XXXL_</t>
  </si>
  <si>
    <t>04_A400_</t>
  </si>
  <si>
    <t>05_WIG_</t>
  </si>
  <si>
    <t>06_MILVUS_</t>
  </si>
  <si>
    <t>07_Existing_AC</t>
  </si>
  <si>
    <t>08_E26_TAMIZ</t>
  </si>
  <si>
    <t>09_EMERGENTIA_WT2_</t>
  </si>
  <si>
    <t>10_EMERGENTIA_WT1_</t>
  </si>
  <si>
    <t>11_EMERGENTIA Manufactured</t>
  </si>
  <si>
    <t>12_ALO_</t>
  </si>
  <si>
    <t>13_ALO Fuel Cell</t>
  </si>
  <si>
    <t>14_A320-200_</t>
  </si>
  <si>
    <t>15_EMERGENTIA_v2_</t>
  </si>
  <si>
    <t>16_TARSIS 75_</t>
  </si>
  <si>
    <t>17_TARSIS 120_</t>
  </si>
  <si>
    <t>18_BAT_</t>
  </si>
  <si>
    <t>19_FALCON2000_</t>
  </si>
  <si>
    <t>20_SOLARTII_</t>
  </si>
  <si>
    <t>21_VANTUS_</t>
  </si>
  <si>
    <t>22_Cessna208_</t>
  </si>
  <si>
    <t>24_KingAir350_</t>
  </si>
  <si>
    <t>24_MK84_</t>
  </si>
  <si>
    <t>25_MK84B__</t>
  </si>
  <si>
    <t>26_HA_</t>
  </si>
  <si>
    <t>27_FR_</t>
  </si>
  <si>
    <t>..\Results\01_EMERGENTIA</t>
  </si>
  <si>
    <t>..\Results\03_PEPINO_XXXL</t>
  </si>
  <si>
    <t>..\Results\04_A400</t>
  </si>
  <si>
    <t>..\Results\05_MISC</t>
  </si>
  <si>
    <t>..\Results\06_MILVUS</t>
  </si>
  <si>
    <t>..\Results\08_E26TAMIZ</t>
  </si>
  <si>
    <t>..\Results\01_EMERGENTIA_WT2</t>
  </si>
  <si>
    <t>..\Results\01_EMERGENTIA_WT1</t>
  </si>
  <si>
    <t>..\Results\11_EMERGENTIA_Manufactured</t>
  </si>
  <si>
    <t>..\Results\12_ALO</t>
  </si>
  <si>
    <t>..\Results\13_ALO_Fuel_Cell</t>
  </si>
  <si>
    <t>..\Results\14_ONEiRE</t>
  </si>
  <si>
    <t>..\Results\15_EMERGENTIA_v2</t>
  </si>
  <si>
    <t>..\Results\16_TARSIS_75</t>
  </si>
  <si>
    <t>..\Results\17_TARSIS_120</t>
  </si>
  <si>
    <t>..\Results\18_BAT</t>
  </si>
  <si>
    <t>..\Results\19_FALCON2000</t>
  </si>
  <si>
    <t>..\Results\20_SOLARTII</t>
  </si>
  <si>
    <t>..\Results\21_VANTUS</t>
  </si>
  <si>
    <t>..\Results\22_Cessna208</t>
  </si>
  <si>
    <t>..\Results\23_KingAir350</t>
  </si>
  <si>
    <t>..\Results\24_MK84</t>
  </si>
  <si>
    <t>..\Results\25_MK84B</t>
  </si>
  <si>
    <t>..\Results\26_HA</t>
  </si>
  <si>
    <t>..\Results\27_FR</t>
  </si>
  <si>
    <t>..\Results\28_Future5</t>
  </si>
  <si>
    <t>..\Results\29_Future6</t>
  </si>
  <si>
    <t>..\Results\30_Future7</t>
  </si>
  <si>
    <t>Variable Mass and Speed Performance Studies - Electric</t>
  </si>
  <si>
    <t>Variable Mass and Speed Performance Studies - Fuel</t>
  </si>
  <si>
    <t>variable_speed_weight_AP_fuel</t>
  </si>
  <si>
    <t>Plots Generated Geometry</t>
  </si>
  <si>
    <t>AC_generated</t>
  </si>
  <si>
    <t>Plots Cad Original Aircraft</t>
  </si>
  <si>
    <t>AC_original</t>
  </si>
  <si>
    <t>AC_Cessna208_ASCII_v3.stl</t>
  </si>
  <si>
    <t>AC_Beechcraft_King_Air_350i_ASCII_v1.stl</t>
  </si>
  <si>
    <t>fuselage_KingAir_ASCII_v4.stl</t>
  </si>
  <si>
    <t>Kink1 Chord HTP</t>
  </si>
  <si>
    <t>Kink2 Chord HTP</t>
  </si>
  <si>
    <t>Glid Performance Variable Speed - Altitude</t>
  </si>
  <si>
    <t>variable_speed_altitude_AP_Glide</t>
  </si>
  <si>
    <t>Prints plots of Performance Glide for Variable h and V</t>
  </si>
  <si>
    <t>variable_speed_altitude_AP_MAXGlide</t>
  </si>
  <si>
    <t>Prints plots of Performance Glide for Variable h Max</t>
  </si>
  <si>
    <t>variable_speed_altitude_AP</t>
  </si>
  <si>
    <t>Glid Performance Variable Speed - Altitude - Glide</t>
  </si>
  <si>
    <t>Glid Performance Variable Speed - Altitude - Glide Max</t>
  </si>
  <si>
    <t>Prints plots of Performance for Variable h and V</t>
  </si>
  <si>
    <t>Prints plots of Performance for Variable V and mass - Electric</t>
  </si>
  <si>
    <t>Fuselaje_VANTUS_ASCII.stl</t>
  </si>
  <si>
    <t>AC_CIRIO I_STL_ASCII_v2.stl</t>
  </si>
  <si>
    <t>AC_HA_ASCII_v0.stl</t>
  </si>
  <si>
    <t>fuselage_Cessna208_ASCII_v6.stl</t>
  </si>
  <si>
    <t>0.001</t>
  </si>
  <si>
    <t>AC_Milvus_ASCII_v6.stl</t>
  </si>
  <si>
    <t>fuselage_Milvus_ASCII_v4.stl</t>
  </si>
  <si>
    <t>Use_Storing_DATA</t>
  </si>
  <si>
    <t>Use Storing Data rather that reading again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</si>
</sst>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3" borderId="0" applyNumberFormat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left"/>
    </xf>
    <xf numFmtId="0" fontId="0" fillId="5" borderId="3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/>
    <xf numFmtId="11" fontId="0" fillId="5" borderId="1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8" borderId="3" xfId="0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1" fontId="0" fillId="10" borderId="1" xfId="0" applyNumberFormat="1" applyFill="1" applyBorder="1"/>
    <xf numFmtId="0" fontId="0" fillId="11" borderId="0" xfId="0" applyFill="1"/>
    <xf numFmtId="0" fontId="0" fillId="11" borderId="3" xfId="0" applyFill="1" applyBorder="1"/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0" xfId="0" applyFill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6" borderId="0" xfId="0" applyFill="1"/>
    <xf numFmtId="2" fontId="0" fillId="16" borderId="1" xfId="0" applyNumberFormat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0" xfId="0" applyFill="1"/>
    <xf numFmtId="0" fontId="2" fillId="17" borderId="1" xfId="0" applyFont="1" applyFill="1" applyBorder="1"/>
    <xf numFmtId="2" fontId="0" fillId="17" borderId="1" xfId="0" applyNumberFormat="1" applyFill="1" applyBorder="1"/>
    <xf numFmtId="0" fontId="1" fillId="0" borderId="4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18" borderId="1" xfId="0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18" borderId="1" xfId="0" applyFill="1" applyBorder="1"/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5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164" fontId="0" fillId="22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23" borderId="1" xfId="1" applyBorder="1"/>
    <xf numFmtId="3" fontId="0" fillId="5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2" fillId="18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24" borderId="1" xfId="0" applyFill="1" applyBorder="1"/>
    <xf numFmtId="0" fontId="0" fillId="25" borderId="1" xfId="0" applyFill="1" applyBorder="1"/>
    <xf numFmtId="0" fontId="0" fillId="24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5" fillId="6" borderId="1" xfId="1" applyFill="1" applyBorder="1"/>
    <xf numFmtId="0" fontId="5" fillId="21" borderId="1" xfId="1" applyFill="1" applyBorder="1"/>
    <xf numFmtId="0" fontId="0" fillId="26" borderId="1" xfId="0" applyFill="1" applyBorder="1" applyAlignment="1">
      <alignment horizontal="center" vertical="center"/>
    </xf>
    <xf numFmtId="11" fontId="0" fillId="2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8" fillId="20" borderId="1" xfId="0" applyNumberFormat="1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164" fontId="7" fillId="19" borderId="1" xfId="0" applyNumberFormat="1" applyFont="1" applyFill="1" applyBorder="1" applyAlignment="1">
      <alignment horizontal="center" vertical="center"/>
    </xf>
    <xf numFmtId="164" fontId="7" fillId="21" borderId="1" xfId="0" applyNumberFormat="1" applyFont="1" applyFill="1" applyBorder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164" fontId="7" fillId="22" borderId="1" xfId="0" applyNumberFormat="1" applyFont="1" applyFill="1" applyBorder="1" applyAlignment="1">
      <alignment horizontal="center" vertical="center"/>
    </xf>
    <xf numFmtId="164" fontId="2" fillId="2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3"/>
    </xf>
    <xf numFmtId="0" fontId="0" fillId="27" borderId="1" xfId="0" applyFill="1" applyBorder="1"/>
    <xf numFmtId="0" fontId="0" fillId="27" borderId="1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1" fontId="0" fillId="22" borderId="1" xfId="0" applyNumberForma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3" fontId="0" fillId="22" borderId="1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164" fontId="11" fillId="22" borderId="1" xfId="0" applyNumberFormat="1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 vertical="center"/>
    </xf>
    <xf numFmtId="164" fontId="12" fillId="20" borderId="1" xfId="0" applyNumberFormat="1" applyFont="1" applyFill="1" applyBorder="1" applyAlignment="1">
      <alignment horizontal="center" vertical="center"/>
    </xf>
    <xf numFmtId="164" fontId="12" fillId="18" borderId="1" xfId="0" applyNumberFormat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/>
    </xf>
    <xf numFmtId="164" fontId="13" fillId="19" borderId="1" xfId="0" applyNumberFormat="1" applyFont="1" applyFill="1" applyBorder="1" applyAlignment="1">
      <alignment horizontal="center" vertical="center"/>
    </xf>
    <xf numFmtId="164" fontId="12" fillId="22" borderId="1" xfId="0" applyNumberFormat="1" applyFont="1" applyFill="1" applyBorder="1" applyAlignment="1">
      <alignment horizontal="center" vertical="center"/>
    </xf>
    <xf numFmtId="164" fontId="13" fillId="22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1" fillId="18" borderId="1" xfId="0" applyNumberFormat="1" applyFont="1" applyFill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21" borderId="1" xfId="0" applyNumberFormat="1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CCECFF"/>
      <color rgb="FF33CCFF"/>
      <color rgb="FF0099CC"/>
      <color rgb="FF0066FF"/>
      <color rgb="FFCC99FF"/>
      <color rgb="FF3399FF"/>
      <color rgb="FF9999FF"/>
      <color rgb="FF99CCFF"/>
      <color rgb="FF66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ergio\Desktop\SANAID_AIRCRAFT_DATA_v11_JESUS%2004-12-2024.xlsx" TargetMode="External"/><Relationship Id="rId1" Type="http://schemas.openxmlformats.org/officeDocument/2006/relationships/externalLinkPath" Target="/Sergio/Desktop/SANAID_AIRCRAFT_DATA_v11_JESUS%2004-12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MATLAB"/>
      <sheetName val="2Studies"/>
      <sheetName val="3AC_Data"/>
      <sheetName val="4Propulsion"/>
      <sheetName val="5Weights"/>
      <sheetName val="6CAD_data"/>
      <sheetName val="7Performance"/>
      <sheetName val="8AeroA"/>
      <sheetName val="8AeroB"/>
      <sheetName val="9Stability"/>
      <sheetName val="10Configuration"/>
      <sheetName val="11InputGeometry"/>
      <sheetName val="12Plots"/>
      <sheetName val="13InputPerforInitial"/>
      <sheetName val="14PerfoMision_Selection"/>
      <sheetName val="15PerformanceVariable"/>
      <sheetName val="16PerformanceVariable3"/>
      <sheetName val="Units"/>
      <sheetName val="Prop_limit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G6">
            <v>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C4C1-8841-4C22-A575-770BEE1A97D0}">
  <sheetPr codeName="Sheet1"/>
  <dimension ref="B2:E27"/>
  <sheetViews>
    <sheetView workbookViewId="0">
      <selection activeCell="D10" sqref="D10"/>
    </sheetView>
  </sheetViews>
  <sheetFormatPr baseColWidth="10" defaultColWidth="11.42578125" defaultRowHeight="15" x14ac:dyDescent="0.25"/>
  <cols>
    <col min="1" max="1" width="3" customWidth="1"/>
    <col min="2" max="2" width="35.5703125" bestFit="1" customWidth="1"/>
    <col min="3" max="3" width="33.28515625" bestFit="1" customWidth="1"/>
    <col min="4" max="4" width="9.28515625" bestFit="1" customWidth="1"/>
    <col min="5" max="5" width="9.28515625" customWidth="1"/>
    <col min="6" max="6" width="35.5703125" bestFit="1" customWidth="1"/>
    <col min="7" max="7" width="35.5703125" customWidth="1"/>
    <col min="8" max="8" width="22.5703125" bestFit="1" customWidth="1"/>
    <col min="9" max="9" width="31.7109375" bestFit="1" customWidth="1"/>
    <col min="10" max="10" width="20" bestFit="1" customWidth="1"/>
    <col min="11" max="11" width="33.28515625" bestFit="1" customWidth="1"/>
  </cols>
  <sheetData>
    <row r="2" spans="2:5" x14ac:dyDescent="0.25">
      <c r="C2" s="2" t="s">
        <v>17</v>
      </c>
      <c r="D2" s="3" t="s">
        <v>8</v>
      </c>
      <c r="E2" s="1"/>
    </row>
    <row r="3" spans="2:5" x14ac:dyDescent="0.25">
      <c r="B3" s="2" t="s">
        <v>1</v>
      </c>
      <c r="C3" s="2" t="s">
        <v>5</v>
      </c>
      <c r="D3" s="4">
        <v>0</v>
      </c>
    </row>
    <row r="4" spans="2:5" x14ac:dyDescent="0.25">
      <c r="B4" s="2" t="s">
        <v>0</v>
      </c>
      <c r="C4" s="2" t="s">
        <v>6</v>
      </c>
      <c r="D4" s="4">
        <v>0</v>
      </c>
    </row>
    <row r="5" spans="2:5" x14ac:dyDescent="0.25">
      <c r="B5" s="2" t="s">
        <v>27</v>
      </c>
      <c r="C5" s="2" t="s">
        <v>7</v>
      </c>
      <c r="D5" s="4">
        <v>0</v>
      </c>
    </row>
    <row r="6" spans="2:5" x14ac:dyDescent="0.25">
      <c r="B6" s="2" t="s">
        <v>657</v>
      </c>
      <c r="C6" s="2" t="s">
        <v>658</v>
      </c>
      <c r="D6" s="4">
        <v>1</v>
      </c>
    </row>
    <row r="7" spans="2:5" x14ac:dyDescent="0.25">
      <c r="B7" s="2" t="s">
        <v>919</v>
      </c>
      <c r="C7" s="90" t="s">
        <v>920</v>
      </c>
      <c r="D7" s="4">
        <v>1</v>
      </c>
    </row>
    <row r="8" spans="2:5" x14ac:dyDescent="0.25">
      <c r="B8" s="89" t="s">
        <v>1189</v>
      </c>
      <c r="C8" s="2" t="s">
        <v>1190</v>
      </c>
      <c r="D8" s="4">
        <v>1</v>
      </c>
    </row>
    <row r="9" spans="2:5" x14ac:dyDescent="0.25">
      <c r="B9" s="89" t="s">
        <v>1625</v>
      </c>
      <c r="C9" s="2" t="s">
        <v>1624</v>
      </c>
      <c r="D9" s="4">
        <v>1</v>
      </c>
    </row>
    <row r="10" spans="2:5" x14ac:dyDescent="0.25">
      <c r="B10" s="89"/>
      <c r="C10" s="89"/>
      <c r="D10" s="5"/>
    </row>
    <row r="11" spans="2:5" x14ac:dyDescent="0.25">
      <c r="B11" s="186" t="s">
        <v>2</v>
      </c>
      <c r="C11" s="186"/>
    </row>
    <row r="12" spans="2:5" x14ac:dyDescent="0.25">
      <c r="B12" s="2" t="str">
        <f>+B3</f>
        <v>Plot incompatibility with older version</v>
      </c>
      <c r="C12" s="2" t="s">
        <v>9</v>
      </c>
    </row>
    <row r="13" spans="2:5" x14ac:dyDescent="0.25">
      <c r="B13" s="4">
        <v>0</v>
      </c>
      <c r="C13" s="2" t="s">
        <v>11</v>
      </c>
    </row>
    <row r="14" spans="2:5" x14ac:dyDescent="0.25">
      <c r="B14" s="4">
        <v>1</v>
      </c>
      <c r="C14" s="2" t="s">
        <v>10</v>
      </c>
    </row>
    <row r="15" spans="2:5" x14ac:dyDescent="0.25">
      <c r="B15" s="2" t="str">
        <f>+B4</f>
        <v>Check Efficiency of code</v>
      </c>
      <c r="C15" s="2" t="s">
        <v>9</v>
      </c>
    </row>
    <row r="16" spans="2:5" x14ac:dyDescent="0.25">
      <c r="B16" s="3">
        <v>0</v>
      </c>
      <c r="C16" s="2" t="s">
        <v>12</v>
      </c>
    </row>
    <row r="17" spans="2:3" x14ac:dyDescent="0.25">
      <c r="B17" s="3">
        <v>1</v>
      </c>
      <c r="C17" s="2" t="s">
        <v>13</v>
      </c>
    </row>
    <row r="18" spans="2:3" x14ac:dyDescent="0.25">
      <c r="B18" s="2" t="str">
        <f>+B5</f>
        <v>Detailed Profile Study</v>
      </c>
      <c r="C18" s="2" t="s">
        <v>9</v>
      </c>
    </row>
    <row r="19" spans="2:3" x14ac:dyDescent="0.25">
      <c r="B19" s="3">
        <v>0</v>
      </c>
      <c r="C19" s="2" t="s">
        <v>14</v>
      </c>
    </row>
    <row r="20" spans="2:3" x14ac:dyDescent="0.25">
      <c r="B20" s="3">
        <v>1</v>
      </c>
      <c r="C20" s="2" t="s">
        <v>15</v>
      </c>
    </row>
    <row r="21" spans="2:3" x14ac:dyDescent="0.25">
      <c r="B21" s="2" t="str">
        <f>+B6</f>
        <v>Storing MAT Data</v>
      </c>
      <c r="C21" s="2" t="s">
        <v>9</v>
      </c>
    </row>
    <row r="22" spans="2:3" x14ac:dyDescent="0.25">
      <c r="B22" s="3">
        <v>0</v>
      </c>
      <c r="C22" s="2" t="s">
        <v>660</v>
      </c>
    </row>
    <row r="23" spans="2:3" x14ac:dyDescent="0.25">
      <c r="B23" s="3">
        <v>1</v>
      </c>
      <c r="C23" s="2" t="s">
        <v>659</v>
      </c>
    </row>
    <row r="26" spans="2:3" x14ac:dyDescent="0.25">
      <c r="B26" t="s">
        <v>28</v>
      </c>
    </row>
    <row r="27" spans="2:3" x14ac:dyDescent="0.25">
      <c r="B27" t="s">
        <v>29</v>
      </c>
    </row>
  </sheetData>
  <mergeCells count="1">
    <mergeCell ref="B11:C11"/>
  </mergeCells>
  <dataValidations count="3">
    <dataValidation type="list" allowBlank="1" showInputMessage="1" showErrorMessage="1" sqref="D3" xr:uid="{BB301F3B-EBE3-4A31-B055-6461FA84677B}">
      <formula1>$B$13:$B$14</formula1>
    </dataValidation>
    <dataValidation type="list" allowBlank="1" showInputMessage="1" showErrorMessage="1" sqref="D4" xr:uid="{0E73B9B9-9479-4140-9A46-F5384446F53C}">
      <formula1>$B$16:$B$17</formula1>
    </dataValidation>
    <dataValidation type="list" allowBlank="1" showInputMessage="1" showErrorMessage="1" sqref="D5:D6" xr:uid="{59AA55EC-990C-4CC9-A82F-45D02F3E14D7}">
      <formula1>$B$19:$B$20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0E44-477E-4128-B188-345622106EC5}">
  <sheetPr codeName="Sheet9"/>
  <dimension ref="A1:AK68"/>
  <sheetViews>
    <sheetView zoomScale="90" zoomScaleNormal="90" workbookViewId="0">
      <selection activeCell="C21" sqref="C21"/>
    </sheetView>
  </sheetViews>
  <sheetFormatPr baseColWidth="10" defaultColWidth="11.42578125" defaultRowHeight="15" x14ac:dyDescent="0.25"/>
  <cols>
    <col min="1" max="1" width="2.85546875" customWidth="1"/>
    <col min="2" max="2" width="73.7109375" bestFit="1" customWidth="1"/>
    <col min="3" max="3" width="62.42578125" bestFit="1" customWidth="1"/>
    <col min="7" max="7" width="13.5703125" bestFit="1" customWidth="1"/>
    <col min="8" max="9" width="11.42578125" hidden="1" customWidth="1"/>
    <col min="10" max="28" width="11.42578125" customWidth="1"/>
  </cols>
  <sheetData>
    <row r="1" spans="2:37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6" t="s">
        <v>17</v>
      </c>
      <c r="D2" s="34" t="s">
        <v>8</v>
      </c>
      <c r="E2" s="3" t="s">
        <v>298</v>
      </c>
      <c r="F2" s="3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234</v>
      </c>
      <c r="C3" s="2" t="s">
        <v>235</v>
      </c>
      <c r="D3" s="36">
        <f t="shared" ref="D3:D20" si="0">+G3*E3</f>
        <v>25</v>
      </c>
      <c r="E3" s="4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25</v>
      </c>
      <c r="H3" s="24">
        <v>10</v>
      </c>
      <c r="I3" s="24">
        <v>10</v>
      </c>
      <c r="J3" s="24">
        <v>25</v>
      </c>
      <c r="K3" s="24">
        <v>25</v>
      </c>
      <c r="L3" s="24">
        <v>25</v>
      </c>
      <c r="M3" s="24">
        <v>25</v>
      </c>
      <c r="N3" s="24">
        <v>25</v>
      </c>
      <c r="O3" s="24">
        <v>25</v>
      </c>
      <c r="P3" s="24">
        <v>10</v>
      </c>
      <c r="Q3" s="24">
        <v>10</v>
      </c>
      <c r="R3" s="24">
        <v>20</v>
      </c>
      <c r="S3" s="24">
        <v>10</v>
      </c>
      <c r="T3" s="24">
        <v>10</v>
      </c>
      <c r="U3" s="24">
        <v>10</v>
      </c>
      <c r="V3" s="24">
        <v>25</v>
      </c>
      <c r="W3" s="24">
        <v>25</v>
      </c>
      <c r="X3" s="24">
        <v>25</v>
      </c>
      <c r="Y3" s="24">
        <v>25</v>
      </c>
      <c r="Z3" s="24">
        <v>10</v>
      </c>
      <c r="AA3" s="24">
        <v>25</v>
      </c>
      <c r="AB3" s="24">
        <v>15</v>
      </c>
      <c r="AC3" s="24">
        <v>15</v>
      </c>
      <c r="AD3" s="24">
        <v>15</v>
      </c>
      <c r="AE3" s="137">
        <v>25</v>
      </c>
      <c r="AF3" s="24">
        <v>25</v>
      </c>
      <c r="AG3" s="97">
        <v>25</v>
      </c>
      <c r="AH3" s="41">
        <v>25</v>
      </c>
      <c r="AI3" s="24">
        <v>10</v>
      </c>
      <c r="AJ3" s="24">
        <v>10</v>
      </c>
      <c r="AK3" s="24">
        <v>10</v>
      </c>
    </row>
    <row r="4" spans="2:37" x14ac:dyDescent="0.25">
      <c r="B4" s="2" t="s">
        <v>526</v>
      </c>
      <c r="C4" s="2" t="s">
        <v>527</v>
      </c>
      <c r="D4" s="36">
        <f t="shared" si="0"/>
        <v>0</v>
      </c>
      <c r="E4" s="4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1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137">
        <v>0</v>
      </c>
      <c r="AF4" s="24">
        <v>0</v>
      </c>
      <c r="AG4" s="97">
        <v>0</v>
      </c>
      <c r="AH4" s="41">
        <v>0</v>
      </c>
      <c r="AI4" s="24">
        <v>0</v>
      </c>
      <c r="AJ4" s="24">
        <v>0</v>
      </c>
      <c r="AK4" s="24">
        <v>0</v>
      </c>
    </row>
    <row r="5" spans="2:37" x14ac:dyDescent="0.25">
      <c r="B5" s="2" t="s">
        <v>601</v>
      </c>
      <c r="C5" s="2" t="s">
        <v>604</v>
      </c>
      <c r="D5" s="36">
        <f t="shared" si="0"/>
        <v>1</v>
      </c>
      <c r="E5" s="4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14">
        <v>1</v>
      </c>
      <c r="AF5" s="21">
        <v>1</v>
      </c>
      <c r="AG5" s="93">
        <v>1</v>
      </c>
      <c r="AH5" s="168">
        <v>1</v>
      </c>
      <c r="AI5" s="21">
        <v>1</v>
      </c>
      <c r="AJ5" s="21">
        <v>1</v>
      </c>
      <c r="AK5" s="21">
        <v>1</v>
      </c>
    </row>
    <row r="6" spans="2:37" x14ac:dyDescent="0.25">
      <c r="B6" s="2" t="s">
        <v>606</v>
      </c>
      <c r="C6" s="2" t="s">
        <v>605</v>
      </c>
      <c r="D6" s="36">
        <f t="shared" si="0"/>
        <v>2</v>
      </c>
      <c r="E6" s="4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2</v>
      </c>
      <c r="H6" s="21">
        <v>2</v>
      </c>
      <c r="I6" s="21">
        <v>2</v>
      </c>
      <c r="J6" s="21">
        <v>2</v>
      </c>
      <c r="K6" s="21">
        <v>2</v>
      </c>
      <c r="L6" s="21">
        <v>2</v>
      </c>
      <c r="M6" s="21">
        <v>2</v>
      </c>
      <c r="N6" s="21">
        <v>2</v>
      </c>
      <c r="O6" s="21">
        <v>2</v>
      </c>
      <c r="P6" s="21">
        <v>2</v>
      </c>
      <c r="Q6" s="21">
        <v>2</v>
      </c>
      <c r="R6" s="21">
        <v>2</v>
      </c>
      <c r="S6" s="21">
        <v>2</v>
      </c>
      <c r="T6" s="21">
        <v>2</v>
      </c>
      <c r="U6" s="21">
        <v>2</v>
      </c>
      <c r="V6" s="21">
        <v>2</v>
      </c>
      <c r="W6" s="21">
        <v>2</v>
      </c>
      <c r="X6" s="21">
        <v>2</v>
      </c>
      <c r="Y6" s="21">
        <v>2</v>
      </c>
      <c r="Z6" s="21">
        <v>2</v>
      </c>
      <c r="AA6" s="21">
        <v>2</v>
      </c>
      <c r="AB6" s="21">
        <v>2</v>
      </c>
      <c r="AC6" s="21">
        <v>2</v>
      </c>
      <c r="AD6" s="21">
        <v>2</v>
      </c>
      <c r="AE6" s="14">
        <v>2</v>
      </c>
      <c r="AF6" s="21">
        <v>2</v>
      </c>
      <c r="AG6" s="93">
        <v>2</v>
      </c>
      <c r="AH6" s="168">
        <v>2</v>
      </c>
      <c r="AI6" s="21">
        <v>2</v>
      </c>
      <c r="AJ6" s="21">
        <v>2</v>
      </c>
      <c r="AK6" s="21">
        <v>2</v>
      </c>
    </row>
    <row r="7" spans="2:37" x14ac:dyDescent="0.25">
      <c r="B7" s="2" t="s">
        <v>611</v>
      </c>
      <c r="C7" s="2" t="s">
        <v>610</v>
      </c>
      <c r="D7" s="36">
        <f t="shared" si="0"/>
        <v>0</v>
      </c>
      <c r="E7" s="4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14">
        <v>0</v>
      </c>
      <c r="AF7" s="21">
        <v>0</v>
      </c>
      <c r="AG7" s="93">
        <v>0</v>
      </c>
      <c r="AH7" s="168">
        <v>0</v>
      </c>
      <c r="AI7" s="21">
        <v>0</v>
      </c>
      <c r="AJ7" s="21">
        <v>0</v>
      </c>
      <c r="AK7" s="21">
        <v>0</v>
      </c>
    </row>
    <row r="8" spans="2:37" x14ac:dyDescent="0.25">
      <c r="B8" s="2" t="s">
        <v>614</v>
      </c>
      <c r="C8" s="2" t="s">
        <v>615</v>
      </c>
      <c r="D8" s="36">
        <f t="shared" si="0"/>
        <v>25.5</v>
      </c>
      <c r="E8" s="4">
        <v>1</v>
      </c>
      <c r="F8" s="3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25.5</v>
      </c>
      <c r="H8" s="21">
        <f>+'7Performance'!H6*0.85</f>
        <v>25.5</v>
      </c>
      <c r="I8" s="21">
        <f>+'7Performance'!I6*0.85</f>
        <v>25.5</v>
      </c>
      <c r="J8" s="21">
        <f>+'7Performance'!J6*0.85</f>
        <v>51</v>
      </c>
      <c r="K8" s="21">
        <f>+'7Performance'!K6*0.85</f>
        <v>25.5</v>
      </c>
      <c r="L8" s="21">
        <f>+'7Performance'!L6*0.85</f>
        <v>25.5</v>
      </c>
      <c r="M8" s="21">
        <f>+'7Performance'!M6*0.85</f>
        <v>25.5</v>
      </c>
      <c r="N8" s="21">
        <f>+'7Performance'!N6*0.85</f>
        <v>25.5</v>
      </c>
      <c r="O8" s="21">
        <f>+'7Performance'!O6*0.85</f>
        <v>25.5</v>
      </c>
      <c r="P8" s="21">
        <f>+'7Performance'!P6*0.85</f>
        <v>12.75</v>
      </c>
      <c r="Q8" s="21">
        <f>+'7Performance'!Q6*0.85</f>
        <v>12.75</v>
      </c>
      <c r="R8" s="21">
        <f>+'7Performance'!R6*0.85</f>
        <v>12.75</v>
      </c>
      <c r="S8" s="21">
        <f>+'7Performance'!S6*0.85</f>
        <v>27.2</v>
      </c>
      <c r="T8" s="21">
        <f>+'7Performance'!T6*0.85</f>
        <v>27.2</v>
      </c>
      <c r="U8" s="21">
        <f>+'7Performance'!U6*0.85</f>
        <v>139.4</v>
      </c>
      <c r="V8" s="21">
        <f>+'7Performance'!V6*0.85</f>
        <v>12.75</v>
      </c>
      <c r="W8" s="21">
        <f>+'7Performance'!W6*0.85</f>
        <v>25.5</v>
      </c>
      <c r="X8" s="21">
        <f>+'7Performance'!X6*0.85</f>
        <v>28.151999999999997</v>
      </c>
      <c r="Y8" s="21">
        <f>+'7Performance'!Y6*0.85</f>
        <v>28.151999999999997</v>
      </c>
      <c r="Z8" s="21">
        <f>+'7Performance'!Z6*0.85</f>
        <v>17</v>
      </c>
      <c r="AA8" s="21">
        <f>+'7Performance'!AA6*0.85</f>
        <v>12.75</v>
      </c>
      <c r="AB8" s="21">
        <f>+'7Performance'!AB6*0.85</f>
        <v>13.6</v>
      </c>
      <c r="AC8" s="21">
        <f>+'7Performance'!AC6*0.85</f>
        <v>76.5</v>
      </c>
      <c r="AD8" s="21">
        <f>+'7Performance'!AD6*0.85</f>
        <v>76.5</v>
      </c>
      <c r="AE8" s="14">
        <f>+'7Performance'!AE6*0.85</f>
        <v>170</v>
      </c>
      <c r="AF8" s="21">
        <f>+'7Performance'!AF6*0.85</f>
        <v>51</v>
      </c>
      <c r="AG8" s="93">
        <f>+'[1]7Performance'!AG6*0.85</f>
        <v>25.5</v>
      </c>
      <c r="AH8" s="93">
        <f>+'7Performance'!AH6*0.85</f>
        <v>148.75</v>
      </c>
      <c r="AI8" s="21">
        <f>+'7Performance'!AI6*0.85</f>
        <v>139.4</v>
      </c>
      <c r="AJ8" s="21">
        <f>+'7Performance'!AJ6*0.85</f>
        <v>139.4</v>
      </c>
      <c r="AK8" s="21">
        <f>+'7Performance'!AK6*0.85</f>
        <v>139.4</v>
      </c>
    </row>
    <row r="9" spans="2:37" x14ac:dyDescent="0.25">
      <c r="B9" s="2" t="s">
        <v>1241</v>
      </c>
      <c r="C9" s="2" t="s">
        <v>599</v>
      </c>
      <c r="D9" s="36">
        <f t="shared" si="0"/>
        <v>37.5</v>
      </c>
      <c r="E9" s="4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37.5</v>
      </c>
      <c r="H9" s="21">
        <f>+'7Performance'!H6*1.25</f>
        <v>37.5</v>
      </c>
      <c r="I9" s="21">
        <f>+'7Performance'!I6*1.25</f>
        <v>37.5</v>
      </c>
      <c r="J9" s="21">
        <f>+'7Performance'!J6*1.25</f>
        <v>75</v>
      </c>
      <c r="K9" s="21">
        <f>+'7Performance'!K6*1.25</f>
        <v>37.5</v>
      </c>
      <c r="L9" s="21">
        <f>+'7Performance'!L6*1.25</f>
        <v>37.5</v>
      </c>
      <c r="M9" s="21">
        <f>+'7Performance'!M6*1.25</f>
        <v>37.5</v>
      </c>
      <c r="N9" s="21">
        <f>+'7Performance'!N6*1.25</f>
        <v>37.5</v>
      </c>
      <c r="O9" s="21">
        <f>+'7Performance'!O6*1.25</f>
        <v>37.5</v>
      </c>
      <c r="P9" s="21">
        <f>+'7Performance'!P6*1.25</f>
        <v>18.75</v>
      </c>
      <c r="Q9" s="21">
        <f>+'7Performance'!Q6*1.25</f>
        <v>18.75</v>
      </c>
      <c r="R9" s="21">
        <f>+'7Performance'!R6*1.25</f>
        <v>18.75</v>
      </c>
      <c r="S9" s="21">
        <f>+'7Performance'!S6*1.25</f>
        <v>40</v>
      </c>
      <c r="T9" s="21">
        <f>+'7Performance'!T6*1.25</f>
        <v>40</v>
      </c>
      <c r="U9" s="21">
        <f>+'7Performance'!U6*1.25</f>
        <v>205</v>
      </c>
      <c r="V9" s="21">
        <f>+'7Performance'!V6*1.25</f>
        <v>18.75</v>
      </c>
      <c r="W9" s="21">
        <f>+'7Performance'!W6*1.25</f>
        <v>37.5</v>
      </c>
      <c r="X9" s="21">
        <f>+'7Performance'!X6*1.25</f>
        <v>41.4</v>
      </c>
      <c r="Y9" s="21">
        <f>+'7Performance'!Y6*1.25</f>
        <v>41.4</v>
      </c>
      <c r="Z9" s="21">
        <f>+'7Performance'!Z6*1.25</f>
        <v>25</v>
      </c>
      <c r="AA9" s="21">
        <f>+'7Performance'!AA6*1.25</f>
        <v>18.75</v>
      </c>
      <c r="AB9" s="21">
        <f>+'7Performance'!AB6*1.75</f>
        <v>28</v>
      </c>
      <c r="AC9" s="21">
        <f>+'7Performance'!AC6*1.25</f>
        <v>112.5</v>
      </c>
      <c r="AD9" s="21">
        <f>+'7Performance'!AD6*1.25</f>
        <v>112.5</v>
      </c>
      <c r="AE9" s="14">
        <f>+'7Performance'!AE6*1.25</f>
        <v>250</v>
      </c>
      <c r="AF9" s="21">
        <f>+'7Performance'!AF6*1.25</f>
        <v>75</v>
      </c>
      <c r="AG9" s="93">
        <f>+'[1]7Performance'!AG6*1.25</f>
        <v>37.5</v>
      </c>
      <c r="AH9" s="93">
        <f>+'7Performance'!AH6*1.25</f>
        <v>218.75</v>
      </c>
      <c r="AI9" s="21">
        <f>+'7Performance'!AI6*1.25</f>
        <v>205</v>
      </c>
      <c r="AJ9" s="21">
        <f>+'7Performance'!AJ6*1.25</f>
        <v>205</v>
      </c>
      <c r="AK9" s="21">
        <f>+'7Performance'!AK6*1.25</f>
        <v>205</v>
      </c>
    </row>
    <row r="10" spans="2:37" x14ac:dyDescent="0.25">
      <c r="B10" s="2" t="s">
        <v>617</v>
      </c>
      <c r="C10" s="2" t="s">
        <v>616</v>
      </c>
      <c r="D10" s="36">
        <v>10</v>
      </c>
      <c r="E10" s="4">
        <v>1</v>
      </c>
      <c r="F10" s="3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10</v>
      </c>
      <c r="H10" s="21">
        <v>10</v>
      </c>
      <c r="I10" s="21">
        <v>10</v>
      </c>
      <c r="J10" s="21">
        <v>10</v>
      </c>
      <c r="K10" s="21">
        <v>10</v>
      </c>
      <c r="L10" s="21">
        <v>10</v>
      </c>
      <c r="M10" s="21">
        <v>10</v>
      </c>
      <c r="N10" s="21">
        <v>10</v>
      </c>
      <c r="O10" s="21">
        <v>10</v>
      </c>
      <c r="P10" s="21">
        <v>10</v>
      </c>
      <c r="Q10" s="21">
        <v>10</v>
      </c>
      <c r="R10" s="21">
        <v>10</v>
      </c>
      <c r="S10" s="21">
        <v>10</v>
      </c>
      <c r="T10" s="21">
        <v>10</v>
      </c>
      <c r="U10" s="21">
        <v>10</v>
      </c>
      <c r="V10" s="21">
        <v>10</v>
      </c>
      <c r="W10" s="21">
        <v>10</v>
      </c>
      <c r="X10" s="21">
        <v>20</v>
      </c>
      <c r="Y10" s="21">
        <v>20</v>
      </c>
      <c r="Z10" s="21">
        <v>10</v>
      </c>
      <c r="AA10" s="21">
        <v>20</v>
      </c>
      <c r="AB10" s="21">
        <v>10</v>
      </c>
      <c r="AC10" s="21">
        <v>10</v>
      </c>
      <c r="AD10" s="21">
        <v>10</v>
      </c>
      <c r="AE10" s="14">
        <v>10</v>
      </c>
      <c r="AF10" s="21">
        <v>10</v>
      </c>
      <c r="AG10" s="93">
        <v>10</v>
      </c>
      <c r="AH10" s="168">
        <v>10</v>
      </c>
      <c r="AI10" s="21">
        <v>10</v>
      </c>
      <c r="AJ10" s="21">
        <v>10</v>
      </c>
      <c r="AK10" s="21">
        <v>10</v>
      </c>
    </row>
    <row r="11" spans="2:37" x14ac:dyDescent="0.25">
      <c r="B11" s="2" t="s">
        <v>618</v>
      </c>
      <c r="C11" s="2" t="s">
        <v>619</v>
      </c>
      <c r="D11" s="36">
        <v>10</v>
      </c>
      <c r="E11" s="4">
        <v>1</v>
      </c>
      <c r="F11" s="3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20</v>
      </c>
      <c r="H11" s="21">
        <v>10</v>
      </c>
      <c r="I11" s="21">
        <v>10</v>
      </c>
      <c r="J11" s="21">
        <v>10</v>
      </c>
      <c r="K11" s="21">
        <v>20</v>
      </c>
      <c r="L11" s="21">
        <v>20</v>
      </c>
      <c r="M11" s="21">
        <v>20</v>
      </c>
      <c r="N11" s="21">
        <v>20</v>
      </c>
      <c r="O11" s="21">
        <v>20</v>
      </c>
      <c r="P11" s="21">
        <v>20</v>
      </c>
      <c r="Q11" s="21">
        <v>20</v>
      </c>
      <c r="R11" s="21">
        <v>10</v>
      </c>
      <c r="S11" s="21">
        <v>20</v>
      </c>
      <c r="T11" s="21">
        <v>20</v>
      </c>
      <c r="U11" s="21">
        <v>20</v>
      </c>
      <c r="V11" s="21">
        <v>10</v>
      </c>
      <c r="W11" s="21">
        <v>10</v>
      </c>
      <c r="X11" s="21">
        <v>21</v>
      </c>
      <c r="Y11" s="21">
        <v>21</v>
      </c>
      <c r="Z11" s="21">
        <v>20</v>
      </c>
      <c r="AA11" s="21">
        <v>21</v>
      </c>
      <c r="AB11" s="21">
        <v>10</v>
      </c>
      <c r="AC11" s="21">
        <v>20</v>
      </c>
      <c r="AD11" s="21">
        <v>20</v>
      </c>
      <c r="AE11" s="14">
        <v>10</v>
      </c>
      <c r="AF11" s="21">
        <v>10</v>
      </c>
      <c r="AG11" s="93">
        <v>10</v>
      </c>
      <c r="AH11" s="168">
        <v>20</v>
      </c>
      <c r="AI11" s="21">
        <v>20</v>
      </c>
      <c r="AJ11" s="21">
        <v>20</v>
      </c>
      <c r="AK11" s="21">
        <v>20</v>
      </c>
    </row>
    <row r="12" spans="2:37" x14ac:dyDescent="0.25">
      <c r="B12" s="2" t="s">
        <v>634</v>
      </c>
      <c r="C12" s="2" t="s">
        <v>635</v>
      </c>
      <c r="D12" s="36">
        <f>+G12*E12</f>
        <v>0.2007128639793479</v>
      </c>
      <c r="E12" s="4">
        <f>+PI()/180</f>
        <v>1.7453292519943295E-2</v>
      </c>
      <c r="F12" s="3" t="s">
        <v>488</v>
      </c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11.5</v>
      </c>
      <c r="H12" s="21">
        <v>11.5</v>
      </c>
      <c r="I12" s="21">
        <v>11.5</v>
      </c>
      <c r="J12" s="21">
        <v>11.5</v>
      </c>
      <c r="K12" s="21">
        <v>11.5</v>
      </c>
      <c r="L12" s="21">
        <v>11.5</v>
      </c>
      <c r="M12" s="21">
        <v>11.5</v>
      </c>
      <c r="N12" s="21">
        <v>11.5</v>
      </c>
      <c r="O12" s="21">
        <v>11.5</v>
      </c>
      <c r="P12" s="21">
        <v>11.5</v>
      </c>
      <c r="Q12" s="21">
        <v>11.5</v>
      </c>
      <c r="R12" s="21">
        <v>11.5</v>
      </c>
      <c r="S12" s="21">
        <v>11.5</v>
      </c>
      <c r="T12" s="21">
        <v>11.5</v>
      </c>
      <c r="U12" s="21">
        <v>11.5</v>
      </c>
      <c r="V12" s="21">
        <v>11.5</v>
      </c>
      <c r="W12" s="21">
        <v>11.5</v>
      </c>
      <c r="X12" s="21">
        <v>11.5</v>
      </c>
      <c r="Y12" s="21">
        <v>11.5</v>
      </c>
      <c r="Z12" s="21">
        <v>11.5</v>
      </c>
      <c r="AA12" s="21">
        <v>11.5</v>
      </c>
      <c r="AB12" s="21">
        <v>11.5</v>
      </c>
      <c r="AC12" s="21">
        <v>11.5</v>
      </c>
      <c r="AD12" s="21">
        <v>11.5</v>
      </c>
      <c r="AE12" s="14">
        <v>11.5</v>
      </c>
      <c r="AF12" s="21">
        <v>11.5</v>
      </c>
      <c r="AG12" s="93">
        <v>11.5</v>
      </c>
      <c r="AH12" s="168">
        <v>11.5</v>
      </c>
      <c r="AI12" s="21">
        <v>11.5</v>
      </c>
      <c r="AJ12" s="21">
        <v>11.5</v>
      </c>
      <c r="AK12" s="21">
        <v>11.5</v>
      </c>
    </row>
    <row r="13" spans="2:37" x14ac:dyDescent="0.25">
      <c r="B13" s="2" t="s">
        <v>638</v>
      </c>
      <c r="C13" s="2" t="s">
        <v>636</v>
      </c>
      <c r="D13" s="36">
        <f t="shared" si="0"/>
        <v>1.7453292519943296E-3</v>
      </c>
      <c r="E13" s="4">
        <f>+PI()/180</f>
        <v>1.7453292519943295E-2</v>
      </c>
      <c r="F13" s="3" t="s">
        <v>488</v>
      </c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0.1</v>
      </c>
      <c r="H13" s="21">
        <v>0.1</v>
      </c>
      <c r="I13" s="21">
        <v>0.1</v>
      </c>
      <c r="J13" s="21">
        <v>0.1</v>
      </c>
      <c r="K13" s="21">
        <v>0.1</v>
      </c>
      <c r="L13" s="21">
        <v>0.1</v>
      </c>
      <c r="M13" s="21">
        <v>0.1</v>
      </c>
      <c r="N13" s="21">
        <v>0.1</v>
      </c>
      <c r="O13" s="21">
        <v>0.1</v>
      </c>
      <c r="P13" s="21">
        <v>0.1</v>
      </c>
      <c r="Q13" s="21">
        <v>0.1</v>
      </c>
      <c r="R13" s="21">
        <v>0.1</v>
      </c>
      <c r="S13" s="21">
        <v>0.1</v>
      </c>
      <c r="T13" s="21">
        <v>0.1</v>
      </c>
      <c r="U13" s="21">
        <v>0.1</v>
      </c>
      <c r="V13" s="21">
        <v>0.1</v>
      </c>
      <c r="W13" s="21">
        <v>0.1</v>
      </c>
      <c r="X13" s="21">
        <v>0.1</v>
      </c>
      <c r="Y13" s="21">
        <v>0.1</v>
      </c>
      <c r="Z13" s="21">
        <v>0.1</v>
      </c>
      <c r="AA13" s="21">
        <v>0.1</v>
      </c>
      <c r="AB13" s="21">
        <v>0.1</v>
      </c>
      <c r="AC13" s="21">
        <v>0.1</v>
      </c>
      <c r="AD13" s="21">
        <v>0.1</v>
      </c>
      <c r="AE13" s="14">
        <v>0.1</v>
      </c>
      <c r="AF13" s="21">
        <v>0.1</v>
      </c>
      <c r="AG13" s="93">
        <v>0.1</v>
      </c>
      <c r="AH13" s="168">
        <v>0.1</v>
      </c>
      <c r="AI13" s="21">
        <v>0.1</v>
      </c>
      <c r="AJ13" s="21">
        <v>0.1</v>
      </c>
      <c r="AK13" s="21">
        <v>0.1</v>
      </c>
    </row>
    <row r="14" spans="2:37" x14ac:dyDescent="0.25">
      <c r="B14" s="2" t="s">
        <v>639</v>
      </c>
      <c r="C14" s="2" t="s">
        <v>637</v>
      </c>
      <c r="D14" s="36">
        <f t="shared" si="0"/>
        <v>0.26179938779914941</v>
      </c>
      <c r="E14" s="4">
        <f>+PI()/180</f>
        <v>1.7453292519943295E-2</v>
      </c>
      <c r="F14" s="3" t="s">
        <v>488</v>
      </c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15</v>
      </c>
      <c r="H14" s="21">
        <v>15</v>
      </c>
      <c r="I14" s="21">
        <v>15</v>
      </c>
      <c r="J14" s="21">
        <v>15</v>
      </c>
      <c r="K14" s="21">
        <v>15</v>
      </c>
      <c r="L14" s="21">
        <v>15</v>
      </c>
      <c r="M14" s="21">
        <v>15</v>
      </c>
      <c r="N14" s="21">
        <v>15</v>
      </c>
      <c r="O14" s="21">
        <v>15</v>
      </c>
      <c r="P14" s="21">
        <v>15</v>
      </c>
      <c r="Q14" s="21">
        <v>15</v>
      </c>
      <c r="R14" s="21">
        <v>15</v>
      </c>
      <c r="S14" s="21">
        <v>15</v>
      </c>
      <c r="T14" s="21">
        <v>15</v>
      </c>
      <c r="U14" s="21">
        <v>15</v>
      </c>
      <c r="V14" s="21">
        <v>15</v>
      </c>
      <c r="W14" s="21">
        <v>15</v>
      </c>
      <c r="X14" s="21">
        <v>15</v>
      </c>
      <c r="Y14" s="21">
        <v>15</v>
      </c>
      <c r="Z14" s="21">
        <v>15</v>
      </c>
      <c r="AA14" s="21">
        <v>15</v>
      </c>
      <c r="AB14" s="21">
        <v>15</v>
      </c>
      <c r="AC14" s="21">
        <v>15</v>
      </c>
      <c r="AD14" s="21">
        <v>15</v>
      </c>
      <c r="AE14" s="14">
        <v>15</v>
      </c>
      <c r="AF14" s="21">
        <v>15</v>
      </c>
      <c r="AG14" s="93">
        <v>15</v>
      </c>
      <c r="AH14" s="168">
        <v>15</v>
      </c>
      <c r="AI14" s="21">
        <v>15</v>
      </c>
      <c r="AJ14" s="21">
        <v>15</v>
      </c>
      <c r="AK14" s="21">
        <v>15</v>
      </c>
    </row>
    <row r="15" spans="2:37" x14ac:dyDescent="0.25">
      <c r="B15" s="2" t="s">
        <v>641</v>
      </c>
      <c r="C15" s="2" t="s">
        <v>640</v>
      </c>
      <c r="D15" s="36">
        <f t="shared" si="0"/>
        <v>30</v>
      </c>
      <c r="E15" s="4">
        <v>1</v>
      </c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30</v>
      </c>
      <c r="H15" s="21">
        <v>30</v>
      </c>
      <c r="I15" s="21">
        <v>30</v>
      </c>
      <c r="J15" s="21">
        <v>30</v>
      </c>
      <c r="K15" s="21">
        <v>30</v>
      </c>
      <c r="L15" s="21">
        <v>30</v>
      </c>
      <c r="M15" s="21">
        <v>30</v>
      </c>
      <c r="N15" s="21">
        <v>30</v>
      </c>
      <c r="O15" s="21">
        <v>30</v>
      </c>
      <c r="P15" s="21">
        <v>30</v>
      </c>
      <c r="Q15" s="21">
        <v>30</v>
      </c>
      <c r="R15" s="21">
        <v>30</v>
      </c>
      <c r="S15" s="21">
        <v>30</v>
      </c>
      <c r="T15" s="21">
        <v>30</v>
      </c>
      <c r="U15" s="21">
        <v>30</v>
      </c>
      <c r="V15" s="21">
        <v>30</v>
      </c>
      <c r="W15" s="21">
        <v>30</v>
      </c>
      <c r="X15" s="21">
        <v>30</v>
      </c>
      <c r="Y15" s="21">
        <v>30</v>
      </c>
      <c r="Z15" s="21">
        <v>30</v>
      </c>
      <c r="AA15" s="21">
        <v>30</v>
      </c>
      <c r="AB15" s="21">
        <v>30</v>
      </c>
      <c r="AC15" s="21">
        <v>30</v>
      </c>
      <c r="AD15" s="21">
        <v>30</v>
      </c>
      <c r="AE15" s="14">
        <v>30</v>
      </c>
      <c r="AF15" s="21">
        <v>30</v>
      </c>
      <c r="AG15" s="93">
        <v>30</v>
      </c>
      <c r="AH15" s="168">
        <v>30</v>
      </c>
      <c r="AI15" s="21">
        <v>30</v>
      </c>
      <c r="AJ15" s="21">
        <v>30</v>
      </c>
      <c r="AK15" s="21">
        <v>30</v>
      </c>
    </row>
    <row r="16" spans="2:37" x14ac:dyDescent="0.25">
      <c r="B16" s="2" t="s">
        <v>648</v>
      </c>
      <c r="C16" s="2" t="s">
        <v>647</v>
      </c>
      <c r="D16" s="36">
        <f t="shared" si="0"/>
        <v>0.52359877559829882</v>
      </c>
      <c r="E16" s="4">
        <f>+PI()/180</f>
        <v>1.7453292519943295E-2</v>
      </c>
      <c r="F16" s="3" t="s">
        <v>488</v>
      </c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30</v>
      </c>
      <c r="H16" s="21">
        <v>30</v>
      </c>
      <c r="I16" s="21">
        <v>30</v>
      </c>
      <c r="J16" s="21">
        <v>30</v>
      </c>
      <c r="K16" s="21">
        <v>30</v>
      </c>
      <c r="L16" s="21">
        <v>30</v>
      </c>
      <c r="M16" s="21">
        <v>30</v>
      </c>
      <c r="N16" s="21">
        <v>30</v>
      </c>
      <c r="O16" s="21">
        <v>30</v>
      </c>
      <c r="P16" s="21">
        <v>30</v>
      </c>
      <c r="Q16" s="21">
        <v>30</v>
      </c>
      <c r="R16" s="21">
        <v>30</v>
      </c>
      <c r="S16" s="21">
        <v>30</v>
      </c>
      <c r="T16" s="21">
        <v>30</v>
      </c>
      <c r="U16" s="21">
        <v>30</v>
      </c>
      <c r="V16" s="21">
        <v>30</v>
      </c>
      <c r="W16" s="21">
        <v>30</v>
      </c>
      <c r="X16" s="21">
        <v>30</v>
      </c>
      <c r="Y16" s="21">
        <v>30</v>
      </c>
      <c r="Z16" s="21">
        <v>30</v>
      </c>
      <c r="AA16" s="21">
        <v>30</v>
      </c>
      <c r="AB16" s="21">
        <v>30</v>
      </c>
      <c r="AC16" s="21">
        <v>0</v>
      </c>
      <c r="AD16" s="21">
        <v>0</v>
      </c>
      <c r="AE16" s="14">
        <v>30</v>
      </c>
      <c r="AF16" s="21">
        <v>30</v>
      </c>
      <c r="AG16" s="93">
        <v>30</v>
      </c>
      <c r="AH16" s="168">
        <v>30</v>
      </c>
      <c r="AI16" s="21">
        <v>30</v>
      </c>
      <c r="AJ16" s="21">
        <v>30</v>
      </c>
      <c r="AK16" s="21">
        <v>30</v>
      </c>
    </row>
    <row r="17" spans="2:37" x14ac:dyDescent="0.25">
      <c r="B17" s="2" t="s">
        <v>642</v>
      </c>
      <c r="C17" s="2" t="s">
        <v>645</v>
      </c>
      <c r="D17" s="36">
        <f t="shared" si="0"/>
        <v>8.7266462599716474E-2</v>
      </c>
      <c r="E17" s="4">
        <f>+PI()/180</f>
        <v>1.7453292519943295E-2</v>
      </c>
      <c r="F17" s="3" t="s">
        <v>488</v>
      </c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5</v>
      </c>
      <c r="H17" s="21">
        <v>5</v>
      </c>
      <c r="I17" s="21">
        <v>5</v>
      </c>
      <c r="J17" s="21">
        <v>5</v>
      </c>
      <c r="K17" s="21">
        <v>5</v>
      </c>
      <c r="L17" s="21">
        <v>5</v>
      </c>
      <c r="M17" s="21">
        <v>5</v>
      </c>
      <c r="N17" s="21">
        <v>5</v>
      </c>
      <c r="O17" s="21">
        <v>5</v>
      </c>
      <c r="P17" s="21">
        <v>5</v>
      </c>
      <c r="Q17" s="21">
        <v>5</v>
      </c>
      <c r="R17" s="21">
        <v>5</v>
      </c>
      <c r="S17" s="21">
        <v>5</v>
      </c>
      <c r="T17" s="21">
        <v>5</v>
      </c>
      <c r="U17" s="21">
        <v>5</v>
      </c>
      <c r="V17" s="21">
        <v>5</v>
      </c>
      <c r="W17" s="21">
        <v>5</v>
      </c>
      <c r="X17" s="21">
        <v>5</v>
      </c>
      <c r="Y17" s="21">
        <v>5</v>
      </c>
      <c r="Z17" s="21">
        <v>5</v>
      </c>
      <c r="AA17" s="21">
        <v>5</v>
      </c>
      <c r="AB17" s="21">
        <v>5</v>
      </c>
      <c r="AC17" s="21">
        <v>0</v>
      </c>
      <c r="AD17" s="21">
        <v>0</v>
      </c>
      <c r="AE17" s="14">
        <v>5</v>
      </c>
      <c r="AF17" s="21">
        <v>5</v>
      </c>
      <c r="AG17" s="93">
        <v>5</v>
      </c>
      <c r="AH17" s="168">
        <v>5</v>
      </c>
      <c r="AI17" s="21">
        <v>5</v>
      </c>
      <c r="AJ17" s="21">
        <v>5</v>
      </c>
      <c r="AK17" s="21">
        <v>5</v>
      </c>
    </row>
    <row r="18" spans="2:37" x14ac:dyDescent="0.25">
      <c r="B18" s="2" t="s">
        <v>643</v>
      </c>
      <c r="C18" s="2" t="s">
        <v>646</v>
      </c>
      <c r="D18" s="36">
        <f t="shared" si="0"/>
        <v>0.78539816339744828</v>
      </c>
      <c r="E18" s="4">
        <f>+PI()/180</f>
        <v>1.7453292519943295E-2</v>
      </c>
      <c r="F18" s="3" t="s">
        <v>488</v>
      </c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45</v>
      </c>
      <c r="H18" s="21">
        <v>45</v>
      </c>
      <c r="I18" s="21">
        <v>45</v>
      </c>
      <c r="J18" s="21">
        <v>45</v>
      </c>
      <c r="K18" s="21">
        <v>45</v>
      </c>
      <c r="L18" s="21">
        <v>45</v>
      </c>
      <c r="M18" s="21">
        <v>45</v>
      </c>
      <c r="N18" s="21">
        <v>45</v>
      </c>
      <c r="O18" s="21">
        <v>45</v>
      </c>
      <c r="P18" s="21">
        <v>45</v>
      </c>
      <c r="Q18" s="21">
        <v>45</v>
      </c>
      <c r="R18" s="21">
        <v>45</v>
      </c>
      <c r="S18" s="21">
        <v>45</v>
      </c>
      <c r="T18" s="21">
        <v>45</v>
      </c>
      <c r="U18" s="21">
        <v>45</v>
      </c>
      <c r="V18" s="21">
        <v>45</v>
      </c>
      <c r="W18" s="21">
        <v>45</v>
      </c>
      <c r="X18" s="21">
        <v>45</v>
      </c>
      <c r="Y18" s="21">
        <v>45</v>
      </c>
      <c r="Z18" s="21">
        <v>45</v>
      </c>
      <c r="AA18" s="21">
        <v>45</v>
      </c>
      <c r="AB18" s="21">
        <v>45</v>
      </c>
      <c r="AC18" s="21">
        <v>10</v>
      </c>
      <c r="AD18" s="21">
        <v>10</v>
      </c>
      <c r="AE18" s="14">
        <v>45</v>
      </c>
      <c r="AF18" s="21">
        <v>45</v>
      </c>
      <c r="AG18" s="93">
        <v>45</v>
      </c>
      <c r="AH18" s="168">
        <v>45</v>
      </c>
      <c r="AI18" s="21">
        <v>45</v>
      </c>
      <c r="AJ18" s="21">
        <v>45</v>
      </c>
      <c r="AK18" s="21">
        <v>45</v>
      </c>
    </row>
    <row r="19" spans="2:37" x14ac:dyDescent="0.25">
      <c r="B19" s="2" t="s">
        <v>644</v>
      </c>
      <c r="C19" s="2" t="s">
        <v>649</v>
      </c>
      <c r="D19" s="36">
        <f t="shared" si="0"/>
        <v>100</v>
      </c>
      <c r="E19" s="4">
        <v>1</v>
      </c>
      <c r="F19" s="4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100</v>
      </c>
      <c r="M19" s="21">
        <v>100</v>
      </c>
      <c r="N19" s="21">
        <v>100</v>
      </c>
      <c r="O19" s="21">
        <v>100</v>
      </c>
      <c r="P19" s="21">
        <v>100</v>
      </c>
      <c r="Q19" s="21">
        <v>100</v>
      </c>
      <c r="R19" s="21">
        <v>100</v>
      </c>
      <c r="S19" s="21">
        <v>100</v>
      </c>
      <c r="T19" s="21">
        <v>100</v>
      </c>
      <c r="U19" s="21">
        <v>100</v>
      </c>
      <c r="V19" s="21">
        <v>100</v>
      </c>
      <c r="W19" s="21">
        <v>100</v>
      </c>
      <c r="X19" s="21">
        <v>100</v>
      </c>
      <c r="Y19" s="21">
        <v>100</v>
      </c>
      <c r="Z19" s="21">
        <v>100</v>
      </c>
      <c r="AA19" s="21">
        <v>100</v>
      </c>
      <c r="AB19" s="21">
        <v>100</v>
      </c>
      <c r="AC19" s="21">
        <v>30</v>
      </c>
      <c r="AD19" s="21">
        <v>30</v>
      </c>
      <c r="AE19" s="14">
        <v>100</v>
      </c>
      <c r="AF19" s="21">
        <v>100</v>
      </c>
      <c r="AG19" s="93">
        <v>100</v>
      </c>
      <c r="AH19" s="168">
        <v>100</v>
      </c>
      <c r="AI19" s="21">
        <v>100</v>
      </c>
      <c r="AJ19" s="21">
        <v>100</v>
      </c>
      <c r="AK19" s="21">
        <v>100</v>
      </c>
    </row>
    <row r="20" spans="2:37" x14ac:dyDescent="0.25">
      <c r="B20" s="2" t="s">
        <v>650</v>
      </c>
      <c r="C20" s="2" t="s">
        <v>651</v>
      </c>
      <c r="D20" s="36">
        <f t="shared" si="0"/>
        <v>1.2</v>
      </c>
      <c r="E20" s="4">
        <v>1</v>
      </c>
      <c r="F20" s="4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1.2</v>
      </c>
      <c r="H20" s="21">
        <v>1.2</v>
      </c>
      <c r="I20" s="21">
        <v>1.2</v>
      </c>
      <c r="J20" s="21">
        <v>1.2</v>
      </c>
      <c r="K20" s="21">
        <v>1.2</v>
      </c>
      <c r="L20" s="21">
        <v>1.2</v>
      </c>
      <c r="M20" s="21">
        <v>1.2</v>
      </c>
      <c r="N20" s="21">
        <v>1.2</v>
      </c>
      <c r="O20" s="21">
        <v>1.2</v>
      </c>
      <c r="P20" s="21">
        <v>1.2</v>
      </c>
      <c r="Q20" s="21">
        <v>1.2</v>
      </c>
      <c r="R20" s="21">
        <v>1.2</v>
      </c>
      <c r="S20" s="21">
        <v>1.2</v>
      </c>
      <c r="T20" s="21">
        <v>1.2</v>
      </c>
      <c r="U20" s="21">
        <v>1.2</v>
      </c>
      <c r="V20" s="21">
        <v>1.2</v>
      </c>
      <c r="W20" s="21">
        <v>1.2</v>
      </c>
      <c r="X20" s="21">
        <v>1.2</v>
      </c>
      <c r="Y20" s="21">
        <v>1.2</v>
      </c>
      <c r="Z20" s="21">
        <v>1.2</v>
      </c>
      <c r="AA20" s="21">
        <v>1.2</v>
      </c>
      <c r="AB20" s="21">
        <v>1.2</v>
      </c>
      <c r="AC20" s="21">
        <v>1.2</v>
      </c>
      <c r="AD20" s="21">
        <v>1.2</v>
      </c>
      <c r="AE20" s="14">
        <v>1.2</v>
      </c>
      <c r="AF20" s="21">
        <v>1.2</v>
      </c>
      <c r="AG20" s="93">
        <v>1.2</v>
      </c>
      <c r="AH20" s="168">
        <v>1.2</v>
      </c>
      <c r="AI20" s="21">
        <v>1.2</v>
      </c>
      <c r="AJ20" s="21">
        <v>1.2</v>
      </c>
      <c r="AK20" s="21">
        <v>1.2</v>
      </c>
    </row>
    <row r="21" spans="2:37" x14ac:dyDescent="0.25">
      <c r="B21" s="2" t="s">
        <v>653</v>
      </c>
      <c r="C21" s="2" t="s">
        <v>654</v>
      </c>
      <c r="D21" s="36">
        <f>+G21*E21</f>
        <v>1</v>
      </c>
      <c r="E21" s="4">
        <v>1</v>
      </c>
      <c r="F21" s="4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0</v>
      </c>
      <c r="AC21" s="21">
        <v>1</v>
      </c>
      <c r="AD21" s="21">
        <v>1</v>
      </c>
      <c r="AE21" s="14">
        <v>1</v>
      </c>
      <c r="AF21" s="21">
        <v>1</v>
      </c>
      <c r="AG21" s="93">
        <v>1</v>
      </c>
      <c r="AH21" s="168">
        <v>1</v>
      </c>
      <c r="AI21" s="21">
        <v>1</v>
      </c>
      <c r="AJ21" s="21">
        <v>1</v>
      </c>
      <c r="AK21" s="21">
        <v>1</v>
      </c>
    </row>
    <row r="22" spans="2:37" x14ac:dyDescent="0.25">
      <c r="B22" s="2" t="s">
        <v>1332</v>
      </c>
      <c r="C22" s="2" t="s">
        <v>1331</v>
      </c>
      <c r="D22" s="36">
        <f>+G22*E22</f>
        <v>0</v>
      </c>
      <c r="E22" s="4">
        <v>1</v>
      </c>
      <c r="F22" s="4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1</v>
      </c>
      <c r="Y22" s="21">
        <v>1</v>
      </c>
      <c r="Z22" s="21">
        <v>0</v>
      </c>
      <c r="AA22" s="21">
        <v>1</v>
      </c>
      <c r="AB22" s="21">
        <v>0</v>
      </c>
      <c r="AC22" s="21">
        <v>0</v>
      </c>
      <c r="AD22" s="21">
        <v>0</v>
      </c>
      <c r="AE22" s="14">
        <v>0</v>
      </c>
      <c r="AF22" s="21">
        <v>0</v>
      </c>
      <c r="AG22" s="93">
        <v>0</v>
      </c>
      <c r="AH22" s="168">
        <v>0</v>
      </c>
      <c r="AI22" s="21">
        <v>0</v>
      </c>
      <c r="AJ22" s="21">
        <v>0</v>
      </c>
      <c r="AK22" s="21">
        <v>0</v>
      </c>
    </row>
    <row r="23" spans="2:37" x14ac:dyDescent="0.25">
      <c r="B23" s="2" t="s">
        <v>757</v>
      </c>
      <c r="C23" s="2" t="s">
        <v>746</v>
      </c>
      <c r="D23" s="36">
        <f t="shared" ref="D23:D33" si="1">+G23*E23</f>
        <v>50</v>
      </c>
      <c r="E23" s="4">
        <v>1</v>
      </c>
      <c r="F23" s="4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50</v>
      </c>
      <c r="H23" s="21">
        <v>50</v>
      </c>
      <c r="I23" s="21">
        <v>50</v>
      </c>
      <c r="J23" s="21">
        <v>50</v>
      </c>
      <c r="K23" s="21">
        <v>50</v>
      </c>
      <c r="L23" s="21">
        <v>50</v>
      </c>
      <c r="M23" s="21">
        <v>50</v>
      </c>
      <c r="N23" s="21">
        <v>50</v>
      </c>
      <c r="O23" s="21">
        <v>50</v>
      </c>
      <c r="P23" s="21">
        <v>50</v>
      </c>
      <c r="Q23" s="21">
        <v>50</v>
      </c>
      <c r="R23" s="21">
        <v>50</v>
      </c>
      <c r="S23" s="21">
        <v>50</v>
      </c>
      <c r="T23" s="21">
        <v>50</v>
      </c>
      <c r="U23" s="21">
        <v>50</v>
      </c>
      <c r="V23" s="21">
        <v>50</v>
      </c>
      <c r="W23" s="21">
        <v>50</v>
      </c>
      <c r="X23" s="21">
        <v>50</v>
      </c>
      <c r="Y23" s="21">
        <v>50</v>
      </c>
      <c r="Z23" s="21">
        <v>50</v>
      </c>
      <c r="AA23" s="21">
        <v>50</v>
      </c>
      <c r="AB23" s="21">
        <v>50</v>
      </c>
      <c r="AC23" s="21">
        <v>50</v>
      </c>
      <c r="AD23" s="21">
        <v>50</v>
      </c>
      <c r="AE23" s="14">
        <v>50</v>
      </c>
      <c r="AF23" s="21">
        <v>50</v>
      </c>
      <c r="AG23" s="93">
        <v>50</v>
      </c>
      <c r="AH23" s="168">
        <v>50</v>
      </c>
      <c r="AI23" s="21">
        <v>50</v>
      </c>
      <c r="AJ23" s="21">
        <v>50</v>
      </c>
      <c r="AK23" s="21">
        <v>50</v>
      </c>
    </row>
    <row r="24" spans="2:37" x14ac:dyDescent="0.25">
      <c r="B24" s="2" t="s">
        <v>758</v>
      </c>
      <c r="C24" s="2" t="s">
        <v>747</v>
      </c>
      <c r="D24" s="36">
        <f t="shared" si="1"/>
        <v>5</v>
      </c>
      <c r="E24" s="4">
        <v>1</v>
      </c>
      <c r="F24" s="4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14">
        <v>5</v>
      </c>
      <c r="AF24" s="21">
        <v>5</v>
      </c>
      <c r="AG24" s="93">
        <v>5</v>
      </c>
      <c r="AH24" s="168">
        <v>5</v>
      </c>
      <c r="AI24" s="21">
        <v>5</v>
      </c>
      <c r="AJ24" s="21">
        <v>5</v>
      </c>
      <c r="AK24" s="21">
        <v>5</v>
      </c>
    </row>
    <row r="25" spans="2:37" x14ac:dyDescent="0.25">
      <c r="B25" s="2" t="s">
        <v>759</v>
      </c>
      <c r="C25" s="2" t="s">
        <v>752</v>
      </c>
      <c r="D25" s="36">
        <f t="shared" si="1"/>
        <v>20</v>
      </c>
      <c r="E25" s="4">
        <v>1</v>
      </c>
      <c r="F25" s="4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20</v>
      </c>
      <c r="H25" s="21">
        <v>20</v>
      </c>
      <c r="I25" s="21">
        <v>20</v>
      </c>
      <c r="J25" s="21">
        <v>20</v>
      </c>
      <c r="K25" s="21">
        <v>20</v>
      </c>
      <c r="L25" s="21">
        <v>20</v>
      </c>
      <c r="M25" s="21">
        <v>20</v>
      </c>
      <c r="N25" s="21">
        <v>20</v>
      </c>
      <c r="O25" s="21">
        <v>20</v>
      </c>
      <c r="P25" s="21">
        <v>20</v>
      </c>
      <c r="Q25" s="21">
        <v>20</v>
      </c>
      <c r="R25" s="21">
        <v>20</v>
      </c>
      <c r="S25" s="21">
        <v>20</v>
      </c>
      <c r="T25" s="21">
        <v>20</v>
      </c>
      <c r="U25" s="21">
        <v>20</v>
      </c>
      <c r="V25" s="21">
        <v>20</v>
      </c>
      <c r="W25" s="21">
        <v>20</v>
      </c>
      <c r="X25" s="21">
        <v>20</v>
      </c>
      <c r="Y25" s="21">
        <v>20</v>
      </c>
      <c r="Z25" s="21">
        <v>20</v>
      </c>
      <c r="AA25" s="21">
        <v>20</v>
      </c>
      <c r="AB25" s="21">
        <v>20</v>
      </c>
      <c r="AC25" s="21">
        <v>20</v>
      </c>
      <c r="AD25" s="21">
        <v>20</v>
      </c>
      <c r="AE25" s="14">
        <v>20</v>
      </c>
      <c r="AF25" s="21">
        <v>20</v>
      </c>
      <c r="AG25" s="93">
        <v>20</v>
      </c>
      <c r="AH25" s="168">
        <v>20</v>
      </c>
      <c r="AI25" s="21">
        <v>20</v>
      </c>
      <c r="AJ25" s="21">
        <v>20</v>
      </c>
      <c r="AK25" s="21">
        <v>20</v>
      </c>
    </row>
    <row r="26" spans="2:37" x14ac:dyDescent="0.25">
      <c r="B26" s="2" t="s">
        <v>760</v>
      </c>
      <c r="C26" s="2" t="s">
        <v>748</v>
      </c>
      <c r="D26" s="36">
        <f t="shared" si="1"/>
        <v>0.2</v>
      </c>
      <c r="E26" s="4">
        <v>1</v>
      </c>
      <c r="F26" s="4" t="s">
        <v>762</v>
      </c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0.2</v>
      </c>
      <c r="H26" s="21">
        <v>0.2</v>
      </c>
      <c r="I26" s="21">
        <v>0.2</v>
      </c>
      <c r="J26" s="21">
        <v>0.2</v>
      </c>
      <c r="K26" s="21">
        <v>0.2</v>
      </c>
      <c r="L26" s="21">
        <v>0.2</v>
      </c>
      <c r="M26" s="21">
        <v>0.2</v>
      </c>
      <c r="N26" s="21">
        <v>0.2</v>
      </c>
      <c r="O26" s="21">
        <v>0.2</v>
      </c>
      <c r="P26" s="21">
        <v>0.2</v>
      </c>
      <c r="Q26" s="21">
        <v>0.2</v>
      </c>
      <c r="R26" s="21">
        <v>0.2</v>
      </c>
      <c r="S26" s="21">
        <v>0.2</v>
      </c>
      <c r="T26" s="21">
        <v>0.2</v>
      </c>
      <c r="U26" s="21">
        <v>0.2</v>
      </c>
      <c r="V26" s="21">
        <v>0.2</v>
      </c>
      <c r="W26" s="21">
        <v>0.2</v>
      </c>
      <c r="X26" s="21">
        <v>0.2</v>
      </c>
      <c r="Y26" s="21">
        <v>0.2</v>
      </c>
      <c r="Z26" s="21">
        <v>0.2</v>
      </c>
      <c r="AA26" s="21">
        <v>0.2</v>
      </c>
      <c r="AB26" s="21">
        <v>0.2</v>
      </c>
      <c r="AC26" s="21">
        <v>0.2</v>
      </c>
      <c r="AD26" s="21">
        <v>0.2</v>
      </c>
      <c r="AE26" s="14">
        <v>0.2</v>
      </c>
      <c r="AF26" s="21">
        <v>0.2</v>
      </c>
      <c r="AG26" s="93">
        <v>0.2</v>
      </c>
      <c r="AH26" s="168">
        <v>0.2</v>
      </c>
      <c r="AI26" s="21">
        <v>0.2</v>
      </c>
      <c r="AJ26" s="21">
        <v>0.2</v>
      </c>
      <c r="AK26" s="21">
        <v>0.2</v>
      </c>
    </row>
    <row r="27" spans="2:37" x14ac:dyDescent="0.25">
      <c r="B27" s="2" t="s">
        <v>761</v>
      </c>
      <c r="C27" s="2" t="s">
        <v>749</v>
      </c>
      <c r="D27" s="36">
        <f t="shared" si="1"/>
        <v>0.17453292519943295</v>
      </c>
      <c r="E27" s="4">
        <f t="shared" ref="E27:E33" si="2">+PI()/180</f>
        <v>1.7453292519943295E-2</v>
      </c>
      <c r="F27" s="4" t="s">
        <v>488</v>
      </c>
      <c r="G27" s="15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10</v>
      </c>
      <c r="H27" s="21">
        <v>10</v>
      </c>
      <c r="I27" s="21">
        <v>10</v>
      </c>
      <c r="J27" s="21">
        <v>10</v>
      </c>
      <c r="K27" s="21">
        <v>10</v>
      </c>
      <c r="L27" s="21">
        <v>10</v>
      </c>
      <c r="M27" s="21">
        <v>10</v>
      </c>
      <c r="N27" s="21">
        <v>10</v>
      </c>
      <c r="O27" s="21">
        <v>10</v>
      </c>
      <c r="P27" s="21">
        <v>10</v>
      </c>
      <c r="Q27" s="21">
        <v>10</v>
      </c>
      <c r="R27" s="21">
        <v>10</v>
      </c>
      <c r="S27" s="21">
        <v>10</v>
      </c>
      <c r="T27" s="21">
        <v>10</v>
      </c>
      <c r="U27" s="21">
        <v>10</v>
      </c>
      <c r="V27" s="21">
        <v>10</v>
      </c>
      <c r="W27" s="21">
        <v>10</v>
      </c>
      <c r="X27" s="21">
        <v>10</v>
      </c>
      <c r="Y27" s="21">
        <v>10</v>
      </c>
      <c r="Z27" s="21">
        <v>10</v>
      </c>
      <c r="AA27" s="21">
        <v>10</v>
      </c>
      <c r="AB27" s="21">
        <v>10</v>
      </c>
      <c r="AC27" s="21">
        <v>10</v>
      </c>
      <c r="AD27" s="21">
        <v>10</v>
      </c>
      <c r="AE27" s="14">
        <v>10</v>
      </c>
      <c r="AF27" s="21">
        <v>10</v>
      </c>
      <c r="AG27" s="93">
        <v>10</v>
      </c>
      <c r="AH27" s="168">
        <v>10</v>
      </c>
      <c r="AI27" s="21">
        <v>10</v>
      </c>
      <c r="AJ27" s="21">
        <v>10</v>
      </c>
      <c r="AK27" s="21">
        <v>10</v>
      </c>
    </row>
    <row r="28" spans="2:37" x14ac:dyDescent="0.25">
      <c r="B28" s="2" t="s">
        <v>763</v>
      </c>
      <c r="C28" s="2" t="s">
        <v>750</v>
      </c>
      <c r="D28" s="36">
        <f t="shared" si="1"/>
        <v>0.17453292519943295</v>
      </c>
      <c r="E28" s="4">
        <f t="shared" si="2"/>
        <v>1.7453292519943295E-2</v>
      </c>
      <c r="F28" s="4" t="s">
        <v>769</v>
      </c>
      <c r="G28" s="15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10</v>
      </c>
      <c r="H28" s="21">
        <v>10</v>
      </c>
      <c r="I28" s="21">
        <v>10</v>
      </c>
      <c r="J28" s="21">
        <v>10</v>
      </c>
      <c r="K28" s="21">
        <v>10</v>
      </c>
      <c r="L28" s="21">
        <v>10</v>
      </c>
      <c r="M28" s="21">
        <v>10</v>
      </c>
      <c r="N28" s="21">
        <v>10</v>
      </c>
      <c r="O28" s="21">
        <v>10</v>
      </c>
      <c r="P28" s="21">
        <v>10</v>
      </c>
      <c r="Q28" s="21">
        <v>10</v>
      </c>
      <c r="R28" s="21">
        <v>10</v>
      </c>
      <c r="S28" s="21">
        <v>10</v>
      </c>
      <c r="T28" s="21">
        <v>10</v>
      </c>
      <c r="U28" s="21">
        <v>10</v>
      </c>
      <c r="V28" s="21">
        <v>10</v>
      </c>
      <c r="W28" s="21">
        <v>10</v>
      </c>
      <c r="X28" s="21">
        <v>10</v>
      </c>
      <c r="Y28" s="21">
        <v>10</v>
      </c>
      <c r="Z28" s="21">
        <v>10</v>
      </c>
      <c r="AA28" s="21">
        <v>10</v>
      </c>
      <c r="AB28" s="21">
        <v>10</v>
      </c>
      <c r="AC28" s="21">
        <v>10</v>
      </c>
      <c r="AD28" s="21">
        <v>10</v>
      </c>
      <c r="AE28" s="14">
        <v>10</v>
      </c>
      <c r="AF28" s="21">
        <v>10</v>
      </c>
      <c r="AG28" s="93">
        <v>10</v>
      </c>
      <c r="AH28" s="168">
        <v>10</v>
      </c>
      <c r="AI28" s="21">
        <v>10</v>
      </c>
      <c r="AJ28" s="21">
        <v>10</v>
      </c>
      <c r="AK28" s="21">
        <v>10</v>
      </c>
    </row>
    <row r="29" spans="2:37" x14ac:dyDescent="0.25">
      <c r="B29" s="2" t="s">
        <v>764</v>
      </c>
      <c r="C29" s="2" t="s">
        <v>751</v>
      </c>
      <c r="D29" s="36">
        <f t="shared" si="1"/>
        <v>8.7266462599716474E-2</v>
      </c>
      <c r="E29" s="4">
        <f t="shared" si="2"/>
        <v>1.7453292519943295E-2</v>
      </c>
      <c r="F29" s="4" t="s">
        <v>488</v>
      </c>
      <c r="G29" s="15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5</v>
      </c>
      <c r="H29" s="21">
        <v>5</v>
      </c>
      <c r="I29" s="21">
        <v>5</v>
      </c>
      <c r="J29" s="21">
        <v>5</v>
      </c>
      <c r="K29" s="21">
        <v>5</v>
      </c>
      <c r="L29" s="21">
        <v>5</v>
      </c>
      <c r="M29" s="21">
        <v>5</v>
      </c>
      <c r="N29" s="21">
        <v>5</v>
      </c>
      <c r="O29" s="21">
        <v>5</v>
      </c>
      <c r="P29" s="21">
        <v>5</v>
      </c>
      <c r="Q29" s="21">
        <v>5</v>
      </c>
      <c r="R29" s="21">
        <v>5</v>
      </c>
      <c r="S29" s="21">
        <v>5</v>
      </c>
      <c r="T29" s="21">
        <v>5</v>
      </c>
      <c r="U29" s="21">
        <v>5</v>
      </c>
      <c r="V29" s="21">
        <v>5</v>
      </c>
      <c r="W29" s="21">
        <v>5</v>
      </c>
      <c r="X29" s="21">
        <v>5</v>
      </c>
      <c r="Y29" s="21">
        <v>5</v>
      </c>
      <c r="Z29" s="21">
        <v>5</v>
      </c>
      <c r="AA29" s="21">
        <v>5</v>
      </c>
      <c r="AB29" s="21">
        <v>5</v>
      </c>
      <c r="AC29" s="21">
        <v>5</v>
      </c>
      <c r="AD29" s="21">
        <v>5</v>
      </c>
      <c r="AE29" s="14">
        <v>5</v>
      </c>
      <c r="AF29" s="21">
        <v>5</v>
      </c>
      <c r="AG29" s="93">
        <v>5</v>
      </c>
      <c r="AH29" s="168">
        <v>5</v>
      </c>
      <c r="AI29" s="21">
        <v>5</v>
      </c>
      <c r="AJ29" s="21">
        <v>5</v>
      </c>
      <c r="AK29" s="21">
        <v>5</v>
      </c>
    </row>
    <row r="30" spans="2:37" x14ac:dyDescent="0.25">
      <c r="B30" s="2" t="s">
        <v>765</v>
      </c>
      <c r="C30" s="2" t="s">
        <v>753</v>
      </c>
      <c r="D30" s="36">
        <f t="shared" si="1"/>
        <v>0.17453292519943295</v>
      </c>
      <c r="E30" s="4">
        <f t="shared" si="2"/>
        <v>1.7453292519943295E-2</v>
      </c>
      <c r="F30" s="4" t="s">
        <v>488</v>
      </c>
      <c r="G30" s="15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10</v>
      </c>
      <c r="H30" s="21">
        <v>10</v>
      </c>
      <c r="I30" s="21">
        <v>10</v>
      </c>
      <c r="J30" s="21">
        <v>10</v>
      </c>
      <c r="K30" s="21">
        <v>10</v>
      </c>
      <c r="L30" s="21">
        <v>10</v>
      </c>
      <c r="M30" s="21">
        <v>10</v>
      </c>
      <c r="N30" s="21">
        <v>10</v>
      </c>
      <c r="O30" s="21">
        <v>10</v>
      </c>
      <c r="P30" s="21">
        <v>10</v>
      </c>
      <c r="Q30" s="21">
        <v>10</v>
      </c>
      <c r="R30" s="21">
        <v>10</v>
      </c>
      <c r="S30" s="21">
        <v>10</v>
      </c>
      <c r="T30" s="21">
        <v>10</v>
      </c>
      <c r="U30" s="21">
        <v>10</v>
      </c>
      <c r="V30" s="21">
        <v>10</v>
      </c>
      <c r="W30" s="21">
        <v>10</v>
      </c>
      <c r="X30" s="21">
        <v>10</v>
      </c>
      <c r="Y30" s="21">
        <v>10</v>
      </c>
      <c r="Z30" s="21">
        <v>10</v>
      </c>
      <c r="AA30" s="21">
        <v>10</v>
      </c>
      <c r="AB30" s="21">
        <v>10</v>
      </c>
      <c r="AC30" s="21">
        <v>10</v>
      </c>
      <c r="AD30" s="21">
        <v>10</v>
      </c>
      <c r="AE30" s="14">
        <v>10</v>
      </c>
      <c r="AF30" s="21">
        <v>10</v>
      </c>
      <c r="AG30" s="93">
        <v>10</v>
      </c>
      <c r="AH30" s="168">
        <v>10</v>
      </c>
      <c r="AI30" s="21">
        <v>10</v>
      </c>
      <c r="AJ30" s="21">
        <v>10</v>
      </c>
      <c r="AK30" s="21">
        <v>10</v>
      </c>
    </row>
    <row r="31" spans="2:37" x14ac:dyDescent="0.25">
      <c r="B31" s="2" t="s">
        <v>766</v>
      </c>
      <c r="C31" s="2" t="s">
        <v>754</v>
      </c>
      <c r="D31" s="36">
        <f t="shared" si="1"/>
        <v>0.3490658503988659</v>
      </c>
      <c r="E31" s="4">
        <f t="shared" si="2"/>
        <v>1.7453292519943295E-2</v>
      </c>
      <c r="F31" s="4" t="s">
        <v>769</v>
      </c>
      <c r="G31" s="15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20</v>
      </c>
      <c r="H31" s="21">
        <v>20</v>
      </c>
      <c r="I31" s="21">
        <v>20</v>
      </c>
      <c r="J31" s="21">
        <v>20</v>
      </c>
      <c r="K31" s="21">
        <v>20</v>
      </c>
      <c r="L31" s="21">
        <v>20</v>
      </c>
      <c r="M31" s="21">
        <v>20</v>
      </c>
      <c r="N31" s="21">
        <v>20</v>
      </c>
      <c r="O31" s="21">
        <v>20</v>
      </c>
      <c r="P31" s="21">
        <v>20</v>
      </c>
      <c r="Q31" s="21">
        <v>20</v>
      </c>
      <c r="R31" s="21">
        <v>20</v>
      </c>
      <c r="S31" s="21">
        <v>20</v>
      </c>
      <c r="T31" s="21">
        <v>20</v>
      </c>
      <c r="U31" s="21">
        <v>20</v>
      </c>
      <c r="V31" s="21">
        <v>20</v>
      </c>
      <c r="W31" s="21">
        <v>20</v>
      </c>
      <c r="X31" s="21">
        <v>20</v>
      </c>
      <c r="Y31" s="21">
        <v>20</v>
      </c>
      <c r="Z31" s="21">
        <v>20</v>
      </c>
      <c r="AA31" s="21">
        <v>20</v>
      </c>
      <c r="AB31" s="21">
        <v>20</v>
      </c>
      <c r="AC31" s="21">
        <v>20</v>
      </c>
      <c r="AD31" s="21">
        <v>20</v>
      </c>
      <c r="AE31" s="14">
        <v>20</v>
      </c>
      <c r="AF31" s="21">
        <v>20</v>
      </c>
      <c r="AG31" s="93">
        <v>20</v>
      </c>
      <c r="AH31" s="168">
        <v>20</v>
      </c>
      <c r="AI31" s="21">
        <v>20</v>
      </c>
      <c r="AJ31" s="21">
        <v>20</v>
      </c>
      <c r="AK31" s="21">
        <v>20</v>
      </c>
    </row>
    <row r="32" spans="2:37" x14ac:dyDescent="0.25">
      <c r="B32" s="2" t="s">
        <v>767</v>
      </c>
      <c r="C32" s="2" t="s">
        <v>755</v>
      </c>
      <c r="D32" s="36">
        <f t="shared" si="1"/>
        <v>0.3490658503988659</v>
      </c>
      <c r="E32" s="4">
        <f t="shared" si="2"/>
        <v>1.7453292519943295E-2</v>
      </c>
      <c r="F32" s="4" t="s">
        <v>769</v>
      </c>
      <c r="G32" s="15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20</v>
      </c>
      <c r="H32" s="21">
        <v>20</v>
      </c>
      <c r="I32" s="21">
        <v>20</v>
      </c>
      <c r="J32" s="21">
        <v>20</v>
      </c>
      <c r="K32" s="21">
        <v>20</v>
      </c>
      <c r="L32" s="21">
        <v>20</v>
      </c>
      <c r="M32" s="21">
        <v>20</v>
      </c>
      <c r="N32" s="21">
        <v>20</v>
      </c>
      <c r="O32" s="21">
        <v>20</v>
      </c>
      <c r="P32" s="21">
        <v>20</v>
      </c>
      <c r="Q32" s="21">
        <v>20</v>
      </c>
      <c r="R32" s="21">
        <v>20</v>
      </c>
      <c r="S32" s="21">
        <v>20</v>
      </c>
      <c r="T32" s="21">
        <v>20</v>
      </c>
      <c r="U32" s="21">
        <v>20</v>
      </c>
      <c r="V32" s="21">
        <v>20</v>
      </c>
      <c r="W32" s="21">
        <v>20</v>
      </c>
      <c r="X32" s="21">
        <v>20</v>
      </c>
      <c r="Y32" s="21">
        <v>20</v>
      </c>
      <c r="Z32" s="21">
        <v>20</v>
      </c>
      <c r="AA32" s="21">
        <v>20</v>
      </c>
      <c r="AB32" s="21">
        <v>20</v>
      </c>
      <c r="AC32" s="21">
        <v>20</v>
      </c>
      <c r="AD32" s="21">
        <v>20</v>
      </c>
      <c r="AE32" s="14">
        <v>20</v>
      </c>
      <c r="AF32" s="21">
        <v>20</v>
      </c>
      <c r="AG32" s="93">
        <v>20</v>
      </c>
      <c r="AH32" s="168">
        <v>20</v>
      </c>
      <c r="AI32" s="21">
        <v>20</v>
      </c>
      <c r="AJ32" s="21">
        <v>20</v>
      </c>
      <c r="AK32" s="21">
        <v>20</v>
      </c>
    </row>
    <row r="33" spans="1:37" x14ac:dyDescent="0.25">
      <c r="B33" s="2" t="s">
        <v>768</v>
      </c>
      <c r="C33" s="2" t="s">
        <v>756</v>
      </c>
      <c r="D33" s="36">
        <f t="shared" si="1"/>
        <v>0.3490658503988659</v>
      </c>
      <c r="E33" s="4">
        <f t="shared" si="2"/>
        <v>1.7453292519943295E-2</v>
      </c>
      <c r="F33" s="4" t="s">
        <v>488</v>
      </c>
      <c r="G33" s="15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20</v>
      </c>
      <c r="H33" s="21">
        <v>20</v>
      </c>
      <c r="I33" s="21">
        <v>20</v>
      </c>
      <c r="J33" s="21">
        <v>20</v>
      </c>
      <c r="K33" s="21">
        <v>20</v>
      </c>
      <c r="L33" s="21">
        <v>20</v>
      </c>
      <c r="M33" s="21">
        <v>20</v>
      </c>
      <c r="N33" s="21">
        <v>20</v>
      </c>
      <c r="O33" s="21">
        <v>20</v>
      </c>
      <c r="P33" s="21">
        <v>20</v>
      </c>
      <c r="Q33" s="21">
        <v>20</v>
      </c>
      <c r="R33" s="21">
        <v>20</v>
      </c>
      <c r="S33" s="21">
        <v>20</v>
      </c>
      <c r="T33" s="21">
        <v>20</v>
      </c>
      <c r="U33" s="21">
        <v>20</v>
      </c>
      <c r="V33" s="21">
        <v>20</v>
      </c>
      <c r="W33" s="21">
        <v>20</v>
      </c>
      <c r="X33" s="21">
        <v>20</v>
      </c>
      <c r="Y33" s="21">
        <v>20</v>
      </c>
      <c r="Z33" s="21">
        <v>20</v>
      </c>
      <c r="AA33" s="21">
        <v>20</v>
      </c>
      <c r="AB33" s="21">
        <v>20</v>
      </c>
      <c r="AC33" s="21">
        <v>20</v>
      </c>
      <c r="AD33" s="21">
        <v>20</v>
      </c>
      <c r="AE33" s="14">
        <v>20</v>
      </c>
      <c r="AF33" s="21">
        <v>20</v>
      </c>
      <c r="AG33" s="93">
        <v>20</v>
      </c>
      <c r="AH33" s="168">
        <v>20</v>
      </c>
      <c r="AI33" s="21">
        <v>20</v>
      </c>
      <c r="AJ33" s="21">
        <v>20</v>
      </c>
      <c r="AK33" s="21">
        <v>20</v>
      </c>
    </row>
    <row r="34" spans="1:37" x14ac:dyDescent="0.25">
      <c r="B34" s="2" t="s">
        <v>1238</v>
      </c>
      <c r="C34" s="2" t="s">
        <v>1234</v>
      </c>
      <c r="D34" s="36">
        <f t="shared" ref="D34:D36" si="3">+G34*E34</f>
        <v>-1.5</v>
      </c>
      <c r="E34" s="4">
        <v>1</v>
      </c>
      <c r="F34" s="4" t="s">
        <v>1237</v>
      </c>
      <c r="G34" s="15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-1.5</v>
      </c>
      <c r="H34" s="21">
        <v>-1.5</v>
      </c>
      <c r="I34" s="21">
        <v>-1.5</v>
      </c>
      <c r="J34" s="21">
        <v>-1.5</v>
      </c>
      <c r="K34" s="21">
        <v>-1.5</v>
      </c>
      <c r="L34" s="21">
        <v>-1.5</v>
      </c>
      <c r="M34" s="21">
        <v>-1.5</v>
      </c>
      <c r="N34" s="21">
        <v>-1.5</v>
      </c>
      <c r="O34" s="21">
        <v>-1.5</v>
      </c>
      <c r="P34" s="21">
        <v>-1.5</v>
      </c>
      <c r="Q34" s="21">
        <v>-1.5</v>
      </c>
      <c r="R34" s="21">
        <v>-1.5</v>
      </c>
      <c r="S34" s="21">
        <v>-1.5</v>
      </c>
      <c r="T34" s="21">
        <v>-1.5</v>
      </c>
      <c r="U34" s="21">
        <v>-1.5</v>
      </c>
      <c r="V34" s="21">
        <v>-1.5</v>
      </c>
      <c r="W34" s="21">
        <v>-1.5</v>
      </c>
      <c r="X34" s="21">
        <v>-1.5</v>
      </c>
      <c r="Y34" s="21">
        <v>-1.5</v>
      </c>
      <c r="Z34" s="21">
        <v>-1.5</v>
      </c>
      <c r="AA34" s="21">
        <v>-1.5</v>
      </c>
      <c r="AB34" s="21">
        <v>-1.5</v>
      </c>
      <c r="AC34" s="21">
        <v>-1.5</v>
      </c>
      <c r="AD34" s="21">
        <v>-1.5</v>
      </c>
      <c r="AE34" s="14">
        <v>-1.5</v>
      </c>
      <c r="AF34" s="21">
        <v>-1.5</v>
      </c>
      <c r="AG34" s="93">
        <v>-1.5</v>
      </c>
      <c r="AH34" s="168">
        <v>-1.5</v>
      </c>
      <c r="AI34" s="21">
        <v>-1.5</v>
      </c>
      <c r="AJ34" s="21">
        <v>-1.5</v>
      </c>
      <c r="AK34" s="21">
        <v>-1.5</v>
      </c>
    </row>
    <row r="35" spans="1:37" x14ac:dyDescent="0.25">
      <c r="B35" s="2" t="s">
        <v>1239</v>
      </c>
      <c r="C35" s="2" t="s">
        <v>1235</v>
      </c>
      <c r="D35" s="36">
        <f t="shared" si="3"/>
        <v>3.8</v>
      </c>
      <c r="E35" s="4">
        <v>1</v>
      </c>
      <c r="F35" s="4" t="s">
        <v>1237</v>
      </c>
      <c r="G35" s="15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3.8</v>
      </c>
      <c r="H35" s="21">
        <v>3.8</v>
      </c>
      <c r="I35" s="21">
        <v>3.8</v>
      </c>
      <c r="J35" s="21">
        <v>3.8</v>
      </c>
      <c r="K35" s="21">
        <v>3.8</v>
      </c>
      <c r="L35" s="21">
        <v>3.8</v>
      </c>
      <c r="M35" s="21">
        <v>3.8</v>
      </c>
      <c r="N35" s="21">
        <v>3.8</v>
      </c>
      <c r="O35" s="21">
        <v>3.8</v>
      </c>
      <c r="P35" s="21">
        <v>3.8</v>
      </c>
      <c r="Q35" s="21">
        <v>3.8</v>
      </c>
      <c r="R35" s="21">
        <v>3.8</v>
      </c>
      <c r="S35" s="21">
        <v>3.8</v>
      </c>
      <c r="T35" s="21">
        <v>3.8</v>
      </c>
      <c r="U35" s="21">
        <v>3.8</v>
      </c>
      <c r="V35" s="21">
        <v>3.8</v>
      </c>
      <c r="W35" s="21">
        <v>3.8</v>
      </c>
      <c r="X35" s="21">
        <v>3.8</v>
      </c>
      <c r="Y35" s="21">
        <v>3.8</v>
      </c>
      <c r="Z35" s="21">
        <v>3.8</v>
      </c>
      <c r="AA35" s="21">
        <v>3.8</v>
      </c>
      <c r="AB35" s="21">
        <v>3.8</v>
      </c>
      <c r="AC35" s="21">
        <v>3.8</v>
      </c>
      <c r="AD35" s="21">
        <v>3.8</v>
      </c>
      <c r="AE35" s="14">
        <v>3.8</v>
      </c>
      <c r="AF35" s="21">
        <v>3.8</v>
      </c>
      <c r="AG35" s="93">
        <v>3.8</v>
      </c>
      <c r="AH35" s="168">
        <v>3.8</v>
      </c>
      <c r="AI35" s="21">
        <v>3.8</v>
      </c>
      <c r="AJ35" s="21">
        <v>3.8</v>
      </c>
      <c r="AK35" s="21">
        <v>3.8</v>
      </c>
    </row>
    <row r="36" spans="1:37" x14ac:dyDescent="0.25">
      <c r="B36" s="2" t="s">
        <v>1240</v>
      </c>
      <c r="C36" s="2" t="s">
        <v>1236</v>
      </c>
      <c r="D36" s="36">
        <f t="shared" si="3"/>
        <v>10</v>
      </c>
      <c r="E36" s="4">
        <v>1</v>
      </c>
      <c r="F36" s="4"/>
      <c r="G36" s="15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10</v>
      </c>
      <c r="H36" s="21">
        <v>10</v>
      </c>
      <c r="I36" s="21">
        <v>10</v>
      </c>
      <c r="J36" s="21">
        <v>10</v>
      </c>
      <c r="K36" s="21">
        <v>10</v>
      </c>
      <c r="L36" s="21">
        <v>10</v>
      </c>
      <c r="M36" s="21">
        <v>10</v>
      </c>
      <c r="N36" s="21">
        <v>10</v>
      </c>
      <c r="O36" s="21">
        <v>10</v>
      </c>
      <c r="P36" s="21">
        <v>10</v>
      </c>
      <c r="Q36" s="21">
        <v>10</v>
      </c>
      <c r="R36" s="21">
        <v>10</v>
      </c>
      <c r="S36" s="21">
        <v>10</v>
      </c>
      <c r="T36" s="21">
        <v>10</v>
      </c>
      <c r="U36" s="21">
        <v>10</v>
      </c>
      <c r="V36" s="21">
        <v>10</v>
      </c>
      <c r="W36" s="21">
        <v>10</v>
      </c>
      <c r="X36" s="21">
        <v>12</v>
      </c>
      <c r="Y36" s="21">
        <v>12</v>
      </c>
      <c r="Z36" s="21">
        <v>10</v>
      </c>
      <c r="AA36" s="21">
        <v>12</v>
      </c>
      <c r="AB36" s="21">
        <v>10</v>
      </c>
      <c r="AC36" s="21">
        <v>10</v>
      </c>
      <c r="AD36" s="21">
        <v>10</v>
      </c>
      <c r="AE36" s="14">
        <v>10</v>
      </c>
      <c r="AF36" s="21">
        <v>10</v>
      </c>
      <c r="AG36" s="93">
        <v>10</v>
      </c>
      <c r="AH36" s="168">
        <v>10</v>
      </c>
      <c r="AI36" s="21">
        <v>10</v>
      </c>
      <c r="AJ36" s="21">
        <v>10</v>
      </c>
      <c r="AK36" s="21">
        <v>10</v>
      </c>
    </row>
    <row r="38" spans="1:37" x14ac:dyDescent="0.25">
      <c r="B38" s="187" t="s">
        <v>2</v>
      </c>
      <c r="C38" s="187"/>
    </row>
    <row r="39" spans="1:37" x14ac:dyDescent="0.25">
      <c r="B39" s="9" t="str">
        <f>+B3</f>
        <v>Desired Static Margin (%)</v>
      </c>
      <c r="C39" s="9" t="s">
        <v>9</v>
      </c>
    </row>
    <row r="40" spans="1:37" x14ac:dyDescent="0.25">
      <c r="B40" s="9" t="str">
        <f>+B4</f>
        <v>Prop Wash Effet</v>
      </c>
      <c r="C40" s="9" t="s">
        <v>9</v>
      </c>
    </row>
    <row r="41" spans="1:37" x14ac:dyDescent="0.25">
      <c r="B41" s="9">
        <v>0</v>
      </c>
      <c r="C41" s="9" t="s">
        <v>528</v>
      </c>
    </row>
    <row r="42" spans="1:37" x14ac:dyDescent="0.25">
      <c r="B42" s="9">
        <v>1</v>
      </c>
      <c r="C42" s="9" t="s">
        <v>529</v>
      </c>
    </row>
    <row r="43" spans="1:37" x14ac:dyDescent="0.25">
      <c r="A43" t="s">
        <v>3</v>
      </c>
      <c r="B43" s="9" t="str">
        <f>+B5</f>
        <v>Selection configuration Xcg</v>
      </c>
      <c r="C43" s="9" t="s">
        <v>9</v>
      </c>
    </row>
    <row r="44" spans="1:37" x14ac:dyDescent="0.25">
      <c r="A44" t="s">
        <v>4</v>
      </c>
      <c r="B44" s="2">
        <v>0</v>
      </c>
      <c r="C44" s="9" t="s">
        <v>603</v>
      </c>
    </row>
    <row r="45" spans="1:37" x14ac:dyDescent="0.25">
      <c r="B45" s="9">
        <v>1</v>
      </c>
      <c r="C45" s="2" t="s">
        <v>602</v>
      </c>
    </row>
    <row r="46" spans="1:37" x14ac:dyDescent="0.25">
      <c r="B46" s="9" t="str">
        <f>+B6</f>
        <v>Dynamic Stability Formulation</v>
      </c>
      <c r="C46" s="9" t="s">
        <v>9</v>
      </c>
    </row>
    <row r="47" spans="1:37" x14ac:dyDescent="0.25">
      <c r="B47" s="9">
        <v>0</v>
      </c>
      <c r="C47" s="2" t="s">
        <v>607</v>
      </c>
    </row>
    <row r="48" spans="1:37" x14ac:dyDescent="0.25">
      <c r="B48" s="9">
        <v>1</v>
      </c>
      <c r="C48" s="2" t="s">
        <v>608</v>
      </c>
    </row>
    <row r="49" spans="2:3" x14ac:dyDescent="0.25">
      <c r="B49" s="9">
        <v>2</v>
      </c>
      <c r="C49" s="2" t="s">
        <v>609</v>
      </c>
    </row>
    <row r="50" spans="2:3" x14ac:dyDescent="0.25">
      <c r="B50" s="2" t="str">
        <f>+B7</f>
        <v>Conducts only Trim study</v>
      </c>
      <c r="C50" s="9" t="s">
        <v>9</v>
      </c>
    </row>
    <row r="51" spans="2:3" x14ac:dyDescent="0.25">
      <c r="B51" s="9">
        <v>0</v>
      </c>
      <c r="C51" s="2" t="s">
        <v>612</v>
      </c>
    </row>
    <row r="52" spans="2:3" x14ac:dyDescent="0.25">
      <c r="B52" s="9">
        <v>1</v>
      </c>
      <c r="C52" s="2" t="s">
        <v>613</v>
      </c>
    </row>
    <row r="53" spans="2:3" x14ac:dyDescent="0.25">
      <c r="B53" s="2" t="str">
        <f t="shared" ref="B53:C60" si="4">+B8</f>
        <v>Trim Conditions Velocity Range - V low</v>
      </c>
      <c r="C53" s="2" t="str">
        <f t="shared" si="4"/>
        <v>V_low</v>
      </c>
    </row>
    <row r="54" spans="2:3" x14ac:dyDescent="0.25">
      <c r="B54" s="2" t="str">
        <f t="shared" si="4"/>
        <v>Trim Conditions Velocity Range - V high VD</v>
      </c>
      <c r="C54" s="2" t="str">
        <f t="shared" si="4"/>
        <v>V_high</v>
      </c>
    </row>
    <row r="55" spans="2:3" x14ac:dyDescent="0.25">
      <c r="B55" s="2" t="str">
        <f t="shared" si="4"/>
        <v>Number of iteration variation Speed</v>
      </c>
      <c r="C55" s="2" t="str">
        <f t="shared" si="4"/>
        <v>N_V_VAR</v>
      </c>
    </row>
    <row r="56" spans="2:3" x14ac:dyDescent="0.25">
      <c r="B56" s="2" t="str">
        <f t="shared" si="4"/>
        <v>Number of iteration variation Weight</v>
      </c>
      <c r="C56" s="2" t="str">
        <f t="shared" si="4"/>
        <v>N_m_VAR</v>
      </c>
    </row>
    <row r="57" spans="2:3" x14ac:dyDescent="0.25">
      <c r="B57" s="2" t="str">
        <f t="shared" si="4"/>
        <v>Trim Lateral Stability Conditions -side slip angle (beta)</v>
      </c>
      <c r="C57" s="2" t="str">
        <f t="shared" si="4"/>
        <v>beta</v>
      </c>
    </row>
    <row r="58" spans="2:3" x14ac:dyDescent="0.25">
      <c r="B58" s="2" t="str">
        <f t="shared" si="4"/>
        <v>Trim Lateral Stability Conditions -Variable side slip angle (initial beta)</v>
      </c>
      <c r="C58" s="2" t="str">
        <f t="shared" si="4"/>
        <v>beta_i</v>
      </c>
    </row>
    <row r="59" spans="2:3" x14ac:dyDescent="0.25">
      <c r="B59" s="2" t="str">
        <f t="shared" si="4"/>
        <v>Trim Lateral Stability Conditions -Variable side slip angle (final beta)</v>
      </c>
      <c r="C59" s="2" t="str">
        <f t="shared" si="4"/>
        <v>beta_f</v>
      </c>
    </row>
    <row r="60" spans="2:3" x14ac:dyDescent="0.25">
      <c r="B60" s="2" t="str">
        <f t="shared" si="4"/>
        <v>Trim Lateral Stability Conditions -Variable side slip angle (Number of beta's)</v>
      </c>
      <c r="C60" s="2" t="str">
        <f t="shared" si="4"/>
        <v>N_Delta_beta</v>
      </c>
    </row>
    <row r="61" spans="2:3" x14ac:dyDescent="0.25">
      <c r="B61" s="2" t="str">
        <f t="shared" ref="B61:C66" si="5">+B16</f>
        <v>Turning Condition Stability Conditions -bank angle (beta)</v>
      </c>
      <c r="C61" s="2" t="str">
        <f t="shared" si="5"/>
        <v>phi</v>
      </c>
    </row>
    <row r="62" spans="2:3" x14ac:dyDescent="0.25">
      <c r="B62" s="2" t="str">
        <f t="shared" si="5"/>
        <v>Turning Condition Stability Conditions -Variable bank angle (initial phi)</v>
      </c>
      <c r="C62" s="2" t="str">
        <f t="shared" si="5"/>
        <v>phi_i</v>
      </c>
    </row>
    <row r="63" spans="2:3" x14ac:dyDescent="0.25">
      <c r="B63" s="2" t="str">
        <f t="shared" si="5"/>
        <v>Turning Condition Stability Conditions -Variable bank angle (final phi)</v>
      </c>
      <c r="C63" s="2" t="str">
        <f t="shared" si="5"/>
        <v>phi_f</v>
      </c>
    </row>
    <row r="64" spans="2:3" x14ac:dyDescent="0.25">
      <c r="B64" s="2" t="str">
        <f t="shared" si="5"/>
        <v>Turning Condition Stability Conditions -Variable bank angle (Number of beta's)</v>
      </c>
      <c r="C64" s="2" t="str">
        <f t="shared" si="5"/>
        <v>N_Delta_phi</v>
      </c>
    </row>
    <row r="65" spans="2:3" x14ac:dyDescent="0.25">
      <c r="B65" s="2" t="str">
        <f t="shared" si="5"/>
        <v xml:space="preserve">Loading factur during turning flight </v>
      </c>
      <c r="C65" s="2" t="str">
        <f t="shared" si="5"/>
        <v>n_viraje</v>
      </c>
    </row>
    <row r="66" spans="2:3" x14ac:dyDescent="0.25">
      <c r="B66" s="2" t="str">
        <f t="shared" si="5"/>
        <v xml:space="preserve">Include Munk's fuselage contribution todetermine Xac, &amp; desired Xcg location for an SM </v>
      </c>
      <c r="C66" s="2" t="str">
        <f t="shared" si="5"/>
        <v>Munk_fuselage_constribution</v>
      </c>
    </row>
    <row r="67" spans="2:3" x14ac:dyDescent="0.25">
      <c r="B67" s="2">
        <f t="shared" ref="B67" si="6">+B37</f>
        <v>0</v>
      </c>
      <c r="C67" s="2" t="s">
        <v>655</v>
      </c>
    </row>
    <row r="68" spans="2:3" x14ac:dyDescent="0.25">
      <c r="B68" s="2">
        <v>1</v>
      </c>
      <c r="C68" s="2" t="s">
        <v>656</v>
      </c>
    </row>
  </sheetData>
  <mergeCells count="1">
    <mergeCell ref="B38:C38"/>
  </mergeCells>
  <phoneticPr fontId="3" type="noConversion"/>
  <dataValidations count="9">
    <dataValidation type="list" allowBlank="1" showInputMessage="1" showErrorMessage="1" sqref="H4:I4 AH4:AK4 K4:AD4" xr:uid="{CADADD99-C56D-46FD-91F9-E3D7AC405CDD}">
      <formula1>$B$41:$B$42</formula1>
    </dataValidation>
    <dataValidation type="list" allowBlank="1" showInputMessage="1" showErrorMessage="1" sqref="H5:I5 AH5:AK5 K5:AD5" xr:uid="{785EBB38-933C-487A-A87B-FA464E59F1DC}">
      <formula1>$B$44:$B$45</formula1>
    </dataValidation>
    <dataValidation type="list" allowBlank="1" showInputMessage="1" showErrorMessage="1" sqref="H6:I6 AH6:AK6 K6:AD6" xr:uid="{8195ABBA-CC1B-4F8B-8D0D-AB5F075CE1A9}">
      <formula1>$B$47:$B$49</formula1>
    </dataValidation>
    <dataValidation type="list" allowBlank="1" showInputMessage="1" showErrorMessage="1" sqref="H7:I7 AH7:AK7 K7:AD7" xr:uid="{7D856AAD-202A-4DF3-B75A-63B900BD9D5B}">
      <formula1>$B$51:$B$52</formula1>
    </dataValidation>
    <dataValidation type="list" allowBlank="1" showInputMessage="1" showErrorMessage="1" sqref="H21:AK22" xr:uid="{AD24BEC6-5289-4D45-B852-D2B1E88E88C5}">
      <formula1>$B$67:$B$68</formula1>
    </dataValidation>
    <dataValidation type="list" allowBlank="1" showInputMessage="1" showErrorMessage="1" sqref="J7 AE7:AG7" xr:uid="{B7821293-C03F-4FF9-88DB-E5FF3693EF3F}">
      <formula1>$B$50:$B$51</formula1>
    </dataValidation>
    <dataValidation type="list" allowBlank="1" showInputMessage="1" showErrorMessage="1" sqref="J6 AE6:AG6" xr:uid="{0E50A906-7906-467B-9BE4-4A8DEC327BAA}">
      <formula1>$B$46:$B$48</formula1>
    </dataValidation>
    <dataValidation type="list" allowBlank="1" showInputMessage="1" showErrorMessage="1" sqref="J5 AE5:AG5" xr:uid="{13A8D7BC-2EF9-490A-B10D-3AAAA15D09E8}">
      <formula1>$B$43:$B$44</formula1>
    </dataValidation>
    <dataValidation type="list" allowBlank="1" showInputMessage="1" showErrorMessage="1" sqref="J4 AE4:AG4" xr:uid="{67B797B7-D604-4493-AC10-42C615A15613}">
      <formula1>$B$40:$B$41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1AC7-9383-4BA2-A90D-C6A59EAB4152}">
  <sheetPr codeName="Sheet10"/>
  <dimension ref="B1:AK26"/>
  <sheetViews>
    <sheetView topLeftCell="B1" workbookViewId="0">
      <selection activeCell="AC3" sqref="AC3:AC5"/>
    </sheetView>
  </sheetViews>
  <sheetFormatPr baseColWidth="10" defaultColWidth="11.42578125" defaultRowHeight="15" x14ac:dyDescent="0.25"/>
  <cols>
    <col min="1" max="1" width="4.28515625" customWidth="1"/>
    <col min="2" max="2" width="66.28515625" bestFit="1" customWidth="1"/>
    <col min="3" max="3" width="82.7109375" bestFit="1" customWidth="1"/>
    <col min="4" max="4" width="8.42578125" bestFit="1" customWidth="1"/>
    <col min="5" max="5" width="5.7109375" bestFit="1" customWidth="1"/>
    <col min="6" max="6" width="5.5703125" bestFit="1" customWidth="1"/>
    <col min="8" max="9" width="11.42578125" hidden="1" customWidth="1"/>
    <col min="10" max="10" width="11.42578125" customWidth="1"/>
    <col min="11" max="23" width="11.42578125" hidden="1" customWidth="1"/>
    <col min="24" max="28" width="0" hidden="1" customWidth="1"/>
  </cols>
  <sheetData>
    <row r="1" spans="2:37" x14ac:dyDescent="0.25"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2" t="s">
        <v>17</v>
      </c>
      <c r="D2" s="35" t="s">
        <v>8</v>
      </c>
      <c r="E2" s="3" t="s">
        <v>298</v>
      </c>
      <c r="F2" s="3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284</v>
      </c>
      <c r="C3" s="2" t="s">
        <v>291</v>
      </c>
      <c r="D3" s="36">
        <f>+G3*E3</f>
        <v>1</v>
      </c>
      <c r="E3" s="3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93">
        <v>1</v>
      </c>
      <c r="AH3" s="21">
        <v>1</v>
      </c>
      <c r="AI3" s="21">
        <v>1</v>
      </c>
      <c r="AJ3" s="21">
        <v>1</v>
      </c>
      <c r="AK3" s="21">
        <v>1</v>
      </c>
    </row>
    <row r="4" spans="2:37" x14ac:dyDescent="0.25">
      <c r="B4" s="2" t="s">
        <v>173</v>
      </c>
      <c r="C4" s="2" t="s">
        <v>172</v>
      </c>
      <c r="D4" s="36">
        <f t="shared" ref="D4:D5" si="0">+G4*E4</f>
        <v>2</v>
      </c>
      <c r="E4" s="3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2</v>
      </c>
      <c r="H4" s="24">
        <v>1</v>
      </c>
      <c r="I4" s="24">
        <v>1</v>
      </c>
      <c r="J4" s="24">
        <v>1</v>
      </c>
      <c r="K4" s="24">
        <v>2</v>
      </c>
      <c r="L4" s="24">
        <v>2</v>
      </c>
      <c r="M4" s="24">
        <v>2</v>
      </c>
      <c r="N4" s="24">
        <v>2</v>
      </c>
      <c r="O4" s="24">
        <v>2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2</v>
      </c>
      <c r="V4" s="24">
        <v>1</v>
      </c>
      <c r="W4" s="24">
        <v>2</v>
      </c>
      <c r="X4" s="24">
        <v>2</v>
      </c>
      <c r="Y4" s="24">
        <v>2</v>
      </c>
      <c r="Z4" s="24">
        <v>2</v>
      </c>
      <c r="AA4" s="24">
        <v>0</v>
      </c>
      <c r="AB4" s="24">
        <v>2</v>
      </c>
      <c r="AC4" s="24">
        <v>2</v>
      </c>
      <c r="AD4" s="24">
        <v>2</v>
      </c>
      <c r="AE4" s="24">
        <v>1</v>
      </c>
      <c r="AF4" s="24">
        <v>1</v>
      </c>
      <c r="AG4" s="97">
        <v>1</v>
      </c>
      <c r="AH4" s="24">
        <v>2</v>
      </c>
      <c r="AI4" s="24">
        <v>2</v>
      </c>
      <c r="AJ4" s="24">
        <v>2</v>
      </c>
      <c r="AK4" s="24">
        <v>2</v>
      </c>
    </row>
    <row r="5" spans="2:37" x14ac:dyDescent="0.25">
      <c r="B5" s="2" t="s">
        <v>290</v>
      </c>
      <c r="C5" s="2" t="s">
        <v>93</v>
      </c>
      <c r="D5" s="36">
        <f t="shared" si="0"/>
        <v>2</v>
      </c>
      <c r="E5" s="3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2</v>
      </c>
      <c r="H5" s="24">
        <v>4</v>
      </c>
      <c r="I5" s="24">
        <v>4</v>
      </c>
      <c r="J5" s="24">
        <v>4</v>
      </c>
      <c r="K5" s="24">
        <v>2</v>
      </c>
      <c r="L5" s="24">
        <v>2</v>
      </c>
      <c r="M5" s="24">
        <v>2</v>
      </c>
      <c r="N5" s="24">
        <v>2</v>
      </c>
      <c r="O5" s="24">
        <v>2</v>
      </c>
      <c r="P5" s="24">
        <v>4</v>
      </c>
      <c r="Q5" s="24">
        <v>4</v>
      </c>
      <c r="R5" s="24">
        <v>4</v>
      </c>
      <c r="S5" s="24">
        <v>4</v>
      </c>
      <c r="T5" s="24">
        <v>4</v>
      </c>
      <c r="U5" s="24">
        <v>2</v>
      </c>
      <c r="V5" s="24">
        <v>6</v>
      </c>
      <c r="W5" s="24">
        <v>2</v>
      </c>
      <c r="X5" s="24">
        <v>2</v>
      </c>
      <c r="Y5" s="24">
        <v>2</v>
      </c>
      <c r="Z5" s="24">
        <v>2</v>
      </c>
      <c r="AA5" s="24">
        <v>1</v>
      </c>
      <c r="AB5" s="24">
        <v>2</v>
      </c>
      <c r="AC5" s="24">
        <v>2</v>
      </c>
      <c r="AD5" s="24">
        <v>2</v>
      </c>
      <c r="AE5" s="24">
        <v>8</v>
      </c>
      <c r="AF5" s="24">
        <v>4</v>
      </c>
      <c r="AG5" s="97">
        <v>4</v>
      </c>
      <c r="AH5" s="24">
        <v>4</v>
      </c>
      <c r="AI5" s="24">
        <v>2</v>
      </c>
      <c r="AJ5" s="24">
        <v>2</v>
      </c>
      <c r="AK5" s="24">
        <v>2</v>
      </c>
    </row>
    <row r="6" spans="2:37" x14ac:dyDescent="0.25"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2"/>
      <c r="AD6" s="2"/>
      <c r="AE6" s="2"/>
      <c r="AF6" s="2"/>
      <c r="AG6" s="2"/>
      <c r="AH6" s="2"/>
      <c r="AI6" s="2"/>
      <c r="AJ6" s="2"/>
      <c r="AK6" s="2"/>
    </row>
    <row r="7" spans="2:37" x14ac:dyDescent="0.25">
      <c r="B7" s="187" t="s">
        <v>2</v>
      </c>
      <c r="C7" s="187"/>
      <c r="E7" s="13"/>
      <c r="F7" s="13"/>
      <c r="G7" s="13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</row>
    <row r="8" spans="2:37" x14ac:dyDescent="0.25">
      <c r="B8" s="9" t="str">
        <f>+B3</f>
        <v>Model of Aircraft</v>
      </c>
      <c r="C8" s="9" t="s">
        <v>9</v>
      </c>
      <c r="E8" s="1"/>
      <c r="F8" s="1"/>
      <c r="G8" s="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37" x14ac:dyDescent="0.25">
      <c r="B9" s="9">
        <v>1</v>
      </c>
      <c r="C9" s="9" t="s">
        <v>620</v>
      </c>
    </row>
    <row r="10" spans="2:37" x14ac:dyDescent="0.25">
      <c r="B10" s="9">
        <v>2</v>
      </c>
      <c r="C10" s="9" t="s">
        <v>285</v>
      </c>
    </row>
    <row r="11" spans="2:37" x14ac:dyDescent="0.25">
      <c r="B11" s="9">
        <v>3</v>
      </c>
      <c r="C11" s="9" t="s">
        <v>621</v>
      </c>
    </row>
    <row r="12" spans="2:37" x14ac:dyDescent="0.25">
      <c r="B12" s="9">
        <v>4</v>
      </c>
      <c r="C12" s="9" t="s">
        <v>622</v>
      </c>
    </row>
    <row r="13" spans="2:37" x14ac:dyDescent="0.25">
      <c r="B13" s="9" t="str">
        <f>+B4</f>
        <v>Determines the ammount of control surface in the w2 aileron &amp; elevator</v>
      </c>
      <c r="C13" s="9" t="s">
        <v>9</v>
      </c>
    </row>
    <row r="14" spans="2:37" x14ac:dyDescent="0.25">
      <c r="B14" s="9">
        <v>0</v>
      </c>
      <c r="C14" s="9" t="s">
        <v>286</v>
      </c>
    </row>
    <row r="15" spans="2:37" x14ac:dyDescent="0.25">
      <c r="B15" s="9">
        <v>1</v>
      </c>
      <c r="C15" s="9" t="s">
        <v>287</v>
      </c>
    </row>
    <row r="16" spans="2:37" x14ac:dyDescent="0.25">
      <c r="B16" s="9">
        <v>2</v>
      </c>
      <c r="C16" s="9" t="s">
        <v>288</v>
      </c>
    </row>
    <row r="17" spans="2:3" x14ac:dyDescent="0.25">
      <c r="B17" s="9">
        <v>3</v>
      </c>
      <c r="C17" s="9" t="s">
        <v>289</v>
      </c>
    </row>
    <row r="18" spans="2:3" x14ac:dyDescent="0.25">
      <c r="B18" s="9" t="str">
        <f>+B5</f>
        <v>Aircraft type</v>
      </c>
      <c r="C18" s="9" t="s">
        <v>9</v>
      </c>
    </row>
    <row r="19" spans="2:3" x14ac:dyDescent="0.25">
      <c r="B19" s="9">
        <v>1</v>
      </c>
      <c r="C19" s="9" t="s">
        <v>292</v>
      </c>
    </row>
    <row r="20" spans="2:3" x14ac:dyDescent="0.25">
      <c r="B20" s="9">
        <v>2</v>
      </c>
      <c r="C20" s="9" t="s">
        <v>293</v>
      </c>
    </row>
    <row r="21" spans="2:3" x14ac:dyDescent="0.25">
      <c r="B21" s="9">
        <v>3</v>
      </c>
      <c r="C21" s="9" t="s">
        <v>294</v>
      </c>
    </row>
    <row r="22" spans="2:3" x14ac:dyDescent="0.25">
      <c r="B22" s="9">
        <v>4</v>
      </c>
      <c r="C22" s="9" t="s">
        <v>295</v>
      </c>
    </row>
    <row r="23" spans="2:3" x14ac:dyDescent="0.25">
      <c r="B23" s="9">
        <v>5</v>
      </c>
      <c r="C23" s="9" t="s">
        <v>296</v>
      </c>
    </row>
    <row r="24" spans="2:3" x14ac:dyDescent="0.25">
      <c r="B24" s="9">
        <v>6</v>
      </c>
      <c r="C24" s="9" t="s">
        <v>896</v>
      </c>
    </row>
    <row r="25" spans="2:3" x14ac:dyDescent="0.25">
      <c r="B25" s="9">
        <v>7</v>
      </c>
      <c r="C25" s="9" t="s">
        <v>1340</v>
      </c>
    </row>
    <row r="26" spans="2:3" x14ac:dyDescent="0.25">
      <c r="B26" s="9">
        <v>8</v>
      </c>
      <c r="C26" s="9" t="s">
        <v>1527</v>
      </c>
    </row>
  </sheetData>
  <mergeCells count="1">
    <mergeCell ref="B7:C7"/>
  </mergeCells>
  <dataValidations count="6">
    <dataValidation type="list" allowBlank="1" showInputMessage="1" showErrorMessage="1" sqref="H8:X8" xr:uid="{78640CF7-1C1B-4B6F-B642-DD626C3D6E86}">
      <formula1>$B$35:$B$49</formula1>
    </dataValidation>
    <dataValidation type="list" allowBlank="1" showInputMessage="1" showErrorMessage="1" sqref="H7:AB7" xr:uid="{E368632B-92C8-48B2-A9CB-42A6278DE6A5}">
      <formula1>$B$31:$B$33</formula1>
    </dataValidation>
    <dataValidation type="list" allowBlank="1" showInputMessage="1" showErrorMessage="1" sqref="H6:AB6" xr:uid="{5F809AF0-024B-48DB-AAFD-2B04DA027076}">
      <formula1>$B$27:$B$29</formula1>
    </dataValidation>
    <dataValidation type="list" allowBlank="1" showInputMessage="1" showErrorMessage="1" sqref="H5:Z5 AC5:AD5 AG5:AK5" xr:uid="{A8D7B3A9-ADAE-45FA-BB61-BBAB533A4523}">
      <formula1>$B$21:$B$25</formula1>
    </dataValidation>
    <dataValidation type="list" allowBlank="1" showInputMessage="1" showErrorMessage="1" sqref="AB4:AB5 H4:Z4 AC4:AK4" xr:uid="{49B9CD10-FEB6-4D84-A27D-0B091BD26C92}">
      <formula1>$B$16:$B$19</formula1>
    </dataValidation>
    <dataValidation type="list" allowBlank="1" showInputMessage="1" showErrorMessage="1" sqref="D3:D5" xr:uid="{FFCB2FF8-F652-472D-8AA4-475DD59321E0}">
      <formula1>$B$9:$B$12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FBE8-8253-4EEF-A6B0-4D9342598968}">
  <sheetPr codeName="Sheet11"/>
  <dimension ref="B1:AK351"/>
  <sheetViews>
    <sheetView topLeftCell="A7" zoomScaleNormal="100" workbookViewId="0">
      <selection activeCell="M14" sqref="M14"/>
    </sheetView>
  </sheetViews>
  <sheetFormatPr baseColWidth="10" defaultColWidth="11.42578125" defaultRowHeight="15" x14ac:dyDescent="0.25"/>
  <cols>
    <col min="1" max="1" width="2.28515625" customWidth="1"/>
    <col min="2" max="2" width="72.7109375" bestFit="1" customWidth="1"/>
    <col min="3" max="3" width="21.5703125" customWidth="1"/>
    <col min="4" max="4" width="12.42578125" style="1" customWidth="1"/>
    <col min="5" max="5" width="12" style="1" bestFit="1" customWidth="1"/>
    <col min="6" max="6" width="6.85546875" style="1" customWidth="1"/>
    <col min="7" max="7" width="15.7109375" style="1" customWidth="1"/>
    <col min="8" max="8" width="12" customWidth="1"/>
    <col min="9" max="9" width="9.7109375" customWidth="1"/>
    <col min="10" max="10" width="10.5703125" style="1" customWidth="1"/>
    <col min="11" max="11" width="9.28515625" customWidth="1"/>
    <col min="12" max="14" width="8.5703125" customWidth="1"/>
    <col min="15" max="15" width="8.42578125" customWidth="1"/>
    <col min="16" max="16" width="14.7109375" customWidth="1"/>
    <col min="17" max="17" width="13.7109375" style="28" customWidth="1"/>
    <col min="18" max="18" width="19.28515625" customWidth="1"/>
    <col min="19" max="22" width="11.42578125" customWidth="1"/>
    <col min="23" max="23" width="17.7109375" customWidth="1"/>
    <col min="24" max="29" width="11.42578125" customWidth="1"/>
    <col min="30" max="30" width="13.5703125" bestFit="1" customWidth="1"/>
    <col min="31" max="31" width="10" customWidth="1"/>
    <col min="32" max="32" width="11.5703125" customWidth="1"/>
  </cols>
  <sheetData>
    <row r="1" spans="2:37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B2" s="2"/>
      <c r="C2" s="2" t="s">
        <v>17</v>
      </c>
      <c r="D2" s="34" t="s">
        <v>8</v>
      </c>
      <c r="E2" s="3" t="s">
        <v>298</v>
      </c>
      <c r="F2" s="3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110" t="s">
        <v>321</v>
      </c>
      <c r="C3" s="110" t="s">
        <v>319</v>
      </c>
      <c r="D3" s="36">
        <f>+G3*E3</f>
        <v>0</v>
      </c>
      <c r="E3" s="4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0</v>
      </c>
      <c r="H3" s="24">
        <f>-18.829/1000</f>
        <v>-1.8829000000000002E-2</v>
      </c>
      <c r="I3" s="44">
        <v>0</v>
      </c>
      <c r="J3" s="21">
        <v>0</v>
      </c>
      <c r="K3" s="21">
        <v>0</v>
      </c>
      <c r="L3" s="22">
        <v>0</v>
      </c>
      <c r="M3" s="22">
        <v>0</v>
      </c>
      <c r="N3" s="22">
        <v>0</v>
      </c>
      <c r="O3" s="22">
        <v>0</v>
      </c>
      <c r="P3" s="44">
        <f>-18.829/1000</f>
        <v>-1.8829000000000002E-2</v>
      </c>
      <c r="Q3" s="44">
        <f>-18.829/1000</f>
        <v>-1.8829000000000002E-2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141">
        <v>0</v>
      </c>
      <c r="AF3" s="21">
        <v>0</v>
      </c>
      <c r="AG3" s="44">
        <v>0</v>
      </c>
      <c r="AH3" s="169">
        <v>0</v>
      </c>
      <c r="AI3" s="44">
        <v>0</v>
      </c>
      <c r="AJ3" s="44">
        <v>0</v>
      </c>
      <c r="AK3" s="44">
        <v>0</v>
      </c>
    </row>
    <row r="4" spans="2:37" x14ac:dyDescent="0.25">
      <c r="B4" s="110" t="s">
        <v>322</v>
      </c>
      <c r="C4" s="110" t="s">
        <v>320</v>
      </c>
      <c r="D4" s="36">
        <f t="shared" ref="D4:D58" si="0">+G4*E4</f>
        <v>0</v>
      </c>
      <c r="E4" s="4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f>8.425/1000</f>
        <v>8.4250000000000002E-3</v>
      </c>
      <c r="I4" s="44">
        <f>-23.479/2/1000</f>
        <v>-1.17395E-2</v>
      </c>
      <c r="J4" s="21">
        <v>0</v>
      </c>
      <c r="K4" s="21">
        <v>0.68969999999999998</v>
      </c>
      <c r="L4" s="22">
        <v>0</v>
      </c>
      <c r="M4" s="22">
        <v>0</v>
      </c>
      <c r="N4" s="22">
        <v>0</v>
      </c>
      <c r="O4" s="22">
        <v>0</v>
      </c>
      <c r="P4" s="44">
        <f>8.425/1000</f>
        <v>8.4250000000000002E-3</v>
      </c>
      <c r="Q4" s="44">
        <f>8.425/1000</f>
        <v>8.4250000000000002E-3</v>
      </c>
      <c r="R4" s="44">
        <f>-23.479/2/1000</f>
        <v>-1.17395E-2</v>
      </c>
      <c r="S4" s="44">
        <v>0</v>
      </c>
      <c r="T4" s="44">
        <v>0</v>
      </c>
      <c r="U4" s="44">
        <v>0.68969999999999998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141">
        <v>0</v>
      </c>
      <c r="AF4" s="21">
        <v>0</v>
      </c>
      <c r="AG4" s="44">
        <v>0</v>
      </c>
      <c r="AH4" s="169">
        <v>0</v>
      </c>
      <c r="AI4" s="44">
        <v>0.68969999999999998</v>
      </c>
      <c r="AJ4" s="44">
        <v>0.68969999999999998</v>
      </c>
      <c r="AK4" s="44">
        <v>0.68969999999999998</v>
      </c>
    </row>
    <row r="5" spans="2:37" x14ac:dyDescent="0.25">
      <c r="B5" s="110" t="s">
        <v>324</v>
      </c>
      <c r="C5" s="110" t="s">
        <v>327</v>
      </c>
      <c r="D5" s="36">
        <f t="shared" si="0"/>
        <v>0.09</v>
      </c>
      <c r="E5" s="4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0.09</v>
      </c>
      <c r="H5" s="24">
        <v>0.26</v>
      </c>
      <c r="I5" s="44">
        <v>0.26</v>
      </c>
      <c r="J5" s="21">
        <v>0.2</v>
      </c>
      <c r="K5" s="21">
        <v>5.8</v>
      </c>
      <c r="L5" s="22">
        <v>0.2</v>
      </c>
      <c r="M5" s="22">
        <v>0.09</v>
      </c>
      <c r="N5" s="22">
        <v>0.13</v>
      </c>
      <c r="O5" s="22">
        <v>0.2</v>
      </c>
      <c r="P5" s="44">
        <v>0.26</v>
      </c>
      <c r="Q5" s="44">
        <v>0.26</v>
      </c>
      <c r="R5" s="44">
        <v>0.26</v>
      </c>
      <c r="S5" s="44">
        <v>0.16500000000000001</v>
      </c>
      <c r="T5" s="44">
        <v>0.16500000000000001</v>
      </c>
      <c r="U5" s="44">
        <v>3.96</v>
      </c>
      <c r="V5" s="44">
        <v>0.35942000000000002</v>
      </c>
      <c r="W5" s="44">
        <v>0.35799999999999998</v>
      </c>
      <c r="X5" s="44">
        <v>0.35799999999999998</v>
      </c>
      <c r="Y5" s="44">
        <v>0.11</v>
      </c>
      <c r="Z5" s="44"/>
      <c r="AA5" s="44">
        <v>0.5</v>
      </c>
      <c r="AB5" s="44">
        <v>0.128</v>
      </c>
      <c r="AC5" s="44">
        <v>1.63</v>
      </c>
      <c r="AD5" s="44">
        <v>1.63</v>
      </c>
      <c r="AE5" s="141">
        <v>1.591</v>
      </c>
      <c r="AF5" s="21">
        <v>0.2</v>
      </c>
      <c r="AG5" s="44">
        <v>0.27</v>
      </c>
      <c r="AH5" s="169">
        <v>0.4</v>
      </c>
      <c r="AI5" s="44">
        <v>3.96</v>
      </c>
      <c r="AJ5" s="44">
        <v>3.96</v>
      </c>
      <c r="AK5" s="44">
        <v>3.96</v>
      </c>
    </row>
    <row r="6" spans="2:37" x14ac:dyDescent="0.25">
      <c r="B6" s="110" t="s">
        <v>325</v>
      </c>
      <c r="C6" s="110" t="s">
        <v>328</v>
      </c>
      <c r="D6" s="36">
        <f t="shared" si="0"/>
        <v>0.09</v>
      </c>
      <c r="E6" s="4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0.09</v>
      </c>
      <c r="H6" s="24">
        <v>0.25</v>
      </c>
      <c r="I6" s="44">
        <v>0.25</v>
      </c>
      <c r="J6" s="21">
        <v>0.2</v>
      </c>
      <c r="K6" s="21">
        <v>5.8</v>
      </c>
      <c r="L6" s="22">
        <v>0.2</v>
      </c>
      <c r="M6" s="22">
        <v>0.09</v>
      </c>
      <c r="N6" s="22">
        <v>0.13</v>
      </c>
      <c r="O6" s="22">
        <v>0.2</v>
      </c>
      <c r="P6" s="44">
        <v>0.25</v>
      </c>
      <c r="Q6" s="44">
        <v>0.25</v>
      </c>
      <c r="R6" s="44">
        <v>0.25</v>
      </c>
      <c r="S6" s="44">
        <v>0.22</v>
      </c>
      <c r="T6" s="44">
        <v>0.22</v>
      </c>
      <c r="U6" s="44">
        <v>3.96</v>
      </c>
      <c r="V6" s="44">
        <v>0.25703999999999999</v>
      </c>
      <c r="W6" s="44">
        <v>0.372</v>
      </c>
      <c r="X6" s="44">
        <v>0.372</v>
      </c>
      <c r="Y6" s="44">
        <v>0.11</v>
      </c>
      <c r="Z6" s="44"/>
      <c r="AA6" s="44">
        <v>0.2</v>
      </c>
      <c r="AB6" s="44">
        <v>0.16900000000000001</v>
      </c>
      <c r="AC6" s="44">
        <v>1.645</v>
      </c>
      <c r="AD6" s="44">
        <v>1.645</v>
      </c>
      <c r="AE6" s="141">
        <v>0.51290000000000002</v>
      </c>
      <c r="AF6" s="21">
        <v>0.2</v>
      </c>
      <c r="AG6" s="44">
        <v>0.18</v>
      </c>
      <c r="AH6" s="169">
        <v>0.3</v>
      </c>
      <c r="AI6" s="44">
        <v>3.96</v>
      </c>
      <c r="AJ6" s="44">
        <v>3.96</v>
      </c>
      <c r="AK6" s="44">
        <v>3.96</v>
      </c>
    </row>
    <row r="7" spans="2:37" x14ac:dyDescent="0.25">
      <c r="B7" s="110" t="s">
        <v>323</v>
      </c>
      <c r="C7" s="110" t="s">
        <v>329</v>
      </c>
      <c r="D7" s="36">
        <f t="shared" si="0"/>
        <v>1.1910000000000001</v>
      </c>
      <c r="E7" s="4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1.1910000000000001</v>
      </c>
      <c r="H7" s="24">
        <v>1.6795949999999999</v>
      </c>
      <c r="I7" s="44">
        <v>1.68469</v>
      </c>
      <c r="J7" s="24">
        <v>2.1</v>
      </c>
      <c r="K7" s="24">
        <v>45.1</v>
      </c>
      <c r="L7" s="24">
        <v>2.1</v>
      </c>
      <c r="M7" s="24">
        <v>1.1910000000000001</v>
      </c>
      <c r="N7" s="24">
        <v>2.1</v>
      </c>
      <c r="O7" s="24">
        <v>2.1</v>
      </c>
      <c r="P7" s="24">
        <v>1.6795949999999999</v>
      </c>
      <c r="Q7" s="24">
        <v>1.6795949999999999</v>
      </c>
      <c r="R7" s="24">
        <v>1.68469</v>
      </c>
      <c r="S7" s="44">
        <v>1.8740000000000001</v>
      </c>
      <c r="T7" s="44">
        <v>1.8740000000000001</v>
      </c>
      <c r="U7" s="44">
        <v>37.57</v>
      </c>
      <c r="V7" s="44">
        <v>1.76545</v>
      </c>
      <c r="W7" s="44">
        <v>2.4089999999999998</v>
      </c>
      <c r="X7" s="44">
        <v>2.4089999999999998</v>
      </c>
      <c r="Y7" s="44">
        <v>1.1454500000000001</v>
      </c>
      <c r="Z7" s="44"/>
      <c r="AA7" s="44">
        <v>1.2</v>
      </c>
      <c r="AB7" s="44">
        <v>0.69799999999999995</v>
      </c>
      <c r="AC7" s="44">
        <v>10.85</v>
      </c>
      <c r="AD7" s="44">
        <v>10.85</v>
      </c>
      <c r="AE7" s="141">
        <v>12.839</v>
      </c>
      <c r="AF7" s="21">
        <v>2.1</v>
      </c>
      <c r="AG7" s="44">
        <v>1.8</v>
      </c>
      <c r="AH7" s="169">
        <v>3.4849999999999999</v>
      </c>
      <c r="AI7" s="44">
        <v>37.57</v>
      </c>
      <c r="AJ7" s="44">
        <v>37.57</v>
      </c>
      <c r="AK7" s="44">
        <v>37.57</v>
      </c>
    </row>
    <row r="8" spans="2:37" x14ac:dyDescent="0.25">
      <c r="B8" s="110" t="s">
        <v>326</v>
      </c>
      <c r="C8" s="110" t="s">
        <v>330</v>
      </c>
      <c r="D8" s="36">
        <f t="shared" si="0"/>
        <v>0.09</v>
      </c>
      <c r="E8" s="4">
        <v>1</v>
      </c>
      <c r="F8" s="3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0.09</v>
      </c>
      <c r="H8" s="24">
        <f>+(H5+H6)/2</f>
        <v>0.255</v>
      </c>
      <c r="I8" s="44">
        <f>+(I5+I6)/2</f>
        <v>0.255</v>
      </c>
      <c r="J8" s="24">
        <f t="shared" ref="J8" si="1">+(J5+J6)/2</f>
        <v>0.2</v>
      </c>
      <c r="K8" s="24">
        <v>5.8</v>
      </c>
      <c r="L8" s="24">
        <f t="shared" ref="L8:O8" si="2">+(L5+L6)/2</f>
        <v>0.2</v>
      </c>
      <c r="M8" s="24">
        <f t="shared" si="2"/>
        <v>0.09</v>
      </c>
      <c r="N8" s="24">
        <f t="shared" si="2"/>
        <v>0.13</v>
      </c>
      <c r="O8" s="24">
        <f t="shared" si="2"/>
        <v>0.2</v>
      </c>
      <c r="P8" s="44">
        <f>+(P5+P6)/2</f>
        <v>0.255</v>
      </c>
      <c r="Q8" s="44">
        <f>+(Q5+Q6)/2</f>
        <v>0.255</v>
      </c>
      <c r="R8" s="44">
        <f>+(R5+R6)/2</f>
        <v>0.255</v>
      </c>
      <c r="S8" s="44">
        <v>0.15</v>
      </c>
      <c r="T8" s="44">
        <v>0.15</v>
      </c>
      <c r="U8" s="44">
        <v>3.96</v>
      </c>
      <c r="V8" s="44">
        <f>+(V5+V6)/2</f>
        <v>0.30823</v>
      </c>
      <c r="W8" s="44">
        <f>+(W5+W6)/2</f>
        <v>0.36499999999999999</v>
      </c>
      <c r="X8" s="44">
        <f>+(X5+X6)/2</f>
        <v>0.36499999999999999</v>
      </c>
      <c r="Y8" s="44">
        <v>0.11</v>
      </c>
      <c r="Z8" s="44"/>
      <c r="AA8" s="44">
        <v>0.2</v>
      </c>
      <c r="AB8" s="44">
        <v>0.15</v>
      </c>
      <c r="AC8" s="44">
        <v>1.65</v>
      </c>
      <c r="AD8" s="44">
        <v>1.65</v>
      </c>
      <c r="AE8" s="141">
        <v>1.9</v>
      </c>
      <c r="AF8" s="24">
        <f t="shared" ref="AF8" si="3">+(AF5+AF6)/2</f>
        <v>0.2</v>
      </c>
      <c r="AG8" s="44">
        <v>0.25</v>
      </c>
      <c r="AH8" s="169">
        <v>0.35</v>
      </c>
      <c r="AI8" s="44">
        <v>3.96</v>
      </c>
      <c r="AJ8" s="44">
        <v>3.96</v>
      </c>
      <c r="AK8" s="44">
        <v>3.96</v>
      </c>
    </row>
    <row r="9" spans="2:37" x14ac:dyDescent="0.25">
      <c r="B9" s="92" t="s">
        <v>331</v>
      </c>
      <c r="C9" s="92" t="s">
        <v>332</v>
      </c>
      <c r="D9" s="36">
        <f t="shared" si="0"/>
        <v>0</v>
      </c>
      <c r="E9" s="4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</v>
      </c>
      <c r="H9" s="36">
        <f>105.453/1000</f>
        <v>0.10545300000000001</v>
      </c>
      <c r="I9" s="91">
        <f>124.493/1000</f>
        <v>0.12449299999999999</v>
      </c>
      <c r="J9" s="34">
        <v>0</v>
      </c>
      <c r="K9" s="92">
        <v>2.9</v>
      </c>
      <c r="L9" s="92">
        <v>0</v>
      </c>
      <c r="M9" s="92">
        <v>0</v>
      </c>
      <c r="N9" s="92">
        <v>0</v>
      </c>
      <c r="O9" s="92">
        <v>0</v>
      </c>
      <c r="P9" s="91">
        <f>105.453/1000</f>
        <v>0.10545300000000001</v>
      </c>
      <c r="Q9" s="91">
        <f>105.453/1000</f>
        <v>0.10545300000000001</v>
      </c>
      <c r="R9" s="91">
        <f>124.493/1000</f>
        <v>0.12449299999999999</v>
      </c>
      <c r="S9" s="91">
        <v>0</v>
      </c>
      <c r="T9" s="91">
        <v>0</v>
      </c>
      <c r="U9" s="91">
        <v>1.9750000000000001</v>
      </c>
      <c r="V9" s="91">
        <v>0.1052</v>
      </c>
      <c r="W9" s="91">
        <f>154.815/1000</f>
        <v>0.15481500000000001</v>
      </c>
      <c r="X9" s="91">
        <f>154.815/1000</f>
        <v>0.15481500000000001</v>
      </c>
      <c r="Y9" s="91">
        <f>0.0559*SIN(RADIANS(26.5))</f>
        <v>2.494245775283831E-2</v>
      </c>
      <c r="Z9" s="91">
        <v>1.266</v>
      </c>
      <c r="AA9" s="91">
        <v>0.5</v>
      </c>
      <c r="AB9" s="91">
        <v>0</v>
      </c>
      <c r="AC9" s="91">
        <v>0.86488399999999999</v>
      </c>
      <c r="AD9" s="91">
        <v>0.76687300000000003</v>
      </c>
      <c r="AE9" s="142">
        <v>0.15</v>
      </c>
      <c r="AF9" s="34">
        <v>0</v>
      </c>
      <c r="AG9" s="163">
        <v>0.05</v>
      </c>
      <c r="AH9" s="142">
        <v>0.2</v>
      </c>
      <c r="AI9" s="91">
        <v>1.9750000000000001</v>
      </c>
      <c r="AJ9" s="91">
        <v>1.9750000000000001</v>
      </c>
      <c r="AK9" s="91">
        <v>1.9750000000000001</v>
      </c>
    </row>
    <row r="10" spans="2:37" x14ac:dyDescent="0.25">
      <c r="B10" s="133" t="s">
        <v>1284</v>
      </c>
      <c r="C10" s="133" t="s">
        <v>1285</v>
      </c>
      <c r="D10" s="36">
        <f t="shared" si="0"/>
        <v>0</v>
      </c>
      <c r="E10" s="4">
        <v>1</v>
      </c>
      <c r="F10" s="3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36"/>
      <c r="I10" s="91"/>
      <c r="J10" s="34">
        <v>0</v>
      </c>
      <c r="K10" s="92"/>
      <c r="L10" s="92"/>
      <c r="M10" s="92">
        <v>0</v>
      </c>
      <c r="N10" s="92"/>
      <c r="O10" s="92"/>
      <c r="P10" s="91"/>
      <c r="Q10" s="91"/>
      <c r="R10" s="91"/>
      <c r="S10" s="91"/>
      <c r="T10" s="91"/>
      <c r="U10" s="91">
        <v>6.54</v>
      </c>
      <c r="V10" s="91"/>
      <c r="W10" s="91"/>
      <c r="X10" s="91">
        <v>0</v>
      </c>
      <c r="Y10" s="91"/>
      <c r="Z10" s="91">
        <v>3.8460000000000001</v>
      </c>
      <c r="AA10" s="91">
        <v>0</v>
      </c>
      <c r="AB10" s="91">
        <v>0.82499999999999996</v>
      </c>
      <c r="AC10" s="91">
        <v>0</v>
      </c>
      <c r="AD10" s="91">
        <v>2.9756320000000001</v>
      </c>
      <c r="AE10" s="142">
        <v>0</v>
      </c>
      <c r="AF10" s="34">
        <v>0</v>
      </c>
      <c r="AG10" s="163">
        <v>0.9</v>
      </c>
      <c r="AH10" s="142">
        <v>0</v>
      </c>
      <c r="AI10" s="91">
        <v>6.54</v>
      </c>
      <c r="AJ10" s="91">
        <v>6.54</v>
      </c>
      <c r="AK10" s="91">
        <v>6.54</v>
      </c>
    </row>
    <row r="11" spans="2:37" x14ac:dyDescent="0.25">
      <c r="B11" s="133" t="s">
        <v>1286</v>
      </c>
      <c r="C11" s="133" t="s">
        <v>1287</v>
      </c>
      <c r="D11" s="36">
        <f t="shared" si="0"/>
        <v>0</v>
      </c>
      <c r="E11" s="4">
        <v>1</v>
      </c>
      <c r="F11" s="3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36"/>
      <c r="I11" s="91"/>
      <c r="J11" s="34">
        <v>0</v>
      </c>
      <c r="K11" s="92"/>
      <c r="L11" s="92"/>
      <c r="M11" s="92">
        <v>0</v>
      </c>
      <c r="N11" s="92"/>
      <c r="O11" s="92"/>
      <c r="P11" s="91"/>
      <c r="Q11" s="91"/>
      <c r="R11" s="91"/>
      <c r="S11" s="91"/>
      <c r="T11" s="91"/>
      <c r="U11" s="91">
        <v>0</v>
      </c>
      <c r="V11" s="91"/>
      <c r="W11" s="91"/>
      <c r="X11" s="91">
        <v>0</v>
      </c>
      <c r="Y11" s="91"/>
      <c r="Z11" s="91">
        <v>0</v>
      </c>
      <c r="AA11" s="91">
        <v>0</v>
      </c>
      <c r="AB11" s="91">
        <v>1.1120000000000001</v>
      </c>
      <c r="AC11" s="91">
        <v>0</v>
      </c>
      <c r="AD11" s="91">
        <v>3.1309200000000001</v>
      </c>
      <c r="AE11" s="142">
        <v>0</v>
      </c>
      <c r="AF11" s="34">
        <v>0</v>
      </c>
      <c r="AG11" s="163">
        <f>+AG10+(0.1)*COS(15*PI()/180)</f>
        <v>0.99659258262890682</v>
      </c>
      <c r="AH11" s="142">
        <v>0</v>
      </c>
      <c r="AI11" s="91">
        <v>0</v>
      </c>
      <c r="AJ11" s="91">
        <v>0</v>
      </c>
      <c r="AK11" s="91">
        <v>0</v>
      </c>
    </row>
    <row r="12" spans="2:37" x14ac:dyDescent="0.25">
      <c r="B12" s="92" t="s">
        <v>336</v>
      </c>
      <c r="C12" s="92" t="s">
        <v>333</v>
      </c>
      <c r="D12" s="36">
        <f t="shared" si="0"/>
        <v>0.5</v>
      </c>
      <c r="E12" s="4">
        <v>1</v>
      </c>
      <c r="F12" s="3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0.5</v>
      </c>
      <c r="H12" s="36">
        <f>1256.6/1000</f>
        <v>1.2565999999999999</v>
      </c>
      <c r="I12" s="91">
        <f>1273.936/1000</f>
        <v>1.273936</v>
      </c>
      <c r="J12" s="34">
        <f t="shared" ref="J12" si="4">1200/1000</f>
        <v>1.2</v>
      </c>
      <c r="K12" s="92">
        <v>21.204799999999999</v>
      </c>
      <c r="L12" s="92">
        <f t="shared" ref="L12:O12" si="5">1200/1000</f>
        <v>1.2</v>
      </c>
      <c r="M12" s="92">
        <v>0.5</v>
      </c>
      <c r="N12" s="92">
        <f t="shared" si="5"/>
        <v>1.2</v>
      </c>
      <c r="O12" s="92">
        <f t="shared" si="5"/>
        <v>1.2</v>
      </c>
      <c r="P12" s="91">
        <f>1256.6/1000</f>
        <v>1.2565999999999999</v>
      </c>
      <c r="Q12" s="91">
        <f>1256.6/1000</f>
        <v>1.2565999999999999</v>
      </c>
      <c r="R12" s="91">
        <f>1273.936/1000</f>
        <v>1.273936</v>
      </c>
      <c r="S12" s="91">
        <v>1.5149999999999999</v>
      </c>
      <c r="T12" s="91">
        <v>1.5149999999999999</v>
      </c>
      <c r="U12" s="91">
        <v>16.954999999999998</v>
      </c>
      <c r="V12" s="91">
        <v>1.0411600000000001</v>
      </c>
      <c r="W12" s="91">
        <v>2.61</v>
      </c>
      <c r="X12" s="91">
        <v>2.61</v>
      </c>
      <c r="Y12" s="91">
        <f>Y9+0.4259-0.0559</f>
        <v>0.39494245775283832</v>
      </c>
      <c r="Z12" s="91">
        <v>9.2390000000000008</v>
      </c>
      <c r="AA12" s="91">
        <v>3</v>
      </c>
      <c r="AB12" s="91">
        <v>1.284</v>
      </c>
      <c r="AC12" s="91">
        <v>7.8153079999999999</v>
      </c>
      <c r="AD12" s="91">
        <v>8.6175700000000006</v>
      </c>
      <c r="AE12" s="143">
        <v>1.5</v>
      </c>
      <c r="AF12" s="34">
        <f t="shared" ref="AF12" si="6">1200/1000</f>
        <v>1.2</v>
      </c>
      <c r="AG12" s="91">
        <f>+AG11+(0.1)*COS(30*PI()/180)</f>
        <v>1.0831951230073507</v>
      </c>
      <c r="AH12" s="177">
        <v>0.8</v>
      </c>
      <c r="AI12" s="91">
        <v>16.954999999999998</v>
      </c>
      <c r="AJ12" s="91">
        <v>16.954999999999998</v>
      </c>
      <c r="AK12" s="91">
        <v>16.954999999999998</v>
      </c>
    </row>
    <row r="13" spans="2:37" x14ac:dyDescent="0.25">
      <c r="B13" s="92" t="s">
        <v>335</v>
      </c>
      <c r="C13" s="92" t="s">
        <v>334</v>
      </c>
      <c r="D13" s="36">
        <f t="shared" si="0"/>
        <v>-5.9299999999999999E-2</v>
      </c>
      <c r="E13" s="4">
        <v>1</v>
      </c>
      <c r="F13" s="3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-5.9299999999999999E-2</v>
      </c>
      <c r="H13" s="36">
        <f>152.999/1000</f>
        <v>0.152999</v>
      </c>
      <c r="I13" s="91">
        <f>172.29/1000</f>
        <v>0.17229</v>
      </c>
      <c r="J13" s="34">
        <v>-0.12</v>
      </c>
      <c r="K13" s="92">
        <v>3.2997000000000001</v>
      </c>
      <c r="L13" s="92">
        <f t="shared" ref="L13:O13" si="7">40/1000</f>
        <v>0.04</v>
      </c>
      <c r="M13" s="92">
        <v>-5.9299999999999999E-2</v>
      </c>
      <c r="N13" s="92">
        <f t="shared" si="7"/>
        <v>0.04</v>
      </c>
      <c r="O13" s="92">
        <f t="shared" si="7"/>
        <v>0.04</v>
      </c>
      <c r="P13" s="91">
        <f>152.999/1000</f>
        <v>0.152999</v>
      </c>
      <c r="Q13" s="91">
        <f>152.999/1000</f>
        <v>0.152999</v>
      </c>
      <c r="R13" s="91">
        <f>172.29/1000</f>
        <v>0.17229</v>
      </c>
      <c r="S13" s="91">
        <v>3.4000000000000002E-2</v>
      </c>
      <c r="T13" s="91">
        <v>3.4000000000000002E-2</v>
      </c>
      <c r="U13" s="91">
        <f>+-0.99</f>
        <v>-0.99</v>
      </c>
      <c r="V13" s="91">
        <v>0.1585</v>
      </c>
      <c r="W13" s="91">
        <f>-66.06/1000</f>
        <v>-6.6060000000000008E-2</v>
      </c>
      <c r="X13" s="91">
        <f>-66.06/1000</f>
        <v>-6.6060000000000008E-2</v>
      </c>
      <c r="Y13" s="91">
        <f>0.0559*COS(RADIANS(26.5))</f>
        <v>5.0026830813553205E-2</v>
      </c>
      <c r="Z13" s="91">
        <v>-0.34399999999999997</v>
      </c>
      <c r="AA13" s="91">
        <v>0</v>
      </c>
      <c r="AB13" s="91">
        <v>6.9000000000000006E-2</v>
      </c>
      <c r="AC13" s="91">
        <v>0.89500500000000005</v>
      </c>
      <c r="AD13" s="91">
        <v>-0.33177899999999999</v>
      </c>
      <c r="AE13" s="143">
        <v>0.25</v>
      </c>
      <c r="AF13" s="34">
        <v>0.12</v>
      </c>
      <c r="AG13" s="91">
        <v>-7.0000000000000007E-2</v>
      </c>
      <c r="AH13" s="177">
        <v>0</v>
      </c>
      <c r="AI13" s="91">
        <f t="shared" ref="AI13:AK13" si="8">+-0.99</f>
        <v>-0.99</v>
      </c>
      <c r="AJ13" s="91">
        <f t="shared" si="8"/>
        <v>-0.99</v>
      </c>
      <c r="AK13" s="91">
        <f t="shared" si="8"/>
        <v>-0.99</v>
      </c>
    </row>
    <row r="14" spans="2:37" x14ac:dyDescent="0.25">
      <c r="B14" s="92" t="s">
        <v>371</v>
      </c>
      <c r="C14" s="92" t="s">
        <v>915</v>
      </c>
      <c r="D14" s="36">
        <f t="shared" si="0"/>
        <v>0.48180000000000001</v>
      </c>
      <c r="E14" s="4">
        <v>1</v>
      </c>
      <c r="F14" s="3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0.48180000000000001</v>
      </c>
      <c r="H14" s="36">
        <v>0.9</v>
      </c>
      <c r="I14" s="91">
        <v>0.87145300000000003</v>
      </c>
      <c r="J14" s="34">
        <v>0.6</v>
      </c>
      <c r="K14" s="92">
        <v>15.2804</v>
      </c>
      <c r="L14" s="92">
        <f t="shared" ref="L14:O14" si="9">700/1000</f>
        <v>0.7</v>
      </c>
      <c r="M14" s="92">
        <v>0.48180000000000001</v>
      </c>
      <c r="N14" s="92">
        <f t="shared" si="9"/>
        <v>0.7</v>
      </c>
      <c r="O14" s="92">
        <f t="shared" si="9"/>
        <v>0.7</v>
      </c>
      <c r="P14" s="91">
        <v>0.71562899999999996</v>
      </c>
      <c r="Q14" s="91">
        <v>0.71562899999999996</v>
      </c>
      <c r="R14" s="91">
        <v>0.87145300000000003</v>
      </c>
      <c r="S14" s="91">
        <v>0.224</v>
      </c>
      <c r="T14" s="91">
        <v>0.224</v>
      </c>
      <c r="U14" s="91">
        <v>12.34324</v>
      </c>
      <c r="V14" s="91">
        <v>1.53287</v>
      </c>
      <c r="W14" s="91">
        <v>1.45766</v>
      </c>
      <c r="X14" s="91">
        <v>1.45766</v>
      </c>
      <c r="Y14" s="91">
        <v>0.56045</v>
      </c>
      <c r="Z14" s="91">
        <v>7.77</v>
      </c>
      <c r="AA14" s="91">
        <v>0.315</v>
      </c>
      <c r="AB14" s="91">
        <v>0.315</v>
      </c>
      <c r="AC14" s="91">
        <v>3.5923910000000001</v>
      </c>
      <c r="AD14" s="91">
        <v>3.982612</v>
      </c>
      <c r="AE14" s="143">
        <v>1.375</v>
      </c>
      <c r="AF14" s="34">
        <v>0.95</v>
      </c>
      <c r="AG14" s="91">
        <v>0.75</v>
      </c>
      <c r="AH14" s="177">
        <v>1.4750000000000001</v>
      </c>
      <c r="AI14" s="91">
        <v>12.34324</v>
      </c>
      <c r="AJ14" s="91">
        <v>12.34324</v>
      </c>
      <c r="AK14" s="91">
        <v>12.34324</v>
      </c>
    </row>
    <row r="15" spans="2:37" x14ac:dyDescent="0.25">
      <c r="B15" s="92" t="s">
        <v>374</v>
      </c>
      <c r="C15" s="92" t="s">
        <v>363</v>
      </c>
      <c r="D15" s="36">
        <f t="shared" si="0"/>
        <v>0</v>
      </c>
      <c r="E15" s="4">
        <f>+PI()/180</f>
        <v>1.7453292519943295E-2</v>
      </c>
      <c r="F15" s="3" t="s">
        <v>488</v>
      </c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0</v>
      </c>
      <c r="H15" s="36">
        <v>0</v>
      </c>
      <c r="I15" s="91">
        <v>0</v>
      </c>
      <c r="J15" s="34">
        <v>26.565000000000001</v>
      </c>
      <c r="K15" s="92">
        <v>20.312290000000001</v>
      </c>
      <c r="L15" s="92">
        <v>26.57</v>
      </c>
      <c r="M15" s="92">
        <v>0</v>
      </c>
      <c r="N15" s="92">
        <v>26.57</v>
      </c>
      <c r="O15" s="92">
        <v>26.57</v>
      </c>
      <c r="P15" s="91">
        <v>0</v>
      </c>
      <c r="Q15" s="91">
        <v>-6.9097999999999997</v>
      </c>
      <c r="R15" s="91">
        <v>0</v>
      </c>
      <c r="S15" s="91">
        <v>9.8000000000000007</v>
      </c>
      <c r="T15" s="91">
        <v>9.8000000000000007</v>
      </c>
      <c r="U15" s="91">
        <v>27.282</v>
      </c>
      <c r="V15" s="91">
        <v>0</v>
      </c>
      <c r="W15" s="91">
        <v>0</v>
      </c>
      <c r="X15" s="91">
        <v>0</v>
      </c>
      <c r="Y15" s="91">
        <v>0</v>
      </c>
      <c r="Z15" s="91">
        <v>34.8384</v>
      </c>
      <c r="AA15" s="91">
        <v>13.58</v>
      </c>
      <c r="AB15" s="91">
        <v>0</v>
      </c>
      <c r="AC15" s="91">
        <v>3.05</v>
      </c>
      <c r="AD15" s="91">
        <v>4</v>
      </c>
      <c r="AE15" s="143">
        <v>9.4619999999999997</v>
      </c>
      <c r="AF15" s="34">
        <v>10</v>
      </c>
      <c r="AG15" s="91">
        <v>0</v>
      </c>
      <c r="AH15" s="177">
        <v>5.3559999999999999</v>
      </c>
      <c r="AI15" s="91">
        <v>27.282</v>
      </c>
      <c r="AJ15" s="91">
        <v>27.282</v>
      </c>
      <c r="AK15" s="91">
        <v>27.282</v>
      </c>
    </row>
    <row r="16" spans="2:37" x14ac:dyDescent="0.25">
      <c r="B16" s="133" t="s">
        <v>1294</v>
      </c>
      <c r="C16" s="133" t="s">
        <v>1295</v>
      </c>
      <c r="D16" s="36">
        <f t="shared" si="0"/>
        <v>0</v>
      </c>
      <c r="E16" s="4">
        <f t="shared" ref="E16:E17" si="10">+PI()/180</f>
        <v>1.7453292519943295E-2</v>
      </c>
      <c r="F16" s="3" t="s">
        <v>488</v>
      </c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36"/>
      <c r="I16" s="91"/>
      <c r="J16" s="34">
        <v>0</v>
      </c>
      <c r="K16" s="92"/>
      <c r="L16" s="92"/>
      <c r="M16" s="92">
        <v>0</v>
      </c>
      <c r="N16" s="92"/>
      <c r="O16" s="92"/>
      <c r="P16" s="91"/>
      <c r="Q16" s="91"/>
      <c r="R16" s="91"/>
      <c r="S16" s="91"/>
      <c r="T16" s="91"/>
      <c r="U16" s="91">
        <v>27.282</v>
      </c>
      <c r="V16" s="91"/>
      <c r="W16" s="91"/>
      <c r="X16" s="91"/>
      <c r="Y16" s="91"/>
      <c r="Z16" s="91">
        <v>27.6372</v>
      </c>
      <c r="AA16" s="91">
        <v>0</v>
      </c>
      <c r="AB16" s="91">
        <v>2.8</v>
      </c>
      <c r="AC16" s="91">
        <v>0</v>
      </c>
      <c r="AD16" s="91">
        <v>23.5</v>
      </c>
      <c r="AE16" s="143">
        <v>0</v>
      </c>
      <c r="AF16" s="34">
        <v>0</v>
      </c>
      <c r="AG16" s="91">
        <v>30.93</v>
      </c>
      <c r="AH16" s="177">
        <v>0</v>
      </c>
      <c r="AI16" s="91">
        <v>27.282</v>
      </c>
      <c r="AJ16" s="91">
        <v>27.282</v>
      </c>
      <c r="AK16" s="91">
        <v>27.282</v>
      </c>
    </row>
    <row r="17" spans="2:37" x14ac:dyDescent="0.25">
      <c r="B17" s="133" t="s">
        <v>1296</v>
      </c>
      <c r="C17" s="133" t="s">
        <v>1297</v>
      </c>
      <c r="D17" s="36">
        <f t="shared" si="0"/>
        <v>0</v>
      </c>
      <c r="E17" s="4">
        <f t="shared" si="10"/>
        <v>1.7453292519943295E-2</v>
      </c>
      <c r="F17" s="3" t="s">
        <v>488</v>
      </c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36"/>
      <c r="I17" s="91"/>
      <c r="J17" s="34">
        <v>0</v>
      </c>
      <c r="K17" s="92"/>
      <c r="L17" s="92"/>
      <c r="M17" s="92">
        <v>0</v>
      </c>
      <c r="N17" s="92"/>
      <c r="O17" s="92"/>
      <c r="P17" s="91"/>
      <c r="Q17" s="91"/>
      <c r="R17" s="91"/>
      <c r="S17" s="91"/>
      <c r="T17" s="91"/>
      <c r="U17" s="91">
        <v>0</v>
      </c>
      <c r="V17" s="91"/>
      <c r="W17" s="91"/>
      <c r="X17" s="91"/>
      <c r="Y17" s="91"/>
      <c r="Z17" s="91">
        <v>0</v>
      </c>
      <c r="AA17" s="91">
        <v>0</v>
      </c>
      <c r="AB17" s="91">
        <v>12.5</v>
      </c>
      <c r="AC17" s="91">
        <v>0</v>
      </c>
      <c r="AD17" s="91">
        <v>3</v>
      </c>
      <c r="AE17" s="143">
        <v>0</v>
      </c>
      <c r="AF17" s="34">
        <v>0</v>
      </c>
      <c r="AG17" s="91">
        <v>30.93</v>
      </c>
      <c r="AH17" s="177">
        <v>0</v>
      </c>
      <c r="AI17" s="91">
        <v>0</v>
      </c>
      <c r="AJ17" s="91">
        <v>0</v>
      </c>
      <c r="AK17" s="91">
        <v>0</v>
      </c>
    </row>
    <row r="18" spans="2:37" x14ac:dyDescent="0.25">
      <c r="B18" s="92" t="s">
        <v>373</v>
      </c>
      <c r="C18" s="92" t="s">
        <v>364</v>
      </c>
      <c r="D18" s="36">
        <f t="shared" si="0"/>
        <v>0</v>
      </c>
      <c r="E18" s="4">
        <f>+PI()/180</f>
        <v>1.7453292519943295E-2</v>
      </c>
      <c r="F18" s="3" t="s">
        <v>488</v>
      </c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36">
        <v>4.9154999999999998</v>
      </c>
      <c r="I18" s="91">
        <v>4.4809999999999999</v>
      </c>
      <c r="J18" s="34">
        <v>0</v>
      </c>
      <c r="K18" s="92">
        <v>-5</v>
      </c>
      <c r="L18" s="92">
        <v>0</v>
      </c>
      <c r="M18" s="92">
        <v>0</v>
      </c>
      <c r="N18" s="92">
        <v>0</v>
      </c>
      <c r="O18" s="92">
        <v>0</v>
      </c>
      <c r="P18" s="91">
        <v>4.9154999999999998</v>
      </c>
      <c r="Q18" s="91">
        <v>4.9154999999999998</v>
      </c>
      <c r="R18" s="91">
        <v>4.4809999999999999</v>
      </c>
      <c r="S18" s="91">
        <v>0</v>
      </c>
      <c r="T18" s="91">
        <v>0</v>
      </c>
      <c r="U18" s="91">
        <v>5.0999999999999996</v>
      </c>
      <c r="V18" s="91">
        <v>0</v>
      </c>
      <c r="W18" s="91">
        <v>0</v>
      </c>
      <c r="X18" s="91">
        <v>0</v>
      </c>
      <c r="Y18" s="91">
        <v>0</v>
      </c>
      <c r="Z18" s="91">
        <v>0.11</v>
      </c>
      <c r="AA18" s="91">
        <v>0</v>
      </c>
      <c r="AB18" s="91">
        <v>0</v>
      </c>
      <c r="AC18" s="91">
        <v>2</v>
      </c>
      <c r="AD18" s="91">
        <v>5</v>
      </c>
      <c r="AE18" s="143">
        <v>0</v>
      </c>
      <c r="AF18" s="34">
        <v>0</v>
      </c>
      <c r="AG18" s="91">
        <v>0</v>
      </c>
      <c r="AH18" s="177">
        <v>0</v>
      </c>
      <c r="AI18" s="91">
        <v>5.0999999999999996</v>
      </c>
      <c r="AJ18" s="91">
        <v>5.0999999999999996</v>
      </c>
      <c r="AK18" s="91">
        <v>5.0999999999999996</v>
      </c>
    </row>
    <row r="19" spans="2:37" x14ac:dyDescent="0.25">
      <c r="B19" s="133" t="s">
        <v>1298</v>
      </c>
      <c r="C19" s="133" t="s">
        <v>1299</v>
      </c>
      <c r="D19" s="36">
        <f t="shared" si="0"/>
        <v>0</v>
      </c>
      <c r="E19" s="4">
        <f t="shared" ref="E19:E20" si="11">+PI()/180</f>
        <v>1.7453292519943295E-2</v>
      </c>
      <c r="F19" s="3" t="s">
        <v>488</v>
      </c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36"/>
      <c r="I19" s="91"/>
      <c r="J19" s="34">
        <v>0</v>
      </c>
      <c r="K19" s="92"/>
      <c r="L19" s="92"/>
      <c r="M19" s="92">
        <v>0</v>
      </c>
      <c r="N19" s="92"/>
      <c r="O19" s="92"/>
      <c r="P19" s="91"/>
      <c r="Q19" s="91"/>
      <c r="R19" s="91"/>
      <c r="S19" s="91"/>
      <c r="T19" s="91"/>
      <c r="U19" s="91">
        <v>5.0999999999999996</v>
      </c>
      <c r="V19" s="91"/>
      <c r="W19" s="91"/>
      <c r="X19" s="91"/>
      <c r="Y19" s="91"/>
      <c r="Z19" s="91">
        <v>0.04</v>
      </c>
      <c r="AA19" s="91">
        <v>0</v>
      </c>
      <c r="AB19" s="91">
        <v>0</v>
      </c>
      <c r="AC19" s="91">
        <v>0</v>
      </c>
      <c r="AD19" s="91">
        <v>5</v>
      </c>
      <c r="AE19" s="143">
        <v>0</v>
      </c>
      <c r="AF19" s="34">
        <v>0</v>
      </c>
      <c r="AG19" s="91">
        <v>15</v>
      </c>
      <c r="AH19" s="177">
        <v>0</v>
      </c>
      <c r="AI19" s="91">
        <v>5.0999999999999996</v>
      </c>
      <c r="AJ19" s="91">
        <v>5.0999999999999996</v>
      </c>
      <c r="AK19" s="91">
        <v>5.0999999999999996</v>
      </c>
    </row>
    <row r="20" spans="2:37" x14ac:dyDescent="0.25">
      <c r="B20" s="133" t="s">
        <v>1300</v>
      </c>
      <c r="C20" s="133" t="s">
        <v>1301</v>
      </c>
      <c r="D20" s="36">
        <f t="shared" si="0"/>
        <v>0</v>
      </c>
      <c r="E20" s="4">
        <f t="shared" si="11"/>
        <v>1.7453292519943295E-2</v>
      </c>
      <c r="F20" s="3" t="s">
        <v>488</v>
      </c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36"/>
      <c r="I20" s="91"/>
      <c r="J20" s="34">
        <v>0</v>
      </c>
      <c r="K20" s="92"/>
      <c r="L20" s="92"/>
      <c r="M20" s="92">
        <v>0</v>
      </c>
      <c r="N20" s="92"/>
      <c r="O20" s="92"/>
      <c r="P20" s="91"/>
      <c r="Q20" s="91"/>
      <c r="R20" s="91"/>
      <c r="S20" s="91"/>
      <c r="T20" s="91"/>
      <c r="U20" s="91">
        <v>0</v>
      </c>
      <c r="V20" s="91"/>
      <c r="W20" s="91"/>
      <c r="X20" s="91"/>
      <c r="Y20" s="91"/>
      <c r="Z20" s="91">
        <v>0</v>
      </c>
      <c r="AA20" s="91">
        <v>0</v>
      </c>
      <c r="AB20" s="91">
        <v>0</v>
      </c>
      <c r="AC20" s="91">
        <v>0</v>
      </c>
      <c r="AD20" s="91">
        <v>5</v>
      </c>
      <c r="AE20" s="143">
        <v>0</v>
      </c>
      <c r="AF20" s="34">
        <v>0</v>
      </c>
      <c r="AG20" s="91">
        <v>30</v>
      </c>
      <c r="AH20" s="177">
        <v>0</v>
      </c>
      <c r="AI20" s="91">
        <v>0</v>
      </c>
      <c r="AJ20" s="91">
        <v>0</v>
      </c>
      <c r="AK20" s="91">
        <v>0</v>
      </c>
    </row>
    <row r="21" spans="2:37" x14ac:dyDescent="0.25">
      <c r="B21" s="110" t="s">
        <v>337</v>
      </c>
      <c r="C21" s="110" t="s">
        <v>340</v>
      </c>
      <c r="D21" s="36">
        <f t="shared" si="0"/>
        <v>0</v>
      </c>
      <c r="E21" s="4">
        <v>1</v>
      </c>
      <c r="F21" s="3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108">
        <f>105.453/1000</f>
        <v>0.10545300000000001</v>
      </c>
      <c r="I21" s="107">
        <f>119.839/1000</f>
        <v>0.119839</v>
      </c>
      <c r="J21" s="104">
        <f t="shared" ref="J21" si="12">80/1000</f>
        <v>0.08</v>
      </c>
      <c r="K21" s="106">
        <v>0</v>
      </c>
      <c r="L21" s="106">
        <f t="shared" ref="L21:O21" si="13">80/1000</f>
        <v>0.08</v>
      </c>
      <c r="M21" s="106"/>
      <c r="N21" s="106">
        <v>0</v>
      </c>
      <c r="O21" s="106">
        <f t="shared" si="13"/>
        <v>0.08</v>
      </c>
      <c r="P21" s="107">
        <f>105.453/1000</f>
        <v>0.10545300000000001</v>
      </c>
      <c r="Q21" s="107">
        <f>105.453/1000</f>
        <v>0.10545300000000001</v>
      </c>
      <c r="R21" s="107">
        <f>119.839/1000</f>
        <v>0.119839</v>
      </c>
      <c r="S21" s="107">
        <v>0</v>
      </c>
      <c r="T21" s="107">
        <v>0</v>
      </c>
      <c r="U21" s="107">
        <v>1.3209</v>
      </c>
      <c r="V21" s="107">
        <v>0</v>
      </c>
      <c r="W21" s="105">
        <v>0</v>
      </c>
      <c r="X21" s="105">
        <v>0</v>
      </c>
      <c r="Y21" s="105">
        <f>0.057*COS(RADIANS(30))</f>
        <v>4.9363448015713011E-2</v>
      </c>
      <c r="Z21" s="105">
        <v>16.222000000000001</v>
      </c>
      <c r="AA21" s="105">
        <v>0</v>
      </c>
      <c r="AB21" s="107">
        <v>0</v>
      </c>
      <c r="AC21" s="107">
        <v>0.28011999999999998</v>
      </c>
      <c r="AD21" s="107">
        <v>0</v>
      </c>
      <c r="AE21" s="144">
        <v>0</v>
      </c>
      <c r="AF21" s="104">
        <f t="shared" ref="AF21" si="14">80/1000</f>
        <v>0.08</v>
      </c>
      <c r="AG21" s="107">
        <v>0</v>
      </c>
      <c r="AH21" s="178">
        <v>0</v>
      </c>
      <c r="AI21" s="107">
        <v>1.3209</v>
      </c>
      <c r="AJ21" s="107">
        <v>1.3209</v>
      </c>
      <c r="AK21" s="107">
        <v>1.3209</v>
      </c>
    </row>
    <row r="22" spans="2:37" x14ac:dyDescent="0.25">
      <c r="B22" s="134" t="s">
        <v>1327</v>
      </c>
      <c r="C22" s="134" t="s">
        <v>1288</v>
      </c>
      <c r="D22" s="36">
        <f t="shared" si="0"/>
        <v>0</v>
      </c>
      <c r="E22" s="4">
        <v>1</v>
      </c>
      <c r="F22" s="3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108"/>
      <c r="I22" s="107"/>
      <c r="J22" s="104">
        <v>0</v>
      </c>
      <c r="K22" s="106"/>
      <c r="L22" s="106"/>
      <c r="M22" s="106"/>
      <c r="N22" s="106"/>
      <c r="O22" s="106"/>
      <c r="P22" s="107"/>
      <c r="Q22" s="107"/>
      <c r="R22" s="107"/>
      <c r="S22" s="107"/>
      <c r="T22" s="107"/>
      <c r="U22" s="107">
        <v>0</v>
      </c>
      <c r="V22" s="107"/>
      <c r="W22" s="105"/>
      <c r="X22" s="105"/>
      <c r="Y22" s="105"/>
      <c r="Z22" s="105">
        <v>0</v>
      </c>
      <c r="AA22" s="105">
        <v>0</v>
      </c>
      <c r="AB22" s="107">
        <v>0</v>
      </c>
      <c r="AC22" s="107">
        <v>0</v>
      </c>
      <c r="AD22" s="107">
        <v>0</v>
      </c>
      <c r="AE22" s="144">
        <v>0</v>
      </c>
      <c r="AF22" s="104">
        <v>0</v>
      </c>
      <c r="AG22" s="107">
        <v>0</v>
      </c>
      <c r="AH22" s="178">
        <v>0</v>
      </c>
      <c r="AI22" s="107">
        <v>0</v>
      </c>
      <c r="AJ22" s="107">
        <v>0</v>
      </c>
      <c r="AK22" s="107">
        <v>0</v>
      </c>
    </row>
    <row r="23" spans="2:37" x14ac:dyDescent="0.25">
      <c r="B23" s="134" t="s">
        <v>1328</v>
      </c>
      <c r="C23" s="134" t="s">
        <v>1289</v>
      </c>
      <c r="D23" s="36">
        <f t="shared" si="0"/>
        <v>0</v>
      </c>
      <c r="E23" s="4">
        <v>1</v>
      </c>
      <c r="F23" s="3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108"/>
      <c r="I23" s="107"/>
      <c r="J23" s="104">
        <v>0</v>
      </c>
      <c r="K23" s="106"/>
      <c r="L23" s="106"/>
      <c r="M23" s="106"/>
      <c r="N23" s="106"/>
      <c r="O23" s="106"/>
      <c r="P23" s="107"/>
      <c r="Q23" s="107"/>
      <c r="R23" s="107"/>
      <c r="S23" s="107"/>
      <c r="T23" s="107"/>
      <c r="U23" s="107">
        <v>0</v>
      </c>
      <c r="V23" s="107"/>
      <c r="W23" s="105"/>
      <c r="X23" s="105"/>
      <c r="Y23" s="105"/>
      <c r="Z23" s="105">
        <v>0</v>
      </c>
      <c r="AA23" s="105">
        <v>0</v>
      </c>
      <c r="AB23" s="107">
        <v>0</v>
      </c>
      <c r="AC23" s="107">
        <v>0</v>
      </c>
      <c r="AD23" s="107">
        <v>0</v>
      </c>
      <c r="AE23" s="144">
        <v>0</v>
      </c>
      <c r="AF23" s="104">
        <v>0</v>
      </c>
      <c r="AG23" s="107">
        <v>0</v>
      </c>
      <c r="AH23" s="178">
        <v>0</v>
      </c>
      <c r="AI23" s="107">
        <v>0</v>
      </c>
      <c r="AJ23" s="107">
        <v>0</v>
      </c>
      <c r="AK23" s="107">
        <v>0</v>
      </c>
    </row>
    <row r="24" spans="2:37" x14ac:dyDescent="0.25">
      <c r="B24" s="110" t="s">
        <v>338</v>
      </c>
      <c r="C24" s="110" t="s">
        <v>341</v>
      </c>
      <c r="D24" s="36">
        <f t="shared" si="0"/>
        <v>0</v>
      </c>
      <c r="E24" s="4">
        <v>1</v>
      </c>
      <c r="F24" s="3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108">
        <f>650.663/1000</f>
        <v>0.65066299999999999</v>
      </c>
      <c r="I24" s="107">
        <f>663.504/1000</f>
        <v>0.66350399999999998</v>
      </c>
      <c r="J24" s="104">
        <v>0.44500000000000001</v>
      </c>
      <c r="K24" s="106">
        <v>8.4821899999999992</v>
      </c>
      <c r="L24" s="106">
        <f t="shared" ref="L24:O24" si="15">(368.8+80)/1000</f>
        <v>0.44880000000000003</v>
      </c>
      <c r="M24" s="106"/>
      <c r="N24" s="106">
        <f t="shared" ref="N24" si="16">1200/1000</f>
        <v>1.2</v>
      </c>
      <c r="O24" s="106">
        <f t="shared" si="15"/>
        <v>0.44880000000000003</v>
      </c>
      <c r="P24" s="107">
        <f>650.663/1000</f>
        <v>0.65066299999999999</v>
      </c>
      <c r="Q24" s="107">
        <f>650.663/1000</f>
        <v>0.65066299999999999</v>
      </c>
      <c r="R24" s="107">
        <f>663.504/1000</f>
        <v>0.66350399999999998</v>
      </c>
      <c r="S24" s="107">
        <v>1.5149999999999999</v>
      </c>
      <c r="T24" s="107">
        <v>1.5149999999999999</v>
      </c>
      <c r="U24" s="107">
        <v>6.2249999999999996</v>
      </c>
      <c r="V24" s="107">
        <v>0</v>
      </c>
      <c r="W24" s="105">
        <f>662.349/1000</f>
        <v>0.66234900000000008</v>
      </c>
      <c r="X24" s="105">
        <f>662.349/1000</f>
        <v>0.66234900000000008</v>
      </c>
      <c r="Y24" s="105">
        <f>0.157*COS(RADIANS(30))</f>
        <v>0.13596598839415688</v>
      </c>
      <c r="Z24" s="105">
        <v>3.5870000000000002</v>
      </c>
      <c r="AA24" s="105">
        <v>0</v>
      </c>
      <c r="AB24" s="107">
        <v>0.3</v>
      </c>
      <c r="AC24" s="107">
        <v>3.1329250000000002</v>
      </c>
      <c r="AD24" s="107">
        <v>0</v>
      </c>
      <c r="AE24" s="144">
        <v>0</v>
      </c>
      <c r="AF24" s="104">
        <v>0.44500000000000001</v>
      </c>
      <c r="AG24" s="107">
        <v>0</v>
      </c>
      <c r="AH24" s="178">
        <v>0</v>
      </c>
      <c r="AI24" s="107">
        <v>6.2249999999999996</v>
      </c>
      <c r="AJ24" s="107">
        <v>6.2249999999999996</v>
      </c>
      <c r="AK24" s="107">
        <v>6.2249999999999996</v>
      </c>
    </row>
    <row r="25" spans="2:37" x14ac:dyDescent="0.25">
      <c r="B25" s="110" t="s">
        <v>339</v>
      </c>
      <c r="C25" s="110" t="s">
        <v>342</v>
      </c>
      <c r="D25" s="36">
        <f t="shared" si="0"/>
        <v>0</v>
      </c>
      <c r="E25" s="4">
        <v>1</v>
      </c>
      <c r="F25" s="3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108">
        <f>162.796/1000</f>
        <v>0.162796</v>
      </c>
      <c r="I25" s="107">
        <f>175.072/1000</f>
        <v>0.17507200000000001</v>
      </c>
      <c r="J25" s="104">
        <v>0.01</v>
      </c>
      <c r="K25" s="106">
        <v>7.9480000000000004</v>
      </c>
      <c r="L25" s="106">
        <f t="shared" ref="L25:O25" si="17">-60/1000</f>
        <v>-0.06</v>
      </c>
      <c r="M25" s="92"/>
      <c r="N25" s="106">
        <f t="shared" ref="N25" si="18">40/1000</f>
        <v>0.04</v>
      </c>
      <c r="O25" s="106">
        <f t="shared" si="17"/>
        <v>-0.06</v>
      </c>
      <c r="P25" s="107">
        <f>162.796/1000</f>
        <v>0.162796</v>
      </c>
      <c r="Q25" s="107">
        <f>162.796/1000</f>
        <v>0.162796</v>
      </c>
      <c r="R25" s="107">
        <f>175.072/1000</f>
        <v>0.17507200000000001</v>
      </c>
      <c r="S25" s="107">
        <v>3.4000000000000002E-2</v>
      </c>
      <c r="T25" s="107">
        <v>3.4000000000000002E-2</v>
      </c>
      <c r="U25" s="107">
        <v>0.85</v>
      </c>
      <c r="V25" s="107">
        <v>0</v>
      </c>
      <c r="W25" s="105">
        <f>94.122/1000</f>
        <v>9.4121999999999997E-2</v>
      </c>
      <c r="X25" s="105">
        <f>94.122/1000</f>
        <v>9.4121999999999997E-2</v>
      </c>
      <c r="Y25" s="105">
        <f>0.057*SIN(RADIANS(30))</f>
        <v>2.8499999999999998E-2</v>
      </c>
      <c r="Z25" s="105">
        <v>2.431</v>
      </c>
      <c r="AA25" s="105">
        <v>0</v>
      </c>
      <c r="AB25" s="107">
        <v>0.3135</v>
      </c>
      <c r="AC25" s="107">
        <v>0.74628899999999998</v>
      </c>
      <c r="AD25" s="107">
        <v>0</v>
      </c>
      <c r="AE25" s="144">
        <v>0</v>
      </c>
      <c r="AF25" s="104">
        <v>0.01</v>
      </c>
      <c r="AG25" s="107">
        <v>0</v>
      </c>
      <c r="AH25" s="178">
        <v>0</v>
      </c>
      <c r="AI25" s="107">
        <v>0.85</v>
      </c>
      <c r="AJ25" s="107">
        <v>0.85</v>
      </c>
      <c r="AK25" s="107">
        <v>0.85</v>
      </c>
    </row>
    <row r="26" spans="2:37" x14ac:dyDescent="0.25">
      <c r="B26" s="110" t="s">
        <v>372</v>
      </c>
      <c r="C26" s="110" t="s">
        <v>912</v>
      </c>
      <c r="D26" s="36">
        <f t="shared" si="0"/>
        <v>0</v>
      </c>
      <c r="E26" s="4">
        <v>1</v>
      </c>
      <c r="F26" s="3"/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109">
        <v>1.494</v>
      </c>
      <c r="I26" s="109">
        <v>1.528573</v>
      </c>
      <c r="J26" s="104">
        <v>1.64</v>
      </c>
      <c r="K26" s="106">
        <v>43.084000000000003</v>
      </c>
      <c r="L26" s="106">
        <f t="shared" ref="L26:O26" si="19">1800/1000</f>
        <v>1.8</v>
      </c>
      <c r="M26" s="92"/>
      <c r="N26" s="106">
        <f t="shared" ref="N26" si="20">700/1000</f>
        <v>0.7</v>
      </c>
      <c r="O26" s="106">
        <f t="shared" si="19"/>
        <v>1.8</v>
      </c>
      <c r="P26" s="109">
        <v>1.494</v>
      </c>
      <c r="Q26" s="109">
        <v>1.494</v>
      </c>
      <c r="R26" s="109">
        <v>1.528573</v>
      </c>
      <c r="S26" s="107">
        <v>0.224</v>
      </c>
      <c r="T26" s="107">
        <v>0.224</v>
      </c>
      <c r="U26" s="107">
        <v>32.264299999999999</v>
      </c>
      <c r="V26" s="107">
        <v>0</v>
      </c>
      <c r="W26" s="107">
        <f>3478.272/1000</f>
        <v>3.478272</v>
      </c>
      <c r="X26" s="107">
        <f>3478.272/1000</f>
        <v>3.478272</v>
      </c>
      <c r="Y26" s="107">
        <v>1.05545</v>
      </c>
      <c r="Z26" s="107">
        <v>18.663</v>
      </c>
      <c r="AA26" s="107">
        <v>0</v>
      </c>
      <c r="AB26" s="109">
        <v>1.3149999999999999</v>
      </c>
      <c r="AC26" s="107">
        <v>9.8049900000000001</v>
      </c>
      <c r="AD26" s="107">
        <v>0</v>
      </c>
      <c r="AE26" s="144">
        <v>0</v>
      </c>
      <c r="AF26" s="104">
        <v>1.64</v>
      </c>
      <c r="AG26" s="107">
        <v>0</v>
      </c>
      <c r="AH26" s="178">
        <v>0</v>
      </c>
      <c r="AI26" s="107">
        <v>32.264299999999999</v>
      </c>
      <c r="AJ26" s="107">
        <v>32.264299999999999</v>
      </c>
      <c r="AK26" s="107">
        <v>32.264299999999999</v>
      </c>
    </row>
    <row r="27" spans="2:37" x14ac:dyDescent="0.25">
      <c r="B27" s="110" t="s">
        <v>375</v>
      </c>
      <c r="C27" s="110" t="s">
        <v>369</v>
      </c>
      <c r="D27" s="36">
        <f t="shared" si="0"/>
        <v>0</v>
      </c>
      <c r="E27" s="4">
        <f>+PI()/180</f>
        <v>1.7453292519943295E-2</v>
      </c>
      <c r="F27" s="3" t="s">
        <v>488</v>
      </c>
      <c r="G27" s="15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0</v>
      </c>
      <c r="H27" s="109">
        <v>17.928899999999999</v>
      </c>
      <c r="I27" s="109">
        <v>9.0649999999999995</v>
      </c>
      <c r="J27" s="104">
        <v>25</v>
      </c>
      <c r="K27" s="106">
        <v>28.856999999999999</v>
      </c>
      <c r="L27" s="106">
        <v>14.93</v>
      </c>
      <c r="M27" s="106"/>
      <c r="N27" s="106">
        <v>26.57</v>
      </c>
      <c r="O27" s="106">
        <v>14.93</v>
      </c>
      <c r="P27" s="109">
        <v>17.928899999999999</v>
      </c>
      <c r="Q27" s="109">
        <v>17.928899999999999</v>
      </c>
      <c r="R27" s="109">
        <v>9.0649999999999995</v>
      </c>
      <c r="S27" s="107">
        <v>12.9725</v>
      </c>
      <c r="T27" s="107">
        <v>12.9725</v>
      </c>
      <c r="U27" s="107">
        <v>32.786000000000001</v>
      </c>
      <c r="V27" s="107">
        <v>0</v>
      </c>
      <c r="W27" s="109">
        <v>0</v>
      </c>
      <c r="X27" s="109">
        <v>0</v>
      </c>
      <c r="Y27" s="109">
        <v>0</v>
      </c>
      <c r="Z27" s="109">
        <v>34.76</v>
      </c>
      <c r="AA27" s="109">
        <v>0</v>
      </c>
      <c r="AB27" s="109">
        <v>14</v>
      </c>
      <c r="AC27" s="107">
        <v>6.45</v>
      </c>
      <c r="AD27" s="107">
        <v>0</v>
      </c>
      <c r="AE27" s="144">
        <v>0</v>
      </c>
      <c r="AF27" s="104">
        <v>25</v>
      </c>
      <c r="AG27" s="107">
        <v>0</v>
      </c>
      <c r="AH27" s="178">
        <v>0</v>
      </c>
      <c r="AI27" s="107">
        <v>32.786000000000001</v>
      </c>
      <c r="AJ27" s="107">
        <v>32.786000000000001</v>
      </c>
      <c r="AK27" s="107">
        <v>32.786000000000001</v>
      </c>
    </row>
    <row r="28" spans="2:37" x14ac:dyDescent="0.25">
      <c r="B28" s="134" t="s">
        <v>1375</v>
      </c>
      <c r="C28" s="134" t="s">
        <v>1302</v>
      </c>
      <c r="D28" s="36">
        <f t="shared" si="0"/>
        <v>0</v>
      </c>
      <c r="E28" s="4">
        <f t="shared" ref="E28:E32" si="21">+PI()/180</f>
        <v>1.7453292519943295E-2</v>
      </c>
      <c r="F28" s="3" t="s">
        <v>488</v>
      </c>
      <c r="G28" s="15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0</v>
      </c>
      <c r="H28" s="109"/>
      <c r="I28" s="109"/>
      <c r="J28" s="104">
        <v>0</v>
      </c>
      <c r="K28" s="106"/>
      <c r="L28" s="106"/>
      <c r="M28" s="106"/>
      <c r="N28" s="106"/>
      <c r="O28" s="106"/>
      <c r="P28" s="109"/>
      <c r="Q28" s="109"/>
      <c r="R28" s="109"/>
      <c r="S28" s="107"/>
      <c r="T28" s="107"/>
      <c r="U28" s="107">
        <v>0</v>
      </c>
      <c r="V28" s="107"/>
      <c r="W28" s="109"/>
      <c r="X28" s="109"/>
      <c r="Y28" s="109"/>
      <c r="Z28" s="109">
        <v>0</v>
      </c>
      <c r="AA28" s="109">
        <v>0</v>
      </c>
      <c r="AB28" s="109">
        <v>0</v>
      </c>
      <c r="AC28" s="107">
        <v>0</v>
      </c>
      <c r="AD28" s="107">
        <v>0</v>
      </c>
      <c r="AE28" s="144">
        <v>0</v>
      </c>
      <c r="AF28" s="104">
        <v>0</v>
      </c>
      <c r="AG28" s="107">
        <v>0</v>
      </c>
      <c r="AH28" s="178">
        <v>0</v>
      </c>
      <c r="AI28" s="107">
        <v>0</v>
      </c>
      <c r="AJ28" s="107">
        <v>0</v>
      </c>
      <c r="AK28" s="107">
        <v>0</v>
      </c>
    </row>
    <row r="29" spans="2:37" x14ac:dyDescent="0.25">
      <c r="B29" s="134" t="s">
        <v>1376</v>
      </c>
      <c r="C29" s="134" t="s">
        <v>1303</v>
      </c>
      <c r="D29" s="36">
        <f t="shared" si="0"/>
        <v>0</v>
      </c>
      <c r="E29" s="4">
        <f t="shared" si="21"/>
        <v>1.7453292519943295E-2</v>
      </c>
      <c r="F29" s="3" t="s">
        <v>488</v>
      </c>
      <c r="G29" s="15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0</v>
      </c>
      <c r="H29" s="109"/>
      <c r="I29" s="109"/>
      <c r="J29" s="104">
        <v>0</v>
      </c>
      <c r="K29" s="106"/>
      <c r="L29" s="106"/>
      <c r="M29" s="106"/>
      <c r="N29" s="106"/>
      <c r="O29" s="106"/>
      <c r="P29" s="109"/>
      <c r="Q29" s="109"/>
      <c r="R29" s="109"/>
      <c r="S29" s="107"/>
      <c r="T29" s="107"/>
      <c r="U29" s="107">
        <v>0</v>
      </c>
      <c r="V29" s="107"/>
      <c r="W29" s="109"/>
      <c r="X29" s="109"/>
      <c r="Y29" s="109"/>
      <c r="Z29" s="109">
        <v>0</v>
      </c>
      <c r="AA29" s="109">
        <v>0</v>
      </c>
      <c r="AB29" s="109">
        <v>0</v>
      </c>
      <c r="AC29" s="107">
        <v>0</v>
      </c>
      <c r="AD29" s="107">
        <v>0</v>
      </c>
      <c r="AE29" s="144">
        <v>0</v>
      </c>
      <c r="AF29" s="104">
        <v>0</v>
      </c>
      <c r="AG29" s="107">
        <v>0</v>
      </c>
      <c r="AH29" s="178">
        <v>0</v>
      </c>
      <c r="AI29" s="107">
        <v>0</v>
      </c>
      <c r="AJ29" s="107">
        <v>0</v>
      </c>
      <c r="AK29" s="107">
        <v>0</v>
      </c>
    </row>
    <row r="30" spans="2:37" x14ac:dyDescent="0.25">
      <c r="B30" s="110" t="s">
        <v>376</v>
      </c>
      <c r="C30" s="110" t="s">
        <v>370</v>
      </c>
      <c r="D30" s="36">
        <f t="shared" si="0"/>
        <v>0</v>
      </c>
      <c r="E30" s="4">
        <f t="shared" si="21"/>
        <v>1.7453292519943295E-2</v>
      </c>
      <c r="F30" s="3" t="s">
        <v>488</v>
      </c>
      <c r="G30" s="15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0</v>
      </c>
      <c r="H30" s="109">
        <v>29.351400000000002</v>
      </c>
      <c r="I30" s="109">
        <v>29.351400000000002</v>
      </c>
      <c r="J30" s="104">
        <v>45</v>
      </c>
      <c r="K30" s="106">
        <v>0</v>
      </c>
      <c r="L30" s="106">
        <v>45</v>
      </c>
      <c r="M30" s="106"/>
      <c r="N30" s="106">
        <v>0</v>
      </c>
      <c r="O30" s="106">
        <v>45</v>
      </c>
      <c r="P30" s="109">
        <v>29.351400000000002</v>
      </c>
      <c r="Q30" s="109">
        <v>29.351400000000002</v>
      </c>
      <c r="R30" s="109">
        <v>29.351400000000002</v>
      </c>
      <c r="S30" s="107">
        <v>0</v>
      </c>
      <c r="T30" s="107">
        <v>0</v>
      </c>
      <c r="U30" s="107">
        <v>6</v>
      </c>
      <c r="V30" s="107">
        <v>0</v>
      </c>
      <c r="W30" s="109">
        <v>0</v>
      </c>
      <c r="X30" s="109">
        <v>0</v>
      </c>
      <c r="Y30" s="109">
        <v>30</v>
      </c>
      <c r="Z30" s="109">
        <v>-4.8609999999999998</v>
      </c>
      <c r="AA30" s="109">
        <v>0</v>
      </c>
      <c r="AB30" s="109">
        <v>0</v>
      </c>
      <c r="AC30" s="107">
        <v>0.19</v>
      </c>
      <c r="AD30" s="107">
        <v>0</v>
      </c>
      <c r="AE30" s="145">
        <v>0</v>
      </c>
      <c r="AF30" s="104">
        <v>45</v>
      </c>
      <c r="AG30" s="107">
        <v>0</v>
      </c>
      <c r="AH30" s="178">
        <v>0</v>
      </c>
      <c r="AI30" s="107">
        <v>6</v>
      </c>
      <c r="AJ30" s="107">
        <v>6</v>
      </c>
      <c r="AK30" s="107">
        <v>6</v>
      </c>
    </row>
    <row r="31" spans="2:37" x14ac:dyDescent="0.25">
      <c r="B31" s="134" t="s">
        <v>1377</v>
      </c>
      <c r="C31" s="134" t="s">
        <v>1308</v>
      </c>
      <c r="D31" s="36">
        <f t="shared" si="0"/>
        <v>0</v>
      </c>
      <c r="E31" s="4">
        <f t="shared" si="21"/>
        <v>1.7453292519943295E-2</v>
      </c>
      <c r="F31" s="3" t="s">
        <v>488</v>
      </c>
      <c r="G31" s="15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0</v>
      </c>
      <c r="H31" s="109"/>
      <c r="I31" s="109"/>
      <c r="J31" s="104">
        <v>0</v>
      </c>
      <c r="K31" s="106"/>
      <c r="L31" s="106"/>
      <c r="M31" s="106"/>
      <c r="N31" s="106"/>
      <c r="O31" s="106"/>
      <c r="P31" s="109"/>
      <c r="Q31" s="109"/>
      <c r="R31" s="109"/>
      <c r="S31" s="107"/>
      <c r="T31" s="107"/>
      <c r="U31" s="107">
        <v>0</v>
      </c>
      <c r="V31" s="107"/>
      <c r="W31" s="109"/>
      <c r="X31" s="109"/>
      <c r="Y31" s="109"/>
      <c r="Z31" s="109">
        <v>0</v>
      </c>
      <c r="AA31" s="109">
        <v>0</v>
      </c>
      <c r="AB31" s="109">
        <v>0</v>
      </c>
      <c r="AC31" s="107">
        <v>0</v>
      </c>
      <c r="AD31" s="107">
        <v>0</v>
      </c>
      <c r="AE31" s="144">
        <v>0</v>
      </c>
      <c r="AF31" s="104">
        <v>0</v>
      </c>
      <c r="AG31" s="107">
        <v>0</v>
      </c>
      <c r="AH31" s="178">
        <v>0</v>
      </c>
      <c r="AI31" s="107">
        <v>0</v>
      </c>
      <c r="AJ31" s="107">
        <v>0</v>
      </c>
      <c r="AK31" s="107">
        <v>0</v>
      </c>
    </row>
    <row r="32" spans="2:37" x14ac:dyDescent="0.25">
      <c r="B32" s="134" t="s">
        <v>1378</v>
      </c>
      <c r="C32" s="134" t="s">
        <v>1309</v>
      </c>
      <c r="D32" s="36">
        <f t="shared" si="0"/>
        <v>0</v>
      </c>
      <c r="E32" s="4">
        <f t="shared" si="21"/>
        <v>1.7453292519943295E-2</v>
      </c>
      <c r="F32" s="3" t="s">
        <v>488</v>
      </c>
      <c r="G32" s="15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0</v>
      </c>
      <c r="H32" s="109"/>
      <c r="I32" s="109"/>
      <c r="J32" s="104">
        <v>0</v>
      </c>
      <c r="K32" s="106"/>
      <c r="L32" s="106"/>
      <c r="M32" s="106"/>
      <c r="N32" s="106"/>
      <c r="O32" s="106"/>
      <c r="P32" s="109"/>
      <c r="Q32" s="109"/>
      <c r="R32" s="109"/>
      <c r="S32" s="107"/>
      <c r="T32" s="107"/>
      <c r="U32" s="107">
        <v>0</v>
      </c>
      <c r="V32" s="107"/>
      <c r="W32" s="109"/>
      <c r="X32" s="109"/>
      <c r="Y32" s="109"/>
      <c r="Z32" s="109">
        <v>0</v>
      </c>
      <c r="AA32" s="109">
        <v>0</v>
      </c>
      <c r="AB32" s="109">
        <v>0</v>
      </c>
      <c r="AC32" s="107">
        <v>0</v>
      </c>
      <c r="AD32" s="107">
        <v>0</v>
      </c>
      <c r="AE32" s="144">
        <v>0</v>
      </c>
      <c r="AF32" s="104">
        <v>0</v>
      </c>
      <c r="AG32" s="107">
        <v>0</v>
      </c>
      <c r="AH32" s="178">
        <v>0</v>
      </c>
      <c r="AI32" s="107">
        <v>0</v>
      </c>
      <c r="AJ32" s="107">
        <v>0</v>
      </c>
      <c r="AK32" s="107">
        <v>0</v>
      </c>
    </row>
    <row r="33" spans="2:37" x14ac:dyDescent="0.25">
      <c r="B33" s="92" t="s">
        <v>343</v>
      </c>
      <c r="C33" s="92" t="s">
        <v>352</v>
      </c>
      <c r="D33" s="36">
        <f t="shared" si="0"/>
        <v>0</v>
      </c>
      <c r="E33" s="4">
        <v>1</v>
      </c>
      <c r="F33" s="3"/>
      <c r="G33" s="15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0</v>
      </c>
      <c r="H33" s="93">
        <v>0</v>
      </c>
      <c r="I33" s="94">
        <v>0</v>
      </c>
      <c r="J33" s="93">
        <v>0</v>
      </c>
      <c r="K33" s="95">
        <v>0</v>
      </c>
      <c r="L33" s="95">
        <v>0</v>
      </c>
      <c r="M33" s="92">
        <v>0</v>
      </c>
      <c r="N33" s="95">
        <v>0</v>
      </c>
      <c r="O33" s="95">
        <v>0</v>
      </c>
      <c r="P33" s="94">
        <v>0</v>
      </c>
      <c r="Q33" s="94">
        <v>0</v>
      </c>
      <c r="R33" s="94">
        <v>0</v>
      </c>
      <c r="S33" s="96">
        <v>0</v>
      </c>
      <c r="T33" s="96">
        <v>0</v>
      </c>
      <c r="U33" s="96">
        <v>0</v>
      </c>
      <c r="V33" s="96">
        <v>7.4789999999999995E-2</v>
      </c>
      <c r="W33" s="94">
        <v>0</v>
      </c>
      <c r="X33" s="94">
        <v>0</v>
      </c>
      <c r="Y33" s="94"/>
      <c r="Z33" s="96">
        <v>0</v>
      </c>
      <c r="AA33" s="94">
        <v>0</v>
      </c>
      <c r="AB33" s="94">
        <v>0</v>
      </c>
      <c r="AC33" s="96">
        <v>0</v>
      </c>
      <c r="AD33" s="96">
        <v>0</v>
      </c>
      <c r="AE33" s="146">
        <v>0</v>
      </c>
      <c r="AF33" s="93">
        <v>0</v>
      </c>
      <c r="AG33" s="96">
        <v>0</v>
      </c>
      <c r="AH33" s="179">
        <v>0</v>
      </c>
      <c r="AI33" s="96">
        <v>0</v>
      </c>
      <c r="AJ33" s="96">
        <v>0</v>
      </c>
      <c r="AK33" s="96">
        <v>0</v>
      </c>
    </row>
    <row r="34" spans="2:37" x14ac:dyDescent="0.25">
      <c r="B34" s="133" t="s">
        <v>1363</v>
      </c>
      <c r="C34" s="133" t="s">
        <v>1290</v>
      </c>
      <c r="D34" s="36">
        <f t="shared" si="0"/>
        <v>0</v>
      </c>
      <c r="E34" s="4">
        <v>1</v>
      </c>
      <c r="F34" s="3"/>
      <c r="G34" s="15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0</v>
      </c>
      <c r="H34" s="93"/>
      <c r="I34" s="94"/>
      <c r="J34" s="93">
        <v>0</v>
      </c>
      <c r="K34" s="95"/>
      <c r="L34" s="95"/>
      <c r="M34" s="92">
        <v>0</v>
      </c>
      <c r="N34" s="95"/>
      <c r="O34" s="95"/>
      <c r="P34" s="94"/>
      <c r="Q34" s="94"/>
      <c r="R34" s="94"/>
      <c r="S34" s="96"/>
      <c r="T34" s="96"/>
      <c r="U34" s="96">
        <v>0</v>
      </c>
      <c r="V34" s="96"/>
      <c r="W34" s="94"/>
      <c r="X34" s="94"/>
      <c r="Y34" s="94"/>
      <c r="Z34" s="96">
        <v>0</v>
      </c>
      <c r="AA34" s="94">
        <v>0</v>
      </c>
      <c r="AB34" s="94">
        <v>0</v>
      </c>
      <c r="AC34" s="96">
        <v>0</v>
      </c>
      <c r="AD34" s="96">
        <v>0</v>
      </c>
      <c r="AE34" s="146">
        <v>0</v>
      </c>
      <c r="AF34" s="93">
        <v>0</v>
      </c>
      <c r="AG34" s="96">
        <v>0</v>
      </c>
      <c r="AH34" s="179">
        <v>0</v>
      </c>
      <c r="AI34" s="96">
        <v>0</v>
      </c>
      <c r="AJ34" s="96">
        <v>0</v>
      </c>
      <c r="AK34" s="96">
        <v>0</v>
      </c>
    </row>
    <row r="35" spans="2:37" x14ac:dyDescent="0.25">
      <c r="B35" s="133" t="s">
        <v>1364</v>
      </c>
      <c r="C35" s="133" t="s">
        <v>1291</v>
      </c>
      <c r="D35" s="36">
        <f t="shared" si="0"/>
        <v>0</v>
      </c>
      <c r="E35" s="4">
        <v>1</v>
      </c>
      <c r="F35" s="3"/>
      <c r="G35" s="15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0</v>
      </c>
      <c r="H35" s="93"/>
      <c r="I35" s="94"/>
      <c r="J35" s="93">
        <v>0</v>
      </c>
      <c r="K35" s="95"/>
      <c r="L35" s="95"/>
      <c r="M35" s="92">
        <v>0</v>
      </c>
      <c r="N35" s="95"/>
      <c r="O35" s="95"/>
      <c r="P35" s="94"/>
      <c r="Q35" s="94"/>
      <c r="R35" s="94"/>
      <c r="S35" s="96"/>
      <c r="T35" s="96"/>
      <c r="U35" s="96">
        <v>0</v>
      </c>
      <c r="V35" s="96"/>
      <c r="W35" s="94"/>
      <c r="X35" s="94"/>
      <c r="Y35" s="94"/>
      <c r="Z35" s="96">
        <v>0</v>
      </c>
      <c r="AA35" s="94">
        <v>0</v>
      </c>
      <c r="AB35" s="94">
        <v>0</v>
      </c>
      <c r="AC35" s="96">
        <v>0</v>
      </c>
      <c r="AD35" s="96">
        <v>0</v>
      </c>
      <c r="AE35" s="146">
        <v>0</v>
      </c>
      <c r="AF35" s="93">
        <v>0</v>
      </c>
      <c r="AG35" s="96">
        <v>0</v>
      </c>
      <c r="AH35" s="179">
        <v>0</v>
      </c>
      <c r="AI35" s="96">
        <v>0</v>
      </c>
      <c r="AJ35" s="96">
        <v>0</v>
      </c>
      <c r="AK35" s="96">
        <v>0</v>
      </c>
    </row>
    <row r="36" spans="2:37" x14ac:dyDescent="0.25">
      <c r="B36" s="92" t="s">
        <v>344</v>
      </c>
      <c r="C36" s="92" t="s">
        <v>353</v>
      </c>
      <c r="D36" s="36">
        <f t="shared" si="0"/>
        <v>0.5</v>
      </c>
      <c r="E36" s="4">
        <v>1</v>
      </c>
      <c r="F36" s="3"/>
      <c r="G36" s="15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0.5</v>
      </c>
      <c r="H36" s="93">
        <v>0</v>
      </c>
      <c r="I36" s="94">
        <v>0</v>
      </c>
      <c r="J36" s="93">
        <v>0</v>
      </c>
      <c r="K36" s="95">
        <v>0</v>
      </c>
      <c r="L36" s="95">
        <v>0</v>
      </c>
      <c r="M36" s="92">
        <v>0.5</v>
      </c>
      <c r="N36" s="95">
        <v>0</v>
      </c>
      <c r="O36" s="95">
        <v>0</v>
      </c>
      <c r="P36" s="94">
        <v>0</v>
      </c>
      <c r="Q36" s="94">
        <v>0</v>
      </c>
      <c r="R36" s="94">
        <v>0</v>
      </c>
      <c r="S36" s="96">
        <v>0</v>
      </c>
      <c r="T36" s="96">
        <v>0</v>
      </c>
      <c r="U36" s="96">
        <v>0</v>
      </c>
      <c r="V36" s="96">
        <v>1.0411600000000001</v>
      </c>
      <c r="W36" s="94">
        <v>0</v>
      </c>
      <c r="X36" s="94">
        <v>0</v>
      </c>
      <c r="Y36" s="94"/>
      <c r="Z36" s="96">
        <v>0</v>
      </c>
      <c r="AA36" s="94">
        <v>0</v>
      </c>
      <c r="AB36" s="94">
        <v>0</v>
      </c>
      <c r="AC36" s="96">
        <v>0</v>
      </c>
      <c r="AD36" s="96">
        <v>0</v>
      </c>
      <c r="AE36" s="146">
        <v>0</v>
      </c>
      <c r="AF36" s="93">
        <v>0</v>
      </c>
      <c r="AG36" s="96">
        <v>0</v>
      </c>
      <c r="AH36" s="179">
        <v>0</v>
      </c>
      <c r="AI36" s="96">
        <v>0</v>
      </c>
      <c r="AJ36" s="96">
        <v>0</v>
      </c>
      <c r="AK36" s="96">
        <v>0</v>
      </c>
    </row>
    <row r="37" spans="2:37" x14ac:dyDescent="0.25">
      <c r="B37" s="92" t="s">
        <v>345</v>
      </c>
      <c r="C37" s="92" t="s">
        <v>354</v>
      </c>
      <c r="D37" s="36">
        <f t="shared" si="0"/>
        <v>5.67E-2</v>
      </c>
      <c r="E37" s="4">
        <v>1</v>
      </c>
      <c r="F37" s="3"/>
      <c r="G37" s="15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5.67E-2</v>
      </c>
      <c r="H37" s="93">
        <v>0</v>
      </c>
      <c r="I37" s="94">
        <v>0</v>
      </c>
      <c r="J37" s="93">
        <v>0</v>
      </c>
      <c r="K37" s="95">
        <v>0</v>
      </c>
      <c r="L37" s="95">
        <v>0</v>
      </c>
      <c r="M37" s="92">
        <v>5.67E-2</v>
      </c>
      <c r="N37" s="95">
        <v>0</v>
      </c>
      <c r="O37" s="95">
        <v>0</v>
      </c>
      <c r="P37" s="94">
        <v>0</v>
      </c>
      <c r="Q37" s="94">
        <v>0</v>
      </c>
      <c r="R37" s="94">
        <v>0</v>
      </c>
      <c r="S37" s="96">
        <v>0</v>
      </c>
      <c r="T37" s="96">
        <v>0</v>
      </c>
      <c r="U37" s="96">
        <v>0</v>
      </c>
      <c r="V37" s="96">
        <v>1.4880000000000001E-2</v>
      </c>
      <c r="W37" s="94">
        <v>0</v>
      </c>
      <c r="X37" s="94">
        <v>0</v>
      </c>
      <c r="Y37" s="94"/>
      <c r="Z37" s="96">
        <v>0</v>
      </c>
      <c r="AA37" s="94">
        <v>0</v>
      </c>
      <c r="AB37" s="94">
        <v>0</v>
      </c>
      <c r="AC37" s="96">
        <v>0</v>
      </c>
      <c r="AD37" s="96">
        <v>0</v>
      </c>
      <c r="AE37" s="146">
        <v>0</v>
      </c>
      <c r="AF37" s="93">
        <v>0</v>
      </c>
      <c r="AG37" s="96">
        <v>0</v>
      </c>
      <c r="AH37" s="179">
        <v>0</v>
      </c>
      <c r="AI37" s="96">
        <v>0</v>
      </c>
      <c r="AJ37" s="96">
        <v>0</v>
      </c>
      <c r="AK37" s="96">
        <v>0</v>
      </c>
    </row>
    <row r="38" spans="2:37" x14ac:dyDescent="0.25">
      <c r="B38" s="92" t="s">
        <v>378</v>
      </c>
      <c r="C38" s="92" t="s">
        <v>910</v>
      </c>
      <c r="D38" s="36">
        <f t="shared" si="0"/>
        <v>0.45179999999999998</v>
      </c>
      <c r="E38" s="4">
        <v>1</v>
      </c>
      <c r="F38" s="3"/>
      <c r="G38" s="15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0.45179999999999998</v>
      </c>
      <c r="H38" s="97">
        <f>+K38</f>
        <v>0</v>
      </c>
      <c r="I38" s="96">
        <f>+L38</f>
        <v>0</v>
      </c>
      <c r="J38" s="93">
        <v>0</v>
      </c>
      <c r="K38" s="95">
        <v>0</v>
      </c>
      <c r="L38" s="95">
        <v>0</v>
      </c>
      <c r="M38" s="92">
        <v>0.45179999999999998</v>
      </c>
      <c r="N38" s="95">
        <v>0</v>
      </c>
      <c r="O38" s="95">
        <v>0</v>
      </c>
      <c r="P38" s="96">
        <f>+S38</f>
        <v>0</v>
      </c>
      <c r="Q38" s="96">
        <f>+T38</f>
        <v>0</v>
      </c>
      <c r="R38" s="96">
        <f>+U38</f>
        <v>0</v>
      </c>
      <c r="S38" s="96">
        <v>0</v>
      </c>
      <c r="T38" s="96">
        <v>0</v>
      </c>
      <c r="U38" s="96">
        <v>0</v>
      </c>
      <c r="V38" s="96">
        <v>0.12239999999999999</v>
      </c>
      <c r="W38" s="96">
        <v>0</v>
      </c>
      <c r="X38" s="96">
        <v>0</v>
      </c>
      <c r="Y38" s="96"/>
      <c r="Z38" s="96">
        <v>0</v>
      </c>
      <c r="AA38" s="96">
        <v>0</v>
      </c>
      <c r="AB38" s="96">
        <f>+AE38</f>
        <v>0</v>
      </c>
      <c r="AC38" s="96">
        <v>0</v>
      </c>
      <c r="AD38" s="96">
        <v>0</v>
      </c>
      <c r="AE38" s="146">
        <v>0</v>
      </c>
      <c r="AF38" s="93">
        <v>0</v>
      </c>
      <c r="AG38" s="96">
        <v>0</v>
      </c>
      <c r="AH38" s="179">
        <v>0</v>
      </c>
      <c r="AI38" s="96">
        <v>0</v>
      </c>
      <c r="AJ38" s="96">
        <v>0</v>
      </c>
      <c r="AK38" s="96">
        <v>0</v>
      </c>
    </row>
    <row r="39" spans="2:37" x14ac:dyDescent="0.25">
      <c r="B39" s="92" t="s">
        <v>379</v>
      </c>
      <c r="C39" s="92" t="s">
        <v>390</v>
      </c>
      <c r="D39" s="36">
        <f t="shared" si="0"/>
        <v>0</v>
      </c>
      <c r="E39" s="4">
        <f>+PI()/180</f>
        <v>1.7453292519943295E-2</v>
      </c>
      <c r="F39" s="3" t="s">
        <v>488</v>
      </c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0</v>
      </c>
      <c r="H39" s="97">
        <f>+K39*PI()/180</f>
        <v>0</v>
      </c>
      <c r="I39" s="96">
        <f t="shared" ref="I39:I42" si="22">+L39*PI()/180</f>
        <v>0</v>
      </c>
      <c r="J39" s="93">
        <v>0</v>
      </c>
      <c r="K39" s="95">
        <v>0</v>
      </c>
      <c r="L39" s="95">
        <v>0</v>
      </c>
      <c r="M39" s="92">
        <v>0</v>
      </c>
      <c r="N39" s="95">
        <v>0</v>
      </c>
      <c r="O39" s="95">
        <v>0</v>
      </c>
      <c r="P39" s="96">
        <f t="shared" ref="P39:Q42" si="23">+S39*PI()/180</f>
        <v>0</v>
      </c>
      <c r="Q39" s="96">
        <f t="shared" si="23"/>
        <v>0</v>
      </c>
      <c r="R39" s="96">
        <f>+U39*PI()/180</f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X39" s="96">
        <v>0</v>
      </c>
      <c r="Y39" s="96"/>
      <c r="Z39" s="96">
        <v>0</v>
      </c>
      <c r="AA39" s="96">
        <v>0</v>
      </c>
      <c r="AB39" s="96">
        <f>+AE39*PI()/180</f>
        <v>0</v>
      </c>
      <c r="AC39" s="96">
        <v>0</v>
      </c>
      <c r="AD39" s="96">
        <v>0</v>
      </c>
      <c r="AE39" s="146">
        <v>0</v>
      </c>
      <c r="AF39" s="93">
        <v>0</v>
      </c>
      <c r="AG39" s="96">
        <v>0</v>
      </c>
      <c r="AH39" s="179">
        <v>0</v>
      </c>
      <c r="AI39" s="96">
        <v>0</v>
      </c>
      <c r="AJ39" s="96">
        <v>0</v>
      </c>
      <c r="AK39" s="96">
        <v>0</v>
      </c>
    </row>
    <row r="40" spans="2:37" x14ac:dyDescent="0.25">
      <c r="B40" s="133" t="s">
        <v>1371</v>
      </c>
      <c r="C40" s="133" t="s">
        <v>1304</v>
      </c>
      <c r="D40" s="36">
        <f t="shared" si="0"/>
        <v>0</v>
      </c>
      <c r="E40" s="4">
        <f t="shared" ref="E40:E44" si="24">+PI()/180</f>
        <v>1.7453292519943295E-2</v>
      </c>
      <c r="F40" s="3" t="s">
        <v>488</v>
      </c>
      <c r="G40" s="15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0</v>
      </c>
      <c r="H40" s="97"/>
      <c r="I40" s="96"/>
      <c r="J40" s="93">
        <v>0</v>
      </c>
      <c r="K40" s="95"/>
      <c r="L40" s="95"/>
      <c r="M40" s="92">
        <v>0</v>
      </c>
      <c r="N40" s="95"/>
      <c r="O40" s="95"/>
      <c r="P40" s="96"/>
      <c r="Q40" s="96"/>
      <c r="R40" s="96"/>
      <c r="S40" s="96"/>
      <c r="T40" s="96"/>
      <c r="U40" s="96">
        <v>0</v>
      </c>
      <c r="V40" s="96"/>
      <c r="W40" s="96"/>
      <c r="X40" s="96"/>
      <c r="Y40" s="96"/>
      <c r="Z40" s="96">
        <v>0</v>
      </c>
      <c r="AA40" s="96">
        <v>0</v>
      </c>
      <c r="AB40" s="96">
        <v>0</v>
      </c>
      <c r="AC40" s="96">
        <v>0</v>
      </c>
      <c r="AD40" s="96">
        <v>0</v>
      </c>
      <c r="AE40" s="146">
        <v>0</v>
      </c>
      <c r="AF40" s="93">
        <v>0</v>
      </c>
      <c r="AG40" s="96">
        <v>0</v>
      </c>
      <c r="AH40" s="179">
        <v>0</v>
      </c>
      <c r="AI40" s="96">
        <v>0</v>
      </c>
      <c r="AJ40" s="96">
        <v>0</v>
      </c>
      <c r="AK40" s="96">
        <v>0</v>
      </c>
    </row>
    <row r="41" spans="2:37" x14ac:dyDescent="0.25">
      <c r="B41" s="133" t="s">
        <v>1372</v>
      </c>
      <c r="C41" s="133" t="s">
        <v>1305</v>
      </c>
      <c r="D41" s="36">
        <f t="shared" si="0"/>
        <v>0</v>
      </c>
      <c r="E41" s="4">
        <f t="shared" si="24"/>
        <v>1.7453292519943295E-2</v>
      </c>
      <c r="F41" s="3" t="s">
        <v>488</v>
      </c>
      <c r="G41" s="15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0</v>
      </c>
      <c r="H41" s="97"/>
      <c r="I41" s="96"/>
      <c r="J41" s="93">
        <v>0</v>
      </c>
      <c r="K41" s="95"/>
      <c r="L41" s="95"/>
      <c r="M41" s="92">
        <v>0</v>
      </c>
      <c r="N41" s="95"/>
      <c r="O41" s="95"/>
      <c r="P41" s="96"/>
      <c r="Q41" s="96"/>
      <c r="R41" s="96"/>
      <c r="S41" s="96"/>
      <c r="T41" s="96"/>
      <c r="U41" s="96">
        <v>0</v>
      </c>
      <c r="V41" s="96"/>
      <c r="W41" s="96"/>
      <c r="X41" s="96"/>
      <c r="Y41" s="96"/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146">
        <v>0</v>
      </c>
      <c r="AF41" s="93">
        <v>0</v>
      </c>
      <c r="AG41" s="96">
        <v>0</v>
      </c>
      <c r="AH41" s="179">
        <v>0</v>
      </c>
      <c r="AI41" s="96">
        <v>0</v>
      </c>
      <c r="AJ41" s="96">
        <v>0</v>
      </c>
      <c r="AK41" s="96">
        <v>0</v>
      </c>
    </row>
    <row r="42" spans="2:37" x14ac:dyDescent="0.25">
      <c r="B42" s="92" t="s">
        <v>380</v>
      </c>
      <c r="C42" s="92" t="s">
        <v>391</v>
      </c>
      <c r="D42" s="36">
        <f t="shared" si="0"/>
        <v>0</v>
      </c>
      <c r="E42" s="4">
        <f t="shared" si="24"/>
        <v>1.7453292519943295E-2</v>
      </c>
      <c r="F42" s="3" t="s">
        <v>488</v>
      </c>
      <c r="G42" s="15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0</v>
      </c>
      <c r="H42" s="97">
        <f>+K42*PI()/180</f>
        <v>0</v>
      </c>
      <c r="I42" s="96">
        <f t="shared" si="22"/>
        <v>0</v>
      </c>
      <c r="J42" s="93">
        <v>0</v>
      </c>
      <c r="K42" s="95">
        <v>0</v>
      </c>
      <c r="L42" s="95">
        <v>0</v>
      </c>
      <c r="M42" s="92">
        <v>0</v>
      </c>
      <c r="N42" s="95">
        <v>0</v>
      </c>
      <c r="O42" s="95">
        <v>0</v>
      </c>
      <c r="P42" s="96">
        <f t="shared" si="23"/>
        <v>0</v>
      </c>
      <c r="Q42" s="96">
        <f t="shared" si="23"/>
        <v>0</v>
      </c>
      <c r="R42" s="96">
        <f>+U42*PI()/180</f>
        <v>0</v>
      </c>
      <c r="S42" s="96">
        <v>0</v>
      </c>
      <c r="T42" s="96">
        <v>0</v>
      </c>
      <c r="U42" s="96">
        <v>0</v>
      </c>
      <c r="V42" s="96">
        <v>3.7</v>
      </c>
      <c r="W42" s="96">
        <v>0</v>
      </c>
      <c r="X42" s="96">
        <v>0</v>
      </c>
      <c r="Y42" s="96"/>
      <c r="Z42" s="96">
        <v>0</v>
      </c>
      <c r="AA42" s="96">
        <v>0</v>
      </c>
      <c r="AB42" s="96">
        <f>+AE42*PI()/180</f>
        <v>0</v>
      </c>
      <c r="AC42" s="96">
        <v>0</v>
      </c>
      <c r="AD42" s="96">
        <v>0</v>
      </c>
      <c r="AE42" s="146">
        <v>0</v>
      </c>
      <c r="AF42" s="93">
        <v>0</v>
      </c>
      <c r="AG42" s="96">
        <v>0</v>
      </c>
      <c r="AH42" s="179">
        <v>0</v>
      </c>
      <c r="AI42" s="96">
        <v>0</v>
      </c>
      <c r="AJ42" s="96">
        <v>0</v>
      </c>
      <c r="AK42" s="96">
        <v>0</v>
      </c>
    </row>
    <row r="43" spans="2:37" x14ac:dyDescent="0.25">
      <c r="B43" s="133" t="s">
        <v>1373</v>
      </c>
      <c r="C43" s="133" t="s">
        <v>1310</v>
      </c>
      <c r="D43" s="36">
        <f t="shared" si="0"/>
        <v>0</v>
      </c>
      <c r="E43" s="4">
        <f t="shared" si="24"/>
        <v>1.7453292519943295E-2</v>
      </c>
      <c r="F43" s="3" t="s">
        <v>488</v>
      </c>
      <c r="G43" s="15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0</v>
      </c>
      <c r="H43" s="97"/>
      <c r="I43" s="96"/>
      <c r="J43" s="93">
        <v>0</v>
      </c>
      <c r="K43" s="95"/>
      <c r="L43" s="95"/>
      <c r="M43" s="92">
        <v>0</v>
      </c>
      <c r="N43" s="95"/>
      <c r="O43" s="95"/>
      <c r="P43" s="96"/>
      <c r="Q43" s="96"/>
      <c r="R43" s="96"/>
      <c r="S43" s="96"/>
      <c r="T43" s="96"/>
      <c r="U43" s="96">
        <v>0</v>
      </c>
      <c r="V43" s="96"/>
      <c r="W43" s="96"/>
      <c r="X43" s="96"/>
      <c r="Y43" s="96"/>
      <c r="Z43" s="96">
        <v>0</v>
      </c>
      <c r="AA43" s="96">
        <v>0</v>
      </c>
      <c r="AB43" s="96">
        <v>0</v>
      </c>
      <c r="AC43" s="96">
        <v>0</v>
      </c>
      <c r="AD43" s="96">
        <v>0</v>
      </c>
      <c r="AE43" s="146">
        <v>0</v>
      </c>
      <c r="AF43" s="93">
        <v>0</v>
      </c>
      <c r="AG43" s="96">
        <v>0</v>
      </c>
      <c r="AH43" s="179">
        <v>0</v>
      </c>
      <c r="AI43" s="96">
        <v>0</v>
      </c>
      <c r="AJ43" s="96">
        <v>0</v>
      </c>
      <c r="AK43" s="96">
        <v>0</v>
      </c>
    </row>
    <row r="44" spans="2:37" x14ac:dyDescent="0.25">
      <c r="B44" s="133" t="s">
        <v>1374</v>
      </c>
      <c r="C44" s="133" t="s">
        <v>1311</v>
      </c>
      <c r="D44" s="36">
        <f t="shared" si="0"/>
        <v>0</v>
      </c>
      <c r="E44" s="4">
        <f t="shared" si="24"/>
        <v>1.7453292519943295E-2</v>
      </c>
      <c r="F44" s="3" t="s">
        <v>488</v>
      </c>
      <c r="G44" s="15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</v>
      </c>
      <c r="H44" s="97"/>
      <c r="I44" s="96"/>
      <c r="J44" s="93">
        <v>0</v>
      </c>
      <c r="K44" s="95"/>
      <c r="L44" s="95"/>
      <c r="M44" s="92">
        <v>0</v>
      </c>
      <c r="N44" s="95"/>
      <c r="O44" s="95"/>
      <c r="P44" s="96"/>
      <c r="Q44" s="96"/>
      <c r="R44" s="96"/>
      <c r="S44" s="96"/>
      <c r="T44" s="96"/>
      <c r="U44" s="96">
        <v>0</v>
      </c>
      <c r="V44" s="96"/>
      <c r="W44" s="96"/>
      <c r="X44" s="96"/>
      <c r="Y44" s="96"/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146">
        <v>0</v>
      </c>
      <c r="AF44" s="93">
        <v>0</v>
      </c>
      <c r="AG44" s="96">
        <v>0</v>
      </c>
      <c r="AH44" s="179">
        <v>0</v>
      </c>
      <c r="AI44" s="96">
        <v>0</v>
      </c>
      <c r="AJ44" s="96">
        <v>0</v>
      </c>
      <c r="AK44" s="96">
        <v>0</v>
      </c>
    </row>
    <row r="45" spans="2:37" x14ac:dyDescent="0.25">
      <c r="B45" s="110" t="s">
        <v>346</v>
      </c>
      <c r="C45" s="110" t="s">
        <v>355</v>
      </c>
      <c r="D45" s="36">
        <f t="shared" si="0"/>
        <v>0</v>
      </c>
      <c r="E45" s="4">
        <v>1</v>
      </c>
      <c r="F45" s="3"/>
      <c r="G45" s="15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0</v>
      </c>
      <c r="H45" s="103">
        <v>0</v>
      </c>
      <c r="I45" s="101">
        <v>0</v>
      </c>
      <c r="J45" s="103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1">
        <v>0</v>
      </c>
      <c r="Q45" s="101">
        <v>0</v>
      </c>
      <c r="R45" s="101">
        <v>0</v>
      </c>
      <c r="S45" s="99">
        <v>0</v>
      </c>
      <c r="T45" s="99">
        <v>0</v>
      </c>
      <c r="U45" s="99">
        <v>1.3209</v>
      </c>
      <c r="V45" s="99">
        <v>0</v>
      </c>
      <c r="W45" s="101">
        <v>0</v>
      </c>
      <c r="X45" s="101">
        <v>0</v>
      </c>
      <c r="Y45" s="101"/>
      <c r="Z45" s="99">
        <v>16.222000000000001</v>
      </c>
      <c r="AA45" s="101">
        <v>0</v>
      </c>
      <c r="AB45" s="101">
        <v>0</v>
      </c>
      <c r="AC45" s="99">
        <v>0.28011999999999998</v>
      </c>
      <c r="AD45" s="99">
        <v>0.14018</v>
      </c>
      <c r="AE45" s="144">
        <v>0</v>
      </c>
      <c r="AF45" s="103">
        <v>0</v>
      </c>
      <c r="AG45" s="99">
        <v>0</v>
      </c>
      <c r="AH45" s="180">
        <v>0</v>
      </c>
      <c r="AI45" s="99">
        <v>1.3209</v>
      </c>
      <c r="AJ45" s="99">
        <v>1.3209</v>
      </c>
      <c r="AK45" s="99">
        <v>1.3209</v>
      </c>
    </row>
    <row r="46" spans="2:37" x14ac:dyDescent="0.25">
      <c r="B46" s="134" t="s">
        <v>1365</v>
      </c>
      <c r="C46" s="134" t="s">
        <v>1292</v>
      </c>
      <c r="D46" s="36">
        <f t="shared" si="0"/>
        <v>0</v>
      </c>
      <c r="E46" s="4">
        <v>1</v>
      </c>
      <c r="F46" s="3"/>
      <c r="G46" s="15">
        <f>+IF(EXACT('3AC_Data'!$D$8,1),H46,IF(EXACT('3AC_Data'!$D$8,2),I46,IF(EXACT('3AC_Data'!$D$8,3),J46,IF(EXACT('3AC_Data'!$D$8,4),K46,IF(EXACT('3AC_Data'!$D$8,5),L46,IF(EXACT('3AC_Data'!$D$8,6),M46,IF(EXACT('3AC_Data'!$D$8,7),N46,IF(EXACT('3AC_Data'!$D$8,8),O46,IF(EXACT('3AC_Data'!$D$8,9),P46,IF(EXACT('3AC_Data'!$D$8,10),Q46,IF(EXACT('3AC_Data'!$D$8,11),R46,IF(EXACT('3AC_Data'!$D$8,12),S46,IF(EXACT('3AC_Data'!$D$8,13),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0</v>
      </c>
      <c r="H46" s="103"/>
      <c r="I46" s="101"/>
      <c r="J46" s="103">
        <v>0</v>
      </c>
      <c r="K46" s="100"/>
      <c r="L46" s="100"/>
      <c r="M46" s="100"/>
      <c r="N46" s="100"/>
      <c r="O46" s="100"/>
      <c r="P46" s="101"/>
      <c r="Q46" s="101"/>
      <c r="R46" s="101"/>
      <c r="S46" s="99"/>
      <c r="T46" s="99"/>
      <c r="U46" s="99">
        <v>0</v>
      </c>
      <c r="V46" s="99"/>
      <c r="W46" s="101"/>
      <c r="X46" s="101"/>
      <c r="Y46" s="101"/>
      <c r="Z46" s="99">
        <v>0</v>
      </c>
      <c r="AA46" s="101">
        <v>0</v>
      </c>
      <c r="AB46" s="101">
        <v>0</v>
      </c>
      <c r="AC46" s="99">
        <v>0</v>
      </c>
      <c r="AD46" s="99">
        <v>0</v>
      </c>
      <c r="AE46" s="144">
        <v>0</v>
      </c>
      <c r="AF46" s="103">
        <v>0</v>
      </c>
      <c r="AG46" s="99">
        <v>0</v>
      </c>
      <c r="AH46" s="180">
        <v>0</v>
      </c>
      <c r="AI46" s="99">
        <v>0</v>
      </c>
      <c r="AJ46" s="99">
        <v>0</v>
      </c>
      <c r="AK46" s="99">
        <v>0</v>
      </c>
    </row>
    <row r="47" spans="2:37" x14ac:dyDescent="0.25">
      <c r="B47" s="134" t="s">
        <v>1366</v>
      </c>
      <c r="C47" s="134" t="s">
        <v>1293</v>
      </c>
      <c r="D47" s="36">
        <f t="shared" si="0"/>
        <v>0</v>
      </c>
      <c r="E47" s="4">
        <v>1</v>
      </c>
      <c r="F47" s="3"/>
      <c r="G47" s="15">
        <f>+IF(EXACT('3AC_Data'!$D$8,1),H47,IF(EXACT('3AC_Data'!$D$8,2),I47,IF(EXACT('3AC_Data'!$D$8,3),J47,IF(EXACT('3AC_Data'!$D$8,4),K47,IF(EXACT('3AC_Data'!$D$8,5),L47,IF(EXACT('3AC_Data'!$D$8,6),M47,IF(EXACT('3AC_Data'!$D$8,7),N47,IF(EXACT('3AC_Data'!$D$8,8),O47,IF(EXACT('3AC_Data'!$D$8,9),P47,IF(EXACT('3AC_Data'!$D$8,10),Q47,IF(EXACT('3AC_Data'!$D$8,11),R47,IF(EXACT('3AC_Data'!$D$8,12),S47,IF(EXACT('3AC_Data'!$D$8,13),T47,IF(EXACT('3AC_Data'!$D$8,14),U47,IF(EXACT('3AC_Data'!$D$8,15),V47,IF(EXACT('3AC_Data'!$D$8,16),W47,IF(EXACT('3AC_Data'!$D$8,17),X47,IF(EXACT('3AC_Data'!$D$8,18),Y47,IF(EXACT('3AC_Data'!$D$8,19),Z47,IF(EXACT('3AC_Data'!$D$8,20),AA47,IF(EXACT('3AC_Data'!$D$8,21),AB47,IF(EXACT('3AC_Data'!$D$8,22),AC47,IF(EXACT('3AC_Data'!$D$8,23),AD47,IF(EXACT('3AC_Data'!$D$8,24),AE47,IF(EXACT('3AC_Data'!$D$8,25),AF47,IF(EXACT('3AC_Data'!$D$8,26),AG47,IF(EXACT('3AC_Data'!$D$8,27),AH47,IF(EXACT('3AC_Data'!$D$8,28),AI47,IF(EXACT('3AC_Data'!$D$8,29),AJ47,IF(EXACT('3AC_Data'!$D$8,30),AK47))))))))))))))))))))))))))))))</f>
        <v>0</v>
      </c>
      <c r="H47" s="103"/>
      <c r="I47" s="101"/>
      <c r="J47" s="103">
        <v>0</v>
      </c>
      <c r="K47" s="100"/>
      <c r="L47" s="100"/>
      <c r="M47" s="100"/>
      <c r="N47" s="100"/>
      <c r="O47" s="100"/>
      <c r="P47" s="101"/>
      <c r="Q47" s="101"/>
      <c r="R47" s="101"/>
      <c r="S47" s="99"/>
      <c r="T47" s="99"/>
      <c r="U47" s="99">
        <v>0</v>
      </c>
      <c r="V47" s="99"/>
      <c r="W47" s="101"/>
      <c r="X47" s="101"/>
      <c r="Y47" s="101"/>
      <c r="Z47" s="99">
        <v>0</v>
      </c>
      <c r="AA47" s="101">
        <v>0</v>
      </c>
      <c r="AB47" s="101">
        <v>0</v>
      </c>
      <c r="AC47" s="99">
        <v>0</v>
      </c>
      <c r="AD47" s="99">
        <v>0</v>
      </c>
      <c r="AE47" s="144">
        <v>0</v>
      </c>
      <c r="AF47" s="103">
        <v>0</v>
      </c>
      <c r="AG47" s="99">
        <v>0</v>
      </c>
      <c r="AH47" s="180">
        <v>0</v>
      </c>
      <c r="AI47" s="99">
        <v>0</v>
      </c>
      <c r="AJ47" s="99">
        <v>0</v>
      </c>
      <c r="AK47" s="99">
        <v>0</v>
      </c>
    </row>
    <row r="48" spans="2:37" x14ac:dyDescent="0.25">
      <c r="B48" s="110" t="s">
        <v>347</v>
      </c>
      <c r="C48" s="110" t="s">
        <v>356</v>
      </c>
      <c r="D48" s="36">
        <f t="shared" si="0"/>
        <v>0</v>
      </c>
      <c r="E48" s="4">
        <v>1</v>
      </c>
      <c r="F48" s="3"/>
      <c r="G48" s="15">
        <f>+IF(EXACT('3AC_Data'!$D$8,1),H48,IF(EXACT('3AC_Data'!$D$8,2),I48,IF(EXACT('3AC_Data'!$D$8,3),J48,IF(EXACT('3AC_Data'!$D$8,4),K48,IF(EXACT('3AC_Data'!$D$8,5),L48,IF(EXACT('3AC_Data'!$D$8,6),M48,IF(EXACT('3AC_Data'!$D$8,7),N48,IF(EXACT('3AC_Data'!$D$8,8),O48,IF(EXACT('3AC_Data'!$D$8,9),P48,IF(EXACT('3AC_Data'!$D$8,10),Q48,IF(EXACT('3AC_Data'!$D$8,11),R48,IF(EXACT('3AC_Data'!$D$8,12),S48,IF(EXACT('3AC_Data'!$D$8,13),T48,IF(EXACT('3AC_Data'!$D$8,14),U48,IF(EXACT('3AC_Data'!$D$8,15),V48,IF(EXACT('3AC_Data'!$D$8,16),W48,IF(EXACT('3AC_Data'!$D$8,17),X48,IF(EXACT('3AC_Data'!$D$8,18),Y48,IF(EXACT('3AC_Data'!$D$8,19),Z48,IF(EXACT('3AC_Data'!$D$8,20),AA48,IF(EXACT('3AC_Data'!$D$8,21),AB48,IF(EXACT('3AC_Data'!$D$8,22),AC48,IF(EXACT('3AC_Data'!$D$8,23),AD48,IF(EXACT('3AC_Data'!$D$8,24),AE48,IF(EXACT('3AC_Data'!$D$8,25),AF48,IF(EXACT('3AC_Data'!$D$8,26),AG48,IF(EXACT('3AC_Data'!$D$8,27),AH48,IF(EXACT('3AC_Data'!$D$8,28),AI48,IF(EXACT('3AC_Data'!$D$8,29),AJ48,IF(EXACT('3AC_Data'!$D$8,30),AK48))))))))))))))))))))))))))))))</f>
        <v>0</v>
      </c>
      <c r="H48" s="103">
        <v>0</v>
      </c>
      <c r="I48" s="101">
        <v>0</v>
      </c>
      <c r="J48" s="103">
        <v>0</v>
      </c>
      <c r="K48" s="100">
        <v>8.4821899999999992</v>
      </c>
      <c r="L48" s="100">
        <v>0</v>
      </c>
      <c r="M48" s="100">
        <v>0</v>
      </c>
      <c r="N48" s="100">
        <v>0</v>
      </c>
      <c r="O48" s="100">
        <v>0</v>
      </c>
      <c r="P48" s="101">
        <v>0</v>
      </c>
      <c r="Q48" s="101">
        <v>0</v>
      </c>
      <c r="R48" s="101">
        <v>0</v>
      </c>
      <c r="S48" s="99">
        <v>0</v>
      </c>
      <c r="T48" s="99">
        <v>0</v>
      </c>
      <c r="U48" s="99">
        <v>6.2249999999999996</v>
      </c>
      <c r="V48" s="99">
        <v>0</v>
      </c>
      <c r="W48" s="101">
        <f>662.349/1000</f>
        <v>0.66234900000000008</v>
      </c>
      <c r="X48" s="101">
        <f>662.349/1000</f>
        <v>0.66234900000000008</v>
      </c>
      <c r="Y48" s="101"/>
      <c r="Z48" s="99">
        <v>3.5870000000000002</v>
      </c>
      <c r="AA48" s="101">
        <v>0</v>
      </c>
      <c r="AB48" s="101">
        <v>0.3</v>
      </c>
      <c r="AC48" s="99">
        <v>3.1329250000000002</v>
      </c>
      <c r="AD48" s="99">
        <v>2.8754054999999998</v>
      </c>
      <c r="AE48" s="144">
        <v>0</v>
      </c>
      <c r="AF48" s="103">
        <v>0</v>
      </c>
      <c r="AG48" s="99">
        <v>0</v>
      </c>
      <c r="AH48" s="180">
        <v>0</v>
      </c>
      <c r="AI48" s="99">
        <v>6.2249999999999996</v>
      </c>
      <c r="AJ48" s="99">
        <v>6.2249999999999996</v>
      </c>
      <c r="AK48" s="99">
        <v>6.2249999999999996</v>
      </c>
    </row>
    <row r="49" spans="2:37" x14ac:dyDescent="0.25">
      <c r="B49" s="110" t="s">
        <v>348</v>
      </c>
      <c r="C49" s="110" t="s">
        <v>357</v>
      </c>
      <c r="D49" s="36">
        <f t="shared" si="0"/>
        <v>0</v>
      </c>
      <c r="E49" s="4">
        <v>1</v>
      </c>
      <c r="F49" s="3"/>
      <c r="G49" s="15">
        <f>+IF(EXACT('3AC_Data'!$D$8,1),H49,IF(EXACT('3AC_Data'!$D$8,2),I49,IF(EXACT('3AC_Data'!$D$8,3),J49,IF(EXACT('3AC_Data'!$D$8,4),K49,IF(EXACT('3AC_Data'!$D$8,5),L49,IF(EXACT('3AC_Data'!$D$8,6),M49,IF(EXACT('3AC_Data'!$D$8,7),N49,IF(EXACT('3AC_Data'!$D$8,8),O49,IF(EXACT('3AC_Data'!$D$8,9),P49,IF(EXACT('3AC_Data'!$D$8,10),Q49,IF(EXACT('3AC_Data'!$D$8,11),R49,IF(EXACT('3AC_Data'!$D$8,12),S49,IF(EXACT('3AC_Data'!$D$8,13),T49,IF(EXACT('3AC_Data'!$D$8,14),U49,IF(EXACT('3AC_Data'!$D$8,15),V49,IF(EXACT('3AC_Data'!$D$8,16),W49,IF(EXACT('3AC_Data'!$D$8,17),X49,IF(EXACT('3AC_Data'!$D$8,18),Y49,IF(EXACT('3AC_Data'!$D$8,19),Z49,IF(EXACT('3AC_Data'!$D$8,20),AA49,IF(EXACT('3AC_Data'!$D$8,21),AB49,IF(EXACT('3AC_Data'!$D$8,22),AC49,IF(EXACT('3AC_Data'!$D$8,23),AD49,IF(EXACT('3AC_Data'!$D$8,24),AE49,IF(EXACT('3AC_Data'!$D$8,25),AF49,IF(EXACT('3AC_Data'!$D$8,26),AG49,IF(EXACT('3AC_Data'!$D$8,27),AH49,IF(EXACT('3AC_Data'!$D$8,28),AI49,IF(EXACT('3AC_Data'!$D$8,29),AJ49,IF(EXACT('3AC_Data'!$D$8,30),AK49))))))))))))))))))))))))))))))</f>
        <v>0</v>
      </c>
      <c r="H49" s="103">
        <v>0</v>
      </c>
      <c r="I49" s="101">
        <v>0</v>
      </c>
      <c r="J49" s="103">
        <v>0</v>
      </c>
      <c r="K49" s="100">
        <v>7.9480000000000004</v>
      </c>
      <c r="L49" s="100">
        <v>0</v>
      </c>
      <c r="M49" s="100">
        <v>0</v>
      </c>
      <c r="N49" s="100">
        <v>0</v>
      </c>
      <c r="O49" s="100">
        <v>0</v>
      </c>
      <c r="P49" s="101">
        <v>0</v>
      </c>
      <c r="Q49" s="101">
        <v>0</v>
      </c>
      <c r="R49" s="101">
        <v>0</v>
      </c>
      <c r="S49" s="99">
        <v>0</v>
      </c>
      <c r="T49" s="99">
        <v>0</v>
      </c>
      <c r="U49" s="99">
        <v>0.85</v>
      </c>
      <c r="V49" s="99">
        <v>0</v>
      </c>
      <c r="W49" s="101">
        <f>94.122/1000</f>
        <v>9.4121999999999997E-2</v>
      </c>
      <c r="X49" s="101">
        <f>94.122/1000</f>
        <v>9.4121999999999997E-2</v>
      </c>
      <c r="Y49" s="101"/>
      <c r="Z49" s="99">
        <v>2.431</v>
      </c>
      <c r="AA49" s="101">
        <v>0</v>
      </c>
      <c r="AB49" s="101">
        <v>0.3135</v>
      </c>
      <c r="AC49" s="99">
        <v>0.74628899999999998</v>
      </c>
      <c r="AD49" s="99">
        <v>3.0964830000000001</v>
      </c>
      <c r="AE49" s="144">
        <v>0</v>
      </c>
      <c r="AF49" s="103">
        <v>0</v>
      </c>
      <c r="AG49" s="99">
        <v>0</v>
      </c>
      <c r="AH49" s="180">
        <v>0</v>
      </c>
      <c r="AI49" s="99">
        <v>0.85</v>
      </c>
      <c r="AJ49" s="99">
        <v>0.85</v>
      </c>
      <c r="AK49" s="99">
        <v>0.85</v>
      </c>
    </row>
    <row r="50" spans="2:37" x14ac:dyDescent="0.25">
      <c r="B50" s="110" t="s">
        <v>381</v>
      </c>
      <c r="C50" s="110" t="s">
        <v>916</v>
      </c>
      <c r="D50" s="36">
        <f t="shared" si="0"/>
        <v>0</v>
      </c>
      <c r="E50" s="4">
        <v>1</v>
      </c>
      <c r="F50" s="3"/>
      <c r="G50" s="15">
        <f>+IF(EXACT('3AC_Data'!$D$8,1),H50,IF(EXACT('3AC_Data'!$D$8,2),I50,IF(EXACT('3AC_Data'!$D$8,3),J50,IF(EXACT('3AC_Data'!$D$8,4),K50,IF(EXACT('3AC_Data'!$D$8,5),L50,IF(EXACT('3AC_Data'!$D$8,6),M50,IF(EXACT('3AC_Data'!$D$8,7),N50,IF(EXACT('3AC_Data'!$D$8,8),O50,IF(EXACT('3AC_Data'!$D$8,9),P50,IF(EXACT('3AC_Data'!$D$8,10),Q50,IF(EXACT('3AC_Data'!$D$8,11),R50,IF(EXACT('3AC_Data'!$D$8,12),S50,IF(EXACT('3AC_Data'!$D$8,13),T50,IF(EXACT('3AC_Data'!$D$8,14),U50,IF(EXACT('3AC_Data'!$D$8,15),V50,IF(EXACT('3AC_Data'!$D$8,16),W50,IF(EXACT('3AC_Data'!$D$8,17),X50,IF(EXACT('3AC_Data'!$D$8,18),Y50,IF(EXACT('3AC_Data'!$D$8,19),Z50,IF(EXACT('3AC_Data'!$D$8,20),AA50,IF(EXACT('3AC_Data'!$D$8,21),AB50,IF(EXACT('3AC_Data'!$D$8,22),AC50,IF(EXACT('3AC_Data'!$D$8,23),AD50,IF(EXACT('3AC_Data'!$D$8,24),AE50,IF(EXACT('3AC_Data'!$D$8,25),AF50,IF(EXACT('3AC_Data'!$D$8,26),AG50,IF(EXACT('3AC_Data'!$D$8,27),AH50,IF(EXACT('3AC_Data'!$D$8,28),AI50,IF(EXACT('3AC_Data'!$D$8,29),AJ50,IF(EXACT('3AC_Data'!$D$8,30),AK50))))))))))))))))))))))))))))))</f>
        <v>0</v>
      </c>
      <c r="H50" s="98">
        <v>0</v>
      </c>
      <c r="I50" s="99">
        <f>+L50</f>
        <v>0</v>
      </c>
      <c r="J50" s="103">
        <v>0</v>
      </c>
      <c r="K50" s="100">
        <v>43.084000000000003</v>
      </c>
      <c r="L50" s="100">
        <v>0</v>
      </c>
      <c r="M50" s="100">
        <v>0</v>
      </c>
      <c r="N50" s="100">
        <v>0</v>
      </c>
      <c r="O50" s="100">
        <v>0</v>
      </c>
      <c r="P50" s="99">
        <f>+S50</f>
        <v>0</v>
      </c>
      <c r="Q50" s="99">
        <f>+T50</f>
        <v>0</v>
      </c>
      <c r="R50" s="99">
        <f>+U50</f>
        <v>32.264299999999999</v>
      </c>
      <c r="S50" s="99">
        <v>0</v>
      </c>
      <c r="T50" s="99">
        <v>0</v>
      </c>
      <c r="U50" s="99">
        <v>32.264299999999999</v>
      </c>
      <c r="V50" s="99">
        <v>0</v>
      </c>
      <c r="W50" s="99">
        <f>3478.272/1000</f>
        <v>3.478272</v>
      </c>
      <c r="X50" s="99">
        <f>3478.272/1000</f>
        <v>3.478272</v>
      </c>
      <c r="Y50" s="99"/>
      <c r="Z50" s="99">
        <v>18.663</v>
      </c>
      <c r="AA50" s="99">
        <v>0</v>
      </c>
      <c r="AB50" s="101">
        <v>1.3149999999999999</v>
      </c>
      <c r="AC50" s="99">
        <v>9.8049900000000001</v>
      </c>
      <c r="AD50" s="99">
        <v>12.223347</v>
      </c>
      <c r="AE50" s="144">
        <v>0</v>
      </c>
      <c r="AF50" s="103">
        <v>0</v>
      </c>
      <c r="AG50" s="99">
        <v>0</v>
      </c>
      <c r="AH50" s="180">
        <v>0</v>
      </c>
      <c r="AI50" s="99">
        <v>32.264299999999999</v>
      </c>
      <c r="AJ50" s="99">
        <v>32.264299999999999</v>
      </c>
      <c r="AK50" s="99">
        <v>32.264299999999999</v>
      </c>
    </row>
    <row r="51" spans="2:37" x14ac:dyDescent="0.25">
      <c r="B51" s="110" t="s">
        <v>382</v>
      </c>
      <c r="C51" s="110" t="s">
        <v>392</v>
      </c>
      <c r="D51" s="36">
        <f t="shared" si="0"/>
        <v>0</v>
      </c>
      <c r="E51" s="4">
        <f>+PI()/180</f>
        <v>1.7453292519943295E-2</v>
      </c>
      <c r="F51" s="3" t="s">
        <v>488</v>
      </c>
      <c r="G51" s="15">
        <f>+IF(EXACT('3AC_Data'!$D$8,1),H51,IF(EXACT('3AC_Data'!$D$8,2),I51,IF(EXACT('3AC_Data'!$D$8,3),J51,IF(EXACT('3AC_Data'!$D$8,4),K51,IF(EXACT('3AC_Data'!$D$8,5),L51,IF(EXACT('3AC_Data'!$D$8,6),M51,IF(EXACT('3AC_Data'!$D$8,7),N51,IF(EXACT('3AC_Data'!$D$8,8),O51,IF(EXACT('3AC_Data'!$D$8,9),P51,IF(EXACT('3AC_Data'!$D$8,10),Q51,IF(EXACT('3AC_Data'!$D$8,11),R51,IF(EXACT('3AC_Data'!$D$8,12),S51,IF(EXACT('3AC_Data'!$D$8,13),T51,IF(EXACT('3AC_Data'!$D$8,14),U51,IF(EXACT('3AC_Data'!$D$8,15),V51,IF(EXACT('3AC_Data'!$D$8,16),W51,IF(EXACT('3AC_Data'!$D$8,17),X51,IF(EXACT('3AC_Data'!$D$8,18),Y51,IF(EXACT('3AC_Data'!$D$8,19),Z51,IF(EXACT('3AC_Data'!$D$8,20),AA51,IF(EXACT('3AC_Data'!$D$8,21),AB51,IF(EXACT('3AC_Data'!$D$8,22),AC51,IF(EXACT('3AC_Data'!$D$8,23),AD51,IF(EXACT('3AC_Data'!$D$8,24),AE51,IF(EXACT('3AC_Data'!$D$8,25),AF51,IF(EXACT('3AC_Data'!$D$8,26),AG51,IF(EXACT('3AC_Data'!$D$8,27),AH51,IF(EXACT('3AC_Data'!$D$8,28),AI51,IF(EXACT('3AC_Data'!$D$8,29),AJ51,IF(EXACT('3AC_Data'!$D$8,30),AK51))))))))))))))))))))))))))))))</f>
        <v>0</v>
      </c>
      <c r="H51" s="98">
        <v>0</v>
      </c>
      <c r="I51" s="99">
        <f t="shared" ref="I51:I54" si="25">+L51*PI()/180</f>
        <v>0</v>
      </c>
      <c r="J51" s="103">
        <v>0</v>
      </c>
      <c r="K51" s="100">
        <v>28.856999999999999</v>
      </c>
      <c r="L51" s="100">
        <v>0</v>
      </c>
      <c r="M51" s="100">
        <v>0</v>
      </c>
      <c r="N51" s="100">
        <v>0</v>
      </c>
      <c r="O51" s="100">
        <v>0</v>
      </c>
      <c r="P51" s="99">
        <f t="shared" ref="P51:Q54" si="26">+S51*PI()/180</f>
        <v>0</v>
      </c>
      <c r="Q51" s="99">
        <f t="shared" si="26"/>
        <v>0</v>
      </c>
      <c r="R51" s="99">
        <f>+U51*PI()/180</f>
        <v>0.57222364855886088</v>
      </c>
      <c r="S51" s="99">
        <v>0</v>
      </c>
      <c r="T51" s="99">
        <v>0</v>
      </c>
      <c r="U51" s="99">
        <v>32.786000000000001</v>
      </c>
      <c r="V51" s="99">
        <v>0</v>
      </c>
      <c r="W51" s="102">
        <v>0</v>
      </c>
      <c r="X51" s="102">
        <v>0</v>
      </c>
      <c r="Y51" s="102"/>
      <c r="Z51" s="99">
        <v>34.76</v>
      </c>
      <c r="AA51" s="102">
        <v>0</v>
      </c>
      <c r="AB51" s="101">
        <v>14</v>
      </c>
      <c r="AC51" s="99">
        <v>6.45</v>
      </c>
      <c r="AD51" s="99">
        <v>21.3</v>
      </c>
      <c r="AE51" s="144">
        <v>0</v>
      </c>
      <c r="AF51" s="103">
        <v>0</v>
      </c>
      <c r="AG51" s="99">
        <v>0</v>
      </c>
      <c r="AH51" s="180">
        <v>0</v>
      </c>
      <c r="AI51" s="99">
        <v>32.786000000000001</v>
      </c>
      <c r="AJ51" s="99">
        <v>32.786000000000001</v>
      </c>
      <c r="AK51" s="99">
        <v>32.786000000000001</v>
      </c>
    </row>
    <row r="52" spans="2:37" x14ac:dyDescent="0.25">
      <c r="B52" s="134" t="s">
        <v>1367</v>
      </c>
      <c r="C52" s="134" t="s">
        <v>1306</v>
      </c>
      <c r="D52" s="36">
        <f t="shared" si="0"/>
        <v>0</v>
      </c>
      <c r="E52" s="4">
        <f t="shared" ref="E52:E56" si="27">+PI()/180</f>
        <v>1.7453292519943295E-2</v>
      </c>
      <c r="F52" s="3" t="s">
        <v>488</v>
      </c>
      <c r="G52" s="15">
        <f>+IF(EXACT('3AC_Data'!$D$8,1),H52,IF(EXACT('3AC_Data'!$D$8,2),I52,IF(EXACT('3AC_Data'!$D$8,3),J52,IF(EXACT('3AC_Data'!$D$8,4),K52,IF(EXACT('3AC_Data'!$D$8,5),L52,IF(EXACT('3AC_Data'!$D$8,6),M52,IF(EXACT('3AC_Data'!$D$8,7),N52,IF(EXACT('3AC_Data'!$D$8,8),O52,IF(EXACT('3AC_Data'!$D$8,9),P52,IF(EXACT('3AC_Data'!$D$8,10),Q52,IF(EXACT('3AC_Data'!$D$8,11),R52,IF(EXACT('3AC_Data'!$D$8,12),S52,IF(EXACT('3AC_Data'!$D$8,13),T52,IF(EXACT('3AC_Data'!$D$8,14),U52,IF(EXACT('3AC_Data'!$D$8,15),V52,IF(EXACT('3AC_Data'!$D$8,16),W52,IF(EXACT('3AC_Data'!$D$8,17),X52,IF(EXACT('3AC_Data'!$D$8,18),Y52,IF(EXACT('3AC_Data'!$D$8,19),Z52,IF(EXACT('3AC_Data'!$D$8,20),AA52,IF(EXACT('3AC_Data'!$D$8,21),AB52,IF(EXACT('3AC_Data'!$D$8,22),AC52,IF(EXACT('3AC_Data'!$D$8,23),AD52,IF(EXACT('3AC_Data'!$D$8,24),AE52,IF(EXACT('3AC_Data'!$D$8,25),AF52,IF(EXACT('3AC_Data'!$D$8,26),AG52,IF(EXACT('3AC_Data'!$D$8,27),AH52,IF(EXACT('3AC_Data'!$D$8,28),AI52,IF(EXACT('3AC_Data'!$D$8,29),AJ52,IF(EXACT('3AC_Data'!$D$8,30),AK52))))))))))))))))))))))))))))))</f>
        <v>0</v>
      </c>
      <c r="H52" s="98"/>
      <c r="I52" s="99"/>
      <c r="J52" s="103">
        <v>0</v>
      </c>
      <c r="K52" s="100"/>
      <c r="L52" s="100"/>
      <c r="M52" s="100"/>
      <c r="N52" s="100"/>
      <c r="O52" s="100"/>
      <c r="P52" s="99"/>
      <c r="Q52" s="99"/>
      <c r="R52" s="99"/>
      <c r="S52" s="99"/>
      <c r="T52" s="99"/>
      <c r="U52" s="99">
        <v>0</v>
      </c>
      <c r="V52" s="99"/>
      <c r="W52" s="102"/>
      <c r="X52" s="102"/>
      <c r="Y52" s="102"/>
      <c r="Z52" s="99">
        <v>0</v>
      </c>
      <c r="AA52" s="102">
        <v>0</v>
      </c>
      <c r="AB52" s="101">
        <v>0</v>
      </c>
      <c r="AC52" s="99">
        <v>0</v>
      </c>
      <c r="AD52" s="99">
        <v>0</v>
      </c>
      <c r="AE52" s="144">
        <v>0</v>
      </c>
      <c r="AF52" s="103">
        <v>0</v>
      </c>
      <c r="AG52" s="99">
        <v>0</v>
      </c>
      <c r="AH52" s="180">
        <v>0</v>
      </c>
      <c r="AI52" s="99">
        <v>0</v>
      </c>
      <c r="AJ52" s="99">
        <v>0</v>
      </c>
      <c r="AK52" s="99">
        <v>0</v>
      </c>
    </row>
    <row r="53" spans="2:37" x14ac:dyDescent="0.25">
      <c r="B53" s="134" t="s">
        <v>1368</v>
      </c>
      <c r="C53" s="134" t="s">
        <v>1307</v>
      </c>
      <c r="D53" s="36">
        <f t="shared" si="0"/>
        <v>0</v>
      </c>
      <c r="E53" s="4">
        <f t="shared" si="27"/>
        <v>1.7453292519943295E-2</v>
      </c>
      <c r="F53" s="3" t="s">
        <v>488</v>
      </c>
      <c r="G53" s="15">
        <f>+IF(EXACT('3AC_Data'!$D$8,1),H53,IF(EXACT('3AC_Data'!$D$8,2),I53,IF(EXACT('3AC_Data'!$D$8,3),J53,IF(EXACT('3AC_Data'!$D$8,4),K53,IF(EXACT('3AC_Data'!$D$8,5),L53,IF(EXACT('3AC_Data'!$D$8,6),M53,IF(EXACT('3AC_Data'!$D$8,7),N53,IF(EXACT('3AC_Data'!$D$8,8),O53,IF(EXACT('3AC_Data'!$D$8,9),P53,IF(EXACT('3AC_Data'!$D$8,10),Q53,IF(EXACT('3AC_Data'!$D$8,11),R53,IF(EXACT('3AC_Data'!$D$8,12),S53,IF(EXACT('3AC_Data'!$D$8,13),T53,IF(EXACT('3AC_Data'!$D$8,14),U53,IF(EXACT('3AC_Data'!$D$8,15),V53,IF(EXACT('3AC_Data'!$D$8,16),W53,IF(EXACT('3AC_Data'!$D$8,17),X53,IF(EXACT('3AC_Data'!$D$8,18),Y53,IF(EXACT('3AC_Data'!$D$8,19),Z53,IF(EXACT('3AC_Data'!$D$8,20),AA53,IF(EXACT('3AC_Data'!$D$8,21),AB53,IF(EXACT('3AC_Data'!$D$8,22),AC53,IF(EXACT('3AC_Data'!$D$8,23),AD53,IF(EXACT('3AC_Data'!$D$8,24),AE53,IF(EXACT('3AC_Data'!$D$8,25),AF53,IF(EXACT('3AC_Data'!$D$8,26),AG53,IF(EXACT('3AC_Data'!$D$8,27),AH53,IF(EXACT('3AC_Data'!$D$8,28),AI53,IF(EXACT('3AC_Data'!$D$8,29),AJ53,IF(EXACT('3AC_Data'!$D$8,30),AK53))))))))))))))))))))))))))))))</f>
        <v>0</v>
      </c>
      <c r="H53" s="98"/>
      <c r="I53" s="99"/>
      <c r="J53" s="103">
        <v>0</v>
      </c>
      <c r="K53" s="100"/>
      <c r="L53" s="100"/>
      <c r="M53" s="100"/>
      <c r="N53" s="100"/>
      <c r="O53" s="100"/>
      <c r="P53" s="99"/>
      <c r="Q53" s="99"/>
      <c r="R53" s="99"/>
      <c r="S53" s="99"/>
      <c r="T53" s="99"/>
      <c r="U53" s="99">
        <v>0</v>
      </c>
      <c r="V53" s="99"/>
      <c r="W53" s="102"/>
      <c r="X53" s="102"/>
      <c r="Y53" s="102"/>
      <c r="Z53" s="99">
        <v>0</v>
      </c>
      <c r="AA53" s="102">
        <v>0</v>
      </c>
      <c r="AB53" s="101">
        <v>0</v>
      </c>
      <c r="AC53" s="99">
        <v>0</v>
      </c>
      <c r="AD53" s="99">
        <v>0</v>
      </c>
      <c r="AE53" s="144">
        <v>0</v>
      </c>
      <c r="AF53" s="103">
        <v>0</v>
      </c>
      <c r="AG53" s="99">
        <v>0</v>
      </c>
      <c r="AH53" s="180">
        <v>0</v>
      </c>
      <c r="AI53" s="99">
        <v>0</v>
      </c>
      <c r="AJ53" s="99">
        <v>0</v>
      </c>
      <c r="AK53" s="99">
        <v>0</v>
      </c>
    </row>
    <row r="54" spans="2:37" x14ac:dyDescent="0.25">
      <c r="B54" s="110" t="s">
        <v>383</v>
      </c>
      <c r="C54" s="110" t="s">
        <v>393</v>
      </c>
      <c r="D54" s="36">
        <f t="shared" si="0"/>
        <v>0</v>
      </c>
      <c r="E54" s="4">
        <f t="shared" si="27"/>
        <v>1.7453292519943295E-2</v>
      </c>
      <c r="F54" s="3" t="s">
        <v>488</v>
      </c>
      <c r="G54" s="15">
        <f>+IF(EXACT('3AC_Data'!$D$8,1),H54,IF(EXACT('3AC_Data'!$D$8,2),I54,IF(EXACT('3AC_Data'!$D$8,3),J54,IF(EXACT('3AC_Data'!$D$8,4),K54,IF(EXACT('3AC_Data'!$D$8,5),L54,IF(EXACT('3AC_Data'!$D$8,6),M54,IF(EXACT('3AC_Data'!$D$8,7),N54,IF(EXACT('3AC_Data'!$D$8,8),O54,IF(EXACT('3AC_Data'!$D$8,9),P54,IF(EXACT('3AC_Data'!$D$8,10),Q54,IF(EXACT('3AC_Data'!$D$8,11),R54,IF(EXACT('3AC_Data'!$D$8,12),S54,IF(EXACT('3AC_Data'!$D$8,13),T54,IF(EXACT('3AC_Data'!$D$8,14),U54,IF(EXACT('3AC_Data'!$D$8,15),V54,IF(EXACT('3AC_Data'!$D$8,16),W54,IF(EXACT('3AC_Data'!$D$8,17),X54,IF(EXACT('3AC_Data'!$D$8,18),Y54,IF(EXACT('3AC_Data'!$D$8,19),Z54,IF(EXACT('3AC_Data'!$D$8,20),AA54,IF(EXACT('3AC_Data'!$D$8,21),AB54,IF(EXACT('3AC_Data'!$D$8,22),AC54,IF(EXACT('3AC_Data'!$D$8,23),AD54,IF(EXACT('3AC_Data'!$D$8,24),AE54,IF(EXACT('3AC_Data'!$D$8,25),AF54,IF(EXACT('3AC_Data'!$D$8,26),AG54,IF(EXACT('3AC_Data'!$D$8,27),AH54,IF(EXACT('3AC_Data'!$D$8,28),AI54,IF(EXACT('3AC_Data'!$D$8,29),AJ54,IF(EXACT('3AC_Data'!$D$8,30),AK54))))))))))))))))))))))))))))))</f>
        <v>0</v>
      </c>
      <c r="H54" s="98">
        <v>0</v>
      </c>
      <c r="I54" s="99">
        <f t="shared" si="25"/>
        <v>0</v>
      </c>
      <c r="J54" s="103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99">
        <f t="shared" si="26"/>
        <v>0</v>
      </c>
      <c r="Q54" s="99">
        <f t="shared" si="26"/>
        <v>0</v>
      </c>
      <c r="R54" s="99">
        <f>+U54*PI()/180</f>
        <v>0.10471975511965977</v>
      </c>
      <c r="S54" s="99">
        <v>0</v>
      </c>
      <c r="T54" s="99">
        <v>0</v>
      </c>
      <c r="U54" s="99">
        <v>6</v>
      </c>
      <c r="V54" s="99">
        <v>0</v>
      </c>
      <c r="W54" s="102">
        <v>0</v>
      </c>
      <c r="X54" s="102">
        <v>0</v>
      </c>
      <c r="Y54" s="102"/>
      <c r="Z54" s="99">
        <v>-4.8609999999999998</v>
      </c>
      <c r="AA54" s="102">
        <v>0</v>
      </c>
      <c r="AB54" s="101">
        <v>0</v>
      </c>
      <c r="AC54" s="99">
        <v>0.19</v>
      </c>
      <c r="AD54" s="99">
        <v>0</v>
      </c>
      <c r="AE54" s="145">
        <v>0</v>
      </c>
      <c r="AF54" s="103">
        <v>0</v>
      </c>
      <c r="AG54" s="99">
        <v>0</v>
      </c>
      <c r="AH54" s="180">
        <v>0</v>
      </c>
      <c r="AI54" s="99">
        <v>6</v>
      </c>
      <c r="AJ54" s="99">
        <v>6</v>
      </c>
      <c r="AK54" s="99">
        <v>6</v>
      </c>
    </row>
    <row r="55" spans="2:37" x14ac:dyDescent="0.25">
      <c r="B55" s="134" t="s">
        <v>1369</v>
      </c>
      <c r="C55" s="134" t="s">
        <v>1312</v>
      </c>
      <c r="D55" s="36">
        <f t="shared" si="0"/>
        <v>0</v>
      </c>
      <c r="E55" s="4">
        <f t="shared" si="27"/>
        <v>1.7453292519943295E-2</v>
      </c>
      <c r="F55" s="3" t="s">
        <v>488</v>
      </c>
      <c r="G55" s="15">
        <f>+IF(EXACT('3AC_Data'!$D$8,1),H55,IF(EXACT('3AC_Data'!$D$8,2),I55,IF(EXACT('3AC_Data'!$D$8,3),J55,IF(EXACT('3AC_Data'!$D$8,4),K55,IF(EXACT('3AC_Data'!$D$8,5),L55,IF(EXACT('3AC_Data'!$D$8,6),M55,IF(EXACT('3AC_Data'!$D$8,7),N55,IF(EXACT('3AC_Data'!$D$8,8),O55,IF(EXACT('3AC_Data'!$D$8,9),P55,IF(EXACT('3AC_Data'!$D$8,10),Q55,IF(EXACT('3AC_Data'!$D$8,11),R55,IF(EXACT('3AC_Data'!$D$8,12),S55,IF(EXACT('3AC_Data'!$D$8,13),T55,IF(EXACT('3AC_Data'!$D$8,14),U55,IF(EXACT('3AC_Data'!$D$8,15),V55,IF(EXACT('3AC_Data'!$D$8,16),W55,IF(EXACT('3AC_Data'!$D$8,17),X55,IF(EXACT('3AC_Data'!$D$8,18),Y55,IF(EXACT('3AC_Data'!$D$8,19),Z55,IF(EXACT('3AC_Data'!$D$8,20),AA55,IF(EXACT('3AC_Data'!$D$8,21),AB55,IF(EXACT('3AC_Data'!$D$8,22),AC55,IF(EXACT('3AC_Data'!$D$8,23),AD55,IF(EXACT('3AC_Data'!$D$8,24),AE55,IF(EXACT('3AC_Data'!$D$8,25),AF55,IF(EXACT('3AC_Data'!$D$8,26),AG55,IF(EXACT('3AC_Data'!$D$8,27),AH55,IF(EXACT('3AC_Data'!$D$8,28),AI55,IF(EXACT('3AC_Data'!$D$8,29),AJ55,IF(EXACT('3AC_Data'!$D$8,30),AK55))))))))))))))))))))))))))))))</f>
        <v>0</v>
      </c>
      <c r="H55" s="98"/>
      <c r="I55" s="99"/>
      <c r="J55" s="103">
        <v>0</v>
      </c>
      <c r="K55" s="100"/>
      <c r="L55" s="100"/>
      <c r="M55" s="100"/>
      <c r="N55" s="100"/>
      <c r="O55" s="100"/>
      <c r="P55" s="99"/>
      <c r="Q55" s="99"/>
      <c r="R55" s="99"/>
      <c r="S55" s="99"/>
      <c r="T55" s="99"/>
      <c r="U55" s="99">
        <v>0</v>
      </c>
      <c r="V55" s="99"/>
      <c r="W55" s="102"/>
      <c r="X55" s="102"/>
      <c r="Y55" s="102"/>
      <c r="Z55" s="99">
        <v>0</v>
      </c>
      <c r="AA55" s="102">
        <v>0</v>
      </c>
      <c r="AB55" s="101">
        <v>0</v>
      </c>
      <c r="AC55" s="99">
        <v>0</v>
      </c>
      <c r="AD55" s="99">
        <v>0</v>
      </c>
      <c r="AE55" s="147">
        <v>0</v>
      </c>
      <c r="AF55" s="103">
        <v>0</v>
      </c>
      <c r="AG55" s="99">
        <v>0</v>
      </c>
      <c r="AH55" s="180">
        <v>0</v>
      </c>
      <c r="AI55" s="99">
        <v>0</v>
      </c>
      <c r="AJ55" s="99">
        <v>0</v>
      </c>
      <c r="AK55" s="99">
        <v>0</v>
      </c>
    </row>
    <row r="56" spans="2:37" x14ac:dyDescent="0.25">
      <c r="B56" s="134" t="s">
        <v>1370</v>
      </c>
      <c r="C56" s="134" t="s">
        <v>1313</v>
      </c>
      <c r="D56" s="36">
        <f t="shared" si="0"/>
        <v>0</v>
      </c>
      <c r="E56" s="4">
        <f t="shared" si="27"/>
        <v>1.7453292519943295E-2</v>
      </c>
      <c r="F56" s="3" t="s">
        <v>488</v>
      </c>
      <c r="G56" s="15">
        <f>+IF(EXACT('3AC_Data'!$D$8,1),H56,IF(EXACT('3AC_Data'!$D$8,2),I56,IF(EXACT('3AC_Data'!$D$8,3),J56,IF(EXACT('3AC_Data'!$D$8,4),K56,IF(EXACT('3AC_Data'!$D$8,5),L56,IF(EXACT('3AC_Data'!$D$8,6),M56,IF(EXACT('3AC_Data'!$D$8,7),N56,IF(EXACT('3AC_Data'!$D$8,8),O56,IF(EXACT('3AC_Data'!$D$8,9),P56,IF(EXACT('3AC_Data'!$D$8,10),Q56,IF(EXACT('3AC_Data'!$D$8,11),R56,IF(EXACT('3AC_Data'!$D$8,12),S56,IF(EXACT('3AC_Data'!$D$8,13),T56,IF(EXACT('3AC_Data'!$D$8,14),U56,IF(EXACT('3AC_Data'!$D$8,15),V56,IF(EXACT('3AC_Data'!$D$8,16),W56,IF(EXACT('3AC_Data'!$D$8,17),X56,IF(EXACT('3AC_Data'!$D$8,18),Y56,IF(EXACT('3AC_Data'!$D$8,19),Z56,IF(EXACT('3AC_Data'!$D$8,20),AA56,IF(EXACT('3AC_Data'!$D$8,21),AB56,IF(EXACT('3AC_Data'!$D$8,22),AC56,IF(EXACT('3AC_Data'!$D$8,23),AD56,IF(EXACT('3AC_Data'!$D$8,24),AE56,IF(EXACT('3AC_Data'!$D$8,25),AF56,IF(EXACT('3AC_Data'!$D$8,26),AG56,IF(EXACT('3AC_Data'!$D$8,27),AH56,IF(EXACT('3AC_Data'!$D$8,28),AI56,IF(EXACT('3AC_Data'!$D$8,29),AJ56,IF(EXACT('3AC_Data'!$D$8,30),AK56))))))))))))))))))))))))))))))</f>
        <v>0</v>
      </c>
      <c r="H56" s="98"/>
      <c r="I56" s="99"/>
      <c r="J56" s="103">
        <v>0</v>
      </c>
      <c r="K56" s="100"/>
      <c r="L56" s="100"/>
      <c r="M56" s="100"/>
      <c r="N56" s="100"/>
      <c r="O56" s="100"/>
      <c r="P56" s="99"/>
      <c r="Q56" s="99"/>
      <c r="R56" s="99"/>
      <c r="S56" s="99"/>
      <c r="T56" s="99"/>
      <c r="U56" s="99">
        <v>0</v>
      </c>
      <c r="V56" s="99"/>
      <c r="W56" s="102"/>
      <c r="X56" s="102"/>
      <c r="Y56" s="102"/>
      <c r="Z56" s="99">
        <v>0</v>
      </c>
      <c r="AA56" s="102">
        <v>0</v>
      </c>
      <c r="AB56" s="101">
        <v>0</v>
      </c>
      <c r="AC56" s="99">
        <v>0</v>
      </c>
      <c r="AD56" s="99">
        <v>0</v>
      </c>
      <c r="AE56" s="147">
        <v>0</v>
      </c>
      <c r="AF56" s="103">
        <v>0</v>
      </c>
      <c r="AG56" s="99">
        <v>0</v>
      </c>
      <c r="AH56" s="180">
        <v>0</v>
      </c>
      <c r="AI56" s="99">
        <v>0</v>
      </c>
      <c r="AJ56" s="99">
        <v>0</v>
      </c>
      <c r="AK56" s="99">
        <v>0</v>
      </c>
    </row>
    <row r="57" spans="2:37" x14ac:dyDescent="0.25">
      <c r="B57" s="92" t="s">
        <v>1380</v>
      </c>
      <c r="C57" s="92" t="s">
        <v>358</v>
      </c>
      <c r="D57" s="36">
        <f t="shared" si="0"/>
        <v>0</v>
      </c>
      <c r="E57" s="4">
        <v>1</v>
      </c>
      <c r="F57" s="3"/>
      <c r="G57" s="15">
        <f>+IF(EXACT('3AC_Data'!$D$8,1),H57,IF(EXACT('3AC_Data'!$D$8,2),I57,IF(EXACT('3AC_Data'!$D$8,3),J57,IF(EXACT('3AC_Data'!$D$8,4),K57,IF(EXACT('3AC_Data'!$D$8,5),L57,IF(EXACT('3AC_Data'!$D$8,6),M57,IF(EXACT('3AC_Data'!$D$8,7),N57,IF(EXACT('3AC_Data'!$D$8,8),O57,IF(EXACT('3AC_Data'!$D$8,9),P57,IF(EXACT('3AC_Data'!$D$8,10),Q57,IF(EXACT('3AC_Data'!$D$8,11),R57,IF(EXACT('3AC_Data'!$D$8,12),S57,IF(EXACT('3AC_Data'!$D$8,13),T57,IF(EXACT('3AC_Data'!$D$8,14),U57,IF(EXACT('3AC_Data'!$D$8,15),V57,IF(EXACT('3AC_Data'!$D$8,16),W57,IF(EXACT('3AC_Data'!$D$8,17),X57,IF(EXACT('3AC_Data'!$D$8,18),Y57,IF(EXACT('3AC_Data'!$D$8,19),Z57,IF(EXACT('3AC_Data'!$D$8,20),AA57,IF(EXACT('3AC_Data'!$D$8,21),AB57,IF(EXACT('3AC_Data'!$D$8,22),AC57,IF(EXACT('3AC_Data'!$D$8,23),AD57,IF(EXACT('3AC_Data'!$D$8,24),AE57,IF(EXACT('3AC_Data'!$D$8,25),AF57,IF(EXACT('3AC_Data'!$D$8,26),AG57,IF(EXACT('3AC_Data'!$D$8,27),AH57,IF(EXACT('3AC_Data'!$D$8,28),AI57,IF(EXACT('3AC_Data'!$D$8,29),AJ57,IF(EXACT('3AC_Data'!$D$8,30),AK57))))))))))))))))))))))))))))))</f>
        <v>0</v>
      </c>
      <c r="H57" s="21">
        <v>0</v>
      </c>
      <c r="I57" s="45">
        <v>0</v>
      </c>
      <c r="J57" s="21">
        <f t="shared" ref="J57" si="28">80/1000</f>
        <v>0.08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45">
        <v>0</v>
      </c>
      <c r="Q57" s="45">
        <v>0</v>
      </c>
      <c r="R57" s="45">
        <v>0</v>
      </c>
      <c r="S57" s="44">
        <v>0</v>
      </c>
      <c r="T57" s="44">
        <v>0</v>
      </c>
      <c r="U57" s="44">
        <v>0</v>
      </c>
      <c r="V57" s="44">
        <v>0</v>
      </c>
      <c r="W57" s="45">
        <f>674.285/1000</f>
        <v>0.67428500000000002</v>
      </c>
      <c r="X57" s="45">
        <f>674.285/1000</f>
        <v>0.67428500000000002</v>
      </c>
      <c r="Y57" s="45">
        <v>0</v>
      </c>
      <c r="Z57" s="45">
        <v>0</v>
      </c>
      <c r="AA57" s="45">
        <v>3</v>
      </c>
      <c r="AB57" s="45">
        <v>0</v>
      </c>
      <c r="AC57" s="44">
        <v>0</v>
      </c>
      <c r="AD57" s="44">
        <v>0</v>
      </c>
      <c r="AE57" s="141">
        <v>0</v>
      </c>
      <c r="AF57" s="21">
        <f t="shared" ref="AF57" si="29">80/1000</f>
        <v>0.08</v>
      </c>
      <c r="AG57" s="44">
        <v>0</v>
      </c>
      <c r="AH57" s="178">
        <v>0</v>
      </c>
      <c r="AI57" s="44">
        <v>0</v>
      </c>
      <c r="AJ57" s="44">
        <v>0</v>
      </c>
      <c r="AK57" s="44">
        <v>0</v>
      </c>
    </row>
    <row r="58" spans="2:37" x14ac:dyDescent="0.25">
      <c r="B58" s="92" t="s">
        <v>1379</v>
      </c>
      <c r="C58" s="92" t="s">
        <v>359</v>
      </c>
      <c r="D58" s="36">
        <f t="shared" si="0"/>
        <v>0</v>
      </c>
      <c r="E58" s="4">
        <v>1</v>
      </c>
      <c r="F58" s="3"/>
      <c r="G58" s="15">
        <f>+IF(EXACT('3AC_Data'!$D$8,1),H58,IF(EXACT('3AC_Data'!$D$8,2),I58,IF(EXACT('3AC_Data'!$D$8,3),J58,IF(EXACT('3AC_Data'!$D$8,4),K58,IF(EXACT('3AC_Data'!$D$8,5),L58,IF(EXACT('3AC_Data'!$D$8,6),M58,IF(EXACT('3AC_Data'!$D$8,7),N58,IF(EXACT('3AC_Data'!$D$8,8),O58,IF(EXACT('3AC_Data'!$D$8,9),P58,IF(EXACT('3AC_Data'!$D$8,10),Q58,IF(EXACT('3AC_Data'!$D$8,11),R58,IF(EXACT('3AC_Data'!$D$8,12),S58,IF(EXACT('3AC_Data'!$D$8,13),T58,IF(EXACT('3AC_Data'!$D$8,14),U58,IF(EXACT('3AC_Data'!$D$8,15),V58,IF(EXACT('3AC_Data'!$D$8,16),W58,IF(EXACT('3AC_Data'!$D$8,17),X58,IF(EXACT('3AC_Data'!$D$8,18),Y58,IF(EXACT('3AC_Data'!$D$8,19),Z58,IF(EXACT('3AC_Data'!$D$8,20),AA58,IF(EXACT('3AC_Data'!$D$8,21),AB58,IF(EXACT('3AC_Data'!$D$8,22),AC58,IF(EXACT('3AC_Data'!$D$8,23),AD58,IF(EXACT('3AC_Data'!$D$8,24),AE58,IF(EXACT('3AC_Data'!$D$8,25),AF58,IF(EXACT('3AC_Data'!$D$8,26),AG58,IF(EXACT('3AC_Data'!$D$8,27),AH58,IF(EXACT('3AC_Data'!$D$8,28),AI58,IF(EXACT('3AC_Data'!$D$8,29),AJ58,IF(EXACT('3AC_Data'!$D$8,30),AK58))))))))))))))))))))))))))))))</f>
        <v>0</v>
      </c>
      <c r="H58" s="21">
        <v>0</v>
      </c>
      <c r="I58" s="45">
        <v>0</v>
      </c>
      <c r="J58" s="21">
        <v>0.44500000000000001</v>
      </c>
      <c r="K58" s="22">
        <v>2.9</v>
      </c>
      <c r="L58" s="22">
        <v>0</v>
      </c>
      <c r="M58" s="22">
        <v>0</v>
      </c>
      <c r="N58" s="22">
        <v>0</v>
      </c>
      <c r="O58" s="22">
        <v>0</v>
      </c>
      <c r="P58" s="45">
        <v>0</v>
      </c>
      <c r="Q58" s="45">
        <v>0</v>
      </c>
      <c r="R58" s="45">
        <v>0</v>
      </c>
      <c r="S58" s="44">
        <v>0</v>
      </c>
      <c r="T58" s="44">
        <v>0</v>
      </c>
      <c r="U58" s="44">
        <f>1.98</f>
        <v>1.98</v>
      </c>
      <c r="V58" s="44">
        <v>0.1585</v>
      </c>
      <c r="W58" s="45">
        <f>-98.2/1000</f>
        <v>-9.820000000000001E-2</v>
      </c>
      <c r="X58" s="45">
        <f>-98.2/1000</f>
        <v>-9.820000000000001E-2</v>
      </c>
      <c r="Y58" s="45">
        <v>-5.7000000000000002E-2</v>
      </c>
      <c r="Z58" s="45">
        <v>3.1219999999999999</v>
      </c>
      <c r="AA58" s="45">
        <v>0</v>
      </c>
      <c r="AB58" s="45">
        <v>0</v>
      </c>
      <c r="AC58" s="44">
        <v>0.74843599999999999</v>
      </c>
      <c r="AD58" s="44">
        <v>1.1454169999999999</v>
      </c>
      <c r="AE58" s="141">
        <v>0</v>
      </c>
      <c r="AF58" s="21">
        <v>0.44500000000000001</v>
      </c>
      <c r="AG58" s="44">
        <v>0</v>
      </c>
      <c r="AH58" s="178">
        <v>0</v>
      </c>
      <c r="AI58" s="44">
        <f t="shared" ref="AI58:AK58" si="30">1.98</f>
        <v>1.98</v>
      </c>
      <c r="AJ58" s="44">
        <f t="shared" si="30"/>
        <v>1.98</v>
      </c>
      <c r="AK58" s="44">
        <f t="shared" si="30"/>
        <v>1.98</v>
      </c>
    </row>
    <row r="59" spans="2:37" x14ac:dyDescent="0.25">
      <c r="B59" s="133" t="s">
        <v>1546</v>
      </c>
      <c r="C59" s="133" t="s">
        <v>1548</v>
      </c>
      <c r="D59" s="36">
        <f t="shared" ref="D59:D104" si="31">+G59*E59</f>
        <v>0</v>
      </c>
      <c r="E59" s="4">
        <v>1</v>
      </c>
      <c r="F59" s="3"/>
      <c r="G59" s="15">
        <f>+IF(EXACT('3AC_Data'!$D$8,1),H59,IF(EXACT('3AC_Data'!$D$8,2),I59,IF(EXACT('3AC_Data'!$D$8,3),J59,IF(EXACT('3AC_Data'!$D$8,4),K59,IF(EXACT('3AC_Data'!$D$8,5),L59,IF(EXACT('3AC_Data'!$D$8,6),M59,IF(EXACT('3AC_Data'!$D$8,7),N59,IF(EXACT('3AC_Data'!$D$8,8),O59,IF(EXACT('3AC_Data'!$D$8,9),P59,IF(EXACT('3AC_Data'!$D$8,10),Q59,IF(EXACT('3AC_Data'!$D$8,11),R59,IF(EXACT('3AC_Data'!$D$8,12),S59,IF(EXACT('3AC_Data'!$D$8,13),T59,IF(EXACT('3AC_Data'!$D$8,14),U59,IF(EXACT('3AC_Data'!$D$8,15),V59,IF(EXACT('3AC_Data'!$D$8,16),W59,IF(EXACT('3AC_Data'!$D$8,17),X59,IF(EXACT('3AC_Data'!$D$8,18),Y59,IF(EXACT('3AC_Data'!$D$8,19),Z59,IF(EXACT('3AC_Data'!$D$8,20),AA59,IF(EXACT('3AC_Data'!$D$8,21),AB59,IF(EXACT('3AC_Data'!$D$8,22),AC59,IF(EXACT('3AC_Data'!$D$8,23),AD59,IF(EXACT('3AC_Data'!$D$8,24),AE59,IF(EXACT('3AC_Data'!$D$8,25),AF59,IF(EXACT('3AC_Data'!$D$8,26),AG59,IF(EXACT('3AC_Data'!$D$8,27),AH59,IF(EXACT('3AC_Data'!$D$8,28),AI59,IF(EXACT('3AC_Data'!$D$8,29),AJ59,IF(EXACT('3AC_Data'!$D$8,30),AK59))))))))))))))))))))))))))))))</f>
        <v>0</v>
      </c>
      <c r="H59" s="21"/>
      <c r="I59" s="45"/>
      <c r="J59" s="21">
        <v>0</v>
      </c>
      <c r="K59" s="22"/>
      <c r="L59" s="22"/>
      <c r="M59" s="22"/>
      <c r="N59" s="22"/>
      <c r="O59" s="22"/>
      <c r="P59" s="45"/>
      <c r="Q59" s="45"/>
      <c r="R59" s="45"/>
      <c r="S59" s="44"/>
      <c r="T59" s="44"/>
      <c r="U59" s="44"/>
      <c r="V59" s="44"/>
      <c r="W59" s="45"/>
      <c r="X59" s="45"/>
      <c r="Y59" s="45"/>
      <c r="Z59" s="45"/>
      <c r="AA59" s="45"/>
      <c r="AB59" s="45"/>
      <c r="AC59" s="44"/>
      <c r="AD59" s="44">
        <v>0</v>
      </c>
      <c r="AE59" s="141">
        <v>0</v>
      </c>
      <c r="AF59" s="21">
        <v>0</v>
      </c>
      <c r="AG59" s="44">
        <v>0</v>
      </c>
      <c r="AH59" s="178">
        <v>0</v>
      </c>
      <c r="AI59" s="44"/>
      <c r="AJ59" s="44"/>
      <c r="AK59" s="44"/>
    </row>
    <row r="60" spans="2:37" x14ac:dyDescent="0.25">
      <c r="B60" s="133" t="s">
        <v>1547</v>
      </c>
      <c r="C60" s="133" t="s">
        <v>1549</v>
      </c>
      <c r="D60" s="36">
        <f t="shared" si="31"/>
        <v>0</v>
      </c>
      <c r="E60" s="4">
        <v>1</v>
      </c>
      <c r="F60" s="3"/>
      <c r="G60" s="15">
        <f>+IF(EXACT('3AC_Data'!$D$8,1),H60,IF(EXACT('3AC_Data'!$D$8,2),I60,IF(EXACT('3AC_Data'!$D$8,3),J60,IF(EXACT('3AC_Data'!$D$8,4),K60,IF(EXACT('3AC_Data'!$D$8,5),L60,IF(EXACT('3AC_Data'!$D$8,6),M60,IF(EXACT('3AC_Data'!$D$8,7),N60,IF(EXACT('3AC_Data'!$D$8,8),O60,IF(EXACT('3AC_Data'!$D$8,9),P60,IF(EXACT('3AC_Data'!$D$8,10),Q60,IF(EXACT('3AC_Data'!$D$8,11),R60,IF(EXACT('3AC_Data'!$D$8,12),S60,IF(EXACT('3AC_Data'!$D$8,13),T60,IF(EXACT('3AC_Data'!$D$8,14),U60,IF(EXACT('3AC_Data'!$D$8,15),V60,IF(EXACT('3AC_Data'!$D$8,16),W60,IF(EXACT('3AC_Data'!$D$8,17),X60,IF(EXACT('3AC_Data'!$D$8,18),Y60,IF(EXACT('3AC_Data'!$D$8,19),Z60,IF(EXACT('3AC_Data'!$D$8,20),AA60,IF(EXACT('3AC_Data'!$D$8,21),AB60,IF(EXACT('3AC_Data'!$D$8,22),AC60,IF(EXACT('3AC_Data'!$D$8,23),AD60,IF(EXACT('3AC_Data'!$D$8,24),AE60,IF(EXACT('3AC_Data'!$D$8,25),AF60,IF(EXACT('3AC_Data'!$D$8,26),AG60,IF(EXACT('3AC_Data'!$D$8,27),AH60,IF(EXACT('3AC_Data'!$D$8,28),AI60,IF(EXACT('3AC_Data'!$D$8,29),AJ60,IF(EXACT('3AC_Data'!$D$8,30),AK60))))))))))))))))))))))))))))))</f>
        <v>0</v>
      </c>
      <c r="H60" s="21"/>
      <c r="I60" s="45"/>
      <c r="J60" s="21">
        <v>0</v>
      </c>
      <c r="K60" s="22"/>
      <c r="L60" s="22"/>
      <c r="M60" s="22"/>
      <c r="N60" s="22"/>
      <c r="O60" s="22"/>
      <c r="P60" s="45"/>
      <c r="Q60" s="45"/>
      <c r="R60" s="45"/>
      <c r="S60" s="44"/>
      <c r="T60" s="44"/>
      <c r="U60" s="44"/>
      <c r="V60" s="44"/>
      <c r="W60" s="45"/>
      <c r="X60" s="45"/>
      <c r="Y60" s="45"/>
      <c r="Z60" s="45"/>
      <c r="AA60" s="45"/>
      <c r="AB60" s="45"/>
      <c r="AC60" s="44"/>
      <c r="AD60" s="44">
        <v>0</v>
      </c>
      <c r="AE60" s="141">
        <v>0</v>
      </c>
      <c r="AF60" s="21">
        <v>0</v>
      </c>
      <c r="AG60" s="44">
        <v>0</v>
      </c>
      <c r="AH60" s="178">
        <v>0</v>
      </c>
      <c r="AI60" s="44"/>
      <c r="AJ60" s="44"/>
      <c r="AK60" s="44"/>
    </row>
    <row r="61" spans="2:37" x14ac:dyDescent="0.25">
      <c r="B61" s="92" t="s">
        <v>1381</v>
      </c>
      <c r="C61" s="92" t="s">
        <v>913</v>
      </c>
      <c r="D61" s="36">
        <f t="shared" si="31"/>
        <v>0</v>
      </c>
      <c r="E61" s="4">
        <v>1</v>
      </c>
      <c r="F61" s="3"/>
      <c r="G61" s="15">
        <f>+IF(EXACT('3AC_Data'!$D$8,1),H61,IF(EXACT('3AC_Data'!$D$8,2),I61,IF(EXACT('3AC_Data'!$D$8,3),J61,IF(EXACT('3AC_Data'!$D$8,4),K61,IF(EXACT('3AC_Data'!$D$8,5),L61,IF(EXACT('3AC_Data'!$D$8,6),M61,IF(EXACT('3AC_Data'!$D$8,7),N61,IF(EXACT('3AC_Data'!$D$8,8),O61,IF(EXACT('3AC_Data'!$D$8,9),P61,IF(EXACT('3AC_Data'!$D$8,10),Q61,IF(EXACT('3AC_Data'!$D$8,11),R61,IF(EXACT('3AC_Data'!$D$8,12),S61,IF(EXACT('3AC_Data'!$D$8,13),T61,IF(EXACT('3AC_Data'!$D$8,14),U61,IF(EXACT('3AC_Data'!$D$8,15),V61,IF(EXACT('3AC_Data'!$D$8,16),W61,IF(EXACT('3AC_Data'!$D$8,17),X61,IF(EXACT('3AC_Data'!$D$8,18),Y61,IF(EXACT('3AC_Data'!$D$8,19),Z61,IF(EXACT('3AC_Data'!$D$8,20),AA61,IF(EXACT('3AC_Data'!$D$8,21),AB61,IF(EXACT('3AC_Data'!$D$8,22),AC61,IF(EXACT('3AC_Data'!$D$8,23),AD61,IF(EXACT('3AC_Data'!$D$8,24),AE61,IF(EXACT('3AC_Data'!$D$8,25),AF61,IF(EXACT('3AC_Data'!$D$8,26),AG61,IF(EXACT('3AC_Data'!$D$8,27),AH61,IF(EXACT('3AC_Data'!$D$8,28),AI61,IF(EXACT('3AC_Data'!$D$8,29),AJ61,IF(EXACT('3AC_Data'!$D$8,30),AK61))))))))))))))))))))))))))))))</f>
        <v>0</v>
      </c>
      <c r="H61" s="21">
        <v>0</v>
      </c>
      <c r="I61" s="45">
        <v>0</v>
      </c>
      <c r="J61" s="21">
        <v>0.1</v>
      </c>
      <c r="K61" s="22">
        <v>8.5090299999999992</v>
      </c>
      <c r="L61" s="22">
        <v>0</v>
      </c>
      <c r="M61" s="22">
        <v>0</v>
      </c>
      <c r="N61" s="22">
        <v>0</v>
      </c>
      <c r="O61" s="22">
        <v>0</v>
      </c>
      <c r="P61" s="45">
        <v>0</v>
      </c>
      <c r="Q61" s="45">
        <v>0</v>
      </c>
      <c r="R61" s="45">
        <v>0</v>
      </c>
      <c r="S61" s="44">
        <v>0</v>
      </c>
      <c r="T61" s="44">
        <v>0</v>
      </c>
      <c r="U61" s="44">
        <f>1.98 + 5.87018</f>
        <v>7.8501799999999999</v>
      </c>
      <c r="V61" s="44">
        <f>+ 0.3 + 0.19576</f>
        <v>0.49575999999999998</v>
      </c>
      <c r="W61" s="45">
        <f>379.956/1000</f>
        <v>0.37995600000000002</v>
      </c>
      <c r="X61" s="45">
        <f>379.956/1000</f>
        <v>0.37995600000000002</v>
      </c>
      <c r="Y61" s="45">
        <v>-0.127</v>
      </c>
      <c r="Z61" s="45">
        <v>4.9820000000000002</v>
      </c>
      <c r="AA61" s="45">
        <v>0.24</v>
      </c>
      <c r="AB61" s="45">
        <v>0.3135</v>
      </c>
      <c r="AC61" s="44">
        <v>3.1200320000000001</v>
      </c>
      <c r="AD61" s="44">
        <v>2.92523</v>
      </c>
      <c r="AE61" s="141">
        <v>0</v>
      </c>
      <c r="AF61" s="21">
        <v>0.1</v>
      </c>
      <c r="AG61" s="44">
        <v>0</v>
      </c>
      <c r="AH61" s="178">
        <v>0</v>
      </c>
      <c r="AI61" s="44">
        <f t="shared" ref="AI61:AK61" si="32">1.98 + 5.87018</f>
        <v>7.8501799999999999</v>
      </c>
      <c r="AJ61" s="44">
        <f t="shared" si="32"/>
        <v>7.8501799999999999</v>
      </c>
      <c r="AK61" s="44">
        <f t="shared" si="32"/>
        <v>7.8501799999999999</v>
      </c>
    </row>
    <row r="62" spans="2:37" x14ac:dyDescent="0.25">
      <c r="B62" s="92" t="s">
        <v>384</v>
      </c>
      <c r="C62" s="92" t="s">
        <v>911</v>
      </c>
      <c r="D62" s="36">
        <f t="shared" si="31"/>
        <v>0</v>
      </c>
      <c r="E62" s="4">
        <v>1</v>
      </c>
      <c r="F62" s="3"/>
      <c r="G62" s="15">
        <f>+IF(EXACT('3AC_Data'!$D$8,1),H62,IF(EXACT('3AC_Data'!$D$8,2),I62,IF(EXACT('3AC_Data'!$D$8,3),J62,IF(EXACT('3AC_Data'!$D$8,4),K62,IF(EXACT('3AC_Data'!$D$8,5),L62,IF(EXACT('3AC_Data'!$D$8,6),M62,IF(EXACT('3AC_Data'!$D$8,7),N62,IF(EXACT('3AC_Data'!$D$8,8),O62,IF(EXACT('3AC_Data'!$D$8,9),P62,IF(EXACT('3AC_Data'!$D$8,10),Q62,IF(EXACT('3AC_Data'!$D$8,11),R62,IF(EXACT('3AC_Data'!$D$8,12),S62,IF(EXACT('3AC_Data'!$D$8,13),T62,IF(EXACT('3AC_Data'!$D$8,14),U62,IF(EXACT('3AC_Data'!$D$8,15),V62,IF(EXACT('3AC_Data'!$D$8,16),W62,IF(EXACT('3AC_Data'!$D$8,17),X62,IF(EXACT('3AC_Data'!$D$8,18),Y62,IF(EXACT('3AC_Data'!$D$8,19),Z62,IF(EXACT('3AC_Data'!$D$8,20),AA62,IF(EXACT('3AC_Data'!$D$8,21),AB62,IF(EXACT('3AC_Data'!$D$8,22),AC62,IF(EXACT('3AC_Data'!$D$8,23),AD62,IF(EXACT('3AC_Data'!$D$8,24),AE62,IF(EXACT('3AC_Data'!$D$8,25),AF62,IF(EXACT('3AC_Data'!$D$8,26),AG62,IF(EXACT('3AC_Data'!$D$8,27),AH62,IF(EXACT('3AC_Data'!$D$8,28),AI62,IF(EXACT('3AC_Data'!$D$8,29),AJ62,IF(EXACT('3AC_Data'!$D$8,30),AK62))))))))))))))))))))))))))))))</f>
        <v>0</v>
      </c>
      <c r="H62" s="24">
        <f>+K62</f>
        <v>38.002000000000002</v>
      </c>
      <c r="I62" s="45">
        <v>0</v>
      </c>
      <c r="J62" s="21">
        <v>1.64</v>
      </c>
      <c r="K62" s="22">
        <v>38.002000000000002</v>
      </c>
      <c r="L62" s="22">
        <v>0</v>
      </c>
      <c r="M62" s="22">
        <v>0</v>
      </c>
      <c r="N62" s="22">
        <v>0</v>
      </c>
      <c r="O62" s="22">
        <v>0</v>
      </c>
      <c r="P62" s="44">
        <f>+S62</f>
        <v>0</v>
      </c>
      <c r="Q62" s="44">
        <f>+T62</f>
        <v>0</v>
      </c>
      <c r="R62" s="44">
        <f>+U62</f>
        <v>29.711600000000001</v>
      </c>
      <c r="S62" s="44">
        <v>0</v>
      </c>
      <c r="T62" s="44">
        <v>0</v>
      </c>
      <c r="U62" s="44">
        <v>29.711600000000001</v>
      </c>
      <c r="V62" s="44">
        <f>1.76094 - 0.4</f>
        <v>1.3609399999999998</v>
      </c>
      <c r="W62" s="44">
        <f>3459.009/1000</f>
        <v>3.459009</v>
      </c>
      <c r="X62" s="44">
        <f>3459.009/1000</f>
        <v>3.459009</v>
      </c>
      <c r="Y62" s="44">
        <v>1.06545</v>
      </c>
      <c r="Z62" s="44">
        <v>14.276999999999999</v>
      </c>
      <c r="AA62" s="44">
        <v>0.95</v>
      </c>
      <c r="AB62" s="44">
        <v>1.2649999999999999</v>
      </c>
      <c r="AC62" s="44">
        <v>9.5588409594560009</v>
      </c>
      <c r="AD62" s="44">
        <v>10.562961</v>
      </c>
      <c r="AE62" s="141">
        <v>0</v>
      </c>
      <c r="AF62" s="21">
        <v>1.64</v>
      </c>
      <c r="AG62" s="44">
        <v>0</v>
      </c>
      <c r="AH62" s="178">
        <v>0</v>
      </c>
      <c r="AI62" s="44">
        <v>35.711599999999997</v>
      </c>
      <c r="AJ62" s="44">
        <v>36.711599999999997</v>
      </c>
      <c r="AK62" s="44">
        <v>37.711599999999997</v>
      </c>
    </row>
    <row r="63" spans="2:37" x14ac:dyDescent="0.25">
      <c r="B63" s="92" t="s">
        <v>385</v>
      </c>
      <c r="C63" s="92" t="s">
        <v>394</v>
      </c>
      <c r="D63" s="36">
        <f t="shared" si="31"/>
        <v>0</v>
      </c>
      <c r="E63" s="4">
        <f t="shared" ref="E63:E68" si="33">+PI()/180</f>
        <v>1.7453292519943295E-2</v>
      </c>
      <c r="F63" s="3" t="s">
        <v>488</v>
      </c>
      <c r="G63" s="15">
        <f>+IF(EXACT('3AC_Data'!$D$8,1),H63,IF(EXACT('3AC_Data'!$D$8,2),I63,IF(EXACT('3AC_Data'!$D$8,3),J63,IF(EXACT('3AC_Data'!$D$8,4),K63,IF(EXACT('3AC_Data'!$D$8,5),L63,IF(EXACT('3AC_Data'!$D$8,6),M63,IF(EXACT('3AC_Data'!$D$8,7),N63,IF(EXACT('3AC_Data'!$D$8,8),O63,IF(EXACT('3AC_Data'!$D$8,9),P63,IF(EXACT('3AC_Data'!$D$8,10),Q63,IF(EXACT('3AC_Data'!$D$8,11),R63,IF(EXACT('3AC_Data'!$D$8,12),S63,IF(EXACT('3AC_Data'!$D$8,13),T63,IF(EXACT('3AC_Data'!$D$8,14),U63,IF(EXACT('3AC_Data'!$D$8,15),V63,IF(EXACT('3AC_Data'!$D$8,16),W63,IF(EXACT('3AC_Data'!$D$8,17),X63,IF(EXACT('3AC_Data'!$D$8,18),Y63,IF(EXACT('3AC_Data'!$D$8,19),Z63,IF(EXACT('3AC_Data'!$D$8,20),AA63,IF(EXACT('3AC_Data'!$D$8,21),AB63,IF(EXACT('3AC_Data'!$D$8,22),AC63,IF(EXACT('3AC_Data'!$D$8,23),AD63,IF(EXACT('3AC_Data'!$D$8,24),AE63,IF(EXACT('3AC_Data'!$D$8,25),AF63,IF(EXACT('3AC_Data'!$D$8,26),AG63,IF(EXACT('3AC_Data'!$D$8,27),AH63,IF(EXACT('3AC_Data'!$D$8,28),AI63,IF(EXACT('3AC_Data'!$D$8,29),AJ63,IF(EXACT('3AC_Data'!$D$8,30),AK63))))))))))))))))))))))))))))))</f>
        <v>0</v>
      </c>
      <c r="H63" s="24">
        <f>+K63*PI()/180</f>
        <v>0.78919024026325646</v>
      </c>
      <c r="I63" s="45">
        <v>0</v>
      </c>
      <c r="J63" s="21">
        <v>11.31</v>
      </c>
      <c r="K63" s="22">
        <v>45.217269999999999</v>
      </c>
      <c r="L63" s="22">
        <v>0</v>
      </c>
      <c r="M63" s="22">
        <v>0</v>
      </c>
      <c r="N63" s="22">
        <v>0</v>
      </c>
      <c r="O63" s="22">
        <v>0</v>
      </c>
      <c r="P63" s="44">
        <f t="shared" ref="P63:Q66" si="34">+S63*PI()/180</f>
        <v>0</v>
      </c>
      <c r="Q63" s="44">
        <f t="shared" si="34"/>
        <v>0</v>
      </c>
      <c r="R63" s="44">
        <f>+U63*PI()/180</f>
        <v>0.71500903466451704</v>
      </c>
      <c r="S63" s="44">
        <v>0</v>
      </c>
      <c r="T63" s="44">
        <v>0</v>
      </c>
      <c r="U63" s="44">
        <f>40.967</f>
        <v>40.966999999999999</v>
      </c>
      <c r="V63" s="44">
        <v>45</v>
      </c>
      <c r="W63" s="44">
        <v>20</v>
      </c>
      <c r="X63" s="44">
        <v>20</v>
      </c>
      <c r="Y63" s="44">
        <v>0</v>
      </c>
      <c r="Z63" s="44">
        <v>49.53</v>
      </c>
      <c r="AA63" s="44">
        <v>40</v>
      </c>
      <c r="AB63" s="44">
        <v>9</v>
      </c>
      <c r="AC63" s="44">
        <v>27.906400000000001</v>
      </c>
      <c r="AD63" s="44">
        <v>36.700000000000003</v>
      </c>
      <c r="AE63" s="141">
        <v>0</v>
      </c>
      <c r="AF63" s="21">
        <v>11.31</v>
      </c>
      <c r="AG63" s="44">
        <v>0</v>
      </c>
      <c r="AH63" s="178">
        <v>0</v>
      </c>
      <c r="AI63" s="44">
        <f t="shared" ref="AI63:AK63" si="35">40.967</f>
        <v>40.966999999999999</v>
      </c>
      <c r="AJ63" s="44">
        <f t="shared" si="35"/>
        <v>40.966999999999999</v>
      </c>
      <c r="AK63" s="44">
        <f t="shared" si="35"/>
        <v>40.966999999999999</v>
      </c>
    </row>
    <row r="64" spans="2:37" x14ac:dyDescent="0.25">
      <c r="B64" s="133" t="s">
        <v>1550</v>
      </c>
      <c r="C64" s="133" t="s">
        <v>1552</v>
      </c>
      <c r="D64" s="36">
        <f t="shared" si="31"/>
        <v>0</v>
      </c>
      <c r="E64" s="4">
        <f t="shared" si="33"/>
        <v>1.7453292519943295E-2</v>
      </c>
      <c r="F64" s="3" t="s">
        <v>488</v>
      </c>
      <c r="G64" s="15"/>
      <c r="H64" s="24"/>
      <c r="I64" s="45"/>
      <c r="J64" s="21">
        <v>0</v>
      </c>
      <c r="K64" s="22"/>
      <c r="L64" s="22"/>
      <c r="M64" s="22"/>
      <c r="N64" s="22"/>
      <c r="O64" s="22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>
        <v>0</v>
      </c>
      <c r="AE64" s="141">
        <v>0</v>
      </c>
      <c r="AF64" s="21">
        <v>0</v>
      </c>
      <c r="AG64" s="44">
        <v>0</v>
      </c>
      <c r="AH64" s="178">
        <v>0</v>
      </c>
      <c r="AI64" s="44"/>
      <c r="AJ64" s="44"/>
      <c r="AK64" s="44"/>
    </row>
    <row r="65" spans="2:37" x14ac:dyDescent="0.25">
      <c r="B65" s="133" t="s">
        <v>1551</v>
      </c>
      <c r="C65" s="133" t="s">
        <v>1553</v>
      </c>
      <c r="D65" s="36">
        <f t="shared" si="31"/>
        <v>0</v>
      </c>
      <c r="E65" s="4">
        <f t="shared" si="33"/>
        <v>1.7453292519943295E-2</v>
      </c>
      <c r="F65" s="3" t="s">
        <v>488</v>
      </c>
      <c r="G65" s="15"/>
      <c r="H65" s="24"/>
      <c r="I65" s="45"/>
      <c r="J65" s="21">
        <v>0</v>
      </c>
      <c r="K65" s="22"/>
      <c r="L65" s="22"/>
      <c r="M65" s="22"/>
      <c r="N65" s="22"/>
      <c r="O65" s="22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>
        <v>0</v>
      </c>
      <c r="AE65" s="141">
        <v>0</v>
      </c>
      <c r="AF65" s="21">
        <v>0</v>
      </c>
      <c r="AG65" s="44">
        <v>0</v>
      </c>
      <c r="AH65" s="178">
        <v>0</v>
      </c>
      <c r="AI65" s="44"/>
      <c r="AJ65" s="44"/>
      <c r="AK65" s="44"/>
    </row>
    <row r="66" spans="2:37" x14ac:dyDescent="0.25">
      <c r="B66" s="92" t="s">
        <v>386</v>
      </c>
      <c r="C66" s="92" t="s">
        <v>395</v>
      </c>
      <c r="D66" s="36">
        <f t="shared" si="31"/>
        <v>0</v>
      </c>
      <c r="E66" s="4">
        <f t="shared" si="33"/>
        <v>1.7453292519943295E-2</v>
      </c>
      <c r="F66" s="3" t="s">
        <v>488</v>
      </c>
      <c r="G66" s="15">
        <f>+IF(EXACT('3AC_Data'!$D$8,1),H66,IF(EXACT('3AC_Data'!$D$8,2),I66,IF(EXACT('3AC_Data'!$D$8,3),J66,IF(EXACT('3AC_Data'!$D$8,4),K66,IF(EXACT('3AC_Data'!$D$8,5),L66,IF(EXACT('3AC_Data'!$D$8,6),M66,IF(EXACT('3AC_Data'!$D$8,7),N66,IF(EXACT('3AC_Data'!$D$8,8),O66,IF(EXACT('3AC_Data'!$D$8,9),P66,IF(EXACT('3AC_Data'!$D$8,10),Q66,IF(EXACT('3AC_Data'!$D$8,11),R66,IF(EXACT('3AC_Data'!$D$8,12),S66,IF(EXACT('3AC_Data'!$D$8,13),T66,IF(EXACT('3AC_Data'!$D$8,14),U66,IF(EXACT('3AC_Data'!$D$8,15),V66,IF(EXACT('3AC_Data'!$D$8,16),W66,IF(EXACT('3AC_Data'!$D$8,17),X66,IF(EXACT('3AC_Data'!$D$8,18),Y66,IF(EXACT('3AC_Data'!$D$8,19),Z66,IF(EXACT('3AC_Data'!$D$8,20),AA66,IF(EXACT('3AC_Data'!$D$8,21),AB66,IF(EXACT('3AC_Data'!$D$8,22),AC66,IF(EXACT('3AC_Data'!$D$8,23),AD66,IF(EXACT('3AC_Data'!$D$8,24),AE66,IF(EXACT('3AC_Data'!$D$8,25),AF66,IF(EXACT('3AC_Data'!$D$8,26),AG66,IF(EXACT('3AC_Data'!$D$8,27),AH66,IF(EXACT('3AC_Data'!$D$8,28),AI66,IF(EXACT('3AC_Data'!$D$8,29),AJ66,IF(EXACT('3AC_Data'!$D$8,30),AK66))))))))))))))))))))))))))))))</f>
        <v>0</v>
      </c>
      <c r="H66" s="24">
        <f>+K66*PI()/180</f>
        <v>0</v>
      </c>
      <c r="I66" s="45">
        <v>0</v>
      </c>
      <c r="J66" s="21">
        <v>30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44">
        <f t="shared" si="34"/>
        <v>0</v>
      </c>
      <c r="Q66" s="44">
        <f t="shared" si="34"/>
        <v>0</v>
      </c>
      <c r="R66" s="44">
        <f>+U66*PI()/180</f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f>+AE66*PI()/180</f>
        <v>0</v>
      </c>
      <c r="AC66" s="44">
        <v>0</v>
      </c>
      <c r="AD66" s="44">
        <v>0</v>
      </c>
      <c r="AE66" s="141">
        <v>0</v>
      </c>
      <c r="AF66" s="21">
        <v>30</v>
      </c>
      <c r="AG66" s="44">
        <v>0</v>
      </c>
      <c r="AH66" s="178">
        <v>0</v>
      </c>
      <c r="AI66" s="44">
        <v>0</v>
      </c>
      <c r="AJ66" s="44">
        <v>0</v>
      </c>
      <c r="AK66" s="44">
        <v>0</v>
      </c>
    </row>
    <row r="67" spans="2:37" x14ac:dyDescent="0.25">
      <c r="B67" s="133" t="s">
        <v>1554</v>
      </c>
      <c r="C67" s="133" t="s">
        <v>1556</v>
      </c>
      <c r="D67" s="36">
        <f t="shared" si="31"/>
        <v>0</v>
      </c>
      <c r="E67" s="4">
        <f t="shared" si="33"/>
        <v>1.7453292519943295E-2</v>
      </c>
      <c r="F67" s="3" t="s">
        <v>488</v>
      </c>
      <c r="G67" s="15"/>
      <c r="H67" s="24"/>
      <c r="I67" s="45"/>
      <c r="J67" s="21">
        <v>0</v>
      </c>
      <c r="K67" s="22"/>
      <c r="L67" s="22"/>
      <c r="M67" s="22"/>
      <c r="N67" s="22"/>
      <c r="O67" s="22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>
        <v>0</v>
      </c>
      <c r="AE67" s="141">
        <v>0</v>
      </c>
      <c r="AF67" s="21">
        <v>0</v>
      </c>
      <c r="AG67" s="44">
        <v>0</v>
      </c>
      <c r="AH67" s="181">
        <v>0</v>
      </c>
      <c r="AI67" s="44"/>
      <c r="AJ67" s="44"/>
      <c r="AK67" s="44"/>
    </row>
    <row r="68" spans="2:37" x14ac:dyDescent="0.25">
      <c r="B68" s="133" t="s">
        <v>1555</v>
      </c>
      <c r="C68" s="133" t="s">
        <v>1557</v>
      </c>
      <c r="D68" s="36">
        <f t="shared" si="31"/>
        <v>0</v>
      </c>
      <c r="E68" s="4">
        <f t="shared" si="33"/>
        <v>1.7453292519943295E-2</v>
      </c>
      <c r="F68" s="3" t="s">
        <v>488</v>
      </c>
      <c r="G68" s="15"/>
      <c r="H68" s="24"/>
      <c r="I68" s="45"/>
      <c r="J68" s="21">
        <v>0</v>
      </c>
      <c r="K68" s="22"/>
      <c r="L68" s="22"/>
      <c r="M68" s="22"/>
      <c r="N68" s="22"/>
      <c r="O68" s="22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>
        <v>0</v>
      </c>
      <c r="AE68" s="141">
        <v>0</v>
      </c>
      <c r="AF68" s="21">
        <v>0</v>
      </c>
      <c r="AG68" s="44">
        <v>0</v>
      </c>
      <c r="AH68" s="181">
        <v>0</v>
      </c>
      <c r="AI68" s="44"/>
      <c r="AJ68" s="44"/>
      <c r="AK68" s="44"/>
    </row>
    <row r="69" spans="2:37" x14ac:dyDescent="0.25">
      <c r="B69" s="110" t="s">
        <v>349</v>
      </c>
      <c r="C69" s="110" t="s">
        <v>360</v>
      </c>
      <c r="D69" s="36">
        <f t="shared" si="31"/>
        <v>7.8E-2</v>
      </c>
      <c r="E69" s="4">
        <v>1</v>
      </c>
      <c r="F69" s="3"/>
      <c r="G69" s="15">
        <f>+IF(EXACT('3AC_Data'!$D$8,1),H69,IF(EXACT('3AC_Data'!$D$8,2),I69,IF(EXACT('3AC_Data'!$D$8,3),J69,IF(EXACT('3AC_Data'!$D$8,4),K69,IF(EXACT('3AC_Data'!$D$8,5),L69,IF(EXACT('3AC_Data'!$D$8,6),M69,IF(EXACT('3AC_Data'!$D$8,7),N69,IF(EXACT('3AC_Data'!$D$8,8),O69,IF(EXACT('3AC_Data'!$D$8,9),P69,IF(EXACT('3AC_Data'!$D$8,10),Q69,IF(EXACT('3AC_Data'!$D$8,11),R69,IF(EXACT('3AC_Data'!$D$8,12),S69,IF(EXACT('3AC_Data'!$D$8,13),T69,IF(EXACT('3AC_Data'!$D$8,14),U69,IF(EXACT('3AC_Data'!$D$8,15),V69,IF(EXACT('3AC_Data'!$D$8,16),W69,IF(EXACT('3AC_Data'!$D$8,17),X69,IF(EXACT('3AC_Data'!$D$8,18),Y69,IF(EXACT('3AC_Data'!$D$8,19),Z69,IF(EXACT('3AC_Data'!$D$8,20),AA69,IF(EXACT('3AC_Data'!$D$8,21),AB69,IF(EXACT('3AC_Data'!$D$8,22),AC69,IF(EXACT('3AC_Data'!$D$8,23),AD69,IF(EXACT('3AC_Data'!$D$8,24),AE69,IF(EXACT('3AC_Data'!$D$8,25),AF69,IF(EXACT('3AC_Data'!$D$8,26),AG69,IF(EXACT('3AC_Data'!$D$8,27),AH69,IF(EXACT('3AC_Data'!$D$8,28),AI69,IF(EXACT('3AC_Data'!$D$8,29),AJ69,IF(EXACT('3AC_Data'!$D$8,30),AK69))))))))))))))))))))))))))))))</f>
        <v>7.8E-2</v>
      </c>
      <c r="H69" s="113">
        <v>0</v>
      </c>
      <c r="I69" s="111">
        <v>0</v>
      </c>
      <c r="J69" s="104">
        <f t="shared" ref="J69" si="36">80/1000</f>
        <v>0.08</v>
      </c>
      <c r="K69" s="110">
        <v>0</v>
      </c>
      <c r="L69" s="110"/>
      <c r="M69" s="110">
        <v>7.8E-2</v>
      </c>
      <c r="N69" s="110">
        <v>6.5000000000000002E-2</v>
      </c>
      <c r="O69" s="110">
        <v>0</v>
      </c>
      <c r="P69" s="111">
        <v>0</v>
      </c>
      <c r="Q69" s="111">
        <v>0</v>
      </c>
      <c r="R69" s="111">
        <v>0</v>
      </c>
      <c r="S69" s="112">
        <v>0</v>
      </c>
      <c r="T69" s="112">
        <v>0</v>
      </c>
      <c r="U69" s="112">
        <v>0</v>
      </c>
      <c r="V69" s="112">
        <v>0</v>
      </c>
      <c r="W69" s="111">
        <v>0</v>
      </c>
      <c r="X69" s="111">
        <v>0</v>
      </c>
      <c r="Y69" s="111"/>
      <c r="Z69" s="112">
        <v>0</v>
      </c>
      <c r="AA69" s="111">
        <v>0</v>
      </c>
      <c r="AB69" s="111">
        <v>0</v>
      </c>
      <c r="AC69" s="112">
        <v>0</v>
      </c>
      <c r="AD69" s="112">
        <v>0</v>
      </c>
      <c r="AE69" s="144">
        <v>0.03</v>
      </c>
      <c r="AF69" s="104">
        <f t="shared" ref="AF69" si="37">80/1000</f>
        <v>0.08</v>
      </c>
      <c r="AG69" s="107">
        <v>0.05</v>
      </c>
      <c r="AH69" s="178">
        <v>0.1</v>
      </c>
      <c r="AI69" s="112">
        <v>0</v>
      </c>
      <c r="AJ69" s="112">
        <v>0</v>
      </c>
      <c r="AK69" s="112">
        <v>0</v>
      </c>
    </row>
    <row r="70" spans="2:37" x14ac:dyDescent="0.25">
      <c r="B70" s="134" t="s">
        <v>1558</v>
      </c>
      <c r="C70" s="134" t="s">
        <v>1560</v>
      </c>
      <c r="D70" s="36">
        <f t="shared" si="31"/>
        <v>0</v>
      </c>
      <c r="E70" s="4">
        <v>1</v>
      </c>
      <c r="F70" s="3"/>
      <c r="G70" s="15"/>
      <c r="H70" s="113"/>
      <c r="I70" s="111"/>
      <c r="J70" s="104">
        <v>0</v>
      </c>
      <c r="K70" s="110"/>
      <c r="L70" s="110"/>
      <c r="M70" s="110">
        <v>0</v>
      </c>
      <c r="N70" s="110"/>
      <c r="O70" s="110"/>
      <c r="P70" s="111"/>
      <c r="Q70" s="111"/>
      <c r="R70" s="111"/>
      <c r="S70" s="112"/>
      <c r="T70" s="112"/>
      <c r="U70" s="112"/>
      <c r="V70" s="112"/>
      <c r="W70" s="111"/>
      <c r="X70" s="111"/>
      <c r="Y70" s="111"/>
      <c r="Z70" s="112"/>
      <c r="AA70" s="111"/>
      <c r="AB70" s="111"/>
      <c r="AC70" s="112"/>
      <c r="AD70" s="112">
        <v>0</v>
      </c>
      <c r="AE70" s="144">
        <v>0</v>
      </c>
      <c r="AF70" s="104">
        <v>0</v>
      </c>
      <c r="AG70" s="107">
        <v>0</v>
      </c>
      <c r="AH70" s="178">
        <v>0</v>
      </c>
      <c r="AI70" s="112"/>
      <c r="AJ70" s="112"/>
      <c r="AK70" s="112"/>
    </row>
    <row r="71" spans="2:37" x14ac:dyDescent="0.25">
      <c r="B71" s="134" t="s">
        <v>1559</v>
      </c>
      <c r="C71" s="134" t="s">
        <v>1561</v>
      </c>
      <c r="D71" s="36">
        <f t="shared" si="31"/>
        <v>0</v>
      </c>
      <c r="E71" s="4">
        <v>1</v>
      </c>
      <c r="F71" s="3"/>
      <c r="G71" s="15"/>
      <c r="H71" s="113"/>
      <c r="I71" s="111"/>
      <c r="J71" s="104">
        <v>0</v>
      </c>
      <c r="K71" s="110"/>
      <c r="L71" s="110"/>
      <c r="M71" s="110">
        <v>0</v>
      </c>
      <c r="N71" s="110"/>
      <c r="O71" s="110"/>
      <c r="P71" s="111"/>
      <c r="Q71" s="111"/>
      <c r="R71" s="111"/>
      <c r="S71" s="112"/>
      <c r="T71" s="112"/>
      <c r="U71" s="112"/>
      <c r="V71" s="112"/>
      <c r="W71" s="111"/>
      <c r="X71" s="111"/>
      <c r="Y71" s="111"/>
      <c r="Z71" s="112"/>
      <c r="AA71" s="111"/>
      <c r="AB71" s="111"/>
      <c r="AC71" s="112"/>
      <c r="AD71" s="112">
        <v>0</v>
      </c>
      <c r="AE71" s="144">
        <v>0</v>
      </c>
      <c r="AF71" s="104">
        <v>0</v>
      </c>
      <c r="AG71" s="107">
        <v>0</v>
      </c>
      <c r="AH71" s="178">
        <v>0</v>
      </c>
      <c r="AI71" s="112"/>
      <c r="AJ71" s="112"/>
      <c r="AK71" s="112"/>
    </row>
    <row r="72" spans="2:37" x14ac:dyDescent="0.25">
      <c r="B72" s="110" t="s">
        <v>350</v>
      </c>
      <c r="C72" s="110" t="s">
        <v>361</v>
      </c>
      <c r="D72" s="36">
        <f t="shared" si="31"/>
        <v>0.3</v>
      </c>
      <c r="E72" s="4">
        <v>1</v>
      </c>
      <c r="F72" s="3"/>
      <c r="G72" s="15">
        <f>+IF(EXACT('3AC_Data'!$D$8,1),H72,IF(EXACT('3AC_Data'!$D$8,2),I72,IF(EXACT('3AC_Data'!$D$8,3),J72,IF(EXACT('3AC_Data'!$D$8,4),K72,IF(EXACT('3AC_Data'!$D$8,5),L72,IF(EXACT('3AC_Data'!$D$8,6),M72,IF(EXACT('3AC_Data'!$D$8,7),N72,IF(EXACT('3AC_Data'!$D$8,8),O72,IF(EXACT('3AC_Data'!$D$8,9),P72,IF(EXACT('3AC_Data'!$D$8,10),Q72,IF(EXACT('3AC_Data'!$D$8,11),R72,IF(EXACT('3AC_Data'!$D$8,12),S72,IF(EXACT('3AC_Data'!$D$8,13),T72,IF(EXACT('3AC_Data'!$D$8,14),U72,IF(EXACT('3AC_Data'!$D$8,15),V72,IF(EXACT('3AC_Data'!$D$8,16),W72,IF(EXACT('3AC_Data'!$D$8,17),X72,IF(EXACT('3AC_Data'!$D$8,18),Y72,IF(EXACT('3AC_Data'!$D$8,19),Z72,IF(EXACT('3AC_Data'!$D$8,20),AA72,IF(EXACT('3AC_Data'!$D$8,21),AB72,IF(EXACT('3AC_Data'!$D$8,22),AC72,IF(EXACT('3AC_Data'!$D$8,23),AD72,IF(EXACT('3AC_Data'!$D$8,24),AE72,IF(EXACT('3AC_Data'!$D$8,25),AF72,IF(EXACT('3AC_Data'!$D$8,26),AG72,IF(EXACT('3AC_Data'!$D$8,27),AH72,IF(EXACT('3AC_Data'!$D$8,28),AI72,IF(EXACT('3AC_Data'!$D$8,29),AJ72,IF(EXACT('3AC_Data'!$D$8,30),AK72))))))))))))))))))))))))))))))</f>
        <v>0.3</v>
      </c>
      <c r="H72" s="113">
        <v>0</v>
      </c>
      <c r="I72" s="111">
        <v>0</v>
      </c>
      <c r="J72" s="104">
        <v>0.44500000000000001</v>
      </c>
      <c r="K72" s="110">
        <v>0</v>
      </c>
      <c r="L72" s="110"/>
      <c r="M72" s="110">
        <v>0.3</v>
      </c>
      <c r="N72" s="110">
        <v>0.315</v>
      </c>
      <c r="O72" s="110">
        <v>0</v>
      </c>
      <c r="P72" s="111">
        <v>0</v>
      </c>
      <c r="Q72" s="111">
        <v>0</v>
      </c>
      <c r="R72" s="111">
        <v>0</v>
      </c>
      <c r="S72" s="112">
        <v>0.35</v>
      </c>
      <c r="T72" s="112">
        <v>0.35</v>
      </c>
      <c r="U72" s="112">
        <v>0</v>
      </c>
      <c r="V72" s="112">
        <v>0</v>
      </c>
      <c r="W72" s="111">
        <v>0</v>
      </c>
      <c r="X72" s="111">
        <v>0</v>
      </c>
      <c r="Y72" s="111"/>
      <c r="Z72" s="112">
        <v>0</v>
      </c>
      <c r="AA72" s="111">
        <v>0</v>
      </c>
      <c r="AB72" s="111">
        <v>0</v>
      </c>
      <c r="AC72" s="112">
        <v>0</v>
      </c>
      <c r="AD72" s="112">
        <v>0</v>
      </c>
      <c r="AE72" s="144">
        <v>0.59</v>
      </c>
      <c r="AF72" s="104">
        <v>0.44500000000000001</v>
      </c>
      <c r="AG72" s="107">
        <f>(0.45-AG69)*COS(AG78*PI()/180) + AG69</f>
        <v>0.37766081771559673</v>
      </c>
      <c r="AH72" s="107">
        <f>(0.49-AH69)*COS(AH78*PI()/180) + AH69</f>
        <v>0.37577164466275359</v>
      </c>
      <c r="AI72" s="112">
        <v>0</v>
      </c>
      <c r="AJ72" s="112">
        <v>0</v>
      </c>
      <c r="AK72" s="112">
        <v>0</v>
      </c>
    </row>
    <row r="73" spans="2:37" x14ac:dyDescent="0.25">
      <c r="B73" s="110" t="s">
        <v>351</v>
      </c>
      <c r="C73" s="110" t="s">
        <v>362</v>
      </c>
      <c r="D73" s="36">
        <f t="shared" si="31"/>
        <v>2E-3</v>
      </c>
      <c r="E73" s="4">
        <v>1</v>
      </c>
      <c r="F73" s="3"/>
      <c r="G73" s="15">
        <f>+IF(EXACT('3AC_Data'!$D$8,1),H73,IF(EXACT('3AC_Data'!$D$8,2),I73,IF(EXACT('3AC_Data'!$D$8,3),J73,IF(EXACT('3AC_Data'!$D$8,4),K73,IF(EXACT('3AC_Data'!$D$8,5),L73,IF(EXACT('3AC_Data'!$D$8,6),M73,IF(EXACT('3AC_Data'!$D$8,7),N73,IF(EXACT('3AC_Data'!$D$8,8),O73,IF(EXACT('3AC_Data'!$D$8,9),P73,IF(EXACT('3AC_Data'!$D$8,10),Q73,IF(EXACT('3AC_Data'!$D$8,11),R73,IF(EXACT('3AC_Data'!$D$8,12),S73,IF(EXACT('3AC_Data'!$D$8,13),T73,IF(EXACT('3AC_Data'!$D$8,14),U73,IF(EXACT('3AC_Data'!$D$8,15),V73,IF(EXACT('3AC_Data'!$D$8,16),W73,IF(EXACT('3AC_Data'!$D$8,17),X73,IF(EXACT('3AC_Data'!$D$8,18),Y73,IF(EXACT('3AC_Data'!$D$8,19),Z73,IF(EXACT('3AC_Data'!$D$8,20),AA73,IF(EXACT('3AC_Data'!$D$8,21),AB73,IF(EXACT('3AC_Data'!$D$8,22),AC73,IF(EXACT('3AC_Data'!$D$8,23),AD73,IF(EXACT('3AC_Data'!$D$8,24),AE73,IF(EXACT('3AC_Data'!$D$8,25),AF73,IF(EXACT('3AC_Data'!$D$8,26),AG73,IF(EXACT('3AC_Data'!$D$8,27),AH73,IF(EXACT('3AC_Data'!$D$8,28),AI73,IF(EXACT('3AC_Data'!$D$8,29),AJ73,IF(EXACT('3AC_Data'!$D$8,30),AK73))))))))))))))))))))))))))))))</f>
        <v>2E-3</v>
      </c>
      <c r="H73" s="113">
        <v>0</v>
      </c>
      <c r="I73" s="111">
        <v>0</v>
      </c>
      <c r="J73" s="104">
        <v>0.1</v>
      </c>
      <c r="K73" s="110">
        <v>0</v>
      </c>
      <c r="L73" s="110"/>
      <c r="M73" s="110">
        <f>0.014-0.012</f>
        <v>2E-3</v>
      </c>
      <c r="N73" s="110">
        <v>0</v>
      </c>
      <c r="O73" s="110">
        <v>0</v>
      </c>
      <c r="P73" s="111">
        <v>0</v>
      </c>
      <c r="Q73" s="111">
        <v>0</v>
      </c>
      <c r="R73" s="111">
        <v>0</v>
      </c>
      <c r="S73" s="112">
        <v>3.4000000000000002E-2</v>
      </c>
      <c r="T73" s="112">
        <v>3.4000000000000002E-2</v>
      </c>
      <c r="U73" s="112">
        <v>0</v>
      </c>
      <c r="V73" s="112">
        <v>0</v>
      </c>
      <c r="W73" s="111">
        <v>0</v>
      </c>
      <c r="X73" s="111">
        <v>0</v>
      </c>
      <c r="Y73" s="111"/>
      <c r="Z73" s="112">
        <v>0</v>
      </c>
      <c r="AA73" s="111">
        <v>0</v>
      </c>
      <c r="AB73" s="111">
        <v>0</v>
      </c>
      <c r="AC73" s="112">
        <v>0</v>
      </c>
      <c r="AD73" s="112">
        <v>0</v>
      </c>
      <c r="AE73" s="144">
        <v>0.2</v>
      </c>
      <c r="AF73" s="104">
        <v>0.1</v>
      </c>
      <c r="AG73" s="107">
        <v>0.02</v>
      </c>
      <c r="AH73" s="178">
        <v>0.11</v>
      </c>
      <c r="AI73" s="112">
        <v>0</v>
      </c>
      <c r="AJ73" s="112">
        <v>0</v>
      </c>
      <c r="AK73" s="112">
        <v>0</v>
      </c>
    </row>
    <row r="74" spans="2:37" x14ac:dyDescent="0.25">
      <c r="B74" s="110" t="s">
        <v>387</v>
      </c>
      <c r="C74" s="110" t="s">
        <v>396</v>
      </c>
      <c r="D74" s="36">
        <f t="shared" si="31"/>
        <v>1.0169999999999999</v>
      </c>
      <c r="E74" s="4">
        <v>1</v>
      </c>
      <c r="F74" s="3"/>
      <c r="G74" s="15">
        <f>+IF(EXACT('3AC_Data'!$D$8,1),H74,IF(EXACT('3AC_Data'!$D$8,2),I74,IF(EXACT('3AC_Data'!$D$8,3),J74,IF(EXACT('3AC_Data'!$D$8,4),K74,IF(EXACT('3AC_Data'!$D$8,5),L74,IF(EXACT('3AC_Data'!$D$8,6),M74,IF(EXACT('3AC_Data'!$D$8,7),N74,IF(EXACT('3AC_Data'!$D$8,8),O74,IF(EXACT('3AC_Data'!$D$8,9),P74,IF(EXACT('3AC_Data'!$D$8,10),Q74,IF(EXACT('3AC_Data'!$D$8,11),R74,IF(EXACT('3AC_Data'!$D$8,12),S74,IF(EXACT('3AC_Data'!$D$8,13),T74,IF(EXACT('3AC_Data'!$D$8,14),U74,IF(EXACT('3AC_Data'!$D$8,15),V74,IF(EXACT('3AC_Data'!$D$8,16),W74,IF(EXACT('3AC_Data'!$D$8,17),X74,IF(EXACT('3AC_Data'!$D$8,18),Y74,IF(EXACT('3AC_Data'!$D$8,19),Z74,IF(EXACT('3AC_Data'!$D$8,20),AA74,IF(EXACT('3AC_Data'!$D$8,21),AB74,IF(EXACT('3AC_Data'!$D$8,22),AC74,IF(EXACT('3AC_Data'!$D$8,23),AD74,IF(EXACT('3AC_Data'!$D$8,24),AE74,IF(EXACT('3AC_Data'!$D$8,25),AF74,IF(EXACT('3AC_Data'!$D$8,26),AG74,IF(EXACT('3AC_Data'!$D$8,27),AH74,IF(EXACT('3AC_Data'!$D$8,28),AI74,IF(EXACT('3AC_Data'!$D$8,29),AJ74,IF(EXACT('3AC_Data'!$D$8,30),AK74))))))))))))))))))))))))))))))</f>
        <v>1.0169999999999999</v>
      </c>
      <c r="H74" s="118">
        <f>+K74</f>
        <v>0</v>
      </c>
      <c r="I74" s="111">
        <v>0</v>
      </c>
      <c r="J74" s="104">
        <v>1.64</v>
      </c>
      <c r="K74" s="110">
        <v>0</v>
      </c>
      <c r="L74" s="110"/>
      <c r="M74" s="110">
        <v>1.0169999999999999</v>
      </c>
      <c r="N74" s="110">
        <v>0.87</v>
      </c>
      <c r="O74" s="110">
        <v>0</v>
      </c>
      <c r="P74" s="112">
        <f>+S74</f>
        <v>1.339</v>
      </c>
      <c r="Q74" s="112">
        <f>+T74</f>
        <v>1.339</v>
      </c>
      <c r="R74" s="112">
        <f>+U74</f>
        <v>0</v>
      </c>
      <c r="S74" s="112">
        <v>1.339</v>
      </c>
      <c r="T74" s="112">
        <v>1.339</v>
      </c>
      <c r="U74" s="112">
        <v>0</v>
      </c>
      <c r="V74" s="112">
        <v>0</v>
      </c>
      <c r="W74" s="112">
        <v>0</v>
      </c>
      <c r="X74" s="112">
        <v>0</v>
      </c>
      <c r="Y74" s="112"/>
      <c r="Z74" s="112">
        <v>0</v>
      </c>
      <c r="AA74" s="112">
        <v>0</v>
      </c>
      <c r="AB74" s="112">
        <f>+AE74</f>
        <v>3.45</v>
      </c>
      <c r="AC74" s="112">
        <v>0</v>
      </c>
      <c r="AD74" s="112">
        <v>0</v>
      </c>
      <c r="AE74" s="144">
        <v>3.45</v>
      </c>
      <c r="AF74" s="104">
        <v>1.64</v>
      </c>
      <c r="AG74" s="107">
        <v>1.57</v>
      </c>
      <c r="AH74" s="178">
        <v>2.835</v>
      </c>
      <c r="AI74" s="112">
        <v>0</v>
      </c>
      <c r="AJ74" s="112">
        <v>0</v>
      </c>
      <c r="AK74" s="112">
        <v>0</v>
      </c>
    </row>
    <row r="75" spans="2:37" x14ac:dyDescent="0.25">
      <c r="B75" s="110" t="s">
        <v>388</v>
      </c>
      <c r="C75" s="110" t="s">
        <v>397</v>
      </c>
      <c r="D75" s="36">
        <f t="shared" si="31"/>
        <v>0</v>
      </c>
      <c r="E75" s="4">
        <f t="shared" ref="E75:E80" si="38">+PI()/180</f>
        <v>1.7453292519943295E-2</v>
      </c>
      <c r="F75" s="3" t="s">
        <v>488</v>
      </c>
      <c r="G75" s="15">
        <f>+IF(EXACT('3AC_Data'!$D$8,1),H75,IF(EXACT('3AC_Data'!$D$8,2),I75,IF(EXACT('3AC_Data'!$D$8,3),J75,IF(EXACT('3AC_Data'!$D$8,4),K75,IF(EXACT('3AC_Data'!$D$8,5),L75,IF(EXACT('3AC_Data'!$D$8,6),M75,IF(EXACT('3AC_Data'!$D$8,7),N75,IF(EXACT('3AC_Data'!$D$8,8),O75,IF(EXACT('3AC_Data'!$D$8,9),P75,IF(EXACT('3AC_Data'!$D$8,10),Q75,IF(EXACT('3AC_Data'!$D$8,11),R75,IF(EXACT('3AC_Data'!$D$8,12),S75,IF(EXACT('3AC_Data'!$D$8,13),T75,IF(EXACT('3AC_Data'!$D$8,14),U75,IF(EXACT('3AC_Data'!$D$8,15),V75,IF(EXACT('3AC_Data'!$D$8,16),W75,IF(EXACT('3AC_Data'!$D$8,17),X75,IF(EXACT('3AC_Data'!$D$8,18),Y75,IF(EXACT('3AC_Data'!$D$8,19),Z75,IF(EXACT('3AC_Data'!$D$8,20),AA75,IF(EXACT('3AC_Data'!$D$8,21),AB75,IF(EXACT('3AC_Data'!$D$8,22),AC75,IF(EXACT('3AC_Data'!$D$8,23),AD75,IF(EXACT('3AC_Data'!$D$8,24),AE75,IF(EXACT('3AC_Data'!$D$8,25),AF75,IF(EXACT('3AC_Data'!$D$8,26),AG75,IF(EXACT('3AC_Data'!$D$8,27),AH75,IF(EXACT('3AC_Data'!$D$8,28),AI75,IF(EXACT('3AC_Data'!$D$8,29),AJ75,IF(EXACT('3AC_Data'!$D$8,30),AK75))))))))))))))))))))))))))))))</f>
        <v>0</v>
      </c>
      <c r="H75" s="118">
        <f>+K75*PI()/180</f>
        <v>0</v>
      </c>
      <c r="I75" s="111">
        <v>0</v>
      </c>
      <c r="J75" s="104">
        <v>25</v>
      </c>
      <c r="K75" s="110">
        <v>0</v>
      </c>
      <c r="L75" s="110"/>
      <c r="M75" s="110">
        <v>0</v>
      </c>
      <c r="N75" s="110">
        <v>0</v>
      </c>
      <c r="O75" s="110">
        <v>0</v>
      </c>
      <c r="P75" s="112">
        <f t="shared" ref="P75:Q78" si="39">+S75*PI()/180</f>
        <v>0.22602013813326566</v>
      </c>
      <c r="Q75" s="112">
        <f t="shared" si="39"/>
        <v>0.22602013813326566</v>
      </c>
      <c r="R75" s="112">
        <f>+U75*PI()/180</f>
        <v>0</v>
      </c>
      <c r="S75" s="112">
        <v>12.95</v>
      </c>
      <c r="T75" s="112">
        <v>12.95</v>
      </c>
      <c r="U75" s="112">
        <v>0</v>
      </c>
      <c r="V75" s="112">
        <v>0</v>
      </c>
      <c r="W75" s="112">
        <v>0</v>
      </c>
      <c r="X75" s="112">
        <v>0</v>
      </c>
      <c r="Y75" s="112"/>
      <c r="Z75" s="112">
        <v>0</v>
      </c>
      <c r="AA75" s="112">
        <v>0</v>
      </c>
      <c r="AB75" s="112">
        <f>+AE75*PI()/180</f>
        <v>0</v>
      </c>
      <c r="AC75" s="112">
        <v>0</v>
      </c>
      <c r="AD75" s="112">
        <v>0</v>
      </c>
      <c r="AE75" s="144">
        <v>0</v>
      </c>
      <c r="AF75" s="104">
        <v>25</v>
      </c>
      <c r="AG75" s="107">
        <v>6.65</v>
      </c>
      <c r="AH75" s="178">
        <v>23.5522636728946</v>
      </c>
      <c r="AI75" s="112">
        <v>0</v>
      </c>
      <c r="AJ75" s="112">
        <v>0</v>
      </c>
      <c r="AK75" s="112">
        <v>0</v>
      </c>
    </row>
    <row r="76" spans="2:37" x14ac:dyDescent="0.25">
      <c r="B76" s="134" t="s">
        <v>1562</v>
      </c>
      <c r="C76" s="134" t="s">
        <v>1564</v>
      </c>
      <c r="D76" s="36">
        <f t="shared" si="31"/>
        <v>0</v>
      </c>
      <c r="E76" s="4">
        <f t="shared" si="38"/>
        <v>1.7453292519943295E-2</v>
      </c>
      <c r="F76" s="3" t="s">
        <v>488</v>
      </c>
      <c r="G76" s="15"/>
      <c r="H76" s="118"/>
      <c r="I76" s="111"/>
      <c r="J76" s="104">
        <v>0</v>
      </c>
      <c r="K76" s="110"/>
      <c r="L76" s="110"/>
      <c r="M76" s="110">
        <v>0</v>
      </c>
      <c r="N76" s="110"/>
      <c r="O76" s="110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>
        <v>0</v>
      </c>
      <c r="AE76" s="144">
        <v>0</v>
      </c>
      <c r="AF76" s="104">
        <v>0</v>
      </c>
      <c r="AG76" s="107">
        <v>0</v>
      </c>
      <c r="AH76" s="178">
        <v>0</v>
      </c>
      <c r="AI76" s="112"/>
      <c r="AJ76" s="112"/>
      <c r="AK76" s="112"/>
    </row>
    <row r="77" spans="2:37" x14ac:dyDescent="0.25">
      <c r="B77" s="134" t="s">
        <v>1563</v>
      </c>
      <c r="C77" s="134" t="s">
        <v>1565</v>
      </c>
      <c r="D77" s="36">
        <f t="shared" si="31"/>
        <v>0</v>
      </c>
      <c r="E77" s="4">
        <f t="shared" si="38"/>
        <v>1.7453292519943295E-2</v>
      </c>
      <c r="F77" s="3" t="s">
        <v>488</v>
      </c>
      <c r="G77" s="15"/>
      <c r="H77" s="118"/>
      <c r="I77" s="111"/>
      <c r="J77" s="104">
        <v>0</v>
      </c>
      <c r="K77" s="110"/>
      <c r="L77" s="110"/>
      <c r="M77" s="110">
        <v>0</v>
      </c>
      <c r="N77" s="110"/>
      <c r="O77" s="110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>
        <v>0</v>
      </c>
      <c r="AE77" s="144">
        <v>0</v>
      </c>
      <c r="AF77" s="104">
        <v>0</v>
      </c>
      <c r="AG77" s="107">
        <v>0</v>
      </c>
      <c r="AH77" s="178">
        <v>0</v>
      </c>
      <c r="AI77" s="112"/>
      <c r="AJ77" s="112"/>
      <c r="AK77" s="112"/>
    </row>
    <row r="78" spans="2:37" x14ac:dyDescent="0.25">
      <c r="B78" s="110" t="s">
        <v>389</v>
      </c>
      <c r="C78" s="110" t="s">
        <v>398</v>
      </c>
      <c r="D78" s="36">
        <f t="shared" si="31"/>
        <v>0.69813170079773179</v>
      </c>
      <c r="E78" s="4">
        <f t="shared" si="38"/>
        <v>1.7453292519943295E-2</v>
      </c>
      <c r="F78" s="3" t="s">
        <v>488</v>
      </c>
      <c r="G78" s="15">
        <f>+IF(EXACT('3AC_Data'!$D$8,1),H78,IF(EXACT('3AC_Data'!$D$8,2),I78,IF(EXACT('3AC_Data'!$D$8,3),J78,IF(EXACT('3AC_Data'!$D$8,4),K78,IF(EXACT('3AC_Data'!$D$8,5),L78,IF(EXACT('3AC_Data'!$D$8,6),M78,IF(EXACT('3AC_Data'!$D$8,7),N78,IF(EXACT('3AC_Data'!$D$8,8),O78,IF(EXACT('3AC_Data'!$D$8,9),P78,IF(EXACT('3AC_Data'!$D$8,10),Q78,IF(EXACT('3AC_Data'!$D$8,11),R78,IF(EXACT('3AC_Data'!$D$8,12),S78,IF(EXACT('3AC_Data'!$D$8,13),T78,IF(EXACT('3AC_Data'!$D$8,14),U78,IF(EXACT('3AC_Data'!$D$8,15),V78,IF(EXACT('3AC_Data'!$D$8,16),W78,IF(EXACT('3AC_Data'!$D$8,17),X78,IF(EXACT('3AC_Data'!$D$8,18),Y78,IF(EXACT('3AC_Data'!$D$8,19),Z78,IF(EXACT('3AC_Data'!$D$8,20),AA78,IF(EXACT('3AC_Data'!$D$8,21),AB78,IF(EXACT('3AC_Data'!$D$8,22),AC78,IF(EXACT('3AC_Data'!$D$8,23),AD78,IF(EXACT('3AC_Data'!$D$8,24),AE78,IF(EXACT('3AC_Data'!$D$8,25),AF78,IF(EXACT('3AC_Data'!$D$8,26),AG78,IF(EXACT('3AC_Data'!$D$8,27),AH78,IF(EXACT('3AC_Data'!$D$8,28),AI78,IF(EXACT('3AC_Data'!$D$8,29),AJ78,IF(EXACT('3AC_Data'!$D$8,30),AK78))))))))))))))))))))))))))))))</f>
        <v>40</v>
      </c>
      <c r="H78" s="118">
        <f>+K78*PI()/180</f>
        <v>0</v>
      </c>
      <c r="I78" s="111">
        <v>0</v>
      </c>
      <c r="J78" s="104">
        <v>45</v>
      </c>
      <c r="K78" s="110">
        <v>0</v>
      </c>
      <c r="L78" s="110"/>
      <c r="M78" s="110">
        <v>40</v>
      </c>
      <c r="N78" s="110">
        <v>45</v>
      </c>
      <c r="O78" s="110">
        <v>0</v>
      </c>
      <c r="P78" s="112">
        <f t="shared" si="39"/>
        <v>0.6108652381980153</v>
      </c>
      <c r="Q78" s="112">
        <f t="shared" si="39"/>
        <v>0.6108652381980153</v>
      </c>
      <c r="R78" s="112">
        <f>+U78*PI()/180</f>
        <v>0</v>
      </c>
      <c r="S78" s="112">
        <v>35</v>
      </c>
      <c r="T78" s="112">
        <v>35</v>
      </c>
      <c r="U78" s="112">
        <v>0</v>
      </c>
      <c r="V78" s="112">
        <v>0</v>
      </c>
      <c r="W78" s="112">
        <v>0</v>
      </c>
      <c r="X78" s="112">
        <v>0</v>
      </c>
      <c r="Y78" s="112"/>
      <c r="Z78" s="112">
        <v>0</v>
      </c>
      <c r="AA78" s="112">
        <v>0</v>
      </c>
      <c r="AB78" s="112">
        <f>+AE78*PI()/180</f>
        <v>0.78539816339744828</v>
      </c>
      <c r="AC78" s="112">
        <v>0</v>
      </c>
      <c r="AD78" s="112">
        <v>0</v>
      </c>
      <c r="AE78" s="145">
        <v>45</v>
      </c>
      <c r="AF78" s="104">
        <v>45</v>
      </c>
      <c r="AG78" s="107">
        <v>35</v>
      </c>
      <c r="AH78" s="178">
        <v>45</v>
      </c>
      <c r="AI78" s="112">
        <v>0</v>
      </c>
      <c r="AJ78" s="112">
        <v>0</v>
      </c>
      <c r="AK78" s="112">
        <v>0</v>
      </c>
    </row>
    <row r="79" spans="2:37" x14ac:dyDescent="0.25">
      <c r="B79" s="134" t="s">
        <v>1566</v>
      </c>
      <c r="C79" s="134" t="s">
        <v>1568</v>
      </c>
      <c r="D79" s="36">
        <f t="shared" si="31"/>
        <v>0</v>
      </c>
      <c r="E79" s="4">
        <f t="shared" si="38"/>
        <v>1.7453292519943295E-2</v>
      </c>
      <c r="F79" s="3" t="s">
        <v>488</v>
      </c>
      <c r="G79" s="15"/>
      <c r="H79" s="118"/>
      <c r="I79" s="111"/>
      <c r="J79" s="104">
        <v>0</v>
      </c>
      <c r="K79" s="110"/>
      <c r="L79" s="110"/>
      <c r="M79" s="110">
        <v>0</v>
      </c>
      <c r="N79" s="110"/>
      <c r="O79" s="110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>
        <v>0</v>
      </c>
      <c r="AE79" s="148">
        <v>0</v>
      </c>
      <c r="AF79" s="104">
        <v>0</v>
      </c>
      <c r="AG79" s="112"/>
      <c r="AH79" s="182">
        <v>0</v>
      </c>
      <c r="AI79" s="112"/>
      <c r="AJ79" s="112"/>
      <c r="AK79" s="112"/>
    </row>
    <row r="80" spans="2:37" x14ac:dyDescent="0.25">
      <c r="B80" s="134" t="s">
        <v>1567</v>
      </c>
      <c r="C80" s="134" t="s">
        <v>1569</v>
      </c>
      <c r="D80" s="36">
        <f t="shared" si="31"/>
        <v>0</v>
      </c>
      <c r="E80" s="4">
        <f t="shared" si="38"/>
        <v>1.7453292519943295E-2</v>
      </c>
      <c r="F80" s="3" t="s">
        <v>488</v>
      </c>
      <c r="G80" s="15"/>
      <c r="H80" s="118"/>
      <c r="I80" s="111"/>
      <c r="J80" s="104">
        <v>0</v>
      </c>
      <c r="K80" s="110"/>
      <c r="L80" s="110"/>
      <c r="M80" s="110">
        <v>0</v>
      </c>
      <c r="N80" s="110"/>
      <c r="O80" s="110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>
        <v>0</v>
      </c>
      <c r="AE80" s="148">
        <v>0</v>
      </c>
      <c r="AF80" s="104">
        <v>0</v>
      </c>
      <c r="AG80" s="112"/>
      <c r="AH80" s="182">
        <v>0</v>
      </c>
      <c r="AI80" s="112"/>
      <c r="AJ80" s="112"/>
      <c r="AK80" s="112"/>
    </row>
    <row r="81" spans="2:37" x14ac:dyDescent="0.25">
      <c r="B81" s="92" t="s">
        <v>1487</v>
      </c>
      <c r="C81" s="92" t="s">
        <v>1493</v>
      </c>
      <c r="D81" s="36">
        <f t="shared" si="31"/>
        <v>0</v>
      </c>
      <c r="E81" s="4">
        <v>1</v>
      </c>
      <c r="G81" s="15">
        <f>+IF(EXACT('3AC_Data'!$D$8,1),H81,IF(EXACT('3AC_Data'!$D$8,2),I81,IF(EXACT('3AC_Data'!$D$8,3),J81,IF(EXACT('3AC_Data'!$D$8,4),K81,IF(EXACT('3AC_Data'!$D$8,5),L81,IF(EXACT('3AC_Data'!$D$8,6),M81,IF(EXACT('3AC_Data'!$D$8,7),N81,IF(EXACT('3AC_Data'!$D$8,8),O81,IF(EXACT('3AC_Data'!$D$8,9),P81,IF(EXACT('3AC_Data'!$D$8,10),Q81,IF(EXACT('3AC_Data'!$D$8,11),R81,IF(EXACT('3AC_Data'!$D$8,12),S81,IF(EXACT('3AC_Data'!$D$8,13),T81,IF(EXACT('3AC_Data'!$D$8,14),U81,IF(EXACT('3AC_Data'!$D$8,15),V81,IF(EXACT('3AC_Data'!$D$8,16),W81,IF(EXACT('3AC_Data'!$D$8,17),X81,IF(EXACT('3AC_Data'!$D$8,18),Y81,IF(EXACT('3AC_Data'!$D$8,19),Z81,IF(EXACT('3AC_Data'!$D$8,20),AA81,IF(EXACT('3AC_Data'!$D$8,21),AB81,IF(EXACT('3AC_Data'!$D$8,22),AC81,IF(EXACT('3AC_Data'!$D$8,23),AD81,IF(EXACT('3AC_Data'!$D$8,24),AE81,IF(EXACT('3AC_Data'!$D$8,25),AF81,IF(EXACT('3AC_Data'!$D$8,26),AG81,IF(EXACT('3AC_Data'!$D$8,27),AH81,IF(EXACT('3AC_Data'!$D$8,28),AI81,IF(EXACT('3AC_Data'!$D$8,29),AJ81,IF(EXACT('3AC_Data'!$D$8,30),AK81))))))))))))))))))))))))))))))</f>
        <v>0</v>
      </c>
      <c r="H81" s="118">
        <f t="shared" ref="H81:H90" si="40">+K81*PI()/180</f>
        <v>0</v>
      </c>
      <c r="I81" s="111">
        <v>0</v>
      </c>
      <c r="J81" s="104">
        <v>45</v>
      </c>
      <c r="K81" s="110">
        <v>0</v>
      </c>
      <c r="L81" s="110"/>
      <c r="M81" s="110">
        <v>0</v>
      </c>
      <c r="N81" s="110">
        <v>45</v>
      </c>
      <c r="O81" s="110">
        <v>0</v>
      </c>
      <c r="P81" s="112">
        <f t="shared" ref="P81:P90" si="41">+S81*PI()/180</f>
        <v>0.6108652381980153</v>
      </c>
      <c r="Q81" s="112">
        <f t="shared" ref="Q81:Q90" si="42">+T81*PI()/180</f>
        <v>0.6108652381980153</v>
      </c>
      <c r="R81" s="112">
        <f t="shared" ref="R81:R90" si="43">+U81*PI()/180</f>
        <v>0</v>
      </c>
      <c r="S81" s="112">
        <v>35</v>
      </c>
      <c r="T81" s="112">
        <v>35</v>
      </c>
      <c r="U81" s="112">
        <v>0</v>
      </c>
      <c r="V81" s="112">
        <v>0</v>
      </c>
      <c r="W81" s="112">
        <v>0</v>
      </c>
      <c r="X81" s="112">
        <v>0</v>
      </c>
      <c r="Y81" s="112"/>
      <c r="Z81" s="112">
        <v>0</v>
      </c>
      <c r="AA81" s="112">
        <v>0</v>
      </c>
      <c r="AB81" s="112">
        <f t="shared" ref="AB81:AB90" si="44">+AE81*PI()/180</f>
        <v>5.2359877559829881E-4</v>
      </c>
      <c r="AC81" s="112">
        <v>0</v>
      </c>
      <c r="AD81" s="112">
        <v>0</v>
      </c>
      <c r="AE81" s="144">
        <v>0.03</v>
      </c>
      <c r="AF81" s="104">
        <v>0</v>
      </c>
      <c r="AG81" s="112">
        <v>0</v>
      </c>
      <c r="AH81" s="182">
        <v>0</v>
      </c>
      <c r="AI81" s="112">
        <v>0</v>
      </c>
      <c r="AJ81" s="112">
        <v>0</v>
      </c>
      <c r="AK81" s="112">
        <v>0</v>
      </c>
    </row>
    <row r="82" spans="2:37" x14ac:dyDescent="0.25">
      <c r="B82" s="133" t="s">
        <v>1572</v>
      </c>
      <c r="C82" s="133" t="s">
        <v>1570</v>
      </c>
      <c r="D82" s="36">
        <f t="shared" si="31"/>
        <v>0</v>
      </c>
      <c r="E82" s="4">
        <v>1</v>
      </c>
      <c r="F82" s="3"/>
      <c r="G82" s="15"/>
      <c r="H82" s="118"/>
      <c r="I82" s="111"/>
      <c r="J82" s="104">
        <v>0</v>
      </c>
      <c r="K82" s="110"/>
      <c r="L82" s="110"/>
      <c r="M82" s="110">
        <v>0</v>
      </c>
      <c r="N82" s="110"/>
      <c r="O82" s="110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>
        <v>0</v>
      </c>
      <c r="AE82" s="144">
        <v>0</v>
      </c>
      <c r="AF82" s="104">
        <v>0</v>
      </c>
      <c r="AG82" s="112"/>
      <c r="AH82" s="182">
        <v>0</v>
      </c>
      <c r="AI82" s="112"/>
      <c r="AJ82" s="112"/>
      <c r="AK82" s="112"/>
    </row>
    <row r="83" spans="2:37" x14ac:dyDescent="0.25">
      <c r="B83" s="133" t="s">
        <v>1573</v>
      </c>
      <c r="C83" s="133" t="s">
        <v>1571</v>
      </c>
      <c r="D83" s="36">
        <f t="shared" si="31"/>
        <v>0</v>
      </c>
      <c r="E83" s="4">
        <v>1</v>
      </c>
      <c r="F83" s="3"/>
      <c r="G83" s="15"/>
      <c r="H83" s="118"/>
      <c r="I83" s="111"/>
      <c r="J83" s="104">
        <v>0</v>
      </c>
      <c r="K83" s="110"/>
      <c r="L83" s="110"/>
      <c r="M83" s="110">
        <v>0</v>
      </c>
      <c r="N83" s="110"/>
      <c r="O83" s="110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>
        <v>0</v>
      </c>
      <c r="AE83" s="144">
        <v>0</v>
      </c>
      <c r="AF83" s="104">
        <v>0</v>
      </c>
      <c r="AG83" s="112"/>
      <c r="AH83" s="182">
        <v>0</v>
      </c>
      <c r="AI83" s="112"/>
      <c r="AJ83" s="112"/>
      <c r="AK83" s="112"/>
    </row>
    <row r="84" spans="2:37" x14ac:dyDescent="0.25">
      <c r="B84" s="92" t="s">
        <v>1488</v>
      </c>
      <c r="C84" s="92" t="s">
        <v>1494</v>
      </c>
      <c r="D84" s="36">
        <f t="shared" si="31"/>
        <v>0</v>
      </c>
      <c r="E84" s="4">
        <v>1</v>
      </c>
      <c r="F84" s="3"/>
      <c r="G84" s="15">
        <f>+IF(EXACT('3AC_Data'!$D$8,1),H84,IF(EXACT('3AC_Data'!$D$8,2),I84,IF(EXACT('3AC_Data'!$D$8,3),J84,IF(EXACT('3AC_Data'!$D$8,4),K84,IF(EXACT('3AC_Data'!$D$8,5),L84,IF(EXACT('3AC_Data'!$D$8,6),M84,IF(EXACT('3AC_Data'!$D$8,7),N84,IF(EXACT('3AC_Data'!$D$8,8),O84,IF(EXACT('3AC_Data'!$D$8,9),P84,IF(EXACT('3AC_Data'!$D$8,10),Q84,IF(EXACT('3AC_Data'!$D$8,11),R84,IF(EXACT('3AC_Data'!$D$8,12),S84,IF(EXACT('3AC_Data'!$D$8,13),T84,IF(EXACT('3AC_Data'!$D$8,14),U84,IF(EXACT('3AC_Data'!$D$8,15),V84,IF(EXACT('3AC_Data'!$D$8,16),W84,IF(EXACT('3AC_Data'!$D$8,17),X84,IF(EXACT('3AC_Data'!$D$8,18),Y84,IF(EXACT('3AC_Data'!$D$8,19),Z84,IF(EXACT('3AC_Data'!$D$8,20),AA84,IF(EXACT('3AC_Data'!$D$8,21),AB84,IF(EXACT('3AC_Data'!$D$8,22),AC84,IF(EXACT('3AC_Data'!$D$8,23),AD84,IF(EXACT('3AC_Data'!$D$8,24),AE84,IF(EXACT('3AC_Data'!$D$8,25),AF84,IF(EXACT('3AC_Data'!$D$8,26),AG84,IF(EXACT('3AC_Data'!$D$8,27),AH84,IF(EXACT('3AC_Data'!$D$8,28),AI84,IF(EXACT('3AC_Data'!$D$8,29),AJ84,IF(EXACT('3AC_Data'!$D$8,30),AK84))))))))))))))))))))))))))))))</f>
        <v>0</v>
      </c>
      <c r="H84" s="118">
        <f t="shared" si="40"/>
        <v>0</v>
      </c>
      <c r="I84" s="111">
        <v>0</v>
      </c>
      <c r="J84" s="104">
        <v>45</v>
      </c>
      <c r="K84" s="110">
        <v>0</v>
      </c>
      <c r="L84" s="110"/>
      <c r="M84" s="110">
        <v>0</v>
      </c>
      <c r="N84" s="110">
        <v>45</v>
      </c>
      <c r="O84" s="110">
        <v>0</v>
      </c>
      <c r="P84" s="112">
        <f t="shared" si="41"/>
        <v>0.6108652381980153</v>
      </c>
      <c r="Q84" s="112">
        <f t="shared" si="42"/>
        <v>0.6108652381980153</v>
      </c>
      <c r="R84" s="112">
        <f t="shared" si="43"/>
        <v>0</v>
      </c>
      <c r="S84" s="112">
        <v>35</v>
      </c>
      <c r="T84" s="112">
        <v>35</v>
      </c>
      <c r="U84" s="112">
        <v>0</v>
      </c>
      <c r="V84" s="112">
        <v>0</v>
      </c>
      <c r="W84" s="112">
        <v>0</v>
      </c>
      <c r="X84" s="112">
        <v>0</v>
      </c>
      <c r="Y84" s="112"/>
      <c r="Z84" s="112">
        <v>0</v>
      </c>
      <c r="AA84" s="112">
        <v>0</v>
      </c>
      <c r="AB84" s="112">
        <f t="shared" si="44"/>
        <v>1.0297442586766544E-2</v>
      </c>
      <c r="AC84" s="112">
        <v>0</v>
      </c>
      <c r="AD84" s="112">
        <v>0</v>
      </c>
      <c r="AE84" s="144">
        <v>0.59</v>
      </c>
      <c r="AF84" s="104">
        <v>0</v>
      </c>
      <c r="AG84" s="112">
        <v>0</v>
      </c>
      <c r="AH84" s="182">
        <v>0</v>
      </c>
      <c r="AI84" s="112">
        <v>0</v>
      </c>
      <c r="AJ84" s="112">
        <v>0</v>
      </c>
      <c r="AK84" s="112">
        <v>0</v>
      </c>
    </row>
    <row r="85" spans="2:37" x14ac:dyDescent="0.25">
      <c r="B85" s="92" t="s">
        <v>1489</v>
      </c>
      <c r="C85" s="92" t="s">
        <v>1495</v>
      </c>
      <c r="D85" s="36">
        <f t="shared" si="31"/>
        <v>0</v>
      </c>
      <c r="E85" s="4">
        <v>1</v>
      </c>
      <c r="F85" s="3"/>
      <c r="G85" s="15">
        <f>+IF(EXACT('3AC_Data'!$D$8,1),H85,IF(EXACT('3AC_Data'!$D$8,2),I85,IF(EXACT('3AC_Data'!$D$8,3),J85,IF(EXACT('3AC_Data'!$D$8,4),K85,IF(EXACT('3AC_Data'!$D$8,5),L85,IF(EXACT('3AC_Data'!$D$8,6),M85,IF(EXACT('3AC_Data'!$D$8,7),N85,IF(EXACT('3AC_Data'!$D$8,8),O85,IF(EXACT('3AC_Data'!$D$8,9),P85,IF(EXACT('3AC_Data'!$D$8,10),Q85,IF(EXACT('3AC_Data'!$D$8,11),R85,IF(EXACT('3AC_Data'!$D$8,12),S85,IF(EXACT('3AC_Data'!$D$8,13),T85,IF(EXACT('3AC_Data'!$D$8,14),U85,IF(EXACT('3AC_Data'!$D$8,15),V85,IF(EXACT('3AC_Data'!$D$8,16),W85,IF(EXACT('3AC_Data'!$D$8,17),X85,IF(EXACT('3AC_Data'!$D$8,18),Y85,IF(EXACT('3AC_Data'!$D$8,19),Z85,IF(EXACT('3AC_Data'!$D$8,20),AA85,IF(EXACT('3AC_Data'!$D$8,21),AB85,IF(EXACT('3AC_Data'!$D$8,22),AC85,IF(EXACT('3AC_Data'!$D$8,23),AD85,IF(EXACT('3AC_Data'!$D$8,24),AE85,IF(EXACT('3AC_Data'!$D$8,25),AF85,IF(EXACT('3AC_Data'!$D$8,26),AG85,IF(EXACT('3AC_Data'!$D$8,27),AH85,IF(EXACT('3AC_Data'!$D$8,28),AI85,IF(EXACT('3AC_Data'!$D$8,29),AJ85,IF(EXACT('3AC_Data'!$D$8,30),AK85))))))))))))))))))))))))))))))</f>
        <v>0</v>
      </c>
      <c r="H85" s="118">
        <f t="shared" si="40"/>
        <v>0</v>
      </c>
      <c r="I85" s="111">
        <v>0</v>
      </c>
      <c r="J85" s="104">
        <v>45</v>
      </c>
      <c r="K85" s="110">
        <v>0</v>
      </c>
      <c r="L85" s="110"/>
      <c r="M85" s="110">
        <v>0</v>
      </c>
      <c r="N85" s="110">
        <v>45</v>
      </c>
      <c r="O85" s="110">
        <v>0</v>
      </c>
      <c r="P85" s="112">
        <f t="shared" si="41"/>
        <v>0.6108652381980153</v>
      </c>
      <c r="Q85" s="112">
        <f t="shared" si="42"/>
        <v>0.6108652381980153</v>
      </c>
      <c r="R85" s="112">
        <f t="shared" si="43"/>
        <v>0</v>
      </c>
      <c r="S85" s="112">
        <v>35</v>
      </c>
      <c r="T85" s="112">
        <v>35</v>
      </c>
      <c r="U85" s="112">
        <v>0</v>
      </c>
      <c r="V85" s="112">
        <v>0</v>
      </c>
      <c r="W85" s="112">
        <v>0</v>
      </c>
      <c r="X85" s="112">
        <v>0</v>
      </c>
      <c r="Y85" s="112"/>
      <c r="Z85" s="112">
        <v>0</v>
      </c>
      <c r="AA85" s="112">
        <v>0</v>
      </c>
      <c r="AB85" s="112">
        <f t="shared" si="44"/>
        <v>3.4906585039886592E-3</v>
      </c>
      <c r="AC85" s="112">
        <v>0</v>
      </c>
      <c r="AD85" s="112">
        <v>0</v>
      </c>
      <c r="AE85" s="144">
        <v>0.2</v>
      </c>
      <c r="AF85" s="104">
        <v>0</v>
      </c>
      <c r="AG85" s="112">
        <v>0</v>
      </c>
      <c r="AH85" s="182">
        <v>0</v>
      </c>
      <c r="AI85" s="112">
        <v>0</v>
      </c>
      <c r="AJ85" s="112">
        <v>0</v>
      </c>
      <c r="AK85" s="112">
        <v>0</v>
      </c>
    </row>
    <row r="86" spans="2:37" x14ac:dyDescent="0.25">
      <c r="B86" s="92" t="s">
        <v>1490</v>
      </c>
      <c r="C86" s="92" t="s">
        <v>1496</v>
      </c>
      <c r="D86" s="36">
        <f t="shared" si="31"/>
        <v>0</v>
      </c>
      <c r="E86" s="4">
        <v>1</v>
      </c>
      <c r="F86" s="3"/>
      <c r="G86" s="15">
        <f>+IF(EXACT('3AC_Data'!$D$8,1),H86,IF(EXACT('3AC_Data'!$D$8,2),I86,IF(EXACT('3AC_Data'!$D$8,3),J86,IF(EXACT('3AC_Data'!$D$8,4),K86,IF(EXACT('3AC_Data'!$D$8,5),L86,IF(EXACT('3AC_Data'!$D$8,6),M86,IF(EXACT('3AC_Data'!$D$8,7),N86,IF(EXACT('3AC_Data'!$D$8,8),O86,IF(EXACT('3AC_Data'!$D$8,9),P86,IF(EXACT('3AC_Data'!$D$8,10),Q86,IF(EXACT('3AC_Data'!$D$8,11),R86,IF(EXACT('3AC_Data'!$D$8,12),S86,IF(EXACT('3AC_Data'!$D$8,13),T86,IF(EXACT('3AC_Data'!$D$8,14),U86,IF(EXACT('3AC_Data'!$D$8,15),V86,IF(EXACT('3AC_Data'!$D$8,16),W86,IF(EXACT('3AC_Data'!$D$8,17),X86,IF(EXACT('3AC_Data'!$D$8,18),Y86,IF(EXACT('3AC_Data'!$D$8,19),Z86,IF(EXACT('3AC_Data'!$D$8,20),AA86,IF(EXACT('3AC_Data'!$D$8,21),AB86,IF(EXACT('3AC_Data'!$D$8,22),AC86,IF(EXACT('3AC_Data'!$D$8,23),AD86,IF(EXACT('3AC_Data'!$D$8,24),AE86,IF(EXACT('3AC_Data'!$D$8,25),AF86,IF(EXACT('3AC_Data'!$D$8,26),AG86,IF(EXACT('3AC_Data'!$D$8,27),AH86,IF(EXACT('3AC_Data'!$D$8,28),AI86,IF(EXACT('3AC_Data'!$D$8,29),AJ86,IF(EXACT('3AC_Data'!$D$8,30),AK86))))))))))))))))))))))))))))))</f>
        <v>0</v>
      </c>
      <c r="H86" s="118">
        <f t="shared" si="40"/>
        <v>0</v>
      </c>
      <c r="I86" s="111">
        <v>0</v>
      </c>
      <c r="J86" s="104">
        <v>45</v>
      </c>
      <c r="K86" s="110">
        <v>0</v>
      </c>
      <c r="L86" s="110"/>
      <c r="M86" s="110">
        <v>0</v>
      </c>
      <c r="N86" s="110">
        <v>45</v>
      </c>
      <c r="O86" s="110">
        <v>0</v>
      </c>
      <c r="P86" s="112">
        <f t="shared" si="41"/>
        <v>0.6108652381980153</v>
      </c>
      <c r="Q86" s="112">
        <f t="shared" si="42"/>
        <v>0.6108652381980153</v>
      </c>
      <c r="R86" s="112">
        <f t="shared" si="43"/>
        <v>0</v>
      </c>
      <c r="S86" s="112">
        <v>35</v>
      </c>
      <c r="T86" s="112">
        <v>35</v>
      </c>
      <c r="U86" s="112">
        <v>0</v>
      </c>
      <c r="V86" s="112">
        <v>0</v>
      </c>
      <c r="W86" s="112">
        <v>0</v>
      </c>
      <c r="X86" s="112">
        <v>0</v>
      </c>
      <c r="Y86" s="112"/>
      <c r="Z86" s="112">
        <v>0</v>
      </c>
      <c r="AA86" s="112">
        <v>0</v>
      </c>
      <c r="AB86" s="112">
        <f t="shared" si="44"/>
        <v>6.021385919380437E-2</v>
      </c>
      <c r="AC86" s="112">
        <v>0</v>
      </c>
      <c r="AD86" s="112">
        <v>0</v>
      </c>
      <c r="AE86" s="144">
        <v>3.45</v>
      </c>
      <c r="AF86" s="104">
        <v>0</v>
      </c>
      <c r="AG86" s="112">
        <v>0</v>
      </c>
      <c r="AH86" s="182">
        <v>0</v>
      </c>
      <c r="AI86" s="112">
        <v>0</v>
      </c>
      <c r="AJ86" s="112">
        <v>0</v>
      </c>
      <c r="AK86" s="112">
        <v>0</v>
      </c>
    </row>
    <row r="87" spans="2:37" x14ac:dyDescent="0.25">
      <c r="B87" s="92" t="s">
        <v>1491</v>
      </c>
      <c r="C87" s="92" t="s">
        <v>1497</v>
      </c>
      <c r="D87" s="36">
        <f t="shared" si="31"/>
        <v>0</v>
      </c>
      <c r="E87" s="4">
        <f t="shared" ref="E87:E92" si="45">+PI()/180</f>
        <v>1.7453292519943295E-2</v>
      </c>
      <c r="F87" s="3" t="s">
        <v>488</v>
      </c>
      <c r="G87" s="15">
        <f>+IF(EXACT('3AC_Data'!$D$8,1),H87,IF(EXACT('3AC_Data'!$D$8,2),I87,IF(EXACT('3AC_Data'!$D$8,3),J87,IF(EXACT('3AC_Data'!$D$8,4),K87,IF(EXACT('3AC_Data'!$D$8,5),L87,IF(EXACT('3AC_Data'!$D$8,6),M87,IF(EXACT('3AC_Data'!$D$8,7),N87,IF(EXACT('3AC_Data'!$D$8,8),O87,IF(EXACT('3AC_Data'!$D$8,9),P87,IF(EXACT('3AC_Data'!$D$8,10),Q87,IF(EXACT('3AC_Data'!$D$8,11),R87,IF(EXACT('3AC_Data'!$D$8,12),S87,IF(EXACT('3AC_Data'!$D$8,13),T87,IF(EXACT('3AC_Data'!$D$8,14),U87,IF(EXACT('3AC_Data'!$D$8,15),V87,IF(EXACT('3AC_Data'!$D$8,16),W87,IF(EXACT('3AC_Data'!$D$8,17),X87,IF(EXACT('3AC_Data'!$D$8,18),Y87,IF(EXACT('3AC_Data'!$D$8,19),Z87,IF(EXACT('3AC_Data'!$D$8,20),AA87,IF(EXACT('3AC_Data'!$D$8,21),AB87,IF(EXACT('3AC_Data'!$D$8,22),AC87,IF(EXACT('3AC_Data'!$D$8,23),AD87,IF(EXACT('3AC_Data'!$D$8,24),AE87,IF(EXACT('3AC_Data'!$D$8,25),AF87,IF(EXACT('3AC_Data'!$D$8,26),AG87,IF(EXACT('3AC_Data'!$D$8,27),AH87,IF(EXACT('3AC_Data'!$D$8,28),AI87,IF(EXACT('3AC_Data'!$D$8,29),AJ87,IF(EXACT('3AC_Data'!$D$8,30),AK87))))))))))))))))))))))))))))))</f>
        <v>0</v>
      </c>
      <c r="H87" s="118">
        <f t="shared" si="40"/>
        <v>0</v>
      </c>
      <c r="I87" s="111">
        <v>0</v>
      </c>
      <c r="J87" s="104">
        <v>45</v>
      </c>
      <c r="K87" s="110">
        <v>0</v>
      </c>
      <c r="L87" s="110"/>
      <c r="M87" s="110">
        <v>0</v>
      </c>
      <c r="N87" s="110">
        <v>45</v>
      </c>
      <c r="O87" s="110">
        <v>0</v>
      </c>
      <c r="P87" s="112">
        <f t="shared" si="41"/>
        <v>0.6108652381980153</v>
      </c>
      <c r="Q87" s="112">
        <f t="shared" si="42"/>
        <v>0.6108652381980153</v>
      </c>
      <c r="R87" s="112">
        <f t="shared" si="43"/>
        <v>0</v>
      </c>
      <c r="S87" s="112">
        <v>35</v>
      </c>
      <c r="T87" s="112">
        <v>35</v>
      </c>
      <c r="U87" s="112">
        <v>0</v>
      </c>
      <c r="V87" s="112">
        <v>0</v>
      </c>
      <c r="W87" s="112">
        <v>0</v>
      </c>
      <c r="X87" s="112">
        <v>0</v>
      </c>
      <c r="Y87" s="112"/>
      <c r="Z87" s="112">
        <v>0</v>
      </c>
      <c r="AA87" s="112">
        <v>0</v>
      </c>
      <c r="AB87" s="112">
        <f t="shared" si="44"/>
        <v>0</v>
      </c>
      <c r="AC87" s="112">
        <v>0</v>
      </c>
      <c r="AD87" s="112">
        <v>0</v>
      </c>
      <c r="AE87" s="144">
        <v>0</v>
      </c>
      <c r="AF87" s="104">
        <v>0</v>
      </c>
      <c r="AG87" s="112">
        <v>0</v>
      </c>
      <c r="AH87" s="182">
        <v>0</v>
      </c>
      <c r="AI87" s="112">
        <v>0</v>
      </c>
      <c r="AJ87" s="112">
        <v>0</v>
      </c>
      <c r="AK87" s="112">
        <v>0</v>
      </c>
    </row>
    <row r="88" spans="2:37" x14ac:dyDescent="0.25">
      <c r="B88" s="133" t="s">
        <v>1574</v>
      </c>
      <c r="C88" s="133" t="s">
        <v>1576</v>
      </c>
      <c r="D88" s="36">
        <f t="shared" si="31"/>
        <v>0</v>
      </c>
      <c r="E88" s="4">
        <f t="shared" si="45"/>
        <v>1.7453292519943295E-2</v>
      </c>
      <c r="F88" s="3" t="s">
        <v>488</v>
      </c>
      <c r="G88" s="15"/>
      <c r="H88" s="118"/>
      <c r="I88" s="111"/>
      <c r="J88" s="104">
        <v>0</v>
      </c>
      <c r="K88" s="110"/>
      <c r="L88" s="110"/>
      <c r="M88" s="110">
        <v>0</v>
      </c>
      <c r="N88" s="110"/>
      <c r="O88" s="110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44">
        <v>0</v>
      </c>
      <c r="AF88" s="104">
        <v>0</v>
      </c>
      <c r="AG88" s="112"/>
      <c r="AH88" s="182">
        <v>0</v>
      </c>
      <c r="AI88" s="112"/>
      <c r="AJ88" s="112"/>
      <c r="AK88" s="112"/>
    </row>
    <row r="89" spans="2:37" x14ac:dyDescent="0.25">
      <c r="B89" s="133" t="s">
        <v>1575</v>
      </c>
      <c r="C89" s="133" t="s">
        <v>1577</v>
      </c>
      <c r="D89" s="36">
        <f t="shared" si="31"/>
        <v>0</v>
      </c>
      <c r="E89" s="4">
        <f t="shared" si="45"/>
        <v>1.7453292519943295E-2</v>
      </c>
      <c r="F89" s="3" t="s">
        <v>488</v>
      </c>
      <c r="G89" s="15"/>
      <c r="H89" s="118"/>
      <c r="I89" s="111"/>
      <c r="J89" s="104">
        <v>0</v>
      </c>
      <c r="K89" s="110"/>
      <c r="L89" s="110"/>
      <c r="M89" s="110">
        <v>0</v>
      </c>
      <c r="N89" s="110"/>
      <c r="O89" s="110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44">
        <v>0</v>
      </c>
      <c r="AF89" s="104">
        <v>0</v>
      </c>
      <c r="AG89" s="112"/>
      <c r="AH89" s="182">
        <v>0</v>
      </c>
      <c r="AI89" s="112"/>
      <c r="AJ89" s="112"/>
      <c r="AK89" s="112"/>
    </row>
    <row r="90" spans="2:37" x14ac:dyDescent="0.25">
      <c r="B90" s="92" t="s">
        <v>1492</v>
      </c>
      <c r="C90" s="92" t="s">
        <v>1498</v>
      </c>
      <c r="D90" s="36">
        <f t="shared" si="31"/>
        <v>0</v>
      </c>
      <c r="E90" s="4">
        <f t="shared" si="45"/>
        <v>1.7453292519943295E-2</v>
      </c>
      <c r="F90" s="3" t="s">
        <v>488</v>
      </c>
      <c r="G90" s="15">
        <f>+IF(EXACT('3AC_Data'!$D$8,1),H90,IF(EXACT('3AC_Data'!$D$8,2),I90,IF(EXACT('3AC_Data'!$D$8,3),J90,IF(EXACT('3AC_Data'!$D$8,4),K90,IF(EXACT('3AC_Data'!$D$8,5),L90,IF(EXACT('3AC_Data'!$D$8,6),M90,IF(EXACT('3AC_Data'!$D$8,7),N90,IF(EXACT('3AC_Data'!$D$8,8),O90,IF(EXACT('3AC_Data'!$D$8,9),P90,IF(EXACT('3AC_Data'!$D$8,10),Q90,IF(EXACT('3AC_Data'!$D$8,11),R90,IF(EXACT('3AC_Data'!$D$8,12),S90,IF(EXACT('3AC_Data'!$D$8,13),T90,IF(EXACT('3AC_Data'!$D$8,14),U90,IF(EXACT('3AC_Data'!$D$8,15),V90,IF(EXACT('3AC_Data'!$D$8,16),W90,IF(EXACT('3AC_Data'!$D$8,17),X90,IF(EXACT('3AC_Data'!$D$8,18),Y90,IF(EXACT('3AC_Data'!$D$8,19),Z90,IF(EXACT('3AC_Data'!$D$8,20),AA90,IF(EXACT('3AC_Data'!$D$8,21),AB90,IF(EXACT('3AC_Data'!$D$8,22),AC90,IF(EXACT('3AC_Data'!$D$8,23),AD90,IF(EXACT('3AC_Data'!$D$8,24),AE90,IF(EXACT('3AC_Data'!$D$8,25),AF90,IF(EXACT('3AC_Data'!$D$8,26),AG90,IF(EXACT('3AC_Data'!$D$8,27),AH90,IF(EXACT('3AC_Data'!$D$8,28),AI90,IF(EXACT('3AC_Data'!$D$8,29),AJ90,IF(EXACT('3AC_Data'!$D$8,30),AK90))))))))))))))))))))))))))))))</f>
        <v>0</v>
      </c>
      <c r="H90" s="118">
        <f t="shared" si="40"/>
        <v>0</v>
      </c>
      <c r="I90" s="111">
        <v>0</v>
      </c>
      <c r="J90" s="104">
        <v>45</v>
      </c>
      <c r="K90" s="110">
        <v>0</v>
      </c>
      <c r="L90" s="110"/>
      <c r="M90" s="110">
        <v>0</v>
      </c>
      <c r="N90" s="110">
        <v>45</v>
      </c>
      <c r="O90" s="110">
        <v>0</v>
      </c>
      <c r="P90" s="112">
        <f t="shared" si="41"/>
        <v>0.6108652381980153</v>
      </c>
      <c r="Q90" s="112">
        <f t="shared" si="42"/>
        <v>0.6108652381980153</v>
      </c>
      <c r="R90" s="112">
        <f t="shared" si="43"/>
        <v>0</v>
      </c>
      <c r="S90" s="112">
        <v>35</v>
      </c>
      <c r="T90" s="112">
        <v>35</v>
      </c>
      <c r="U90" s="112">
        <v>0</v>
      </c>
      <c r="V90" s="112">
        <v>0</v>
      </c>
      <c r="W90" s="112">
        <v>0</v>
      </c>
      <c r="X90" s="112">
        <v>0</v>
      </c>
      <c r="Y90" s="112"/>
      <c r="Z90" s="112">
        <v>0</v>
      </c>
      <c r="AA90" s="112">
        <v>0</v>
      </c>
      <c r="AB90" s="112">
        <f t="shared" si="44"/>
        <v>-0.78539816339744828</v>
      </c>
      <c r="AC90" s="112">
        <v>0</v>
      </c>
      <c r="AD90" s="112">
        <v>0</v>
      </c>
      <c r="AE90" s="145">
        <v>-45</v>
      </c>
      <c r="AF90" s="104">
        <v>0</v>
      </c>
      <c r="AG90" s="112">
        <v>0</v>
      </c>
      <c r="AH90" s="182">
        <v>0</v>
      </c>
      <c r="AI90" s="112">
        <v>0</v>
      </c>
      <c r="AJ90" s="112">
        <v>0</v>
      </c>
      <c r="AK90" s="112">
        <v>0</v>
      </c>
    </row>
    <row r="91" spans="2:37" x14ac:dyDescent="0.25">
      <c r="B91" s="133" t="s">
        <v>1578</v>
      </c>
      <c r="C91" s="133" t="s">
        <v>1580</v>
      </c>
      <c r="D91" s="36">
        <f t="shared" si="31"/>
        <v>0</v>
      </c>
      <c r="E91" s="4">
        <f t="shared" si="45"/>
        <v>1.7453292519943295E-2</v>
      </c>
      <c r="F91" s="3" t="s">
        <v>488</v>
      </c>
      <c r="G91" s="15"/>
      <c r="H91" s="118"/>
      <c r="I91" s="111"/>
      <c r="J91" s="104">
        <v>0</v>
      </c>
      <c r="K91" s="110"/>
      <c r="L91" s="110"/>
      <c r="M91" s="110">
        <v>0</v>
      </c>
      <c r="N91" s="110"/>
      <c r="O91" s="110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48">
        <v>0</v>
      </c>
      <c r="AF91" s="104">
        <v>0</v>
      </c>
      <c r="AG91" s="112"/>
      <c r="AH91" s="182">
        <v>0</v>
      </c>
      <c r="AI91" s="112"/>
      <c r="AJ91" s="112"/>
      <c r="AK91" s="112"/>
    </row>
    <row r="92" spans="2:37" x14ac:dyDescent="0.25">
      <c r="B92" s="133" t="s">
        <v>1579</v>
      </c>
      <c r="C92" s="133" t="s">
        <v>1581</v>
      </c>
      <c r="D92" s="36">
        <f t="shared" si="31"/>
        <v>0</v>
      </c>
      <c r="E92" s="4">
        <f t="shared" si="45"/>
        <v>1.7453292519943295E-2</v>
      </c>
      <c r="F92" s="3" t="s">
        <v>488</v>
      </c>
      <c r="G92" s="15"/>
      <c r="H92" s="118"/>
      <c r="I92" s="111"/>
      <c r="J92" s="104">
        <v>0</v>
      </c>
      <c r="K92" s="110"/>
      <c r="L92" s="110"/>
      <c r="M92" s="110">
        <v>0</v>
      </c>
      <c r="N92" s="110"/>
      <c r="O92" s="110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48">
        <v>0</v>
      </c>
      <c r="AF92" s="104">
        <v>0</v>
      </c>
      <c r="AG92" s="112"/>
      <c r="AH92" s="182">
        <v>0</v>
      </c>
      <c r="AI92" s="112"/>
      <c r="AJ92" s="112"/>
      <c r="AK92" s="112"/>
    </row>
    <row r="93" spans="2:37" x14ac:dyDescent="0.25">
      <c r="B93" s="110" t="s">
        <v>399</v>
      </c>
      <c r="C93" s="110" t="s">
        <v>404</v>
      </c>
      <c r="D93" s="36">
        <f t="shared" si="31"/>
        <v>0</v>
      </c>
      <c r="E93" s="4">
        <v>1</v>
      </c>
      <c r="F93" s="3"/>
      <c r="G93" s="15">
        <f>+IF(EXACT('3AC_Data'!$D$8,1),H93,IF(EXACT('3AC_Data'!$D$8,2),I93,IF(EXACT('3AC_Data'!$D$8,3),J93,IF(EXACT('3AC_Data'!$D$8,4),K93,IF(EXACT('3AC_Data'!$D$8,5),L93,IF(EXACT('3AC_Data'!$D$8,6),M93,IF(EXACT('3AC_Data'!$D$8,7),N93,IF(EXACT('3AC_Data'!$D$8,8),O93,IF(EXACT('3AC_Data'!$D$8,9),P93,IF(EXACT('3AC_Data'!$D$8,10),Q93,IF(EXACT('3AC_Data'!$D$8,11),R93,IF(EXACT('3AC_Data'!$D$8,12),S93,IF(EXACT('3AC_Data'!$D$8,13),T93,IF(EXACT('3AC_Data'!$D$8,14),U93,IF(EXACT('3AC_Data'!$D$8,15),V93,IF(EXACT('3AC_Data'!$D$8,16),W93,IF(EXACT('3AC_Data'!$D$8,17),X93,IF(EXACT('3AC_Data'!$D$8,18),Y93,IF(EXACT('3AC_Data'!$D$8,19),Z93,IF(EXACT('3AC_Data'!$D$8,20),AA93,IF(EXACT('3AC_Data'!$D$8,21),AB93,IF(EXACT('3AC_Data'!$D$8,22),AC93,IF(EXACT('3AC_Data'!$D$8,23),AD93,IF(EXACT('3AC_Data'!$D$8,24),AE93,IF(EXACT('3AC_Data'!$D$8,25),AF93,IF(EXACT('3AC_Data'!$D$8,26),AG93,IF(EXACT('3AC_Data'!$D$8,27),AH93,IF(EXACT('3AC_Data'!$D$8,28),AI93,IF(EXACT('3AC_Data'!$D$8,29),AJ93,IF(EXACT('3AC_Data'!$D$8,30),AK93))))))))))))))))))))))))))))))</f>
        <v>0</v>
      </c>
      <c r="H93" s="34">
        <v>0</v>
      </c>
      <c r="I93" s="114">
        <v>0</v>
      </c>
      <c r="J93" s="34">
        <v>0</v>
      </c>
      <c r="K93" s="92">
        <v>0</v>
      </c>
      <c r="L93" s="92"/>
      <c r="M93" s="92">
        <v>0</v>
      </c>
      <c r="N93" s="92">
        <v>0</v>
      </c>
      <c r="O93" s="92">
        <v>0</v>
      </c>
      <c r="P93" s="114">
        <v>0</v>
      </c>
      <c r="Q93" s="114">
        <v>0</v>
      </c>
      <c r="R93" s="114">
        <v>0</v>
      </c>
      <c r="S93" s="91">
        <v>0</v>
      </c>
      <c r="T93" s="91">
        <v>0</v>
      </c>
      <c r="U93" s="91">
        <v>0</v>
      </c>
      <c r="V93" s="91">
        <v>0</v>
      </c>
      <c r="W93" s="114">
        <f>674.285/1000</f>
        <v>0.67428500000000002</v>
      </c>
      <c r="X93" s="114">
        <f>-674.285/1000</f>
        <v>-0.67428500000000002</v>
      </c>
      <c r="Y93" s="114"/>
      <c r="Z93" s="91">
        <v>0</v>
      </c>
      <c r="AA93" s="114">
        <v>3</v>
      </c>
      <c r="AB93" s="114">
        <v>0</v>
      </c>
      <c r="AC93" s="91">
        <v>0</v>
      </c>
      <c r="AD93" s="91">
        <v>0</v>
      </c>
      <c r="AE93" s="143">
        <v>0</v>
      </c>
      <c r="AF93" s="34">
        <v>0</v>
      </c>
      <c r="AG93" s="91">
        <v>0</v>
      </c>
      <c r="AH93" s="182">
        <v>0</v>
      </c>
      <c r="AI93" s="91">
        <v>0</v>
      </c>
      <c r="AJ93" s="91">
        <v>0</v>
      </c>
      <c r="AK93" s="91">
        <v>0</v>
      </c>
    </row>
    <row r="94" spans="2:37" x14ac:dyDescent="0.25">
      <c r="B94" s="110" t="s">
        <v>400</v>
      </c>
      <c r="C94" s="110" t="s">
        <v>405</v>
      </c>
      <c r="D94" s="36">
        <f t="shared" si="31"/>
        <v>0</v>
      </c>
      <c r="E94" s="4">
        <v>1</v>
      </c>
      <c r="F94" s="3"/>
      <c r="G94" s="15">
        <f>+IF(EXACT('3AC_Data'!$D$8,1),H94,IF(EXACT('3AC_Data'!$D$8,2),I94,IF(EXACT('3AC_Data'!$D$8,3),J94,IF(EXACT('3AC_Data'!$D$8,4),K94,IF(EXACT('3AC_Data'!$D$8,5),L94,IF(EXACT('3AC_Data'!$D$8,6),M94,IF(EXACT('3AC_Data'!$D$8,7),N94,IF(EXACT('3AC_Data'!$D$8,8),O94,IF(EXACT('3AC_Data'!$D$8,9),P94,IF(EXACT('3AC_Data'!$D$8,10),Q94,IF(EXACT('3AC_Data'!$D$8,11),R94,IF(EXACT('3AC_Data'!$D$8,12),S94,IF(EXACT('3AC_Data'!$D$8,13),T94,IF(EXACT('3AC_Data'!$D$8,14),U94,IF(EXACT('3AC_Data'!$D$8,15),V94,IF(EXACT('3AC_Data'!$D$8,16),W94,IF(EXACT('3AC_Data'!$D$8,17),X94,IF(EXACT('3AC_Data'!$D$8,18),Y94,IF(EXACT('3AC_Data'!$D$8,19),Z94,IF(EXACT('3AC_Data'!$D$8,20),AA94,IF(EXACT('3AC_Data'!$D$8,21),AB94,IF(EXACT('3AC_Data'!$D$8,22),AC94,IF(EXACT('3AC_Data'!$D$8,23),AD94,IF(EXACT('3AC_Data'!$D$8,24),AE94,IF(EXACT('3AC_Data'!$D$8,25),AF94,IF(EXACT('3AC_Data'!$D$8,26),AG94,IF(EXACT('3AC_Data'!$D$8,27),AH94,IF(EXACT('3AC_Data'!$D$8,28),AI94,IF(EXACT('3AC_Data'!$D$8,29),AJ94,IF(EXACT('3AC_Data'!$D$8,30),AK94))))))))))))))))))))))))))))))</f>
        <v>0</v>
      </c>
      <c r="H94" s="34">
        <v>0</v>
      </c>
      <c r="I94" s="114">
        <v>0</v>
      </c>
      <c r="J94" s="34">
        <v>0</v>
      </c>
      <c r="K94" s="92">
        <v>0</v>
      </c>
      <c r="L94" s="92">
        <v>0</v>
      </c>
      <c r="M94" s="92">
        <v>0</v>
      </c>
      <c r="N94" s="92">
        <v>0</v>
      </c>
      <c r="O94" s="92">
        <v>0</v>
      </c>
      <c r="P94" s="114">
        <v>0</v>
      </c>
      <c r="Q94" s="114">
        <v>0</v>
      </c>
      <c r="R94" s="114">
        <v>0</v>
      </c>
      <c r="S94" s="91">
        <v>0</v>
      </c>
      <c r="T94" s="91">
        <v>0</v>
      </c>
      <c r="U94" s="91">
        <v>0</v>
      </c>
      <c r="V94" s="91">
        <v>0</v>
      </c>
      <c r="W94" s="114">
        <f>-98.2/1000</f>
        <v>-9.820000000000001E-2</v>
      </c>
      <c r="X94" s="114">
        <f>-98.2/1000</f>
        <v>-9.820000000000001E-2</v>
      </c>
      <c r="Y94" s="114"/>
      <c r="Z94" s="91">
        <v>0</v>
      </c>
      <c r="AA94" s="114">
        <v>0</v>
      </c>
      <c r="AB94" s="114">
        <v>0</v>
      </c>
      <c r="AC94" s="91">
        <v>0</v>
      </c>
      <c r="AD94" s="91">
        <v>0</v>
      </c>
      <c r="AE94" s="143">
        <v>0</v>
      </c>
      <c r="AF94" s="34">
        <v>0</v>
      </c>
      <c r="AG94" s="91">
        <v>0</v>
      </c>
      <c r="AH94" s="182">
        <v>0</v>
      </c>
      <c r="AI94" s="91">
        <v>0</v>
      </c>
      <c r="AJ94" s="91">
        <v>0</v>
      </c>
      <c r="AK94" s="91">
        <v>0</v>
      </c>
    </row>
    <row r="95" spans="2:37" x14ac:dyDescent="0.25">
      <c r="B95" s="134" t="s">
        <v>1584</v>
      </c>
      <c r="C95" s="134" t="s">
        <v>1582</v>
      </c>
      <c r="D95" s="36">
        <f t="shared" si="31"/>
        <v>0</v>
      </c>
      <c r="E95" s="4">
        <v>1</v>
      </c>
      <c r="F95" s="3"/>
      <c r="G95" s="15"/>
      <c r="H95" s="34"/>
      <c r="I95" s="114"/>
      <c r="J95" s="34">
        <v>0</v>
      </c>
      <c r="K95" s="92"/>
      <c r="L95" s="92"/>
      <c r="M95" s="92"/>
      <c r="N95" s="92"/>
      <c r="O95" s="92"/>
      <c r="P95" s="114"/>
      <c r="Q95" s="114"/>
      <c r="R95" s="114"/>
      <c r="S95" s="91"/>
      <c r="T95" s="91"/>
      <c r="U95" s="91"/>
      <c r="V95" s="91"/>
      <c r="W95" s="114"/>
      <c r="X95" s="114"/>
      <c r="Y95" s="114"/>
      <c r="Z95" s="91"/>
      <c r="AA95" s="114"/>
      <c r="AB95" s="114"/>
      <c r="AC95" s="91"/>
      <c r="AD95" s="91"/>
      <c r="AE95" s="143"/>
      <c r="AF95" s="34">
        <v>0</v>
      </c>
      <c r="AG95" s="91"/>
      <c r="AH95" s="182">
        <v>0</v>
      </c>
      <c r="AI95" s="91"/>
      <c r="AJ95" s="91"/>
      <c r="AK95" s="91"/>
    </row>
    <row r="96" spans="2:37" x14ac:dyDescent="0.25">
      <c r="B96" s="134" t="s">
        <v>1585</v>
      </c>
      <c r="C96" s="134" t="s">
        <v>1583</v>
      </c>
      <c r="D96" s="36">
        <f t="shared" si="31"/>
        <v>0</v>
      </c>
      <c r="E96" s="4">
        <v>1</v>
      </c>
      <c r="F96" s="3"/>
      <c r="G96" s="15"/>
      <c r="H96" s="34"/>
      <c r="I96" s="114"/>
      <c r="J96" s="34">
        <v>0</v>
      </c>
      <c r="K96" s="92"/>
      <c r="L96" s="92"/>
      <c r="M96" s="92"/>
      <c r="N96" s="92"/>
      <c r="O96" s="92"/>
      <c r="P96" s="114"/>
      <c r="Q96" s="114"/>
      <c r="R96" s="114"/>
      <c r="S96" s="91"/>
      <c r="T96" s="91"/>
      <c r="U96" s="91"/>
      <c r="V96" s="91"/>
      <c r="W96" s="114"/>
      <c r="X96" s="114"/>
      <c r="Y96" s="114"/>
      <c r="Z96" s="91"/>
      <c r="AA96" s="114"/>
      <c r="AB96" s="114"/>
      <c r="AC96" s="91"/>
      <c r="AD96" s="91"/>
      <c r="AE96" s="143"/>
      <c r="AF96" s="34">
        <v>0</v>
      </c>
      <c r="AG96" s="91"/>
      <c r="AH96" s="182">
        <v>0</v>
      </c>
      <c r="AI96" s="91"/>
      <c r="AJ96" s="91"/>
      <c r="AK96" s="91"/>
    </row>
    <row r="97" spans="2:37" x14ac:dyDescent="0.25">
      <c r="B97" s="110" t="s">
        <v>923</v>
      </c>
      <c r="C97" s="110" t="s">
        <v>914</v>
      </c>
      <c r="D97" s="36">
        <f>+G97*E97</f>
        <v>0</v>
      </c>
      <c r="E97" s="4">
        <v>1</v>
      </c>
      <c r="F97" s="3"/>
      <c r="G97" s="15">
        <f>+IF(EXACT('3AC_Data'!$D$8,1),H97,IF(EXACT('3AC_Data'!$D$8,2),I97,IF(EXACT('3AC_Data'!$D$8,3),J97,IF(EXACT('3AC_Data'!$D$8,4),K97,IF(EXACT('3AC_Data'!$D$8,5),L97,IF(EXACT('3AC_Data'!$D$8,6),M97,IF(EXACT('3AC_Data'!$D$8,7),N97,IF(EXACT('3AC_Data'!$D$8,8),O97,IF(EXACT('3AC_Data'!$D$8,9),P97,IF(EXACT('3AC_Data'!$D$8,10),Q97,IF(EXACT('3AC_Data'!$D$8,11),R97,IF(EXACT('3AC_Data'!$D$8,12),S97,IF(EXACT('3AC_Data'!$D$8,13),T97,IF(EXACT('3AC_Data'!$D$8,14),U97,IF(EXACT('3AC_Data'!$D$8,15),V97,IF(EXACT('3AC_Data'!$D$8,16),W97,IF(EXACT('3AC_Data'!$D$8,17),X97,IF(EXACT('3AC_Data'!$D$8,18),Y97,IF(EXACT('3AC_Data'!$D$8,19),Z97,IF(EXACT('3AC_Data'!$D$8,20),AA97,IF(EXACT('3AC_Data'!$D$8,21),AB97,IF(EXACT('3AC_Data'!$D$8,22),AC97,IF(EXACT('3AC_Data'!$D$8,23),AD97,IF(EXACT('3AC_Data'!$D$8,24),AE97,IF(EXACT('3AC_Data'!$D$8,25),AF97,IF(EXACT('3AC_Data'!$D$8,26),AG97,IF(EXACT('3AC_Data'!$D$8,27),AH97,IF(EXACT('3AC_Data'!$D$8,28),AI97,IF(EXACT('3AC_Data'!$D$8,29),AJ97,IF(EXACT('3AC_Data'!$D$8,30),AK97))))))))))))))))))))))))))))))</f>
        <v>0</v>
      </c>
      <c r="H97" s="34">
        <v>0</v>
      </c>
      <c r="I97" s="114">
        <v>0</v>
      </c>
      <c r="J97" s="34">
        <v>0</v>
      </c>
      <c r="K97" s="92">
        <v>0</v>
      </c>
      <c r="L97" s="92">
        <v>0</v>
      </c>
      <c r="M97" s="92">
        <v>0</v>
      </c>
      <c r="N97" s="92">
        <v>0</v>
      </c>
      <c r="O97" s="92">
        <v>0</v>
      </c>
      <c r="P97" s="114">
        <v>0</v>
      </c>
      <c r="Q97" s="114">
        <v>0</v>
      </c>
      <c r="R97" s="114">
        <v>0</v>
      </c>
      <c r="S97" s="91">
        <v>0</v>
      </c>
      <c r="T97" s="91">
        <v>0</v>
      </c>
      <c r="U97" s="91">
        <v>0</v>
      </c>
      <c r="V97" s="91">
        <v>0</v>
      </c>
      <c r="W97" s="114">
        <f>379.956/1000</f>
        <v>0.37995600000000002</v>
      </c>
      <c r="X97" s="114">
        <f>379.956/1000</f>
        <v>0.37995600000000002</v>
      </c>
      <c r="Y97" s="114"/>
      <c r="Z97" s="91">
        <v>0</v>
      </c>
      <c r="AA97" s="114">
        <v>0.24</v>
      </c>
      <c r="AB97" s="114">
        <v>0</v>
      </c>
      <c r="AC97" s="91">
        <v>0</v>
      </c>
      <c r="AD97" s="184">
        <v>0</v>
      </c>
      <c r="AE97" s="143">
        <v>0</v>
      </c>
      <c r="AF97" s="34">
        <v>0</v>
      </c>
      <c r="AG97" s="91">
        <v>0</v>
      </c>
      <c r="AH97" s="182">
        <v>0</v>
      </c>
      <c r="AI97" s="91">
        <v>0</v>
      </c>
      <c r="AJ97" s="91">
        <v>0</v>
      </c>
      <c r="AK97" s="91">
        <v>0</v>
      </c>
    </row>
    <row r="98" spans="2:37" x14ac:dyDescent="0.25">
      <c r="B98" s="110" t="s">
        <v>401</v>
      </c>
      <c r="C98" s="110" t="s">
        <v>406</v>
      </c>
      <c r="D98" s="36">
        <f t="shared" si="31"/>
        <v>0</v>
      </c>
      <c r="E98" s="4">
        <v>1</v>
      </c>
      <c r="F98" s="3"/>
      <c r="G98" s="15">
        <f>+IF(EXACT('3AC_Data'!$D$8,1),H98,IF(EXACT('3AC_Data'!$D$8,2),I98,IF(EXACT('3AC_Data'!$D$8,3),J98,IF(EXACT('3AC_Data'!$D$8,4),K98,IF(EXACT('3AC_Data'!$D$8,5),L98,IF(EXACT('3AC_Data'!$D$8,6),M98,IF(EXACT('3AC_Data'!$D$8,7),N98,IF(EXACT('3AC_Data'!$D$8,8),O98,IF(EXACT('3AC_Data'!$D$8,9),P98,IF(EXACT('3AC_Data'!$D$8,10),Q98,IF(EXACT('3AC_Data'!$D$8,11),R98,IF(EXACT('3AC_Data'!$D$8,12),S98,IF(EXACT('3AC_Data'!$D$8,13),T98,IF(EXACT('3AC_Data'!$D$8,14),U98,IF(EXACT('3AC_Data'!$D$8,15),V98,IF(EXACT('3AC_Data'!$D$8,16),W98,IF(EXACT('3AC_Data'!$D$8,17),X98,IF(EXACT('3AC_Data'!$D$8,18),Y98,IF(EXACT('3AC_Data'!$D$8,19),Z98,IF(EXACT('3AC_Data'!$D$8,20),AA98,IF(EXACT('3AC_Data'!$D$8,21),AB98,IF(EXACT('3AC_Data'!$D$8,22),AC98,IF(EXACT('3AC_Data'!$D$8,23),AD98,IF(EXACT('3AC_Data'!$D$8,24),AE98,IF(EXACT('3AC_Data'!$D$8,25),AF98,IF(EXACT('3AC_Data'!$D$8,26),AG98,IF(EXACT('3AC_Data'!$D$8,27),AH98,IF(EXACT('3AC_Data'!$D$8,28),AI98,IF(EXACT('3AC_Data'!$D$8,29),AJ98,IF(EXACT('3AC_Data'!$D$8,30),AK98))))))))))))))))))))))))))))))</f>
        <v>0</v>
      </c>
      <c r="H98" s="36">
        <f>+K98</f>
        <v>0</v>
      </c>
      <c r="I98" s="91">
        <f>+L98</f>
        <v>0</v>
      </c>
      <c r="J98" s="34">
        <v>0</v>
      </c>
      <c r="K98" s="92">
        <v>0</v>
      </c>
      <c r="L98" s="92">
        <v>0</v>
      </c>
      <c r="M98" s="92">
        <v>0</v>
      </c>
      <c r="N98" s="92">
        <v>0</v>
      </c>
      <c r="O98" s="92">
        <v>0</v>
      </c>
      <c r="P98" s="91">
        <f>+S98</f>
        <v>0</v>
      </c>
      <c r="Q98" s="91">
        <f>+T98</f>
        <v>0</v>
      </c>
      <c r="R98" s="91">
        <f>+U98</f>
        <v>0</v>
      </c>
      <c r="S98" s="91">
        <v>0</v>
      </c>
      <c r="T98" s="91">
        <v>0</v>
      </c>
      <c r="U98" s="91">
        <v>0</v>
      </c>
      <c r="V98" s="91">
        <v>0</v>
      </c>
      <c r="W98" s="91">
        <f>3391.229/1000</f>
        <v>3.3912289999999996</v>
      </c>
      <c r="X98" s="91">
        <f>3459.009/1000</f>
        <v>3.459009</v>
      </c>
      <c r="Y98" s="91"/>
      <c r="Z98" s="91">
        <v>0</v>
      </c>
      <c r="AA98" s="91">
        <v>0.95</v>
      </c>
      <c r="AB98" s="91">
        <f>+AE98</f>
        <v>0</v>
      </c>
      <c r="AC98" s="91">
        <v>0</v>
      </c>
      <c r="AD98" s="91">
        <v>0</v>
      </c>
      <c r="AE98" s="143">
        <v>0</v>
      </c>
      <c r="AF98" s="34">
        <v>0</v>
      </c>
      <c r="AG98" s="91">
        <v>0</v>
      </c>
      <c r="AH98" s="182">
        <v>0</v>
      </c>
      <c r="AI98" s="91">
        <v>0</v>
      </c>
      <c r="AJ98" s="91">
        <v>0</v>
      </c>
      <c r="AK98" s="91">
        <v>0</v>
      </c>
    </row>
    <row r="99" spans="2:37" x14ac:dyDescent="0.25">
      <c r="B99" s="110" t="s">
        <v>402</v>
      </c>
      <c r="C99" s="110" t="s">
        <v>407</v>
      </c>
      <c r="D99" s="36">
        <f t="shared" si="31"/>
        <v>0</v>
      </c>
      <c r="E99" s="4">
        <f t="shared" ref="E99:E104" si="46">+PI()/180</f>
        <v>1.7453292519943295E-2</v>
      </c>
      <c r="F99" s="3" t="s">
        <v>488</v>
      </c>
      <c r="G99" s="15">
        <f>+IF(EXACT('3AC_Data'!$D$8,1),H99,IF(EXACT('3AC_Data'!$D$8,2),I99,IF(EXACT('3AC_Data'!$D$8,3),J99,IF(EXACT('3AC_Data'!$D$8,4),K99,IF(EXACT('3AC_Data'!$D$8,5),L99,IF(EXACT('3AC_Data'!$D$8,6),M99,IF(EXACT('3AC_Data'!$D$8,7),N99,IF(EXACT('3AC_Data'!$D$8,8),O99,IF(EXACT('3AC_Data'!$D$8,9),P99,IF(EXACT('3AC_Data'!$D$8,10),Q99,IF(EXACT('3AC_Data'!$D$8,11),R99,IF(EXACT('3AC_Data'!$D$8,12),S99,IF(EXACT('3AC_Data'!$D$8,13),T99,IF(EXACT('3AC_Data'!$D$8,14),U99,IF(EXACT('3AC_Data'!$D$8,15),V99,IF(EXACT('3AC_Data'!$D$8,16),W99,IF(EXACT('3AC_Data'!$D$8,17),X99,IF(EXACT('3AC_Data'!$D$8,18),Y99,IF(EXACT('3AC_Data'!$D$8,19),Z99,IF(EXACT('3AC_Data'!$D$8,20),AA99,IF(EXACT('3AC_Data'!$D$8,21),AB99,IF(EXACT('3AC_Data'!$D$8,22),AC99,IF(EXACT('3AC_Data'!$D$8,23),AD99,IF(EXACT('3AC_Data'!$D$8,24),AE99,IF(EXACT('3AC_Data'!$D$8,25),AF99,IF(EXACT('3AC_Data'!$D$8,26),AG99,IF(EXACT('3AC_Data'!$D$8,27),AH99,IF(EXACT('3AC_Data'!$D$8,28),AI99,IF(EXACT('3AC_Data'!$D$8,29),AJ99,IF(EXACT('3AC_Data'!$D$8,30),AK99))))))))))))))))))))))))))))))</f>
        <v>0</v>
      </c>
      <c r="H99" s="36">
        <f>+K99*PI()/180</f>
        <v>0</v>
      </c>
      <c r="I99" s="91">
        <f t="shared" ref="I99:I102" si="47">+L99*PI()/180</f>
        <v>0</v>
      </c>
      <c r="J99" s="34">
        <v>0</v>
      </c>
      <c r="K99" s="92">
        <v>0</v>
      </c>
      <c r="L99" s="92">
        <v>0</v>
      </c>
      <c r="M99" s="92">
        <v>0</v>
      </c>
      <c r="N99" s="92">
        <v>0</v>
      </c>
      <c r="O99" s="92">
        <v>0</v>
      </c>
      <c r="P99" s="91">
        <f t="shared" ref="P99:Q102" si="48">+S99*PI()/180</f>
        <v>0</v>
      </c>
      <c r="Q99" s="91">
        <f t="shared" si="48"/>
        <v>0</v>
      </c>
      <c r="R99" s="91">
        <f>+U99*PI()/180</f>
        <v>0</v>
      </c>
      <c r="S99" s="91">
        <v>0</v>
      </c>
      <c r="T99" s="91">
        <v>0</v>
      </c>
      <c r="U99" s="91">
        <v>0</v>
      </c>
      <c r="V99" s="91">
        <v>0</v>
      </c>
      <c r="W99" s="91">
        <v>20</v>
      </c>
      <c r="X99" s="91">
        <v>20</v>
      </c>
      <c r="Y99" s="91"/>
      <c r="Z99" s="91">
        <v>0</v>
      </c>
      <c r="AA99" s="91">
        <v>40</v>
      </c>
      <c r="AB99" s="91">
        <f>+AE99*PI()/180</f>
        <v>0</v>
      </c>
      <c r="AC99" s="91">
        <v>0</v>
      </c>
      <c r="AD99" s="91">
        <v>0</v>
      </c>
      <c r="AE99" s="143">
        <v>0</v>
      </c>
      <c r="AF99" s="34">
        <v>0</v>
      </c>
      <c r="AG99" s="91">
        <v>0</v>
      </c>
      <c r="AH99" s="182">
        <v>0</v>
      </c>
      <c r="AI99" s="91">
        <v>0</v>
      </c>
      <c r="AJ99" s="91">
        <v>0</v>
      </c>
      <c r="AK99" s="91">
        <v>0</v>
      </c>
    </row>
    <row r="100" spans="2:37" x14ac:dyDescent="0.25">
      <c r="B100" s="134" t="s">
        <v>1588</v>
      </c>
      <c r="C100" s="134" t="s">
        <v>1586</v>
      </c>
      <c r="D100" s="36">
        <f t="shared" si="31"/>
        <v>0</v>
      </c>
      <c r="E100" s="4">
        <f t="shared" si="46"/>
        <v>1.7453292519943295E-2</v>
      </c>
      <c r="F100" s="3" t="s">
        <v>488</v>
      </c>
      <c r="G100" s="15"/>
      <c r="H100" s="36"/>
      <c r="I100" s="91"/>
      <c r="J100" s="34">
        <v>0</v>
      </c>
      <c r="K100" s="92"/>
      <c r="L100" s="92"/>
      <c r="M100" s="92"/>
      <c r="N100" s="92"/>
      <c r="O100" s="92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143"/>
      <c r="AF100" s="34">
        <v>0</v>
      </c>
      <c r="AG100" s="91"/>
      <c r="AH100" s="182">
        <v>0</v>
      </c>
      <c r="AI100" s="91"/>
      <c r="AJ100" s="91"/>
      <c r="AK100" s="91"/>
    </row>
    <row r="101" spans="2:37" x14ac:dyDescent="0.25">
      <c r="B101" s="134" t="s">
        <v>1589</v>
      </c>
      <c r="C101" s="134" t="s">
        <v>1587</v>
      </c>
      <c r="D101" s="36">
        <f t="shared" si="31"/>
        <v>0</v>
      </c>
      <c r="E101" s="4">
        <f t="shared" si="46"/>
        <v>1.7453292519943295E-2</v>
      </c>
      <c r="F101" s="3" t="s">
        <v>488</v>
      </c>
      <c r="G101" s="15"/>
      <c r="H101" s="36"/>
      <c r="I101" s="91"/>
      <c r="J101" s="34">
        <v>0</v>
      </c>
      <c r="K101" s="92"/>
      <c r="L101" s="92"/>
      <c r="M101" s="92"/>
      <c r="N101" s="92"/>
      <c r="O101" s="92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143"/>
      <c r="AF101" s="34">
        <v>0</v>
      </c>
      <c r="AG101" s="91"/>
      <c r="AH101" s="182">
        <v>0</v>
      </c>
      <c r="AI101" s="91"/>
      <c r="AJ101" s="91"/>
      <c r="AK101" s="91"/>
    </row>
    <row r="102" spans="2:37" x14ac:dyDescent="0.25">
      <c r="B102" s="110" t="s">
        <v>403</v>
      </c>
      <c r="C102" s="110" t="s">
        <v>408</v>
      </c>
      <c r="D102" s="36">
        <f t="shared" si="31"/>
        <v>0</v>
      </c>
      <c r="E102" s="4">
        <f t="shared" si="46"/>
        <v>1.7453292519943295E-2</v>
      </c>
      <c r="F102" s="3" t="s">
        <v>488</v>
      </c>
      <c r="G102" s="15">
        <f>+IF(EXACT('3AC_Data'!$D$8,1),H102,IF(EXACT('3AC_Data'!$D$8,2),I102,IF(EXACT('3AC_Data'!$D$8,3),J102,IF(EXACT('3AC_Data'!$D$8,4),K102,IF(EXACT('3AC_Data'!$D$8,5),L102,IF(EXACT('3AC_Data'!$D$8,6),M102,IF(EXACT('3AC_Data'!$D$8,7),N102,IF(EXACT('3AC_Data'!$D$8,8),O102,IF(EXACT('3AC_Data'!$D$8,9),P102,IF(EXACT('3AC_Data'!$D$8,10),Q102,IF(EXACT('3AC_Data'!$D$8,11),R102,IF(EXACT('3AC_Data'!$D$8,12),S102,IF(EXACT('3AC_Data'!$D$8,13),T102,IF(EXACT('3AC_Data'!$D$8,14),U102,IF(EXACT('3AC_Data'!$D$8,15),V102,IF(EXACT('3AC_Data'!$D$8,16),W102,IF(EXACT('3AC_Data'!$D$8,17),X102,IF(EXACT('3AC_Data'!$D$8,18),Y102,IF(EXACT('3AC_Data'!$D$8,19),Z102,IF(EXACT('3AC_Data'!$D$8,20),AA102,IF(EXACT('3AC_Data'!$D$8,21),AB102,IF(EXACT('3AC_Data'!$D$8,22),AC102,IF(EXACT('3AC_Data'!$D$8,23),AD102,IF(EXACT('3AC_Data'!$D$8,24),AE102,IF(EXACT('3AC_Data'!$D$8,25),AF102,IF(EXACT('3AC_Data'!$D$8,26),AG102,IF(EXACT('3AC_Data'!$D$8,27),AH102,IF(EXACT('3AC_Data'!$D$8,28),AI102,IF(EXACT('3AC_Data'!$D$8,29),AJ102,IF(EXACT('3AC_Data'!$D$8,30),AK102))))))))))))))))))))))))))))))</f>
        <v>0</v>
      </c>
      <c r="H102" s="36">
        <f>+K102*PI()/180</f>
        <v>0</v>
      </c>
      <c r="I102" s="91">
        <f t="shared" si="47"/>
        <v>0</v>
      </c>
      <c r="J102" s="34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1">
        <f t="shared" si="48"/>
        <v>0</v>
      </c>
      <c r="Q102" s="91">
        <f t="shared" si="48"/>
        <v>0</v>
      </c>
      <c r="R102" s="91">
        <f>+U102*PI()/180</f>
        <v>0</v>
      </c>
      <c r="S102" s="91">
        <v>0</v>
      </c>
      <c r="T102" s="91">
        <v>0</v>
      </c>
      <c r="U102" s="91">
        <v>0</v>
      </c>
      <c r="V102" s="91">
        <v>0</v>
      </c>
      <c r="W102" s="91">
        <v>0</v>
      </c>
      <c r="X102" s="91">
        <v>0</v>
      </c>
      <c r="Y102" s="91"/>
      <c r="Z102" s="91">
        <v>0</v>
      </c>
      <c r="AA102" s="91">
        <v>0</v>
      </c>
      <c r="AB102" s="91">
        <f>+AE102*PI()/180</f>
        <v>0</v>
      </c>
      <c r="AC102" s="91">
        <v>0</v>
      </c>
      <c r="AD102" s="91">
        <v>0</v>
      </c>
      <c r="AE102" s="143">
        <v>0</v>
      </c>
      <c r="AF102" s="34">
        <v>0</v>
      </c>
      <c r="AG102" s="91">
        <v>0</v>
      </c>
      <c r="AH102" s="182">
        <v>0</v>
      </c>
      <c r="AI102" s="91">
        <v>0</v>
      </c>
      <c r="AJ102" s="91">
        <v>0</v>
      </c>
      <c r="AK102" s="91">
        <v>0</v>
      </c>
    </row>
    <row r="103" spans="2:37" x14ac:dyDescent="0.25">
      <c r="B103" s="134" t="s">
        <v>1590</v>
      </c>
      <c r="C103" s="134" t="s">
        <v>1592</v>
      </c>
      <c r="D103" s="36">
        <f t="shared" si="31"/>
        <v>0</v>
      </c>
      <c r="E103" s="4">
        <f t="shared" si="46"/>
        <v>1.7453292519943295E-2</v>
      </c>
      <c r="F103" s="3" t="s">
        <v>488</v>
      </c>
      <c r="G103" s="15"/>
      <c r="H103" s="36"/>
      <c r="I103" s="91"/>
      <c r="J103" s="34">
        <v>0</v>
      </c>
      <c r="K103" s="92"/>
      <c r="L103" s="92"/>
      <c r="M103" s="92"/>
      <c r="N103" s="92"/>
      <c r="O103" s="92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143"/>
      <c r="AF103" s="34">
        <v>0</v>
      </c>
      <c r="AG103" s="91"/>
      <c r="AH103" s="177"/>
      <c r="AI103" s="91"/>
      <c r="AJ103" s="91"/>
      <c r="AK103" s="91"/>
    </row>
    <row r="104" spans="2:37" x14ac:dyDescent="0.25">
      <c r="B104" s="134" t="s">
        <v>1591</v>
      </c>
      <c r="C104" s="134" t="s">
        <v>1593</v>
      </c>
      <c r="D104" s="36">
        <f t="shared" si="31"/>
        <v>0</v>
      </c>
      <c r="E104" s="4">
        <f t="shared" si="46"/>
        <v>1.7453292519943295E-2</v>
      </c>
      <c r="F104" s="3" t="s">
        <v>488</v>
      </c>
      <c r="G104" s="15"/>
      <c r="H104" s="36"/>
      <c r="I104" s="91"/>
      <c r="J104" s="34">
        <v>0</v>
      </c>
      <c r="K104" s="92"/>
      <c r="L104" s="92"/>
      <c r="M104" s="92"/>
      <c r="N104" s="92"/>
      <c r="O104" s="92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143"/>
      <c r="AF104" s="34">
        <v>0</v>
      </c>
      <c r="AG104" s="91"/>
      <c r="AH104" s="177"/>
      <c r="AI104" s="91"/>
      <c r="AJ104" s="91"/>
      <c r="AK104" s="91"/>
    </row>
    <row r="105" spans="2:37" x14ac:dyDescent="0.25">
      <c r="B105" s="92" t="s">
        <v>409</v>
      </c>
      <c r="C105" s="92" t="s">
        <v>411</v>
      </c>
      <c r="D105" s="36">
        <f t="shared" ref="D105:D189" si="49">+G105*E105</f>
        <v>0.115</v>
      </c>
      <c r="E105" s="4">
        <v>1</v>
      </c>
      <c r="F105" s="3"/>
      <c r="G105" s="15">
        <f>+IF(EXACT('3AC_Data'!$D$8,1),H105,IF(EXACT('3AC_Data'!$D$8,2),I105,IF(EXACT('3AC_Data'!$D$8,3),J105,IF(EXACT('3AC_Data'!$D$8,4),K105,IF(EXACT('3AC_Data'!$D$8,5),L105,IF(EXACT('3AC_Data'!$D$8,6),M105,IF(EXACT('3AC_Data'!$D$8,7),N105,IF(EXACT('3AC_Data'!$D$8,8),O105,IF(EXACT('3AC_Data'!$D$8,9),P105,IF(EXACT('3AC_Data'!$D$8,10),Q105,IF(EXACT('3AC_Data'!$D$8,11),R105,IF(EXACT('3AC_Data'!$D$8,12),S105,IF(EXACT('3AC_Data'!$D$8,13),T105,IF(EXACT('3AC_Data'!$D$8,14),U105,IF(EXACT('3AC_Data'!$D$8,15),V105,IF(EXACT('3AC_Data'!$D$8,16),W105,IF(EXACT('3AC_Data'!$D$8,17),X105,IF(EXACT('3AC_Data'!$D$8,18),Y105,IF(EXACT('3AC_Data'!$D$8,19),Z105,IF(EXACT('3AC_Data'!$D$8,20),AA105,IF(EXACT('3AC_Data'!$D$8,21),AB105,IF(EXACT('3AC_Data'!$D$8,22),AC105,IF(EXACT('3AC_Data'!$D$8,23),AD105,IF(EXACT('3AC_Data'!$D$8,24),AE105,IF(EXACT('3AC_Data'!$D$8,25),AF105,IF(EXACT('3AC_Data'!$D$8,26),AG105,IF(EXACT('3AC_Data'!$D$8,27),AH105,IF(EXACT('3AC_Data'!$D$8,28),AI105,IF(EXACT('3AC_Data'!$D$8,29),AJ105,IF(EXACT('3AC_Data'!$D$8,30),AK105))))))))))))))))))))))))))))))</f>
        <v>0.115</v>
      </c>
      <c r="H105" s="104">
        <v>0.22632099999999999</v>
      </c>
      <c r="I105" s="105">
        <v>0.22806899999999999</v>
      </c>
      <c r="J105" s="104">
        <v>0.2</v>
      </c>
      <c r="K105" s="106">
        <v>7.5343</v>
      </c>
      <c r="L105" s="106">
        <v>0.2</v>
      </c>
      <c r="M105" s="106">
        <v>0.115</v>
      </c>
      <c r="N105" s="106">
        <v>0.115</v>
      </c>
      <c r="O105" s="106">
        <v>0.2</v>
      </c>
      <c r="P105" s="105">
        <v>0.22632099999999999</v>
      </c>
      <c r="Q105" s="105">
        <v>0.22632099999999999</v>
      </c>
      <c r="R105" s="105">
        <v>0.22806899999999999</v>
      </c>
      <c r="S105" s="107">
        <v>0.45500000000000002</v>
      </c>
      <c r="T105" s="107">
        <v>0.45500000000000002</v>
      </c>
      <c r="U105" s="107">
        <v>6.07</v>
      </c>
      <c r="V105" s="105">
        <v>0.22806899999999999</v>
      </c>
      <c r="W105" s="105">
        <v>0.420977698010503</v>
      </c>
      <c r="X105" s="105">
        <v>0.420977698010503</v>
      </c>
      <c r="Y105" s="105">
        <v>0.05</v>
      </c>
      <c r="Z105" s="105">
        <v>4.0110000000000001</v>
      </c>
      <c r="AA105" s="105">
        <v>0.5</v>
      </c>
      <c r="AB105" s="105">
        <v>0.23300000000000001</v>
      </c>
      <c r="AC105" s="107">
        <v>1.981824</v>
      </c>
      <c r="AD105" s="107">
        <v>2.3696999999999999</v>
      </c>
      <c r="AE105" s="144">
        <v>0.25</v>
      </c>
      <c r="AF105" s="104">
        <v>0.2</v>
      </c>
      <c r="AG105" s="107">
        <v>0.27</v>
      </c>
      <c r="AH105" s="178">
        <v>0.3</v>
      </c>
      <c r="AI105" s="107">
        <v>6.07</v>
      </c>
      <c r="AJ105" s="107">
        <v>6.07</v>
      </c>
      <c r="AK105" s="107">
        <v>6.07</v>
      </c>
    </row>
    <row r="106" spans="2:37" x14ac:dyDescent="0.25">
      <c r="B106" s="133" t="s">
        <v>1314</v>
      </c>
      <c r="C106" s="133" t="s">
        <v>1315</v>
      </c>
      <c r="D106" s="36">
        <f t="shared" si="49"/>
        <v>0</v>
      </c>
      <c r="E106" s="4">
        <v>1</v>
      </c>
      <c r="F106" s="3"/>
      <c r="G106" s="15">
        <f>+IF(EXACT('3AC_Data'!$D$8,1),H106,IF(EXACT('3AC_Data'!$D$8,2),I106,IF(EXACT('3AC_Data'!$D$8,3),J106,IF(EXACT('3AC_Data'!$D$8,4),K106,IF(EXACT('3AC_Data'!$D$8,5),L106,IF(EXACT('3AC_Data'!$D$8,6),M106,IF(EXACT('3AC_Data'!$D$8,7),N106,IF(EXACT('3AC_Data'!$D$8,8),O106,IF(EXACT('3AC_Data'!$D$8,9),P106,IF(EXACT('3AC_Data'!$D$8,10),Q106,IF(EXACT('3AC_Data'!$D$8,11),R106,IF(EXACT('3AC_Data'!$D$8,12),S106,IF(EXACT('3AC_Data'!$D$8,13),T106,IF(EXACT('3AC_Data'!$D$8,14),U106,IF(EXACT('3AC_Data'!$D$8,15),V106,IF(EXACT('3AC_Data'!$D$8,16),W106,IF(EXACT('3AC_Data'!$D$8,17),X106,IF(EXACT('3AC_Data'!$D$8,18),Y106,IF(EXACT('3AC_Data'!$D$8,19),Z106,IF(EXACT('3AC_Data'!$D$8,20),AA106,IF(EXACT('3AC_Data'!$D$8,21),AB106,IF(EXACT('3AC_Data'!$D$8,22),AC106,IF(EXACT('3AC_Data'!$D$8,23),AD106,IF(EXACT('3AC_Data'!$D$8,24),AE106,IF(EXACT('3AC_Data'!$D$8,25),AF106,IF(EXACT('3AC_Data'!$D$8,26),AG106,IF(EXACT('3AC_Data'!$D$8,27),AH106,IF(EXACT('3AC_Data'!$D$8,28),AI106,IF(EXACT('3AC_Data'!$D$8,29),AJ106,IF(EXACT('3AC_Data'!$D$8,30),AK106))))))))))))))))))))))))))))))</f>
        <v>0</v>
      </c>
      <c r="H106" s="104"/>
      <c r="I106" s="105"/>
      <c r="J106" s="104">
        <v>0</v>
      </c>
      <c r="K106" s="106"/>
      <c r="L106" s="106"/>
      <c r="M106" s="106"/>
      <c r="N106" s="106"/>
      <c r="O106" s="106"/>
      <c r="P106" s="105"/>
      <c r="Q106" s="105"/>
      <c r="R106" s="105"/>
      <c r="S106" s="107"/>
      <c r="T106" s="107"/>
      <c r="U106" s="107">
        <v>3.76</v>
      </c>
      <c r="V106" s="105"/>
      <c r="W106" s="105"/>
      <c r="X106" s="105"/>
      <c r="Y106" s="105"/>
      <c r="Z106" s="105">
        <v>2.5960000000000001</v>
      </c>
      <c r="AA106" s="105">
        <v>0</v>
      </c>
      <c r="AB106" s="105">
        <v>0.23300000000000001</v>
      </c>
      <c r="AC106" s="107">
        <v>0</v>
      </c>
      <c r="AD106" s="107">
        <v>2.2544</v>
      </c>
      <c r="AE106" s="144">
        <v>0</v>
      </c>
      <c r="AF106" s="104">
        <v>0</v>
      </c>
      <c r="AG106" s="107">
        <v>0.27</v>
      </c>
      <c r="AH106" s="178">
        <v>0</v>
      </c>
      <c r="AI106" s="107">
        <v>3.76</v>
      </c>
      <c r="AJ106" s="107">
        <v>3.76</v>
      </c>
      <c r="AK106" s="107">
        <v>3.76</v>
      </c>
    </row>
    <row r="107" spans="2:37" x14ac:dyDescent="0.25">
      <c r="B107" s="133" t="s">
        <v>1316</v>
      </c>
      <c r="C107" s="133" t="s">
        <v>1317</v>
      </c>
      <c r="D107" s="36">
        <f t="shared" si="49"/>
        <v>0</v>
      </c>
      <c r="E107" s="4">
        <v>1</v>
      </c>
      <c r="F107" s="3"/>
      <c r="G107" s="15">
        <f>+IF(EXACT('3AC_Data'!$D$8,1),H107,IF(EXACT('3AC_Data'!$D$8,2),I107,IF(EXACT('3AC_Data'!$D$8,3),J107,IF(EXACT('3AC_Data'!$D$8,4),K107,IF(EXACT('3AC_Data'!$D$8,5),L107,IF(EXACT('3AC_Data'!$D$8,6),M107,IF(EXACT('3AC_Data'!$D$8,7),N107,IF(EXACT('3AC_Data'!$D$8,8),O107,IF(EXACT('3AC_Data'!$D$8,9),P107,IF(EXACT('3AC_Data'!$D$8,10),Q107,IF(EXACT('3AC_Data'!$D$8,11),R107,IF(EXACT('3AC_Data'!$D$8,12),S107,IF(EXACT('3AC_Data'!$D$8,13),T107,IF(EXACT('3AC_Data'!$D$8,14),U107,IF(EXACT('3AC_Data'!$D$8,15),V107,IF(EXACT('3AC_Data'!$D$8,16),W107,IF(EXACT('3AC_Data'!$D$8,17),X107,IF(EXACT('3AC_Data'!$D$8,18),Y107,IF(EXACT('3AC_Data'!$D$8,19),Z107,IF(EXACT('3AC_Data'!$D$8,20),AA107,IF(EXACT('3AC_Data'!$D$8,21),AB107,IF(EXACT('3AC_Data'!$D$8,22),AC107,IF(EXACT('3AC_Data'!$D$8,23),AD107,IF(EXACT('3AC_Data'!$D$8,24),AE107,IF(EXACT('3AC_Data'!$D$8,25),AF107,IF(EXACT('3AC_Data'!$D$8,26),AG107,IF(EXACT('3AC_Data'!$D$8,27),AH107,IF(EXACT('3AC_Data'!$D$8,28),AI107,IF(EXACT('3AC_Data'!$D$8,29),AJ107,IF(EXACT('3AC_Data'!$D$8,30),AK107))))))))))))))))))))))))))))))</f>
        <v>0</v>
      </c>
      <c r="H107" s="104"/>
      <c r="I107" s="105"/>
      <c r="J107" s="104">
        <v>0</v>
      </c>
      <c r="K107" s="106"/>
      <c r="L107" s="106"/>
      <c r="M107" s="106"/>
      <c r="N107" s="106"/>
      <c r="O107" s="106"/>
      <c r="P107" s="105"/>
      <c r="Q107" s="105"/>
      <c r="R107" s="105"/>
      <c r="S107" s="107"/>
      <c r="T107" s="107"/>
      <c r="U107" s="107">
        <v>0</v>
      </c>
      <c r="V107" s="105"/>
      <c r="W107" s="105"/>
      <c r="X107" s="105"/>
      <c r="Y107" s="105"/>
      <c r="Z107" s="105">
        <v>0</v>
      </c>
      <c r="AA107" s="105">
        <v>0</v>
      </c>
      <c r="AB107" s="105">
        <v>0.17799999999999999</v>
      </c>
      <c r="AC107" s="107">
        <v>0</v>
      </c>
      <c r="AD107" s="107">
        <v>2.1789999999999998</v>
      </c>
      <c r="AE107" s="144">
        <v>0</v>
      </c>
      <c r="AF107" s="104">
        <v>0</v>
      </c>
      <c r="AG107" s="107">
        <v>0.27</v>
      </c>
      <c r="AH107" s="178">
        <v>0</v>
      </c>
      <c r="AI107" s="107">
        <v>0</v>
      </c>
      <c r="AJ107" s="107">
        <v>0</v>
      </c>
      <c r="AK107" s="107">
        <v>0</v>
      </c>
    </row>
    <row r="108" spans="2:37" x14ac:dyDescent="0.25">
      <c r="B108" s="92" t="s">
        <v>410</v>
      </c>
      <c r="C108" s="92" t="s">
        <v>412</v>
      </c>
      <c r="D108" s="36">
        <f t="shared" si="49"/>
        <v>0.115</v>
      </c>
      <c r="E108" s="4">
        <v>1</v>
      </c>
      <c r="F108" s="3"/>
      <c r="G108" s="15">
        <f>+IF(EXACT('3AC_Data'!$D$8,1),H108,IF(EXACT('3AC_Data'!$D$8,2),I108,IF(EXACT('3AC_Data'!$D$8,3),J108,IF(EXACT('3AC_Data'!$D$8,4),K108,IF(EXACT('3AC_Data'!$D$8,5),L108,IF(EXACT('3AC_Data'!$D$8,6),M108,IF(EXACT('3AC_Data'!$D$8,7),N108,IF(EXACT('3AC_Data'!$D$8,8),O108,IF(EXACT('3AC_Data'!$D$8,9),P108,IF(EXACT('3AC_Data'!$D$8,10),Q108,IF(EXACT('3AC_Data'!$D$8,11),R108,IF(EXACT('3AC_Data'!$D$8,12),S108,IF(EXACT('3AC_Data'!$D$8,13),T108,IF(EXACT('3AC_Data'!$D$8,14),U108,IF(EXACT('3AC_Data'!$D$8,15),V108,IF(EXACT('3AC_Data'!$D$8,16),W108,IF(EXACT('3AC_Data'!$D$8,17),X108,IF(EXACT('3AC_Data'!$D$8,18),Y108,IF(EXACT('3AC_Data'!$D$8,19),Z108,IF(EXACT('3AC_Data'!$D$8,20),AA108,IF(EXACT('3AC_Data'!$D$8,21),AB108,IF(EXACT('3AC_Data'!$D$8,22),AC108,IF(EXACT('3AC_Data'!$D$8,23),AD108,IF(EXACT('3AC_Data'!$D$8,24),AE108,IF(EXACT('3AC_Data'!$D$8,25),AF108,IF(EXACT('3AC_Data'!$D$8,26),AG108,IF(EXACT('3AC_Data'!$D$8,27),AH108,IF(EXACT('3AC_Data'!$D$8,28),AI108,IF(EXACT('3AC_Data'!$D$8,29),AJ108,IF(EXACT('3AC_Data'!$D$8,30),AK108))))))))))))))))))))))))))))))</f>
        <v>0.115</v>
      </c>
      <c r="H108" s="104">
        <v>0.14746200000000001</v>
      </c>
      <c r="I108" s="105">
        <v>0.15825400000000001</v>
      </c>
      <c r="J108" s="104">
        <v>0.2</v>
      </c>
      <c r="K108" s="106">
        <v>2.0413700000000001</v>
      </c>
      <c r="L108" s="106">
        <v>0.2</v>
      </c>
      <c r="M108" s="106">
        <v>0.115</v>
      </c>
      <c r="N108" s="106">
        <v>0.115</v>
      </c>
      <c r="O108" s="106">
        <v>0.2</v>
      </c>
      <c r="P108" s="105">
        <v>0.14746200000000001</v>
      </c>
      <c r="Q108" s="105">
        <v>0.14746200000000001</v>
      </c>
      <c r="R108" s="105">
        <v>0.15825400000000001</v>
      </c>
      <c r="S108" s="107">
        <v>0.106</v>
      </c>
      <c r="T108" s="107">
        <v>0.106</v>
      </c>
      <c r="U108" s="107">
        <v>1.5</v>
      </c>
      <c r="V108" s="105">
        <v>0.22806899999999999</v>
      </c>
      <c r="W108" s="105">
        <v>0.420977698010503</v>
      </c>
      <c r="X108" s="105">
        <v>0.420977698010503</v>
      </c>
      <c r="Y108" s="105">
        <v>0.05</v>
      </c>
      <c r="Z108" s="105">
        <v>1.204</v>
      </c>
      <c r="AA108" s="105">
        <v>0.3</v>
      </c>
      <c r="AB108" s="105">
        <v>6.6000000000000003E-2</v>
      </c>
      <c r="AC108" s="107">
        <v>1.228675</v>
      </c>
      <c r="AD108" s="107">
        <v>0.88460000000000005</v>
      </c>
      <c r="AE108" s="144">
        <v>0.25</v>
      </c>
      <c r="AF108" s="104">
        <v>0.2</v>
      </c>
      <c r="AG108" s="107">
        <v>0.27</v>
      </c>
      <c r="AH108" s="178">
        <v>0.2</v>
      </c>
      <c r="AI108" s="107">
        <v>1.5</v>
      </c>
      <c r="AJ108" s="107">
        <v>1.5</v>
      </c>
      <c r="AK108" s="107">
        <v>1.5</v>
      </c>
    </row>
    <row r="109" spans="2:37" x14ac:dyDescent="0.25">
      <c r="B109" s="92" t="s">
        <v>413</v>
      </c>
      <c r="C109" s="92" t="s">
        <v>415</v>
      </c>
      <c r="D109" s="36">
        <f t="shared" si="49"/>
        <v>0</v>
      </c>
      <c r="E109" s="4">
        <v>1</v>
      </c>
      <c r="F109" s="3"/>
      <c r="G109" s="15">
        <f>+IF(EXACT('3AC_Data'!$D$8,1),H109,IF(EXACT('3AC_Data'!$D$8,2),I109,IF(EXACT('3AC_Data'!$D$8,3),J109,IF(EXACT('3AC_Data'!$D$8,4),K109,IF(EXACT('3AC_Data'!$D$8,5),L109,IF(EXACT('3AC_Data'!$D$8,6),M109,IF(EXACT('3AC_Data'!$D$8,7),N109,IF(EXACT('3AC_Data'!$D$8,8),O109,IF(EXACT('3AC_Data'!$D$8,9),P109,IF(EXACT('3AC_Data'!$D$8,10),Q109,IF(EXACT('3AC_Data'!$D$8,11),R109,IF(EXACT('3AC_Data'!$D$8,12),S109,IF(EXACT('3AC_Data'!$D$8,13),T109,IF(EXACT('3AC_Data'!$D$8,14),U109,IF(EXACT('3AC_Data'!$D$8,15),V109,IF(EXACT('3AC_Data'!$D$8,16),W109,IF(EXACT('3AC_Data'!$D$8,17),X109,IF(EXACT('3AC_Data'!$D$8,18),Y109,IF(EXACT('3AC_Data'!$D$8,19),Z109,IF(EXACT('3AC_Data'!$D$8,20),AA109,IF(EXACT('3AC_Data'!$D$8,21),AB109,IF(EXACT('3AC_Data'!$D$8,22),AC109,IF(EXACT('3AC_Data'!$D$8,23),AD109,IF(EXACT('3AC_Data'!$D$8,24),AE109,IF(EXACT('3AC_Data'!$D$8,25),AF109,IF(EXACT('3AC_Data'!$D$8,26),AG109,IF(EXACT('3AC_Data'!$D$8,27),AH109,IF(EXACT('3AC_Data'!$D$8,28),AI109,IF(EXACT('3AC_Data'!$D$8,29),AJ109,IF(EXACT('3AC_Data'!$D$8,30),AK109))))))))))))))))))))))))))))))</f>
        <v>0</v>
      </c>
      <c r="H109" s="104">
        <v>0.20452999999999999</v>
      </c>
      <c r="I109" s="105">
        <v>0.213944</v>
      </c>
      <c r="J109" s="104">
        <v>0.32</v>
      </c>
      <c r="K109" s="106">
        <v>4.6219900000000003</v>
      </c>
      <c r="L109" s="106">
        <v>0.16</v>
      </c>
      <c r="M109" s="106">
        <v>0</v>
      </c>
      <c r="N109" s="106">
        <v>0.115</v>
      </c>
      <c r="O109" s="106">
        <v>0.16</v>
      </c>
      <c r="P109" s="105">
        <v>0.20452999999999999</v>
      </c>
      <c r="Q109" s="105">
        <v>0.20452999999999999</v>
      </c>
      <c r="R109" s="105">
        <v>0.213944</v>
      </c>
      <c r="S109" s="107">
        <v>0.45500000000000002</v>
      </c>
      <c r="T109" s="107">
        <v>0.45500000000000002</v>
      </c>
      <c r="U109" s="107">
        <v>3.31</v>
      </c>
      <c r="V109" s="107">
        <v>0</v>
      </c>
      <c r="W109" s="105">
        <v>0.25955452553199299</v>
      </c>
      <c r="X109" s="105">
        <v>0.25955452553199299</v>
      </c>
      <c r="Y109" s="105">
        <v>0.05</v>
      </c>
      <c r="Z109" s="105">
        <v>2.25</v>
      </c>
      <c r="AA109" s="105">
        <v>0</v>
      </c>
      <c r="AB109" s="105">
        <v>0.15</v>
      </c>
      <c r="AC109" s="107"/>
      <c r="AD109" s="107">
        <v>0</v>
      </c>
      <c r="AE109" s="144">
        <v>0</v>
      </c>
      <c r="AF109" s="104">
        <v>0.32</v>
      </c>
      <c r="AG109" s="107">
        <v>0</v>
      </c>
      <c r="AH109" s="178">
        <v>0</v>
      </c>
      <c r="AI109" s="107">
        <v>3.31</v>
      </c>
      <c r="AJ109" s="107">
        <v>3.31</v>
      </c>
      <c r="AK109" s="107">
        <v>3.31</v>
      </c>
    </row>
    <row r="110" spans="2:37" x14ac:dyDescent="0.25">
      <c r="B110" s="133" t="s">
        <v>1355</v>
      </c>
      <c r="C110" s="133" t="s">
        <v>1318</v>
      </c>
      <c r="D110" s="36">
        <f t="shared" si="49"/>
        <v>0</v>
      </c>
      <c r="E110" s="4">
        <v>1</v>
      </c>
      <c r="F110" s="3"/>
      <c r="G110" s="15">
        <f>+IF(EXACT('3AC_Data'!$D$8,1),H110,IF(EXACT('3AC_Data'!$D$8,2),I110,IF(EXACT('3AC_Data'!$D$8,3),J110,IF(EXACT('3AC_Data'!$D$8,4),K110,IF(EXACT('3AC_Data'!$D$8,5),L110,IF(EXACT('3AC_Data'!$D$8,6),M110,IF(EXACT('3AC_Data'!$D$8,7),N110,IF(EXACT('3AC_Data'!$D$8,8),O110,IF(EXACT('3AC_Data'!$D$8,9),P110,IF(EXACT('3AC_Data'!$D$8,10),Q110,IF(EXACT('3AC_Data'!$D$8,11),R110,IF(EXACT('3AC_Data'!$D$8,12),S110,IF(EXACT('3AC_Data'!$D$8,13),T110,IF(EXACT('3AC_Data'!$D$8,14),U110,IF(EXACT('3AC_Data'!$D$8,15),V110,IF(EXACT('3AC_Data'!$D$8,16),W110,IF(EXACT('3AC_Data'!$D$8,17),X110,IF(EXACT('3AC_Data'!$D$8,18),Y110,IF(EXACT('3AC_Data'!$D$8,19),Z110,IF(EXACT('3AC_Data'!$D$8,20),AA110,IF(EXACT('3AC_Data'!$D$8,21),AB110,IF(EXACT('3AC_Data'!$D$8,22),AC110,IF(EXACT('3AC_Data'!$D$8,23),AD110,IF(EXACT('3AC_Data'!$D$8,24),AE110,IF(EXACT('3AC_Data'!$D$8,25),AF110,IF(EXACT('3AC_Data'!$D$8,26),AG110,IF(EXACT('3AC_Data'!$D$8,27),AH110,IF(EXACT('3AC_Data'!$D$8,28),AI110,IF(EXACT('3AC_Data'!$D$8,29),AJ110,IF(EXACT('3AC_Data'!$D$8,30),AK110))))))))))))))))))))))))))))))</f>
        <v>0</v>
      </c>
      <c r="H110" s="104"/>
      <c r="I110" s="105"/>
      <c r="J110" s="104">
        <v>0</v>
      </c>
      <c r="K110" s="106"/>
      <c r="L110" s="106"/>
      <c r="M110" s="106"/>
      <c r="N110" s="106"/>
      <c r="O110" s="106"/>
      <c r="P110" s="105"/>
      <c r="Q110" s="105"/>
      <c r="R110" s="105"/>
      <c r="S110" s="107"/>
      <c r="T110" s="107"/>
      <c r="U110" s="107">
        <v>0</v>
      </c>
      <c r="V110" s="107"/>
      <c r="W110" s="105"/>
      <c r="X110" s="105"/>
      <c r="Y110" s="105"/>
      <c r="Z110" s="105">
        <v>0</v>
      </c>
      <c r="AA110" s="105">
        <v>0</v>
      </c>
      <c r="AB110" s="105">
        <v>0</v>
      </c>
      <c r="AC110" s="107">
        <v>0</v>
      </c>
      <c r="AD110" s="107">
        <v>0</v>
      </c>
      <c r="AE110" s="144">
        <v>0</v>
      </c>
      <c r="AF110" s="104">
        <v>0</v>
      </c>
      <c r="AG110" s="107">
        <v>0</v>
      </c>
      <c r="AH110" s="178">
        <v>0</v>
      </c>
      <c r="AI110" s="107">
        <v>0</v>
      </c>
      <c r="AJ110" s="107">
        <v>0</v>
      </c>
      <c r="AK110" s="107">
        <v>0</v>
      </c>
    </row>
    <row r="111" spans="2:37" x14ac:dyDescent="0.25">
      <c r="B111" s="133" t="s">
        <v>1356</v>
      </c>
      <c r="C111" s="133" t="s">
        <v>1319</v>
      </c>
      <c r="D111" s="36">
        <f t="shared" si="49"/>
        <v>0</v>
      </c>
      <c r="E111" s="4">
        <v>1</v>
      </c>
      <c r="F111" s="3"/>
      <c r="G111" s="15">
        <f>+IF(EXACT('3AC_Data'!$D$8,1),H111,IF(EXACT('3AC_Data'!$D$8,2),I111,IF(EXACT('3AC_Data'!$D$8,3),J111,IF(EXACT('3AC_Data'!$D$8,4),K111,IF(EXACT('3AC_Data'!$D$8,5),L111,IF(EXACT('3AC_Data'!$D$8,6),M111,IF(EXACT('3AC_Data'!$D$8,7),N111,IF(EXACT('3AC_Data'!$D$8,8),O111,IF(EXACT('3AC_Data'!$D$8,9),P111,IF(EXACT('3AC_Data'!$D$8,10),Q111,IF(EXACT('3AC_Data'!$D$8,11),R111,IF(EXACT('3AC_Data'!$D$8,12),S111,IF(EXACT('3AC_Data'!$D$8,13),T111,IF(EXACT('3AC_Data'!$D$8,14),U111,IF(EXACT('3AC_Data'!$D$8,15),V111,IF(EXACT('3AC_Data'!$D$8,16),W111,IF(EXACT('3AC_Data'!$D$8,17),X111,IF(EXACT('3AC_Data'!$D$8,18),Y111,IF(EXACT('3AC_Data'!$D$8,19),Z111,IF(EXACT('3AC_Data'!$D$8,20),AA111,IF(EXACT('3AC_Data'!$D$8,21),AB111,IF(EXACT('3AC_Data'!$D$8,22),AC111,IF(EXACT('3AC_Data'!$D$8,23),AD111,IF(EXACT('3AC_Data'!$D$8,24),AE111,IF(EXACT('3AC_Data'!$D$8,25),AF111,IF(EXACT('3AC_Data'!$D$8,26),AG111,IF(EXACT('3AC_Data'!$D$8,27),AH111,IF(EXACT('3AC_Data'!$D$8,28),AI111,IF(EXACT('3AC_Data'!$D$8,29),AJ111,IF(EXACT('3AC_Data'!$D$8,30),AK111))))))))))))))))))))))))))))))</f>
        <v>0</v>
      </c>
      <c r="H111" s="104"/>
      <c r="I111" s="105"/>
      <c r="J111" s="104">
        <v>0</v>
      </c>
      <c r="K111" s="106"/>
      <c r="L111" s="106"/>
      <c r="M111" s="106"/>
      <c r="N111" s="106"/>
      <c r="O111" s="106"/>
      <c r="P111" s="105"/>
      <c r="Q111" s="105"/>
      <c r="R111" s="105"/>
      <c r="S111" s="107"/>
      <c r="T111" s="107"/>
      <c r="U111" s="107">
        <v>0</v>
      </c>
      <c r="V111" s="107"/>
      <c r="W111" s="105"/>
      <c r="X111" s="105"/>
      <c r="Y111" s="105"/>
      <c r="Z111" s="105">
        <v>0</v>
      </c>
      <c r="AA111" s="105">
        <v>0</v>
      </c>
      <c r="AB111" s="105">
        <v>0</v>
      </c>
      <c r="AC111" s="107">
        <v>0</v>
      </c>
      <c r="AD111" s="107">
        <v>0</v>
      </c>
      <c r="AE111" s="144">
        <v>0</v>
      </c>
      <c r="AF111" s="104">
        <v>0</v>
      </c>
      <c r="AG111" s="107">
        <v>0</v>
      </c>
      <c r="AH111" s="178">
        <v>0</v>
      </c>
      <c r="AI111" s="107">
        <v>0</v>
      </c>
      <c r="AJ111" s="107">
        <v>0</v>
      </c>
      <c r="AK111" s="107">
        <v>0</v>
      </c>
    </row>
    <row r="112" spans="2:37" x14ac:dyDescent="0.25">
      <c r="B112" s="92" t="s">
        <v>414</v>
      </c>
      <c r="C112" s="92" t="s">
        <v>416</v>
      </c>
      <c r="D112" s="36">
        <f t="shared" si="49"/>
        <v>0</v>
      </c>
      <c r="E112" s="4">
        <v>1</v>
      </c>
      <c r="F112" s="3"/>
      <c r="G112" s="15">
        <f>+IF(EXACT('3AC_Data'!$D$8,1),H112,IF(EXACT('3AC_Data'!$D$8,2),I112,IF(EXACT('3AC_Data'!$D$8,3),J112,IF(EXACT('3AC_Data'!$D$8,4),K112,IF(EXACT('3AC_Data'!$D$8,5),L112,IF(EXACT('3AC_Data'!$D$8,6),M112,IF(EXACT('3AC_Data'!$D$8,7),N112,IF(EXACT('3AC_Data'!$D$8,8),O112,IF(EXACT('3AC_Data'!$D$8,9),P112,IF(EXACT('3AC_Data'!$D$8,10),Q112,IF(EXACT('3AC_Data'!$D$8,11),R112,IF(EXACT('3AC_Data'!$D$8,12),S112,IF(EXACT('3AC_Data'!$D$8,13),T112,IF(EXACT('3AC_Data'!$D$8,14),U112,IF(EXACT('3AC_Data'!$D$8,15),V112,IF(EXACT('3AC_Data'!$D$8,16),W112,IF(EXACT('3AC_Data'!$D$8,17),X112,IF(EXACT('3AC_Data'!$D$8,18),Y112,IF(EXACT('3AC_Data'!$D$8,19),Z112,IF(EXACT('3AC_Data'!$D$8,20),AA112,IF(EXACT('3AC_Data'!$D$8,21),AB112,IF(EXACT('3AC_Data'!$D$8,22),AC112,IF(EXACT('3AC_Data'!$D$8,23),AD112,IF(EXACT('3AC_Data'!$D$8,24),AE112,IF(EXACT('3AC_Data'!$D$8,25),AF112,IF(EXACT('3AC_Data'!$D$8,26),AG112,IF(EXACT('3AC_Data'!$D$8,27),AH112,IF(EXACT('3AC_Data'!$D$8,28),AI112,IF(EXACT('3AC_Data'!$D$8,29),AJ112,IF(EXACT('3AC_Data'!$D$8,30),AK112))))))))))))))))))))))))))))))</f>
        <v>0</v>
      </c>
      <c r="H112" s="104">
        <v>0.102565</v>
      </c>
      <c r="I112" s="105">
        <v>0.122864</v>
      </c>
      <c r="J112" s="104">
        <v>0.16</v>
      </c>
      <c r="K112" s="106">
        <v>1.34718</v>
      </c>
      <c r="L112" s="106">
        <v>0.16</v>
      </c>
      <c r="M112" s="106">
        <v>0</v>
      </c>
      <c r="N112" s="106">
        <v>0.115</v>
      </c>
      <c r="O112" s="106">
        <v>0.16</v>
      </c>
      <c r="P112" s="105">
        <v>0.102565</v>
      </c>
      <c r="Q112" s="105">
        <v>0.102565</v>
      </c>
      <c r="R112" s="105">
        <v>0.122864</v>
      </c>
      <c r="S112" s="107">
        <v>0.106</v>
      </c>
      <c r="T112" s="107">
        <v>0.106</v>
      </c>
      <c r="U112" s="107">
        <v>1.24</v>
      </c>
      <c r="V112" s="107">
        <v>0</v>
      </c>
      <c r="W112" s="105">
        <v>0.25955452553199299</v>
      </c>
      <c r="X112" s="105">
        <v>0.25955452553199299</v>
      </c>
      <c r="Y112" s="105">
        <v>0.05</v>
      </c>
      <c r="Z112" s="105">
        <v>1.198</v>
      </c>
      <c r="AA112" s="105">
        <v>0</v>
      </c>
      <c r="AB112" s="105">
        <v>7.4999999999999997E-2</v>
      </c>
      <c r="AC112" s="107">
        <v>0.71399999999999997</v>
      </c>
      <c r="AD112" s="107">
        <v>0</v>
      </c>
      <c r="AE112" s="144">
        <v>0</v>
      </c>
      <c r="AF112" s="104">
        <v>0.16</v>
      </c>
      <c r="AG112" s="107">
        <v>0</v>
      </c>
      <c r="AH112" s="178">
        <v>0</v>
      </c>
      <c r="AI112" s="107">
        <v>1.24</v>
      </c>
      <c r="AJ112" s="107">
        <v>1.24</v>
      </c>
      <c r="AK112" s="107">
        <v>1.24</v>
      </c>
    </row>
    <row r="113" spans="2:37" x14ac:dyDescent="0.25">
      <c r="B113" s="92" t="s">
        <v>417</v>
      </c>
      <c r="C113" s="92" t="s">
        <v>426</v>
      </c>
      <c r="D113" s="36">
        <f t="shared" si="49"/>
        <v>0.115</v>
      </c>
      <c r="E113" s="4">
        <v>1</v>
      </c>
      <c r="F113" s="3"/>
      <c r="G113" s="15">
        <f>+IF(EXACT('3AC_Data'!$D$8,1),H113,IF(EXACT('3AC_Data'!$D$8,2),I113,IF(EXACT('3AC_Data'!$D$8,3),J113,IF(EXACT('3AC_Data'!$D$8,4),K113,IF(EXACT('3AC_Data'!$D$8,5),L113,IF(EXACT('3AC_Data'!$D$8,6),M113,IF(EXACT('3AC_Data'!$D$8,7),N113,IF(EXACT('3AC_Data'!$D$8,8),O113,IF(EXACT('3AC_Data'!$D$8,9),P113,IF(EXACT('3AC_Data'!$D$8,10),Q113,IF(EXACT('3AC_Data'!$D$8,11),R113,IF(EXACT('3AC_Data'!$D$8,12),S113,IF(EXACT('3AC_Data'!$D$8,13),T113,IF(EXACT('3AC_Data'!$D$8,14),U113,IF(EXACT('3AC_Data'!$D$8,15),V113,IF(EXACT('3AC_Data'!$D$8,16),W113,IF(EXACT('3AC_Data'!$D$8,17),X113,IF(EXACT('3AC_Data'!$D$8,18),Y113,IF(EXACT('3AC_Data'!$D$8,19),Z113,IF(EXACT('3AC_Data'!$D$8,20),AA113,IF(EXACT('3AC_Data'!$D$8,21),AB113,IF(EXACT('3AC_Data'!$D$8,22),AC113,IF(EXACT('3AC_Data'!$D$8,23),AD113,IF(EXACT('3AC_Data'!$D$8,24),AE113,IF(EXACT('3AC_Data'!$D$8,25),AF113,IF(EXACT('3AC_Data'!$D$8,26),AG113,IF(EXACT('3AC_Data'!$D$8,27),AH113,IF(EXACT('3AC_Data'!$D$8,28),AI113,IF(EXACT('3AC_Data'!$D$8,29),AJ113,IF(EXACT('3AC_Data'!$D$8,30),AK113))))))))))))))))))))))))))))))</f>
        <v>0.115</v>
      </c>
      <c r="H113" s="104">
        <v>0</v>
      </c>
      <c r="I113" s="105">
        <v>0</v>
      </c>
      <c r="J113" s="104">
        <v>0</v>
      </c>
      <c r="K113" s="106">
        <v>0</v>
      </c>
      <c r="L113" s="106">
        <v>0</v>
      </c>
      <c r="M113" s="106">
        <v>0.115</v>
      </c>
      <c r="N113" s="106">
        <v>0.115</v>
      </c>
      <c r="O113" s="106">
        <v>0</v>
      </c>
      <c r="P113" s="105">
        <v>0</v>
      </c>
      <c r="Q113" s="105">
        <v>0</v>
      </c>
      <c r="R113" s="105">
        <v>0</v>
      </c>
      <c r="S113" s="107">
        <v>0</v>
      </c>
      <c r="T113" s="107">
        <v>0</v>
      </c>
      <c r="U113" s="107">
        <v>0</v>
      </c>
      <c r="V113" s="105">
        <v>0.22806899999999999</v>
      </c>
      <c r="W113" s="105">
        <v>0</v>
      </c>
      <c r="X113" s="105">
        <v>0</v>
      </c>
      <c r="Y113" s="105"/>
      <c r="Z113" s="105">
        <v>0</v>
      </c>
      <c r="AA113" s="105">
        <v>0</v>
      </c>
      <c r="AB113" s="105">
        <v>0</v>
      </c>
      <c r="AC113" s="107">
        <v>0</v>
      </c>
      <c r="AD113" s="107">
        <v>0</v>
      </c>
      <c r="AE113" s="144">
        <v>0</v>
      </c>
      <c r="AF113" s="104">
        <v>0</v>
      </c>
      <c r="AG113" s="107">
        <v>0</v>
      </c>
      <c r="AH113" s="178">
        <v>0</v>
      </c>
      <c r="AI113" s="107">
        <v>0</v>
      </c>
      <c r="AJ113" s="107">
        <v>0</v>
      </c>
      <c r="AK113" s="107">
        <v>0</v>
      </c>
    </row>
    <row r="114" spans="2:37" x14ac:dyDescent="0.25">
      <c r="B114" s="133" t="s">
        <v>1357</v>
      </c>
      <c r="C114" s="133" t="s">
        <v>1320</v>
      </c>
      <c r="D114" s="36">
        <f t="shared" si="49"/>
        <v>0</v>
      </c>
      <c r="E114" s="4">
        <v>1</v>
      </c>
      <c r="F114" s="3"/>
      <c r="G114" s="15">
        <f>+IF(EXACT('3AC_Data'!$D$8,1),H114,IF(EXACT('3AC_Data'!$D$8,2),I114,IF(EXACT('3AC_Data'!$D$8,3),J114,IF(EXACT('3AC_Data'!$D$8,4),K114,IF(EXACT('3AC_Data'!$D$8,5),L114,IF(EXACT('3AC_Data'!$D$8,6),M114,IF(EXACT('3AC_Data'!$D$8,7),N114,IF(EXACT('3AC_Data'!$D$8,8),O114,IF(EXACT('3AC_Data'!$D$8,9),P114,IF(EXACT('3AC_Data'!$D$8,10),Q114,IF(EXACT('3AC_Data'!$D$8,11),R114,IF(EXACT('3AC_Data'!$D$8,12),S114,IF(EXACT('3AC_Data'!$D$8,13),T114,IF(EXACT('3AC_Data'!$D$8,14),U114,IF(EXACT('3AC_Data'!$D$8,15),V114,IF(EXACT('3AC_Data'!$D$8,16),W114,IF(EXACT('3AC_Data'!$D$8,17),X114,IF(EXACT('3AC_Data'!$D$8,18),Y114,IF(EXACT('3AC_Data'!$D$8,19),Z114,IF(EXACT('3AC_Data'!$D$8,20),AA114,IF(EXACT('3AC_Data'!$D$8,21),AB114,IF(EXACT('3AC_Data'!$D$8,22),AC114,IF(EXACT('3AC_Data'!$D$8,23),AD114,IF(EXACT('3AC_Data'!$D$8,24),AE114,IF(EXACT('3AC_Data'!$D$8,25),AF114,IF(EXACT('3AC_Data'!$D$8,26),AG114,IF(EXACT('3AC_Data'!$D$8,27),AH114,IF(EXACT('3AC_Data'!$D$8,28),AI114,IF(EXACT('3AC_Data'!$D$8,29),AJ114,IF(EXACT('3AC_Data'!$D$8,30),AK114))))))))))))))))))))))))))))))</f>
        <v>0</v>
      </c>
      <c r="H114" s="104"/>
      <c r="I114" s="105"/>
      <c r="J114" s="104">
        <v>0</v>
      </c>
      <c r="K114" s="106"/>
      <c r="L114" s="106"/>
      <c r="M114" s="106"/>
      <c r="N114" s="106"/>
      <c r="O114" s="106"/>
      <c r="P114" s="105"/>
      <c r="Q114" s="105"/>
      <c r="R114" s="105"/>
      <c r="S114" s="107"/>
      <c r="T114" s="107"/>
      <c r="U114" s="107">
        <v>0</v>
      </c>
      <c r="V114" s="105"/>
      <c r="W114" s="105"/>
      <c r="X114" s="105"/>
      <c r="Y114" s="105"/>
      <c r="Z114" s="105">
        <v>0</v>
      </c>
      <c r="AA114" s="105">
        <v>0</v>
      </c>
      <c r="AB114" s="105">
        <v>0</v>
      </c>
      <c r="AC114" s="107">
        <v>0</v>
      </c>
      <c r="AD114" s="107">
        <v>0</v>
      </c>
      <c r="AE114" s="144">
        <v>0</v>
      </c>
      <c r="AF114" s="104">
        <v>0</v>
      </c>
      <c r="AG114" s="107">
        <v>0</v>
      </c>
      <c r="AH114" s="178">
        <v>0</v>
      </c>
      <c r="AI114" s="107">
        <v>0</v>
      </c>
      <c r="AJ114" s="107">
        <v>0</v>
      </c>
      <c r="AK114" s="107">
        <v>0</v>
      </c>
    </row>
    <row r="115" spans="2:37" x14ac:dyDescent="0.25">
      <c r="B115" s="133" t="s">
        <v>1358</v>
      </c>
      <c r="C115" s="133" t="s">
        <v>1321</v>
      </c>
      <c r="D115" s="36">
        <f t="shared" si="49"/>
        <v>0</v>
      </c>
      <c r="E115" s="4">
        <v>1</v>
      </c>
      <c r="F115" s="3"/>
      <c r="G115" s="15">
        <f>+IF(EXACT('3AC_Data'!$D$8,1),H115,IF(EXACT('3AC_Data'!$D$8,2),I115,IF(EXACT('3AC_Data'!$D$8,3),J115,IF(EXACT('3AC_Data'!$D$8,4),K115,IF(EXACT('3AC_Data'!$D$8,5),L115,IF(EXACT('3AC_Data'!$D$8,6),M115,IF(EXACT('3AC_Data'!$D$8,7),N115,IF(EXACT('3AC_Data'!$D$8,8),O115,IF(EXACT('3AC_Data'!$D$8,9),P115,IF(EXACT('3AC_Data'!$D$8,10),Q115,IF(EXACT('3AC_Data'!$D$8,11),R115,IF(EXACT('3AC_Data'!$D$8,12),S115,IF(EXACT('3AC_Data'!$D$8,13),T115,IF(EXACT('3AC_Data'!$D$8,14),U115,IF(EXACT('3AC_Data'!$D$8,15),V115,IF(EXACT('3AC_Data'!$D$8,16),W115,IF(EXACT('3AC_Data'!$D$8,17),X115,IF(EXACT('3AC_Data'!$D$8,18),Y115,IF(EXACT('3AC_Data'!$D$8,19),Z115,IF(EXACT('3AC_Data'!$D$8,20),AA115,IF(EXACT('3AC_Data'!$D$8,21),AB115,IF(EXACT('3AC_Data'!$D$8,22),AC115,IF(EXACT('3AC_Data'!$D$8,23),AD115,IF(EXACT('3AC_Data'!$D$8,24),AE115,IF(EXACT('3AC_Data'!$D$8,25),AF115,IF(EXACT('3AC_Data'!$D$8,26),AG115,IF(EXACT('3AC_Data'!$D$8,27),AH115,IF(EXACT('3AC_Data'!$D$8,28),AI115,IF(EXACT('3AC_Data'!$D$8,29),AJ115,IF(EXACT('3AC_Data'!$D$8,30),AK115))))))))))))))))))))))))))))))</f>
        <v>0</v>
      </c>
      <c r="H115" s="104"/>
      <c r="I115" s="105"/>
      <c r="J115" s="104">
        <v>0</v>
      </c>
      <c r="K115" s="106"/>
      <c r="L115" s="106"/>
      <c r="M115" s="106"/>
      <c r="N115" s="106"/>
      <c r="O115" s="106"/>
      <c r="P115" s="105"/>
      <c r="Q115" s="105"/>
      <c r="R115" s="105"/>
      <c r="S115" s="107"/>
      <c r="T115" s="107"/>
      <c r="U115" s="107">
        <v>0</v>
      </c>
      <c r="V115" s="105"/>
      <c r="W115" s="105"/>
      <c r="X115" s="105"/>
      <c r="Y115" s="105"/>
      <c r="Z115" s="105">
        <v>0</v>
      </c>
      <c r="AA115" s="105">
        <v>0</v>
      </c>
      <c r="AB115" s="105">
        <v>0</v>
      </c>
      <c r="AC115" s="107">
        <v>0</v>
      </c>
      <c r="AD115" s="107">
        <v>0</v>
      </c>
      <c r="AE115" s="144">
        <v>0</v>
      </c>
      <c r="AF115" s="104">
        <v>0</v>
      </c>
      <c r="AG115" s="107">
        <v>0</v>
      </c>
      <c r="AH115" s="178">
        <v>0</v>
      </c>
      <c r="AI115" s="107">
        <v>0</v>
      </c>
      <c r="AJ115" s="107">
        <v>0</v>
      </c>
      <c r="AK115" s="107">
        <v>0</v>
      </c>
    </row>
    <row r="116" spans="2:37" x14ac:dyDescent="0.25">
      <c r="B116" s="92" t="s">
        <v>418</v>
      </c>
      <c r="C116" s="92" t="s">
        <v>427</v>
      </c>
      <c r="D116" s="36">
        <f t="shared" si="49"/>
        <v>0.115</v>
      </c>
      <c r="E116" s="4">
        <v>1</v>
      </c>
      <c r="F116" s="3"/>
      <c r="G116" s="15">
        <f>+IF(EXACT('3AC_Data'!$D$8,1),H116,IF(EXACT('3AC_Data'!$D$8,2),I116,IF(EXACT('3AC_Data'!$D$8,3),J116,IF(EXACT('3AC_Data'!$D$8,4),K116,IF(EXACT('3AC_Data'!$D$8,5),L116,IF(EXACT('3AC_Data'!$D$8,6),M116,IF(EXACT('3AC_Data'!$D$8,7),N116,IF(EXACT('3AC_Data'!$D$8,8),O116,IF(EXACT('3AC_Data'!$D$8,9),P116,IF(EXACT('3AC_Data'!$D$8,10),Q116,IF(EXACT('3AC_Data'!$D$8,11),R116,IF(EXACT('3AC_Data'!$D$8,12),S116,IF(EXACT('3AC_Data'!$D$8,13),T116,IF(EXACT('3AC_Data'!$D$8,14),U116,IF(EXACT('3AC_Data'!$D$8,15),V116,IF(EXACT('3AC_Data'!$D$8,16),W116,IF(EXACT('3AC_Data'!$D$8,17),X116,IF(EXACT('3AC_Data'!$D$8,18),Y116,IF(EXACT('3AC_Data'!$D$8,19),Z116,IF(EXACT('3AC_Data'!$D$8,20),AA116,IF(EXACT('3AC_Data'!$D$8,21),AB116,IF(EXACT('3AC_Data'!$D$8,22),AC116,IF(EXACT('3AC_Data'!$D$8,23),AD116,IF(EXACT('3AC_Data'!$D$8,24),AE116,IF(EXACT('3AC_Data'!$D$8,25),AF116,IF(EXACT('3AC_Data'!$D$8,26),AG116,IF(EXACT('3AC_Data'!$D$8,27),AH116,IF(EXACT('3AC_Data'!$D$8,28),AI116,IF(EXACT('3AC_Data'!$D$8,29),AJ116,IF(EXACT('3AC_Data'!$D$8,30),AK116))))))))))))))))))))))))))))))</f>
        <v>0.115</v>
      </c>
      <c r="H116" s="104">
        <v>0</v>
      </c>
      <c r="I116" s="105">
        <v>0</v>
      </c>
      <c r="J116" s="104">
        <v>0</v>
      </c>
      <c r="K116" s="106">
        <v>0</v>
      </c>
      <c r="L116" s="106">
        <v>0</v>
      </c>
      <c r="M116" s="106">
        <v>0.115</v>
      </c>
      <c r="N116" s="106">
        <v>0.115</v>
      </c>
      <c r="O116" s="106">
        <v>0</v>
      </c>
      <c r="P116" s="105">
        <v>0</v>
      </c>
      <c r="Q116" s="105">
        <v>0</v>
      </c>
      <c r="R116" s="105">
        <v>0</v>
      </c>
      <c r="S116" s="107">
        <v>0</v>
      </c>
      <c r="T116" s="107">
        <v>0</v>
      </c>
      <c r="U116" s="107">
        <v>0</v>
      </c>
      <c r="V116" s="105">
        <v>0.22806899999999999</v>
      </c>
      <c r="W116" s="105">
        <v>0</v>
      </c>
      <c r="X116" s="105">
        <v>0</v>
      </c>
      <c r="Y116" s="105"/>
      <c r="Z116" s="105">
        <v>0</v>
      </c>
      <c r="AA116" s="105">
        <v>0</v>
      </c>
      <c r="AB116" s="105">
        <v>0</v>
      </c>
      <c r="AC116" s="107">
        <v>0</v>
      </c>
      <c r="AD116" s="107">
        <v>0</v>
      </c>
      <c r="AE116" s="144">
        <v>0</v>
      </c>
      <c r="AF116" s="104">
        <v>0</v>
      </c>
      <c r="AG116" s="107">
        <v>0</v>
      </c>
      <c r="AH116" s="178">
        <v>0</v>
      </c>
      <c r="AI116" s="107">
        <v>0</v>
      </c>
      <c r="AJ116" s="107">
        <v>0</v>
      </c>
      <c r="AK116" s="107">
        <v>0</v>
      </c>
    </row>
    <row r="117" spans="2:37" x14ac:dyDescent="0.25">
      <c r="B117" s="92" t="s">
        <v>419</v>
      </c>
      <c r="C117" s="92" t="s">
        <v>428</v>
      </c>
      <c r="D117" s="36">
        <f t="shared" si="49"/>
        <v>0</v>
      </c>
      <c r="E117" s="4">
        <v>1</v>
      </c>
      <c r="F117" s="3"/>
      <c r="G117" s="15">
        <f>+IF(EXACT('3AC_Data'!$D$8,1),H117,IF(EXACT('3AC_Data'!$D$8,2),I117,IF(EXACT('3AC_Data'!$D$8,3),J117,IF(EXACT('3AC_Data'!$D$8,4),K117,IF(EXACT('3AC_Data'!$D$8,5),L117,IF(EXACT('3AC_Data'!$D$8,6),M117,IF(EXACT('3AC_Data'!$D$8,7),N117,IF(EXACT('3AC_Data'!$D$8,8),O117,IF(EXACT('3AC_Data'!$D$8,9),P117,IF(EXACT('3AC_Data'!$D$8,10),Q117,IF(EXACT('3AC_Data'!$D$8,11),R117,IF(EXACT('3AC_Data'!$D$8,12),S117,IF(EXACT('3AC_Data'!$D$8,13),T117,IF(EXACT('3AC_Data'!$D$8,14),U117,IF(EXACT('3AC_Data'!$D$8,15),V117,IF(EXACT('3AC_Data'!$D$8,16),W117,IF(EXACT('3AC_Data'!$D$8,17),X117,IF(EXACT('3AC_Data'!$D$8,18),Y117,IF(EXACT('3AC_Data'!$D$8,19),Z117,IF(EXACT('3AC_Data'!$D$8,20),AA117,IF(EXACT('3AC_Data'!$D$8,21),AB117,IF(EXACT('3AC_Data'!$D$8,22),AC117,IF(EXACT('3AC_Data'!$D$8,23),AD117,IF(EXACT('3AC_Data'!$D$8,24),AE117,IF(EXACT('3AC_Data'!$D$8,25),AF117,IF(EXACT('3AC_Data'!$D$8,26),AG117,IF(EXACT('3AC_Data'!$D$8,27),AH117,IF(EXACT('3AC_Data'!$D$8,28),AI117,IF(EXACT('3AC_Data'!$D$8,29),AJ117,IF(EXACT('3AC_Data'!$D$8,30),AK117))))))))))))))))))))))))))))))</f>
        <v>0</v>
      </c>
      <c r="H117" s="104">
        <v>0</v>
      </c>
      <c r="I117" s="105">
        <v>0</v>
      </c>
      <c r="J117" s="104">
        <v>0</v>
      </c>
      <c r="K117" s="106">
        <v>4.6219900000000003</v>
      </c>
      <c r="L117" s="106">
        <v>0</v>
      </c>
      <c r="M117" s="106">
        <v>0</v>
      </c>
      <c r="N117" s="106">
        <v>0</v>
      </c>
      <c r="O117" s="106">
        <v>0</v>
      </c>
      <c r="P117" s="105">
        <v>0</v>
      </c>
      <c r="Q117" s="105">
        <v>0</v>
      </c>
      <c r="R117" s="105">
        <v>0</v>
      </c>
      <c r="S117" s="107">
        <v>0</v>
      </c>
      <c r="T117" s="107">
        <v>0</v>
      </c>
      <c r="U117" s="107">
        <v>3.31</v>
      </c>
      <c r="V117" s="107">
        <v>0</v>
      </c>
      <c r="W117" s="105">
        <v>0.25955452553199299</v>
      </c>
      <c r="X117" s="105">
        <v>0.25955452553199299</v>
      </c>
      <c r="Y117" s="105"/>
      <c r="Z117" s="105">
        <v>2.25</v>
      </c>
      <c r="AA117" s="105">
        <v>0</v>
      </c>
      <c r="AB117" s="105">
        <v>0.15</v>
      </c>
      <c r="AC117" s="107">
        <v>1.5289999999999999</v>
      </c>
      <c r="AD117" s="107">
        <v>1.5195000000000001</v>
      </c>
      <c r="AE117" s="144">
        <v>0</v>
      </c>
      <c r="AF117" s="104">
        <v>0</v>
      </c>
      <c r="AG117" s="107">
        <v>0</v>
      </c>
      <c r="AH117" s="178">
        <v>0</v>
      </c>
      <c r="AI117" s="107">
        <v>3.31</v>
      </c>
      <c r="AJ117" s="107">
        <v>3.31</v>
      </c>
      <c r="AK117" s="107">
        <v>3.31</v>
      </c>
    </row>
    <row r="118" spans="2:37" x14ac:dyDescent="0.25">
      <c r="B118" s="133" t="s">
        <v>1717</v>
      </c>
      <c r="C118" s="133" t="s">
        <v>1322</v>
      </c>
      <c r="D118" s="36">
        <f t="shared" si="49"/>
        <v>0</v>
      </c>
      <c r="E118" s="4">
        <v>1</v>
      </c>
      <c r="F118" s="3"/>
      <c r="G118" s="15">
        <f>+IF(EXACT('3AC_Data'!$D$8,1),H118,IF(EXACT('3AC_Data'!$D$8,2),I118,IF(EXACT('3AC_Data'!$D$8,3),J118,IF(EXACT('3AC_Data'!$D$8,4),K118,IF(EXACT('3AC_Data'!$D$8,5),L118,IF(EXACT('3AC_Data'!$D$8,6),M118,IF(EXACT('3AC_Data'!$D$8,7),N118,IF(EXACT('3AC_Data'!$D$8,8),O118,IF(EXACT('3AC_Data'!$D$8,9),P118,IF(EXACT('3AC_Data'!$D$8,10),Q118,IF(EXACT('3AC_Data'!$D$8,11),R118,IF(EXACT('3AC_Data'!$D$8,12),S118,IF(EXACT('3AC_Data'!$D$8,13),T118,IF(EXACT('3AC_Data'!$D$8,14),U118,IF(EXACT('3AC_Data'!$D$8,15),V118,IF(EXACT('3AC_Data'!$D$8,16),W118,IF(EXACT('3AC_Data'!$D$8,17),X118,IF(EXACT('3AC_Data'!$D$8,18),Y118,IF(EXACT('3AC_Data'!$D$8,19),Z118,IF(EXACT('3AC_Data'!$D$8,20),AA118,IF(EXACT('3AC_Data'!$D$8,21),AB118,IF(EXACT('3AC_Data'!$D$8,22),AC118,IF(EXACT('3AC_Data'!$D$8,23),AD118,IF(EXACT('3AC_Data'!$D$8,24),AE118,IF(EXACT('3AC_Data'!$D$8,25),AF118,IF(EXACT('3AC_Data'!$D$8,26),AG118,IF(EXACT('3AC_Data'!$D$8,27),AH118,IF(EXACT('3AC_Data'!$D$8,28),AI118,IF(EXACT('3AC_Data'!$D$8,29),AJ118,IF(EXACT('3AC_Data'!$D$8,30),AK118))))))))))))))))))))))))))))))</f>
        <v>0</v>
      </c>
      <c r="H118" s="104"/>
      <c r="I118" s="105"/>
      <c r="J118" s="104">
        <v>0</v>
      </c>
      <c r="K118" s="106"/>
      <c r="L118" s="106"/>
      <c r="M118" s="106"/>
      <c r="N118" s="106"/>
      <c r="O118" s="106"/>
      <c r="P118" s="105"/>
      <c r="Q118" s="105"/>
      <c r="R118" s="105"/>
      <c r="S118" s="107"/>
      <c r="T118" s="107"/>
      <c r="U118" s="107">
        <v>0</v>
      </c>
      <c r="V118" s="107"/>
      <c r="W118" s="105"/>
      <c r="X118" s="105"/>
      <c r="Y118" s="105"/>
      <c r="Z118" s="105">
        <v>0</v>
      </c>
      <c r="AA118" s="105">
        <v>0</v>
      </c>
      <c r="AB118" s="105">
        <v>0</v>
      </c>
      <c r="AC118" s="107">
        <v>0</v>
      </c>
      <c r="AD118" s="107">
        <v>0</v>
      </c>
      <c r="AE118" s="144">
        <v>0</v>
      </c>
      <c r="AF118" s="104">
        <v>0</v>
      </c>
      <c r="AG118" s="107">
        <v>0</v>
      </c>
      <c r="AH118" s="178">
        <v>0</v>
      </c>
      <c r="AI118" s="107">
        <v>0</v>
      </c>
      <c r="AJ118" s="107">
        <v>0</v>
      </c>
      <c r="AK118" s="107">
        <v>0</v>
      </c>
    </row>
    <row r="119" spans="2:37" x14ac:dyDescent="0.25">
      <c r="B119" s="133" t="s">
        <v>1718</v>
      </c>
      <c r="C119" s="133" t="s">
        <v>1323</v>
      </c>
      <c r="D119" s="36">
        <f t="shared" si="49"/>
        <v>0</v>
      </c>
      <c r="E119" s="4">
        <v>1</v>
      </c>
      <c r="F119" s="3"/>
      <c r="G119" s="15">
        <f>+IF(EXACT('3AC_Data'!$D$8,1),H119,IF(EXACT('3AC_Data'!$D$8,2),I119,IF(EXACT('3AC_Data'!$D$8,3),J119,IF(EXACT('3AC_Data'!$D$8,4),K119,IF(EXACT('3AC_Data'!$D$8,5),L119,IF(EXACT('3AC_Data'!$D$8,6),M119,IF(EXACT('3AC_Data'!$D$8,7),N119,IF(EXACT('3AC_Data'!$D$8,8),O119,IF(EXACT('3AC_Data'!$D$8,9),P119,IF(EXACT('3AC_Data'!$D$8,10),Q119,IF(EXACT('3AC_Data'!$D$8,11),R119,IF(EXACT('3AC_Data'!$D$8,12),S119,IF(EXACT('3AC_Data'!$D$8,13),T119,IF(EXACT('3AC_Data'!$D$8,14),U119,IF(EXACT('3AC_Data'!$D$8,15),V119,IF(EXACT('3AC_Data'!$D$8,16),W119,IF(EXACT('3AC_Data'!$D$8,17),X119,IF(EXACT('3AC_Data'!$D$8,18),Y119,IF(EXACT('3AC_Data'!$D$8,19),Z119,IF(EXACT('3AC_Data'!$D$8,20),AA119,IF(EXACT('3AC_Data'!$D$8,21),AB119,IF(EXACT('3AC_Data'!$D$8,22),AC119,IF(EXACT('3AC_Data'!$D$8,23),AD119,IF(EXACT('3AC_Data'!$D$8,24),AE119,IF(EXACT('3AC_Data'!$D$8,25),AF119,IF(EXACT('3AC_Data'!$D$8,26),AG119,IF(EXACT('3AC_Data'!$D$8,27),AH119,IF(EXACT('3AC_Data'!$D$8,28),AI119,IF(EXACT('3AC_Data'!$D$8,29),AJ119,IF(EXACT('3AC_Data'!$D$8,30),AK119))))))))))))))))))))))))))))))</f>
        <v>0</v>
      </c>
      <c r="H119" s="104"/>
      <c r="I119" s="105"/>
      <c r="J119" s="104">
        <v>0</v>
      </c>
      <c r="K119" s="106"/>
      <c r="L119" s="106"/>
      <c r="M119" s="106"/>
      <c r="N119" s="106"/>
      <c r="O119" s="106"/>
      <c r="P119" s="105"/>
      <c r="Q119" s="105"/>
      <c r="R119" s="105"/>
      <c r="S119" s="107"/>
      <c r="T119" s="107"/>
      <c r="U119" s="107">
        <v>0</v>
      </c>
      <c r="V119" s="107"/>
      <c r="W119" s="105"/>
      <c r="X119" s="105"/>
      <c r="Y119" s="105"/>
      <c r="Z119" s="105">
        <v>0</v>
      </c>
      <c r="AA119" s="105">
        <v>0</v>
      </c>
      <c r="AB119" s="105">
        <v>0</v>
      </c>
      <c r="AC119" s="107">
        <v>0</v>
      </c>
      <c r="AD119" s="107">
        <v>0</v>
      </c>
      <c r="AE119" s="144">
        <v>0</v>
      </c>
      <c r="AF119" s="104">
        <v>0</v>
      </c>
      <c r="AG119" s="107">
        <v>0</v>
      </c>
      <c r="AH119" s="178">
        <v>0</v>
      </c>
      <c r="AI119" s="107">
        <v>0</v>
      </c>
      <c r="AJ119" s="107">
        <v>0</v>
      </c>
      <c r="AK119" s="107">
        <v>0</v>
      </c>
    </row>
    <row r="120" spans="2:37" x14ac:dyDescent="0.25">
      <c r="B120" s="92" t="s">
        <v>420</v>
      </c>
      <c r="C120" s="92" t="s">
        <v>429</v>
      </c>
      <c r="D120" s="36">
        <f t="shared" si="49"/>
        <v>0</v>
      </c>
      <c r="E120" s="4">
        <v>1</v>
      </c>
      <c r="F120" s="3"/>
      <c r="G120" s="15">
        <f>+IF(EXACT('3AC_Data'!$D$8,1),H120,IF(EXACT('3AC_Data'!$D$8,2),I120,IF(EXACT('3AC_Data'!$D$8,3),J120,IF(EXACT('3AC_Data'!$D$8,4),K120,IF(EXACT('3AC_Data'!$D$8,5),L120,IF(EXACT('3AC_Data'!$D$8,6),M120,IF(EXACT('3AC_Data'!$D$8,7),N120,IF(EXACT('3AC_Data'!$D$8,8),O120,IF(EXACT('3AC_Data'!$D$8,9),P120,IF(EXACT('3AC_Data'!$D$8,10),Q120,IF(EXACT('3AC_Data'!$D$8,11),R120,IF(EXACT('3AC_Data'!$D$8,12),S120,IF(EXACT('3AC_Data'!$D$8,13),T120,IF(EXACT('3AC_Data'!$D$8,14),U120,IF(EXACT('3AC_Data'!$D$8,15),V120,IF(EXACT('3AC_Data'!$D$8,16),W120,IF(EXACT('3AC_Data'!$D$8,17),X120,IF(EXACT('3AC_Data'!$D$8,18),Y120,IF(EXACT('3AC_Data'!$D$8,19),Z120,IF(EXACT('3AC_Data'!$D$8,20),AA120,IF(EXACT('3AC_Data'!$D$8,21),AB120,IF(EXACT('3AC_Data'!$D$8,22),AC120,IF(EXACT('3AC_Data'!$D$8,23),AD120,IF(EXACT('3AC_Data'!$D$8,24),AE120,IF(EXACT('3AC_Data'!$D$8,25),AF120,IF(EXACT('3AC_Data'!$D$8,26),AG120,IF(EXACT('3AC_Data'!$D$8,27),AH120,IF(EXACT('3AC_Data'!$D$8,28),AI120,IF(EXACT('3AC_Data'!$D$8,29),AJ120,IF(EXACT('3AC_Data'!$D$8,30),AK120))))))))))))))))))))))))))))))</f>
        <v>0</v>
      </c>
      <c r="H120" s="104">
        <v>0</v>
      </c>
      <c r="I120" s="105">
        <v>0</v>
      </c>
      <c r="J120" s="104">
        <v>0</v>
      </c>
      <c r="K120" s="106">
        <v>1.34718</v>
      </c>
      <c r="L120" s="106">
        <v>0</v>
      </c>
      <c r="M120" s="106">
        <v>0</v>
      </c>
      <c r="N120" s="106">
        <v>0</v>
      </c>
      <c r="O120" s="106">
        <v>0</v>
      </c>
      <c r="P120" s="105">
        <v>0</v>
      </c>
      <c r="Q120" s="105">
        <v>0</v>
      </c>
      <c r="R120" s="105">
        <v>0</v>
      </c>
      <c r="S120" s="107">
        <v>0</v>
      </c>
      <c r="T120" s="107">
        <v>0</v>
      </c>
      <c r="U120" s="107">
        <v>1.24</v>
      </c>
      <c r="V120" s="107">
        <v>0</v>
      </c>
      <c r="W120" s="105">
        <v>0.25955452553199299</v>
      </c>
      <c r="X120" s="105">
        <v>0.25955452553199299</v>
      </c>
      <c r="Y120" s="105"/>
      <c r="Z120" s="105">
        <v>1.198</v>
      </c>
      <c r="AA120" s="105">
        <v>0</v>
      </c>
      <c r="AB120" s="105">
        <v>7.4999999999999997E-2</v>
      </c>
      <c r="AC120" s="107">
        <v>0.71399999999999997</v>
      </c>
      <c r="AD120" s="107">
        <v>0.75236599999999998</v>
      </c>
      <c r="AE120" s="144">
        <v>0</v>
      </c>
      <c r="AF120" s="104">
        <v>0</v>
      </c>
      <c r="AG120" s="107">
        <v>0</v>
      </c>
      <c r="AH120" s="178">
        <v>0</v>
      </c>
      <c r="AI120" s="107">
        <v>1.24</v>
      </c>
      <c r="AJ120" s="107">
        <v>1.24</v>
      </c>
      <c r="AK120" s="107">
        <v>1.24</v>
      </c>
    </row>
    <row r="121" spans="2:37" x14ac:dyDescent="0.25">
      <c r="B121" s="92" t="s">
        <v>421</v>
      </c>
      <c r="C121" s="92" t="s">
        <v>430</v>
      </c>
      <c r="D121" s="36">
        <f t="shared" si="49"/>
        <v>0</v>
      </c>
      <c r="E121" s="4">
        <v>1</v>
      </c>
      <c r="F121" s="3"/>
      <c r="G121" s="15">
        <f>+IF(EXACT('3AC_Data'!$D$8,1),H121,IF(EXACT('3AC_Data'!$D$8,2),I121,IF(EXACT('3AC_Data'!$D$8,3),J121,IF(EXACT('3AC_Data'!$D$8,4),K121,IF(EXACT('3AC_Data'!$D$8,5),L121,IF(EXACT('3AC_Data'!$D$8,6),M121,IF(EXACT('3AC_Data'!$D$8,7),N121,IF(EXACT('3AC_Data'!$D$8,8),O121,IF(EXACT('3AC_Data'!$D$8,9),P121,IF(EXACT('3AC_Data'!$D$8,10),Q121,IF(EXACT('3AC_Data'!$D$8,11),R121,IF(EXACT('3AC_Data'!$D$8,12),S121,IF(EXACT('3AC_Data'!$D$8,13),T121,IF(EXACT('3AC_Data'!$D$8,14),U121,IF(EXACT('3AC_Data'!$D$8,15),V121,IF(EXACT('3AC_Data'!$D$8,16),W121,IF(EXACT('3AC_Data'!$D$8,17),X121,IF(EXACT('3AC_Data'!$D$8,18),Y121,IF(EXACT('3AC_Data'!$D$8,19),Z121,IF(EXACT('3AC_Data'!$D$8,20),AA121,IF(EXACT('3AC_Data'!$D$8,21),AB121,IF(EXACT('3AC_Data'!$D$8,22),AC121,IF(EXACT('3AC_Data'!$D$8,23),AD121,IF(EXACT('3AC_Data'!$D$8,24),AE121,IF(EXACT('3AC_Data'!$D$8,25),AF121,IF(EXACT('3AC_Data'!$D$8,26),AG121,IF(EXACT('3AC_Data'!$D$8,27),AH121,IF(EXACT('3AC_Data'!$D$8,28),AI121,IF(EXACT('3AC_Data'!$D$8,29),AJ121,IF(EXACT('3AC_Data'!$D$8,30),AK121))))))))))))))))))))))))))))))</f>
        <v>0</v>
      </c>
      <c r="H121" s="104">
        <v>0</v>
      </c>
      <c r="I121" s="105">
        <v>0</v>
      </c>
      <c r="J121" s="104">
        <v>0</v>
      </c>
      <c r="K121" s="106">
        <v>5.9042399999999997</v>
      </c>
      <c r="L121" s="106">
        <v>0</v>
      </c>
      <c r="M121" s="106">
        <v>0</v>
      </c>
      <c r="N121" s="106">
        <v>0</v>
      </c>
      <c r="O121" s="106">
        <v>0</v>
      </c>
      <c r="P121" s="105">
        <v>0</v>
      </c>
      <c r="Q121" s="105">
        <v>0</v>
      </c>
      <c r="R121" s="105">
        <v>0</v>
      </c>
      <c r="S121" s="107">
        <v>0</v>
      </c>
      <c r="T121" s="107">
        <v>0</v>
      </c>
      <c r="U121" s="107">
        <v>5.6369999999999996</v>
      </c>
      <c r="V121" s="107">
        <v>0.4</v>
      </c>
      <c r="W121" s="105">
        <v>0.43549417035569299</v>
      </c>
      <c r="X121" s="105">
        <v>0.43549417035569299</v>
      </c>
      <c r="Y121" s="105">
        <v>0.03</v>
      </c>
      <c r="Z121" s="105">
        <v>3.5649999999999999</v>
      </c>
      <c r="AA121" s="105">
        <v>0.3</v>
      </c>
      <c r="AB121" s="105">
        <v>0.2</v>
      </c>
      <c r="AC121" s="107">
        <v>1.89515904054399</v>
      </c>
      <c r="AD121" s="107">
        <v>2.21</v>
      </c>
      <c r="AE121" s="107">
        <v>2.21</v>
      </c>
      <c r="AF121" s="104">
        <v>0</v>
      </c>
      <c r="AG121" s="107">
        <v>0</v>
      </c>
      <c r="AH121" s="178">
        <v>0</v>
      </c>
      <c r="AI121" s="107">
        <v>5.6369999999999996</v>
      </c>
      <c r="AJ121" s="107">
        <v>5.6369999999999996</v>
      </c>
      <c r="AK121" s="107">
        <v>5.6369999999999996</v>
      </c>
    </row>
    <row r="122" spans="2:37" x14ac:dyDescent="0.25">
      <c r="B122" s="133" t="s">
        <v>1596</v>
      </c>
      <c r="C122" s="133" t="s">
        <v>1594</v>
      </c>
      <c r="D122" s="36">
        <f t="shared" si="49"/>
        <v>0</v>
      </c>
      <c r="E122" s="4">
        <v>1</v>
      </c>
      <c r="F122" s="3"/>
      <c r="G122" s="15">
        <f>+IF(EXACT('3AC_Data'!$D$8,1),H122,IF(EXACT('3AC_Data'!$D$8,2),I122,IF(EXACT('3AC_Data'!$D$8,3),J122,IF(EXACT('3AC_Data'!$D$8,4),K122,IF(EXACT('3AC_Data'!$D$8,5),L122,IF(EXACT('3AC_Data'!$D$8,6),M122,IF(EXACT('3AC_Data'!$D$8,7),N122,IF(EXACT('3AC_Data'!$D$8,8),O122,IF(EXACT('3AC_Data'!$D$8,9),P122,IF(EXACT('3AC_Data'!$D$8,10),Q122,IF(EXACT('3AC_Data'!$D$8,11),R122,IF(EXACT('3AC_Data'!$D$8,12),S122,IF(EXACT('3AC_Data'!$D$8,13),T122,IF(EXACT('3AC_Data'!$D$8,14),U122,IF(EXACT('3AC_Data'!$D$8,15),V122,IF(EXACT('3AC_Data'!$D$8,16),W122,IF(EXACT('3AC_Data'!$D$8,17),X122,IF(EXACT('3AC_Data'!$D$8,18),Y122,IF(EXACT('3AC_Data'!$D$8,19),Z122,IF(EXACT('3AC_Data'!$D$8,20),AA122,IF(EXACT('3AC_Data'!$D$8,21),AB122,IF(EXACT('3AC_Data'!$D$8,22),AC122,IF(EXACT('3AC_Data'!$D$8,23),AD122,IF(EXACT('3AC_Data'!$D$8,24),AE122,IF(EXACT('3AC_Data'!$D$8,25),AF122,IF(EXACT('3AC_Data'!$D$8,26),AG122,IF(EXACT('3AC_Data'!$D$8,27),AH122,IF(EXACT('3AC_Data'!$D$8,28),AI122,IF(EXACT('3AC_Data'!$D$8,29),AJ122,IF(EXACT('3AC_Data'!$D$8,30),AK122))))))))))))))))))))))))))))))</f>
        <v>0</v>
      </c>
      <c r="H122" s="104"/>
      <c r="I122" s="105"/>
      <c r="J122" s="104">
        <v>0</v>
      </c>
      <c r="K122" s="106"/>
      <c r="L122" s="106"/>
      <c r="M122" s="106"/>
      <c r="N122" s="106"/>
      <c r="O122" s="106"/>
      <c r="P122" s="105"/>
      <c r="Q122" s="105"/>
      <c r="R122" s="105"/>
      <c r="S122" s="107"/>
      <c r="T122" s="107"/>
      <c r="U122" s="107"/>
      <c r="V122" s="107"/>
      <c r="W122" s="105"/>
      <c r="X122" s="105"/>
      <c r="Y122" s="105"/>
      <c r="Z122" s="105"/>
      <c r="AA122" s="105"/>
      <c r="AB122" s="105"/>
      <c r="AC122" s="107">
        <v>0</v>
      </c>
      <c r="AD122" s="107">
        <v>0</v>
      </c>
      <c r="AE122" s="107">
        <v>0</v>
      </c>
      <c r="AF122" s="104">
        <v>0</v>
      </c>
      <c r="AG122" s="107"/>
      <c r="AH122" s="178">
        <v>0</v>
      </c>
      <c r="AI122" s="107"/>
      <c r="AJ122" s="107"/>
      <c r="AK122" s="107"/>
    </row>
    <row r="123" spans="2:37" x14ac:dyDescent="0.25">
      <c r="B123" s="133" t="s">
        <v>1597</v>
      </c>
      <c r="C123" s="133" t="s">
        <v>1595</v>
      </c>
      <c r="D123" s="36">
        <f t="shared" si="49"/>
        <v>0</v>
      </c>
      <c r="E123" s="4">
        <v>1</v>
      </c>
      <c r="F123" s="3"/>
      <c r="G123" s="15">
        <f>+IF(EXACT('3AC_Data'!$D$8,1),H123,IF(EXACT('3AC_Data'!$D$8,2),I123,IF(EXACT('3AC_Data'!$D$8,3),J123,IF(EXACT('3AC_Data'!$D$8,4),K123,IF(EXACT('3AC_Data'!$D$8,5),L123,IF(EXACT('3AC_Data'!$D$8,6),M123,IF(EXACT('3AC_Data'!$D$8,7),N123,IF(EXACT('3AC_Data'!$D$8,8),O123,IF(EXACT('3AC_Data'!$D$8,9),P123,IF(EXACT('3AC_Data'!$D$8,10),Q123,IF(EXACT('3AC_Data'!$D$8,11),R123,IF(EXACT('3AC_Data'!$D$8,12),S123,IF(EXACT('3AC_Data'!$D$8,13),T123,IF(EXACT('3AC_Data'!$D$8,14),U123,IF(EXACT('3AC_Data'!$D$8,15),V123,IF(EXACT('3AC_Data'!$D$8,16),W123,IF(EXACT('3AC_Data'!$D$8,17),X123,IF(EXACT('3AC_Data'!$D$8,18),Y123,IF(EXACT('3AC_Data'!$D$8,19),Z123,IF(EXACT('3AC_Data'!$D$8,20),AA123,IF(EXACT('3AC_Data'!$D$8,21),AB123,IF(EXACT('3AC_Data'!$D$8,22),AC123,IF(EXACT('3AC_Data'!$D$8,23),AD123,IF(EXACT('3AC_Data'!$D$8,24),AE123,IF(EXACT('3AC_Data'!$D$8,25),AF123,IF(EXACT('3AC_Data'!$D$8,26),AG123,IF(EXACT('3AC_Data'!$D$8,27),AH123,IF(EXACT('3AC_Data'!$D$8,28),AI123,IF(EXACT('3AC_Data'!$D$8,29),AJ123,IF(EXACT('3AC_Data'!$D$8,30),AK123))))))))))))))))))))))))))))))</f>
        <v>0</v>
      </c>
      <c r="H123" s="104"/>
      <c r="I123" s="105"/>
      <c r="J123" s="104">
        <v>0</v>
      </c>
      <c r="K123" s="106"/>
      <c r="L123" s="106"/>
      <c r="M123" s="106"/>
      <c r="N123" s="106"/>
      <c r="O123" s="106"/>
      <c r="P123" s="105"/>
      <c r="Q123" s="105"/>
      <c r="R123" s="105"/>
      <c r="S123" s="107"/>
      <c r="T123" s="107"/>
      <c r="U123" s="107"/>
      <c r="V123" s="107"/>
      <c r="W123" s="105"/>
      <c r="X123" s="105"/>
      <c r="Y123" s="105"/>
      <c r="Z123" s="105"/>
      <c r="AA123" s="105"/>
      <c r="AB123" s="105"/>
      <c r="AC123" s="107">
        <v>0</v>
      </c>
      <c r="AD123" s="107">
        <v>0</v>
      </c>
      <c r="AE123" s="107">
        <v>0</v>
      </c>
      <c r="AF123" s="104">
        <v>0</v>
      </c>
      <c r="AG123" s="107"/>
      <c r="AH123" s="178">
        <v>0</v>
      </c>
      <c r="AI123" s="107"/>
      <c r="AJ123" s="107"/>
      <c r="AK123" s="107"/>
    </row>
    <row r="124" spans="2:37" x14ac:dyDescent="0.25">
      <c r="B124" s="92" t="s">
        <v>422</v>
      </c>
      <c r="C124" s="92" t="s">
        <v>431</v>
      </c>
      <c r="D124" s="36">
        <f t="shared" si="49"/>
        <v>0</v>
      </c>
      <c r="E124" s="4">
        <v>1</v>
      </c>
      <c r="F124" s="3"/>
      <c r="G124" s="15">
        <f>+IF(EXACT('3AC_Data'!$D$8,1),H124,IF(EXACT('3AC_Data'!$D$8,2),I124,IF(EXACT('3AC_Data'!$D$8,3),J124,IF(EXACT('3AC_Data'!$D$8,4),K124,IF(EXACT('3AC_Data'!$D$8,5),L124,IF(EXACT('3AC_Data'!$D$8,6),M124,IF(EXACT('3AC_Data'!$D$8,7),N124,IF(EXACT('3AC_Data'!$D$8,8),O124,IF(EXACT('3AC_Data'!$D$8,9),P124,IF(EXACT('3AC_Data'!$D$8,10),Q124,IF(EXACT('3AC_Data'!$D$8,11),R124,IF(EXACT('3AC_Data'!$D$8,12),S124,IF(EXACT('3AC_Data'!$D$8,13),T124,IF(EXACT('3AC_Data'!$D$8,14),U124,IF(EXACT('3AC_Data'!$D$8,15),V124,IF(EXACT('3AC_Data'!$D$8,16),W124,IF(EXACT('3AC_Data'!$D$8,17),X124,IF(EXACT('3AC_Data'!$D$8,18),Y124,IF(EXACT('3AC_Data'!$D$8,19),Z124,IF(EXACT('3AC_Data'!$D$8,20),AA124,IF(EXACT('3AC_Data'!$D$8,21),AB124,IF(EXACT('3AC_Data'!$D$8,22),AC124,IF(EXACT('3AC_Data'!$D$8,23),AD124,IF(EXACT('3AC_Data'!$D$8,24),AE124,IF(EXACT('3AC_Data'!$D$8,25),AF124,IF(EXACT('3AC_Data'!$D$8,26),AG124,IF(EXACT('3AC_Data'!$D$8,27),AH124,IF(EXACT('3AC_Data'!$D$8,28),AI124,IF(EXACT('3AC_Data'!$D$8,29),AJ124,IF(EXACT('3AC_Data'!$D$8,30),AK124))))))))))))))))))))))))))))))</f>
        <v>0</v>
      </c>
      <c r="H124" s="104">
        <v>0</v>
      </c>
      <c r="I124" s="105">
        <v>0</v>
      </c>
      <c r="J124" s="104">
        <v>0</v>
      </c>
      <c r="K124" s="106">
        <v>5.6090299999999997</v>
      </c>
      <c r="L124" s="106">
        <v>0</v>
      </c>
      <c r="M124" s="106">
        <v>0</v>
      </c>
      <c r="N124" s="106">
        <v>0</v>
      </c>
      <c r="O124" s="106">
        <v>0</v>
      </c>
      <c r="P124" s="105">
        <v>0</v>
      </c>
      <c r="Q124" s="105">
        <v>0</v>
      </c>
      <c r="R124" s="105">
        <v>0</v>
      </c>
      <c r="S124" s="107">
        <v>0</v>
      </c>
      <c r="T124" s="107">
        <v>0</v>
      </c>
      <c r="U124" s="107">
        <v>1.6910000000000001</v>
      </c>
      <c r="V124" s="107">
        <v>0.2</v>
      </c>
      <c r="W124" s="105">
        <v>0.26129650221341599</v>
      </c>
      <c r="X124" s="105">
        <v>0.26129650221341599</v>
      </c>
      <c r="Y124" s="105">
        <v>0.03</v>
      </c>
      <c r="Z124" s="105">
        <v>1.33</v>
      </c>
      <c r="AA124" s="105">
        <f>0.3*0.6</f>
        <v>0.18</v>
      </c>
      <c r="AB124" s="105">
        <v>0.15</v>
      </c>
      <c r="AC124" s="107">
        <v>0.65038749999999901</v>
      </c>
      <c r="AD124" s="107">
        <v>1.732</v>
      </c>
      <c r="AE124" s="107">
        <v>1.732</v>
      </c>
      <c r="AF124" s="104">
        <v>0</v>
      </c>
      <c r="AG124" s="107">
        <v>0</v>
      </c>
      <c r="AH124" s="178">
        <v>0</v>
      </c>
      <c r="AI124" s="107">
        <v>1.6910000000000001</v>
      </c>
      <c r="AJ124" s="107">
        <v>1.6910000000000001</v>
      </c>
      <c r="AK124" s="107">
        <v>1.6910000000000001</v>
      </c>
    </row>
    <row r="125" spans="2:37" x14ac:dyDescent="0.25">
      <c r="B125" s="92" t="s">
        <v>423</v>
      </c>
      <c r="C125" s="92" t="s">
        <v>432</v>
      </c>
      <c r="D125" s="36">
        <f t="shared" si="49"/>
        <v>7.0000000000000007E-2</v>
      </c>
      <c r="E125" s="4">
        <v>1</v>
      </c>
      <c r="F125" s="3"/>
      <c r="G125" s="15">
        <f>+IF(EXACT('3AC_Data'!$D$8,1),H125,IF(EXACT('3AC_Data'!$D$8,2),I125,IF(EXACT('3AC_Data'!$D$8,3),J125,IF(EXACT('3AC_Data'!$D$8,4),K125,IF(EXACT('3AC_Data'!$D$8,5),L125,IF(EXACT('3AC_Data'!$D$8,6),M125,IF(EXACT('3AC_Data'!$D$8,7),N125,IF(EXACT('3AC_Data'!$D$8,8),O125,IF(EXACT('3AC_Data'!$D$8,9),P125,IF(EXACT('3AC_Data'!$D$8,10),Q125,IF(EXACT('3AC_Data'!$D$8,11),R125,IF(EXACT('3AC_Data'!$D$8,12),S125,IF(EXACT('3AC_Data'!$D$8,13),T125,IF(EXACT('3AC_Data'!$D$8,14),U125,IF(EXACT('3AC_Data'!$D$8,15),V125,IF(EXACT('3AC_Data'!$D$8,16),W125,IF(EXACT('3AC_Data'!$D$8,17),X125,IF(EXACT('3AC_Data'!$D$8,18),Y125,IF(EXACT('3AC_Data'!$D$8,19),Z125,IF(EXACT('3AC_Data'!$D$8,20),AA125,IF(EXACT('3AC_Data'!$D$8,21),AB125,IF(EXACT('3AC_Data'!$D$8,22),AC125,IF(EXACT('3AC_Data'!$D$8,23),AD125,IF(EXACT('3AC_Data'!$D$8,24),AE125,IF(EXACT('3AC_Data'!$D$8,25),AF125,IF(EXACT('3AC_Data'!$D$8,26),AG125,IF(EXACT('3AC_Data'!$D$8,27),AH125,IF(EXACT('3AC_Data'!$D$8,28),AI125,IF(EXACT('3AC_Data'!$D$8,29),AJ125,IF(EXACT('3AC_Data'!$D$8,30),AK125))))))))))))))))))))))))))))))</f>
        <v>7.0000000000000007E-2</v>
      </c>
      <c r="H125" s="104">
        <v>0</v>
      </c>
      <c r="I125" s="105">
        <v>0</v>
      </c>
      <c r="J125" s="104">
        <v>0.32</v>
      </c>
      <c r="K125" s="106">
        <v>0</v>
      </c>
      <c r="L125" s="106">
        <v>0</v>
      </c>
      <c r="M125" s="106">
        <v>7.0000000000000007E-2</v>
      </c>
      <c r="N125" s="106">
        <v>7.0000000000000007E-2</v>
      </c>
      <c r="O125" s="106">
        <v>0</v>
      </c>
      <c r="P125" s="105">
        <v>0</v>
      </c>
      <c r="Q125" s="105">
        <v>0</v>
      </c>
      <c r="R125" s="105">
        <v>0</v>
      </c>
      <c r="S125" s="107">
        <v>0.245</v>
      </c>
      <c r="T125" s="107">
        <v>0.245</v>
      </c>
      <c r="U125" s="107">
        <v>0</v>
      </c>
      <c r="V125" s="107">
        <v>0</v>
      </c>
      <c r="W125" s="105">
        <v>0</v>
      </c>
      <c r="X125" s="105">
        <v>0</v>
      </c>
      <c r="Y125" s="105"/>
      <c r="Z125" s="107">
        <v>0</v>
      </c>
      <c r="AA125" s="105">
        <v>0</v>
      </c>
      <c r="AB125" s="105">
        <v>0</v>
      </c>
      <c r="AC125" s="107">
        <v>0</v>
      </c>
      <c r="AD125" s="107">
        <v>0</v>
      </c>
      <c r="AE125" s="144">
        <v>0.25</v>
      </c>
      <c r="AF125" s="104">
        <v>0.32</v>
      </c>
      <c r="AG125" s="107">
        <v>0.24</v>
      </c>
      <c r="AH125" s="178">
        <v>0.25</v>
      </c>
      <c r="AI125" s="107">
        <v>0</v>
      </c>
      <c r="AJ125" s="107">
        <v>0</v>
      </c>
      <c r="AK125" s="107">
        <v>0</v>
      </c>
    </row>
    <row r="126" spans="2:37" x14ac:dyDescent="0.25">
      <c r="B126" s="133" t="s">
        <v>1600</v>
      </c>
      <c r="C126" s="133" t="s">
        <v>1598</v>
      </c>
      <c r="D126" s="36">
        <f t="shared" si="49"/>
        <v>0</v>
      </c>
      <c r="E126" s="4">
        <v>1</v>
      </c>
      <c r="F126" s="3"/>
      <c r="G126" s="15">
        <f>+IF(EXACT('3AC_Data'!$D$8,1),H126,IF(EXACT('3AC_Data'!$D$8,2),I126,IF(EXACT('3AC_Data'!$D$8,3),J126,IF(EXACT('3AC_Data'!$D$8,4),K126,IF(EXACT('3AC_Data'!$D$8,5),L126,IF(EXACT('3AC_Data'!$D$8,6),M126,IF(EXACT('3AC_Data'!$D$8,7),N126,IF(EXACT('3AC_Data'!$D$8,8),O126,IF(EXACT('3AC_Data'!$D$8,9),P126,IF(EXACT('3AC_Data'!$D$8,10),Q126,IF(EXACT('3AC_Data'!$D$8,11),R126,IF(EXACT('3AC_Data'!$D$8,12),S126,IF(EXACT('3AC_Data'!$D$8,13),T126,IF(EXACT('3AC_Data'!$D$8,14),U126,IF(EXACT('3AC_Data'!$D$8,15),V126,IF(EXACT('3AC_Data'!$D$8,16),W126,IF(EXACT('3AC_Data'!$D$8,17),X126,IF(EXACT('3AC_Data'!$D$8,18),Y126,IF(EXACT('3AC_Data'!$D$8,19),Z126,IF(EXACT('3AC_Data'!$D$8,20),AA126,IF(EXACT('3AC_Data'!$D$8,21),AB126,IF(EXACT('3AC_Data'!$D$8,22),AC126,IF(EXACT('3AC_Data'!$D$8,23),AD126,IF(EXACT('3AC_Data'!$D$8,24),AE126,IF(EXACT('3AC_Data'!$D$8,25),AF126,IF(EXACT('3AC_Data'!$D$8,26),AG126,IF(EXACT('3AC_Data'!$D$8,27),AH126,IF(EXACT('3AC_Data'!$D$8,28),AI126,IF(EXACT('3AC_Data'!$D$8,29),AJ126,IF(EXACT('3AC_Data'!$D$8,30),AK126))))))))))))))))))))))))))))))</f>
        <v>0</v>
      </c>
      <c r="H126" s="104"/>
      <c r="I126" s="105"/>
      <c r="J126" s="104">
        <v>0</v>
      </c>
      <c r="K126" s="106"/>
      <c r="L126" s="106"/>
      <c r="M126" s="106"/>
      <c r="N126" s="106"/>
      <c r="O126" s="106"/>
      <c r="P126" s="105"/>
      <c r="Q126" s="105"/>
      <c r="R126" s="105"/>
      <c r="S126" s="107"/>
      <c r="T126" s="107"/>
      <c r="U126" s="107"/>
      <c r="V126" s="107"/>
      <c r="W126" s="105"/>
      <c r="X126" s="105"/>
      <c r="Y126" s="105"/>
      <c r="Z126" s="107"/>
      <c r="AA126" s="105"/>
      <c r="AB126" s="105"/>
      <c r="AC126" s="107">
        <v>0</v>
      </c>
      <c r="AD126" s="107">
        <v>0</v>
      </c>
      <c r="AE126" s="144">
        <v>0</v>
      </c>
      <c r="AF126" s="104">
        <v>0</v>
      </c>
      <c r="AG126" s="107">
        <v>0</v>
      </c>
      <c r="AH126" s="178">
        <v>0</v>
      </c>
      <c r="AI126" s="107"/>
      <c r="AJ126" s="107"/>
      <c r="AK126" s="107"/>
    </row>
    <row r="127" spans="2:37" x14ac:dyDescent="0.25">
      <c r="B127" s="133" t="s">
        <v>1601</v>
      </c>
      <c r="C127" s="133" t="s">
        <v>1599</v>
      </c>
      <c r="D127" s="36">
        <f t="shared" si="49"/>
        <v>0</v>
      </c>
      <c r="E127" s="4">
        <v>1</v>
      </c>
      <c r="F127" s="3"/>
      <c r="G127" s="15">
        <f>+IF(EXACT('3AC_Data'!$D$8,1),H127,IF(EXACT('3AC_Data'!$D$8,2),I127,IF(EXACT('3AC_Data'!$D$8,3),J127,IF(EXACT('3AC_Data'!$D$8,4),K127,IF(EXACT('3AC_Data'!$D$8,5),L127,IF(EXACT('3AC_Data'!$D$8,6),M127,IF(EXACT('3AC_Data'!$D$8,7),N127,IF(EXACT('3AC_Data'!$D$8,8),O127,IF(EXACT('3AC_Data'!$D$8,9),P127,IF(EXACT('3AC_Data'!$D$8,10),Q127,IF(EXACT('3AC_Data'!$D$8,11),R127,IF(EXACT('3AC_Data'!$D$8,12),S127,IF(EXACT('3AC_Data'!$D$8,13),T127,IF(EXACT('3AC_Data'!$D$8,14),U127,IF(EXACT('3AC_Data'!$D$8,15),V127,IF(EXACT('3AC_Data'!$D$8,16),W127,IF(EXACT('3AC_Data'!$D$8,17),X127,IF(EXACT('3AC_Data'!$D$8,18),Y127,IF(EXACT('3AC_Data'!$D$8,19),Z127,IF(EXACT('3AC_Data'!$D$8,20),AA127,IF(EXACT('3AC_Data'!$D$8,21),AB127,IF(EXACT('3AC_Data'!$D$8,22),AC127,IF(EXACT('3AC_Data'!$D$8,23),AD127,IF(EXACT('3AC_Data'!$D$8,24),AE127,IF(EXACT('3AC_Data'!$D$8,25),AF127,IF(EXACT('3AC_Data'!$D$8,26),AG127,IF(EXACT('3AC_Data'!$D$8,27),AH127,IF(EXACT('3AC_Data'!$D$8,28),AI127,IF(EXACT('3AC_Data'!$D$8,29),AJ127,IF(EXACT('3AC_Data'!$D$8,30),AK127))))))))))))))))))))))))))))))</f>
        <v>0</v>
      </c>
      <c r="H127" s="104"/>
      <c r="I127" s="105"/>
      <c r="J127" s="104">
        <v>0</v>
      </c>
      <c r="K127" s="106"/>
      <c r="L127" s="106"/>
      <c r="M127" s="106"/>
      <c r="N127" s="106"/>
      <c r="O127" s="106"/>
      <c r="P127" s="105"/>
      <c r="Q127" s="105"/>
      <c r="R127" s="105"/>
      <c r="S127" s="107"/>
      <c r="T127" s="107"/>
      <c r="U127" s="107"/>
      <c r="V127" s="107"/>
      <c r="W127" s="105"/>
      <c r="X127" s="105"/>
      <c r="Y127" s="105"/>
      <c r="Z127" s="107"/>
      <c r="AA127" s="105"/>
      <c r="AB127" s="105"/>
      <c r="AC127" s="107">
        <v>0</v>
      </c>
      <c r="AD127" s="107">
        <v>0</v>
      </c>
      <c r="AE127" s="144">
        <v>0</v>
      </c>
      <c r="AF127" s="104">
        <v>0</v>
      </c>
      <c r="AG127" s="107">
        <v>0</v>
      </c>
      <c r="AH127" s="178">
        <v>0</v>
      </c>
      <c r="AI127" s="107"/>
      <c r="AJ127" s="107"/>
      <c r="AK127" s="107"/>
    </row>
    <row r="128" spans="2:37" x14ac:dyDescent="0.25">
      <c r="B128" s="92" t="s">
        <v>424</v>
      </c>
      <c r="C128" s="92" t="s">
        <v>433</v>
      </c>
      <c r="D128" s="36">
        <f t="shared" si="49"/>
        <v>7.0000000000000007E-2</v>
      </c>
      <c r="E128" s="4">
        <v>1</v>
      </c>
      <c r="F128" s="3"/>
      <c r="G128" s="15">
        <f>+IF(EXACT('3AC_Data'!$D$8,1),H128,IF(EXACT('3AC_Data'!$D$8,2),I128,IF(EXACT('3AC_Data'!$D$8,3),J128,IF(EXACT('3AC_Data'!$D$8,4),K128,IF(EXACT('3AC_Data'!$D$8,5),L128,IF(EXACT('3AC_Data'!$D$8,6),M128,IF(EXACT('3AC_Data'!$D$8,7),N128,IF(EXACT('3AC_Data'!$D$8,8),O128,IF(EXACT('3AC_Data'!$D$8,9),P128,IF(EXACT('3AC_Data'!$D$8,10),Q128,IF(EXACT('3AC_Data'!$D$8,11),R128,IF(EXACT('3AC_Data'!$D$8,12),S128,IF(EXACT('3AC_Data'!$D$8,13),T128,IF(EXACT('3AC_Data'!$D$8,14),U128,IF(EXACT('3AC_Data'!$D$8,15),V128,IF(EXACT('3AC_Data'!$D$8,16),W128,IF(EXACT('3AC_Data'!$D$8,17),X128,IF(EXACT('3AC_Data'!$D$8,18),Y128,IF(EXACT('3AC_Data'!$D$8,19),Z128,IF(EXACT('3AC_Data'!$D$8,20),AA128,IF(EXACT('3AC_Data'!$D$8,21),AB128,IF(EXACT('3AC_Data'!$D$8,22),AC128,IF(EXACT('3AC_Data'!$D$8,23),AD128,IF(EXACT('3AC_Data'!$D$8,24),AE128,IF(EXACT('3AC_Data'!$D$8,25),AF128,IF(EXACT('3AC_Data'!$D$8,26),AG128,IF(EXACT('3AC_Data'!$D$8,27),AH128,IF(EXACT('3AC_Data'!$D$8,28),AI128,IF(EXACT('3AC_Data'!$D$8,29),AJ128,IF(EXACT('3AC_Data'!$D$8,30),AK128))))))))))))))))))))))))))))))</f>
        <v>7.0000000000000007E-2</v>
      </c>
      <c r="H128" s="104">
        <v>0</v>
      </c>
      <c r="I128" s="105">
        <v>0</v>
      </c>
      <c r="J128" s="104">
        <v>0.16</v>
      </c>
      <c r="K128" s="106">
        <v>0</v>
      </c>
      <c r="L128" s="106">
        <v>0</v>
      </c>
      <c r="M128" s="106">
        <v>7.0000000000000007E-2</v>
      </c>
      <c r="N128" s="106">
        <v>7.0000000000000007E-2</v>
      </c>
      <c r="O128" s="106">
        <v>0</v>
      </c>
      <c r="P128" s="105">
        <v>0</v>
      </c>
      <c r="Q128" s="105">
        <v>0</v>
      </c>
      <c r="R128" s="105">
        <v>0</v>
      </c>
      <c r="S128" s="107">
        <v>0.11</v>
      </c>
      <c r="T128" s="107">
        <v>0.11</v>
      </c>
      <c r="U128" s="107">
        <v>0</v>
      </c>
      <c r="V128" s="107">
        <v>0</v>
      </c>
      <c r="W128" s="105">
        <v>0</v>
      </c>
      <c r="X128" s="105">
        <v>0</v>
      </c>
      <c r="Y128" s="105"/>
      <c r="Z128" s="107">
        <v>0</v>
      </c>
      <c r="AA128" s="105">
        <v>0</v>
      </c>
      <c r="AB128" s="105">
        <v>0</v>
      </c>
      <c r="AC128" s="107">
        <v>0</v>
      </c>
      <c r="AD128" s="107">
        <v>0</v>
      </c>
      <c r="AE128" s="144">
        <v>0.25</v>
      </c>
      <c r="AF128" s="104">
        <v>0.16</v>
      </c>
      <c r="AG128" s="107">
        <v>0.17</v>
      </c>
      <c r="AH128" s="178">
        <v>0.15</v>
      </c>
      <c r="AI128" s="107">
        <v>0</v>
      </c>
      <c r="AJ128" s="107">
        <v>0</v>
      </c>
      <c r="AK128" s="107">
        <v>0</v>
      </c>
    </row>
    <row r="129" spans="2:37" x14ac:dyDescent="0.25">
      <c r="B129" s="92" t="s">
        <v>1499</v>
      </c>
      <c r="C129" s="92" t="s">
        <v>1501</v>
      </c>
      <c r="D129" s="36">
        <f t="shared" si="49"/>
        <v>0</v>
      </c>
      <c r="E129" s="4">
        <v>1</v>
      </c>
      <c r="F129" s="3"/>
      <c r="G129" s="15">
        <f>+IF(EXACT('3AC_Data'!$D$8,1),H129,IF(EXACT('3AC_Data'!$D$8,2),I129,IF(EXACT('3AC_Data'!$D$8,3),J129,IF(EXACT('3AC_Data'!$D$8,4),K129,IF(EXACT('3AC_Data'!$D$8,5),L129,IF(EXACT('3AC_Data'!$D$8,6),M129,IF(EXACT('3AC_Data'!$D$8,7),N129,IF(EXACT('3AC_Data'!$D$8,8),O129,IF(EXACT('3AC_Data'!$D$8,9),P129,IF(EXACT('3AC_Data'!$D$8,10),Q129,IF(EXACT('3AC_Data'!$D$8,11),R129,IF(EXACT('3AC_Data'!$D$8,12),S129,IF(EXACT('3AC_Data'!$D$8,13),T129,IF(EXACT('3AC_Data'!$D$8,14),U129,IF(EXACT('3AC_Data'!$D$8,15),V129,IF(EXACT('3AC_Data'!$D$8,16),W129,IF(EXACT('3AC_Data'!$D$8,17),X129,IF(EXACT('3AC_Data'!$D$8,18),Y129,IF(EXACT('3AC_Data'!$D$8,19),Z129,IF(EXACT('3AC_Data'!$D$8,20),AA129,IF(EXACT('3AC_Data'!$D$8,21),AB129,IF(EXACT('3AC_Data'!$D$8,22),AC129,IF(EXACT('3AC_Data'!$D$8,23),AD129,IF(EXACT('3AC_Data'!$D$8,24),AE129,IF(EXACT('3AC_Data'!$D$8,25),AF129,IF(EXACT('3AC_Data'!$D$8,26),AG129,IF(EXACT('3AC_Data'!$D$8,27),AH129,IF(EXACT('3AC_Data'!$D$8,28),AI129,IF(EXACT('3AC_Data'!$D$8,29),AJ129,IF(EXACT('3AC_Data'!$D$8,30),AK129))))))))))))))))))))))))))))))</f>
        <v>0</v>
      </c>
      <c r="H129" s="104">
        <v>0</v>
      </c>
      <c r="I129" s="105">
        <v>0</v>
      </c>
      <c r="J129" s="104">
        <v>0.16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5">
        <v>0</v>
      </c>
      <c r="Q129" s="105">
        <v>0</v>
      </c>
      <c r="R129" s="105">
        <v>0</v>
      </c>
      <c r="S129" s="107">
        <v>0.11</v>
      </c>
      <c r="T129" s="107">
        <v>0.11</v>
      </c>
      <c r="U129" s="107">
        <v>0</v>
      </c>
      <c r="V129" s="107">
        <v>0</v>
      </c>
      <c r="W129" s="105">
        <v>0</v>
      </c>
      <c r="X129" s="105">
        <v>0</v>
      </c>
      <c r="Y129" s="105"/>
      <c r="Z129" s="107">
        <v>0</v>
      </c>
      <c r="AA129" s="105">
        <v>0</v>
      </c>
      <c r="AB129" s="105">
        <v>0</v>
      </c>
      <c r="AC129" s="107">
        <v>0</v>
      </c>
      <c r="AD129" s="107">
        <v>0</v>
      </c>
      <c r="AE129" s="144">
        <v>0.25</v>
      </c>
      <c r="AF129" s="104">
        <v>0</v>
      </c>
      <c r="AG129" s="107">
        <v>0</v>
      </c>
      <c r="AH129" s="178">
        <v>0</v>
      </c>
      <c r="AI129" s="107">
        <v>0</v>
      </c>
      <c r="AJ129" s="107">
        <v>0</v>
      </c>
      <c r="AK129" s="107">
        <v>0</v>
      </c>
    </row>
    <row r="130" spans="2:37" x14ac:dyDescent="0.25">
      <c r="B130" s="133" t="s">
        <v>1603</v>
      </c>
      <c r="C130" s="133" t="s">
        <v>1602</v>
      </c>
      <c r="D130" s="36">
        <f t="shared" si="49"/>
        <v>0</v>
      </c>
      <c r="E130" s="4">
        <v>1</v>
      </c>
      <c r="F130" s="3"/>
      <c r="G130" s="15">
        <f>+IF(EXACT('3AC_Data'!$D$8,1),H130,IF(EXACT('3AC_Data'!$D$8,2),I130,IF(EXACT('3AC_Data'!$D$8,3),J130,IF(EXACT('3AC_Data'!$D$8,4),K130,IF(EXACT('3AC_Data'!$D$8,5),L130,IF(EXACT('3AC_Data'!$D$8,6),M130,IF(EXACT('3AC_Data'!$D$8,7),N130,IF(EXACT('3AC_Data'!$D$8,8),O130,IF(EXACT('3AC_Data'!$D$8,9),P130,IF(EXACT('3AC_Data'!$D$8,10),Q130,IF(EXACT('3AC_Data'!$D$8,11),R130,IF(EXACT('3AC_Data'!$D$8,12),S130,IF(EXACT('3AC_Data'!$D$8,13),T130,IF(EXACT('3AC_Data'!$D$8,14),U130,IF(EXACT('3AC_Data'!$D$8,15),V130,IF(EXACT('3AC_Data'!$D$8,16),W130,IF(EXACT('3AC_Data'!$D$8,17),X130,IF(EXACT('3AC_Data'!$D$8,18),Y130,IF(EXACT('3AC_Data'!$D$8,19),Z130,IF(EXACT('3AC_Data'!$D$8,20),AA130,IF(EXACT('3AC_Data'!$D$8,21),AB130,IF(EXACT('3AC_Data'!$D$8,22),AC130,IF(EXACT('3AC_Data'!$D$8,23),AD130,IF(EXACT('3AC_Data'!$D$8,24),AE130,IF(EXACT('3AC_Data'!$D$8,25),AF130,IF(EXACT('3AC_Data'!$D$8,26),AG130,IF(EXACT('3AC_Data'!$D$8,27),AH130,IF(EXACT('3AC_Data'!$D$8,28),AI130,IF(EXACT('3AC_Data'!$D$8,29),AJ130,IF(EXACT('3AC_Data'!$D$8,30),AK130))))))))))))))))))))))))))))))</f>
        <v>0</v>
      </c>
      <c r="H130" s="104"/>
      <c r="I130" s="105"/>
      <c r="J130" s="104">
        <v>0</v>
      </c>
      <c r="K130" s="106"/>
      <c r="L130" s="106"/>
      <c r="M130" s="106"/>
      <c r="N130" s="106"/>
      <c r="O130" s="106"/>
      <c r="P130" s="105"/>
      <c r="Q130" s="105"/>
      <c r="R130" s="105"/>
      <c r="S130" s="107"/>
      <c r="T130" s="107"/>
      <c r="U130" s="107"/>
      <c r="V130" s="107"/>
      <c r="W130" s="105"/>
      <c r="X130" s="105"/>
      <c r="Y130" s="105"/>
      <c r="Z130" s="107"/>
      <c r="AA130" s="105"/>
      <c r="AB130" s="105"/>
      <c r="AC130" s="107">
        <v>0</v>
      </c>
      <c r="AD130" s="107">
        <v>0</v>
      </c>
      <c r="AE130" s="144">
        <v>0</v>
      </c>
      <c r="AF130" s="104">
        <v>0</v>
      </c>
      <c r="AG130" s="107"/>
      <c r="AH130" s="178">
        <v>0</v>
      </c>
      <c r="AI130" s="107"/>
      <c r="AJ130" s="107"/>
      <c r="AK130" s="107"/>
    </row>
    <row r="131" spans="2:37" x14ac:dyDescent="0.25">
      <c r="B131" s="133" t="s">
        <v>1604</v>
      </c>
      <c r="C131" s="133" t="s">
        <v>1605</v>
      </c>
      <c r="D131" s="36">
        <f t="shared" si="49"/>
        <v>0</v>
      </c>
      <c r="E131" s="4">
        <v>1</v>
      </c>
      <c r="F131" s="3"/>
      <c r="G131" s="15">
        <f>+IF(EXACT('3AC_Data'!$D$8,1),H131,IF(EXACT('3AC_Data'!$D$8,2),I131,IF(EXACT('3AC_Data'!$D$8,3),J131,IF(EXACT('3AC_Data'!$D$8,4),K131,IF(EXACT('3AC_Data'!$D$8,5),L131,IF(EXACT('3AC_Data'!$D$8,6),M131,IF(EXACT('3AC_Data'!$D$8,7),N131,IF(EXACT('3AC_Data'!$D$8,8),O131,IF(EXACT('3AC_Data'!$D$8,9),P131,IF(EXACT('3AC_Data'!$D$8,10),Q131,IF(EXACT('3AC_Data'!$D$8,11),R131,IF(EXACT('3AC_Data'!$D$8,12),S131,IF(EXACT('3AC_Data'!$D$8,13),T131,IF(EXACT('3AC_Data'!$D$8,14),U131,IF(EXACT('3AC_Data'!$D$8,15),V131,IF(EXACT('3AC_Data'!$D$8,16),W131,IF(EXACT('3AC_Data'!$D$8,17),X131,IF(EXACT('3AC_Data'!$D$8,18),Y131,IF(EXACT('3AC_Data'!$D$8,19),Z131,IF(EXACT('3AC_Data'!$D$8,20),AA131,IF(EXACT('3AC_Data'!$D$8,21),AB131,IF(EXACT('3AC_Data'!$D$8,22),AC131,IF(EXACT('3AC_Data'!$D$8,23),AD131,IF(EXACT('3AC_Data'!$D$8,24),AE131,IF(EXACT('3AC_Data'!$D$8,25),AF131,IF(EXACT('3AC_Data'!$D$8,26),AG131,IF(EXACT('3AC_Data'!$D$8,27),AH131,IF(EXACT('3AC_Data'!$D$8,28),AI131,IF(EXACT('3AC_Data'!$D$8,29),AJ131,IF(EXACT('3AC_Data'!$D$8,30),AK131))))))))))))))))))))))))))))))</f>
        <v>0</v>
      </c>
      <c r="H131" s="104"/>
      <c r="I131" s="105"/>
      <c r="J131" s="104">
        <v>0</v>
      </c>
      <c r="K131" s="106"/>
      <c r="L131" s="106"/>
      <c r="M131" s="106"/>
      <c r="N131" s="106"/>
      <c r="O131" s="106"/>
      <c r="P131" s="105"/>
      <c r="Q131" s="105"/>
      <c r="R131" s="105"/>
      <c r="S131" s="107"/>
      <c r="T131" s="107"/>
      <c r="U131" s="107"/>
      <c r="V131" s="107"/>
      <c r="W131" s="105"/>
      <c r="X131" s="105"/>
      <c r="Y131" s="105"/>
      <c r="Z131" s="107"/>
      <c r="AA131" s="105"/>
      <c r="AB131" s="105"/>
      <c r="AC131" s="107">
        <v>0</v>
      </c>
      <c r="AD131" s="107">
        <v>0</v>
      </c>
      <c r="AE131" s="144">
        <v>0</v>
      </c>
      <c r="AF131" s="104">
        <v>0</v>
      </c>
      <c r="AG131" s="107"/>
      <c r="AH131" s="178">
        <v>0</v>
      </c>
      <c r="AI131" s="107"/>
      <c r="AJ131" s="107"/>
      <c r="AK131" s="107"/>
    </row>
    <row r="132" spans="2:37" x14ac:dyDescent="0.25">
      <c r="B132" s="92" t="s">
        <v>1500</v>
      </c>
      <c r="C132" s="92" t="s">
        <v>1502</v>
      </c>
      <c r="D132" s="36">
        <f t="shared" si="49"/>
        <v>0</v>
      </c>
      <c r="E132" s="4">
        <v>1</v>
      </c>
      <c r="F132" s="3"/>
      <c r="G132" s="15">
        <f>+IF(EXACT('3AC_Data'!$D$8,1),H132,IF(EXACT('3AC_Data'!$D$8,2),I132,IF(EXACT('3AC_Data'!$D$8,3),J132,IF(EXACT('3AC_Data'!$D$8,4),K132,IF(EXACT('3AC_Data'!$D$8,5),L132,IF(EXACT('3AC_Data'!$D$8,6),M132,IF(EXACT('3AC_Data'!$D$8,7),N132,IF(EXACT('3AC_Data'!$D$8,8),O132,IF(EXACT('3AC_Data'!$D$8,9),P132,IF(EXACT('3AC_Data'!$D$8,10),Q132,IF(EXACT('3AC_Data'!$D$8,11),R132,IF(EXACT('3AC_Data'!$D$8,12),S132,IF(EXACT('3AC_Data'!$D$8,13),T132,IF(EXACT('3AC_Data'!$D$8,14),U132,IF(EXACT('3AC_Data'!$D$8,15),V132,IF(EXACT('3AC_Data'!$D$8,16),W132,IF(EXACT('3AC_Data'!$D$8,17),X132,IF(EXACT('3AC_Data'!$D$8,18),Y132,IF(EXACT('3AC_Data'!$D$8,19),Z132,IF(EXACT('3AC_Data'!$D$8,20),AA132,IF(EXACT('3AC_Data'!$D$8,21),AB132,IF(EXACT('3AC_Data'!$D$8,22),AC132,IF(EXACT('3AC_Data'!$D$8,23),AD132,IF(EXACT('3AC_Data'!$D$8,24),AE132,IF(EXACT('3AC_Data'!$D$8,25),AF132,IF(EXACT('3AC_Data'!$D$8,26),AG132,IF(EXACT('3AC_Data'!$D$8,27),AH132,IF(EXACT('3AC_Data'!$D$8,28),AI132,IF(EXACT('3AC_Data'!$D$8,29),AJ132,IF(EXACT('3AC_Data'!$D$8,30),AK132))))))))))))))))))))))))))))))</f>
        <v>0</v>
      </c>
      <c r="H132" s="104">
        <v>0</v>
      </c>
      <c r="I132" s="105">
        <v>0</v>
      </c>
      <c r="J132" s="104">
        <v>0.16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5">
        <v>0</v>
      </c>
      <c r="Q132" s="105">
        <v>0</v>
      </c>
      <c r="R132" s="105">
        <v>0</v>
      </c>
      <c r="S132" s="107">
        <v>0.11</v>
      </c>
      <c r="T132" s="107">
        <v>0.11</v>
      </c>
      <c r="U132" s="107">
        <v>0</v>
      </c>
      <c r="V132" s="107">
        <v>0</v>
      </c>
      <c r="W132" s="105">
        <v>0</v>
      </c>
      <c r="X132" s="105">
        <v>0</v>
      </c>
      <c r="Y132" s="105"/>
      <c r="Z132" s="107">
        <v>0</v>
      </c>
      <c r="AA132" s="105">
        <v>0</v>
      </c>
      <c r="AB132" s="105">
        <v>0</v>
      </c>
      <c r="AC132" s="107">
        <v>0</v>
      </c>
      <c r="AD132" s="107">
        <v>0</v>
      </c>
      <c r="AE132" s="144">
        <v>0.25</v>
      </c>
      <c r="AF132" s="104">
        <v>0</v>
      </c>
      <c r="AG132" s="107">
        <v>0</v>
      </c>
      <c r="AH132" s="178">
        <v>0</v>
      </c>
      <c r="AI132" s="107">
        <v>0</v>
      </c>
      <c r="AJ132" s="107">
        <v>0</v>
      </c>
      <c r="AK132" s="107">
        <v>0</v>
      </c>
    </row>
    <row r="133" spans="2:37" x14ac:dyDescent="0.25">
      <c r="B133" s="92" t="s">
        <v>425</v>
      </c>
      <c r="C133" s="92" t="s">
        <v>434</v>
      </c>
      <c r="D133" s="36">
        <f t="shared" si="49"/>
        <v>0</v>
      </c>
      <c r="E133" s="4">
        <v>1</v>
      </c>
      <c r="F133" s="3"/>
      <c r="G133" s="15">
        <f>+IF(EXACT('3AC_Data'!$D$8,1),H133,IF(EXACT('3AC_Data'!$D$8,2),I133,IF(EXACT('3AC_Data'!$D$8,3),J133,IF(EXACT('3AC_Data'!$D$8,4),K133,IF(EXACT('3AC_Data'!$D$8,5),L133,IF(EXACT('3AC_Data'!$D$8,6),M133,IF(EXACT('3AC_Data'!$D$8,7),N133,IF(EXACT('3AC_Data'!$D$8,8),O133,IF(EXACT('3AC_Data'!$D$8,9),P133,IF(EXACT('3AC_Data'!$D$8,10),Q133,IF(EXACT('3AC_Data'!$D$8,11),R133,IF(EXACT('3AC_Data'!$D$8,12),S133,IF(EXACT('3AC_Data'!$D$8,13),T133,IF(EXACT('3AC_Data'!$D$8,14),U133,IF(EXACT('3AC_Data'!$D$8,15),V133,IF(EXACT('3AC_Data'!$D$8,16),W133,IF(EXACT('3AC_Data'!$D$8,17),X133,IF(EXACT('3AC_Data'!$D$8,18),Y133,IF(EXACT('3AC_Data'!$D$8,19),Z133,IF(EXACT('3AC_Data'!$D$8,20),AA133,IF(EXACT('3AC_Data'!$D$8,21),AB133,IF(EXACT('3AC_Data'!$D$8,22),AC133,IF(EXACT('3AC_Data'!$D$8,23),AD133,IF(EXACT('3AC_Data'!$D$8,24),AE133,IF(EXACT('3AC_Data'!$D$8,25),AF133,IF(EXACT('3AC_Data'!$D$8,26),AG133,IF(EXACT('3AC_Data'!$D$8,27),AH133,IF(EXACT('3AC_Data'!$D$8,28),AI133,IF(EXACT('3AC_Data'!$D$8,29),AJ133,IF(EXACT('3AC_Data'!$D$8,30),AK133))))))))))))))))))))))))))))))</f>
        <v>0</v>
      </c>
      <c r="H133" s="104">
        <v>0</v>
      </c>
      <c r="I133" s="105">
        <v>0</v>
      </c>
      <c r="J133" s="104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5">
        <v>0</v>
      </c>
      <c r="Q133" s="105">
        <v>0</v>
      </c>
      <c r="R133" s="105">
        <v>0</v>
      </c>
      <c r="S133" s="107">
        <v>0</v>
      </c>
      <c r="T133" s="107">
        <v>0</v>
      </c>
      <c r="U133" s="107">
        <v>0</v>
      </c>
      <c r="V133" s="107">
        <v>0</v>
      </c>
      <c r="W133" s="105">
        <v>0.43549417035569299</v>
      </c>
      <c r="X133" s="105">
        <v>0.43549417035569299</v>
      </c>
      <c r="Y133" s="105"/>
      <c r="Z133" s="107">
        <v>0</v>
      </c>
      <c r="AA133" s="105">
        <v>0.3</v>
      </c>
      <c r="AB133" s="105">
        <v>0</v>
      </c>
      <c r="AC133" s="107">
        <v>0</v>
      </c>
      <c r="AD133" s="107">
        <v>0</v>
      </c>
      <c r="AE133" s="144">
        <v>0</v>
      </c>
      <c r="AF133" s="104">
        <v>0</v>
      </c>
      <c r="AG133" s="107">
        <v>0</v>
      </c>
      <c r="AH133" s="178">
        <v>0</v>
      </c>
      <c r="AI133" s="107">
        <v>0</v>
      </c>
      <c r="AJ133" s="107">
        <v>0</v>
      </c>
      <c r="AK133" s="107">
        <v>0</v>
      </c>
    </row>
    <row r="134" spans="2:37" x14ac:dyDescent="0.25">
      <c r="B134" s="133" t="s">
        <v>1608</v>
      </c>
      <c r="C134" s="133" t="s">
        <v>1606</v>
      </c>
      <c r="D134" s="36">
        <f t="shared" si="49"/>
        <v>0</v>
      </c>
      <c r="E134" s="4">
        <v>1</v>
      </c>
      <c r="F134" s="3"/>
      <c r="G134" s="15">
        <f>+IF(EXACT('3AC_Data'!$D$8,1),H134,IF(EXACT('3AC_Data'!$D$8,2),I134,IF(EXACT('3AC_Data'!$D$8,3),J134,IF(EXACT('3AC_Data'!$D$8,4),K134,IF(EXACT('3AC_Data'!$D$8,5),L134,IF(EXACT('3AC_Data'!$D$8,6),M134,IF(EXACT('3AC_Data'!$D$8,7),N134,IF(EXACT('3AC_Data'!$D$8,8),O134,IF(EXACT('3AC_Data'!$D$8,9),P134,IF(EXACT('3AC_Data'!$D$8,10),Q134,IF(EXACT('3AC_Data'!$D$8,11),R134,IF(EXACT('3AC_Data'!$D$8,12),S134,IF(EXACT('3AC_Data'!$D$8,13),T134,IF(EXACT('3AC_Data'!$D$8,14),U134,IF(EXACT('3AC_Data'!$D$8,15),V134,IF(EXACT('3AC_Data'!$D$8,16),W134,IF(EXACT('3AC_Data'!$D$8,17),X134,IF(EXACT('3AC_Data'!$D$8,18),Y134,IF(EXACT('3AC_Data'!$D$8,19),Z134,IF(EXACT('3AC_Data'!$D$8,20),AA134,IF(EXACT('3AC_Data'!$D$8,21),AB134,IF(EXACT('3AC_Data'!$D$8,22),AC134,IF(EXACT('3AC_Data'!$D$8,23),AD134,IF(EXACT('3AC_Data'!$D$8,24),AE134,IF(EXACT('3AC_Data'!$D$8,25),AF134,IF(EXACT('3AC_Data'!$D$8,26),AG134,IF(EXACT('3AC_Data'!$D$8,27),AH134,IF(EXACT('3AC_Data'!$D$8,28),AI134,IF(EXACT('3AC_Data'!$D$8,29),AJ134,IF(EXACT('3AC_Data'!$D$8,30),AK134))))))))))))))))))))))))))))))</f>
        <v>0</v>
      </c>
      <c r="H134" s="104"/>
      <c r="I134" s="105"/>
      <c r="J134" s="104">
        <v>0</v>
      </c>
      <c r="K134" s="106"/>
      <c r="L134" s="106"/>
      <c r="M134" s="106"/>
      <c r="N134" s="106"/>
      <c r="O134" s="106"/>
      <c r="P134" s="105"/>
      <c r="Q134" s="105"/>
      <c r="R134" s="105"/>
      <c r="S134" s="107"/>
      <c r="T134" s="107"/>
      <c r="U134" s="107"/>
      <c r="V134" s="107"/>
      <c r="W134" s="105"/>
      <c r="X134" s="105"/>
      <c r="Y134" s="105"/>
      <c r="Z134" s="107"/>
      <c r="AA134" s="105"/>
      <c r="AB134" s="105"/>
      <c r="AC134" s="107">
        <v>0</v>
      </c>
      <c r="AD134" s="107">
        <v>0</v>
      </c>
      <c r="AE134" s="144">
        <v>0</v>
      </c>
      <c r="AF134" s="104">
        <v>0</v>
      </c>
      <c r="AG134" s="107"/>
      <c r="AH134" s="170"/>
      <c r="AI134" s="107"/>
      <c r="AJ134" s="107"/>
      <c r="AK134" s="107"/>
    </row>
    <row r="135" spans="2:37" x14ac:dyDescent="0.25">
      <c r="B135" s="133" t="s">
        <v>1609</v>
      </c>
      <c r="C135" s="133" t="s">
        <v>1607</v>
      </c>
      <c r="D135" s="36">
        <f t="shared" si="49"/>
        <v>0</v>
      </c>
      <c r="E135" s="4">
        <v>1</v>
      </c>
      <c r="F135" s="3"/>
      <c r="G135" s="15">
        <f>+IF(EXACT('3AC_Data'!$D$8,1),H135,IF(EXACT('3AC_Data'!$D$8,2),I135,IF(EXACT('3AC_Data'!$D$8,3),J135,IF(EXACT('3AC_Data'!$D$8,4),K135,IF(EXACT('3AC_Data'!$D$8,5),L135,IF(EXACT('3AC_Data'!$D$8,6),M135,IF(EXACT('3AC_Data'!$D$8,7),N135,IF(EXACT('3AC_Data'!$D$8,8),O135,IF(EXACT('3AC_Data'!$D$8,9),P135,IF(EXACT('3AC_Data'!$D$8,10),Q135,IF(EXACT('3AC_Data'!$D$8,11),R135,IF(EXACT('3AC_Data'!$D$8,12),S135,IF(EXACT('3AC_Data'!$D$8,13),T135,IF(EXACT('3AC_Data'!$D$8,14),U135,IF(EXACT('3AC_Data'!$D$8,15),V135,IF(EXACT('3AC_Data'!$D$8,16),W135,IF(EXACT('3AC_Data'!$D$8,17),X135,IF(EXACT('3AC_Data'!$D$8,18),Y135,IF(EXACT('3AC_Data'!$D$8,19),Z135,IF(EXACT('3AC_Data'!$D$8,20),AA135,IF(EXACT('3AC_Data'!$D$8,21),AB135,IF(EXACT('3AC_Data'!$D$8,22),AC135,IF(EXACT('3AC_Data'!$D$8,23),AD135,IF(EXACT('3AC_Data'!$D$8,24),AE135,IF(EXACT('3AC_Data'!$D$8,25),AF135,IF(EXACT('3AC_Data'!$D$8,26),AG135,IF(EXACT('3AC_Data'!$D$8,27),AH135,IF(EXACT('3AC_Data'!$D$8,28),AI135,IF(EXACT('3AC_Data'!$D$8,29),AJ135,IF(EXACT('3AC_Data'!$D$8,30),AK135))))))))))))))))))))))))))))))</f>
        <v>0</v>
      </c>
      <c r="H135" s="104"/>
      <c r="I135" s="105"/>
      <c r="J135" s="104">
        <v>0</v>
      </c>
      <c r="K135" s="106"/>
      <c r="L135" s="106"/>
      <c r="M135" s="106"/>
      <c r="N135" s="106"/>
      <c r="O135" s="106"/>
      <c r="P135" s="105"/>
      <c r="Q135" s="105"/>
      <c r="R135" s="105"/>
      <c r="S135" s="107"/>
      <c r="T135" s="107"/>
      <c r="U135" s="107"/>
      <c r="V135" s="107"/>
      <c r="W135" s="105"/>
      <c r="X135" s="105"/>
      <c r="Y135" s="105"/>
      <c r="Z135" s="107"/>
      <c r="AA135" s="105"/>
      <c r="AB135" s="105"/>
      <c r="AC135" s="107">
        <v>0</v>
      </c>
      <c r="AD135" s="107">
        <v>0</v>
      </c>
      <c r="AE135" s="144"/>
      <c r="AF135" s="104">
        <v>0</v>
      </c>
      <c r="AG135" s="107"/>
      <c r="AH135" s="170"/>
      <c r="AI135" s="107"/>
      <c r="AJ135" s="107"/>
      <c r="AK135" s="107"/>
    </row>
    <row r="136" spans="2:37" x14ac:dyDescent="0.25">
      <c r="B136" s="92" t="s">
        <v>1610</v>
      </c>
      <c r="C136" s="92" t="s">
        <v>435</v>
      </c>
      <c r="D136" s="36">
        <f t="shared" si="49"/>
        <v>0</v>
      </c>
      <c r="E136" s="4">
        <v>1</v>
      </c>
      <c r="F136" s="3"/>
      <c r="G136" s="15">
        <f>+IF(EXACT('3AC_Data'!$D$8,1),H136,IF(EXACT('3AC_Data'!$D$8,2),I136,IF(EXACT('3AC_Data'!$D$8,3),J136,IF(EXACT('3AC_Data'!$D$8,4),K136,IF(EXACT('3AC_Data'!$D$8,5),L136,IF(EXACT('3AC_Data'!$D$8,6),M136,IF(EXACT('3AC_Data'!$D$8,7),N136,IF(EXACT('3AC_Data'!$D$8,8),O136,IF(EXACT('3AC_Data'!$D$8,9),P136,IF(EXACT('3AC_Data'!$D$8,10),Q136,IF(EXACT('3AC_Data'!$D$8,11),R136,IF(EXACT('3AC_Data'!$D$8,12),S136,IF(EXACT('3AC_Data'!$D$8,13),T136,IF(EXACT('3AC_Data'!$D$8,14),U136,IF(EXACT('3AC_Data'!$D$8,15),V136,IF(EXACT('3AC_Data'!$D$8,16),W136,IF(EXACT('3AC_Data'!$D$8,17),X136,IF(EXACT('3AC_Data'!$D$8,18),Y136,IF(EXACT('3AC_Data'!$D$8,19),Z136,IF(EXACT('3AC_Data'!$D$8,20),AA136,IF(EXACT('3AC_Data'!$D$8,21),AB136,IF(EXACT('3AC_Data'!$D$8,22),AC136,IF(EXACT('3AC_Data'!$D$8,23),AD136,IF(EXACT('3AC_Data'!$D$8,24),AE136,IF(EXACT('3AC_Data'!$D$8,25),AF136,IF(EXACT('3AC_Data'!$D$8,26),AG136,IF(EXACT('3AC_Data'!$D$8,27),AH136,IF(EXACT('3AC_Data'!$D$8,28),AI136,IF(EXACT('3AC_Data'!$D$8,29),AJ136,IF(EXACT('3AC_Data'!$D$8,30),AK136))))))))))))))))))))))))))))))</f>
        <v>0</v>
      </c>
      <c r="H136" s="104">
        <v>0</v>
      </c>
      <c r="I136" s="105">
        <v>0</v>
      </c>
      <c r="J136" s="104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5">
        <v>0</v>
      </c>
      <c r="Q136" s="105">
        <v>0</v>
      </c>
      <c r="R136" s="105">
        <v>0</v>
      </c>
      <c r="S136" s="107">
        <v>0</v>
      </c>
      <c r="T136" s="107">
        <v>0</v>
      </c>
      <c r="U136" s="107">
        <v>0</v>
      </c>
      <c r="V136" s="107">
        <v>0</v>
      </c>
      <c r="W136" s="105">
        <v>0.26129650221341599</v>
      </c>
      <c r="X136" s="105">
        <v>0.26129650221341599</v>
      </c>
      <c r="Y136" s="105"/>
      <c r="Z136" s="107">
        <v>0</v>
      </c>
      <c r="AA136" s="105">
        <f>0.3*0.6</f>
        <v>0.18</v>
      </c>
      <c r="AB136" s="105">
        <v>0</v>
      </c>
      <c r="AC136" s="107">
        <v>0</v>
      </c>
      <c r="AD136" s="107">
        <v>0</v>
      </c>
      <c r="AE136" s="144">
        <v>0</v>
      </c>
      <c r="AF136" s="104">
        <v>0</v>
      </c>
      <c r="AG136" s="107">
        <v>0</v>
      </c>
      <c r="AH136" s="170">
        <v>0</v>
      </c>
      <c r="AI136" s="107">
        <v>0</v>
      </c>
      <c r="AJ136" s="107">
        <v>0</v>
      </c>
      <c r="AK136" s="107">
        <v>0</v>
      </c>
    </row>
    <row r="137" spans="2:37" x14ac:dyDescent="0.25">
      <c r="B137" s="110" t="s">
        <v>436</v>
      </c>
      <c r="C137" s="110" t="s">
        <v>450</v>
      </c>
      <c r="D137" s="36">
        <f t="shared" si="49"/>
        <v>0.5</v>
      </c>
      <c r="E137" s="4">
        <v>1</v>
      </c>
      <c r="F137" s="3"/>
      <c r="G137" s="15">
        <f>+IF(EXACT('3AC_Data'!$D$8,1),H137,IF(EXACT('3AC_Data'!$D$8,2),I137,IF(EXACT('3AC_Data'!$D$8,3),J137,IF(EXACT('3AC_Data'!$D$8,4),K137,IF(EXACT('3AC_Data'!$D$8,5),L137,IF(EXACT('3AC_Data'!$D$8,6),M137,IF(EXACT('3AC_Data'!$D$8,7),N137,IF(EXACT('3AC_Data'!$D$8,8),O137,IF(EXACT('3AC_Data'!$D$8,9),P137,IF(EXACT('3AC_Data'!$D$8,10),Q137,IF(EXACT('3AC_Data'!$D$8,11),R137,IF(EXACT('3AC_Data'!$D$8,12),S137,IF(EXACT('3AC_Data'!$D$8,13),T137,IF(EXACT('3AC_Data'!$D$8,14),U137,IF(EXACT('3AC_Data'!$D$8,15),V137,IF(EXACT('3AC_Data'!$D$8,16),W137,IF(EXACT('3AC_Data'!$D$8,17),X137,IF(EXACT('3AC_Data'!$D$8,18),Y137,IF(EXACT('3AC_Data'!$D$8,19),Z137,IF(EXACT('3AC_Data'!$D$8,20),AA137,IF(EXACT('3AC_Data'!$D$8,21),AB137,IF(EXACT('3AC_Data'!$D$8,22),AC137,IF(EXACT('3AC_Data'!$D$8,23),AD137,IF(EXACT('3AC_Data'!$D$8,24),AE137,IF(EXACT('3AC_Data'!$D$8,25),AF137,IF(EXACT('3AC_Data'!$D$8,26),AG137,IF(EXACT('3AC_Data'!$D$8,27),AH137,IF(EXACT('3AC_Data'!$D$8,28),AI137,IF(EXACT('3AC_Data'!$D$8,29),AJ137,IF(EXACT('3AC_Data'!$D$8,30),AK137))))))))))))))))))))))))))))))</f>
        <v>0.5</v>
      </c>
      <c r="H137" s="94">
        <v>0.47549999999999998</v>
      </c>
      <c r="I137" s="94">
        <v>0.47549999999999998</v>
      </c>
      <c r="J137" s="93">
        <v>0.5</v>
      </c>
      <c r="K137" s="93">
        <v>0.7</v>
      </c>
      <c r="L137" s="93">
        <v>0.62</v>
      </c>
      <c r="M137" s="93">
        <v>0.5</v>
      </c>
      <c r="N137" s="93">
        <v>0.62</v>
      </c>
      <c r="O137" s="93">
        <v>0.62</v>
      </c>
      <c r="P137" s="94">
        <v>0.62</v>
      </c>
      <c r="Q137" s="94">
        <v>0.62</v>
      </c>
      <c r="R137" s="94">
        <v>0.62</v>
      </c>
      <c r="S137" s="94">
        <v>0.47549999999999998</v>
      </c>
      <c r="T137" s="94">
        <v>0.47549999999999998</v>
      </c>
      <c r="U137" s="96">
        <v>0.75873999999999997</v>
      </c>
      <c r="V137" s="94">
        <v>0.62</v>
      </c>
      <c r="W137" s="94">
        <v>0.78</v>
      </c>
      <c r="X137" s="94">
        <v>0.78</v>
      </c>
      <c r="Y137" s="94">
        <v>0</v>
      </c>
      <c r="Z137" s="94">
        <v>0.70230000000000004</v>
      </c>
      <c r="AA137" s="94">
        <v>0.75</v>
      </c>
      <c r="AB137" s="94">
        <v>0.62</v>
      </c>
      <c r="AC137" s="96">
        <v>0.55000000000000004</v>
      </c>
      <c r="AD137" s="96">
        <v>0.57420000000000004</v>
      </c>
      <c r="AE137" s="149">
        <v>0.5</v>
      </c>
      <c r="AF137" s="93">
        <v>0.5</v>
      </c>
      <c r="AG137" s="149">
        <v>0.5</v>
      </c>
      <c r="AH137" s="149">
        <v>0.5</v>
      </c>
      <c r="AI137" s="96">
        <v>0.75873999999999997</v>
      </c>
      <c r="AJ137" s="96">
        <v>0.75873999999999997</v>
      </c>
      <c r="AK137" s="96">
        <v>0.75873999999999997</v>
      </c>
    </row>
    <row r="138" spans="2:37" x14ac:dyDescent="0.25">
      <c r="B138" s="110" t="s">
        <v>437</v>
      </c>
      <c r="C138" s="110" t="s">
        <v>458</v>
      </c>
      <c r="D138" s="36">
        <f t="shared" si="49"/>
        <v>1</v>
      </c>
      <c r="E138" s="4">
        <v>1</v>
      </c>
      <c r="F138" s="3"/>
      <c r="G138" s="15">
        <f>+IF(EXACT('3AC_Data'!$D$8,1),H138,IF(EXACT('3AC_Data'!$D$8,2),I138,IF(EXACT('3AC_Data'!$D$8,3),J138,IF(EXACT('3AC_Data'!$D$8,4),K138,IF(EXACT('3AC_Data'!$D$8,5),L138,IF(EXACT('3AC_Data'!$D$8,6),M138,IF(EXACT('3AC_Data'!$D$8,7),N138,IF(EXACT('3AC_Data'!$D$8,8),O138,IF(EXACT('3AC_Data'!$D$8,9),P138,IF(EXACT('3AC_Data'!$D$8,10),Q138,IF(EXACT('3AC_Data'!$D$8,11),R138,IF(EXACT('3AC_Data'!$D$8,12),S138,IF(EXACT('3AC_Data'!$D$8,13),T138,IF(EXACT('3AC_Data'!$D$8,14),U138,IF(EXACT('3AC_Data'!$D$8,15),V138,IF(EXACT('3AC_Data'!$D$8,16),W138,IF(EXACT('3AC_Data'!$D$8,17),X138,IF(EXACT('3AC_Data'!$D$8,18),Y138,IF(EXACT('3AC_Data'!$D$8,19),Z138,IF(EXACT('3AC_Data'!$D$8,20),AA138,IF(EXACT('3AC_Data'!$D$8,21),AB138,IF(EXACT('3AC_Data'!$D$8,22),AC138,IF(EXACT('3AC_Data'!$D$8,23),AD138,IF(EXACT('3AC_Data'!$D$8,24),AE138,IF(EXACT('3AC_Data'!$D$8,25),AF138,IF(EXACT('3AC_Data'!$D$8,26),AG138,IF(EXACT('3AC_Data'!$D$8,27),AH138,IF(EXACT('3AC_Data'!$D$8,28),AI138,IF(EXACT('3AC_Data'!$D$8,29),AJ138,IF(EXACT('3AC_Data'!$D$8,30),AK138))))))))))))))))))))))))))))))</f>
        <v>1</v>
      </c>
      <c r="H138" s="94">
        <v>1</v>
      </c>
      <c r="I138" s="94">
        <v>1</v>
      </c>
      <c r="J138" s="93">
        <v>1</v>
      </c>
      <c r="K138" s="93">
        <v>0.98</v>
      </c>
      <c r="L138" s="93">
        <v>0.98</v>
      </c>
      <c r="M138" s="93">
        <v>1</v>
      </c>
      <c r="N138" s="93">
        <v>0.98</v>
      </c>
      <c r="O138" s="93">
        <v>0.98</v>
      </c>
      <c r="P138" s="94">
        <v>0.98</v>
      </c>
      <c r="Q138" s="94">
        <v>0.98</v>
      </c>
      <c r="R138" s="94">
        <v>0.98</v>
      </c>
      <c r="S138" s="94">
        <v>1</v>
      </c>
      <c r="T138" s="94">
        <v>1</v>
      </c>
      <c r="U138" s="96">
        <v>0.95130000000000003</v>
      </c>
      <c r="V138" s="94">
        <v>0.98</v>
      </c>
      <c r="W138" s="94">
        <v>1</v>
      </c>
      <c r="X138" s="94">
        <v>1</v>
      </c>
      <c r="Y138" s="94">
        <v>0</v>
      </c>
      <c r="Z138" s="94">
        <v>0.99</v>
      </c>
      <c r="AA138" s="94">
        <v>1</v>
      </c>
      <c r="AB138" s="94">
        <v>0.87</v>
      </c>
      <c r="AC138" s="96">
        <v>1</v>
      </c>
      <c r="AD138" s="96">
        <v>0.93859999999999999</v>
      </c>
      <c r="AE138" s="149">
        <v>0.98</v>
      </c>
      <c r="AF138" s="93">
        <v>1</v>
      </c>
      <c r="AG138" s="149">
        <v>0.98</v>
      </c>
      <c r="AH138" s="149">
        <v>0.98</v>
      </c>
      <c r="AI138" s="96">
        <v>0.95130000000000003</v>
      </c>
      <c r="AJ138" s="96">
        <v>0.95130000000000003</v>
      </c>
      <c r="AK138" s="96">
        <v>0.95130000000000003</v>
      </c>
    </row>
    <row r="139" spans="2:37" x14ac:dyDescent="0.25">
      <c r="B139" s="110" t="s">
        <v>438</v>
      </c>
      <c r="C139" s="110" t="s">
        <v>457</v>
      </c>
      <c r="D139" s="36">
        <f t="shared" si="49"/>
        <v>0</v>
      </c>
      <c r="E139" s="4">
        <v>1</v>
      </c>
      <c r="F139" s="3"/>
      <c r="G139" s="15">
        <f>+IF(EXACT('3AC_Data'!$D$8,1),H139,IF(EXACT('3AC_Data'!$D$8,2),I139,IF(EXACT('3AC_Data'!$D$8,3),J139,IF(EXACT('3AC_Data'!$D$8,4),K139,IF(EXACT('3AC_Data'!$D$8,5),L139,IF(EXACT('3AC_Data'!$D$8,6),M139,IF(EXACT('3AC_Data'!$D$8,7),N139,IF(EXACT('3AC_Data'!$D$8,8),O139,IF(EXACT('3AC_Data'!$D$8,9),P139,IF(EXACT('3AC_Data'!$D$8,10),Q139,IF(EXACT('3AC_Data'!$D$8,11),R139,IF(EXACT('3AC_Data'!$D$8,12),S139,IF(EXACT('3AC_Data'!$D$8,13),T139,IF(EXACT('3AC_Data'!$D$8,14),U139,IF(EXACT('3AC_Data'!$D$8,15),V139,IF(EXACT('3AC_Data'!$D$8,16),W139,IF(EXACT('3AC_Data'!$D$8,17),X139,IF(EXACT('3AC_Data'!$D$8,18),Y139,IF(EXACT('3AC_Data'!$D$8,19),Z139,IF(EXACT('3AC_Data'!$D$8,20),AA139,IF(EXACT('3AC_Data'!$D$8,21),AB139,IF(EXACT('3AC_Data'!$D$8,22),AC139,IF(EXACT('3AC_Data'!$D$8,23),AD139,IF(EXACT('3AC_Data'!$D$8,24),AE139,IF(EXACT('3AC_Data'!$D$8,25),AF139,IF(EXACT('3AC_Data'!$D$8,26),AG139,IF(EXACT('3AC_Data'!$D$8,27),AH139,IF(EXACT('3AC_Data'!$D$8,28),AI139,IF(EXACT('3AC_Data'!$D$8,29),AJ139,IF(EXACT('3AC_Data'!$D$8,30),AK139))))))))))))))))))))))))))))))</f>
        <v>0</v>
      </c>
      <c r="H139" s="93">
        <v>0</v>
      </c>
      <c r="I139" s="94">
        <v>0</v>
      </c>
      <c r="J139" s="93">
        <v>0</v>
      </c>
      <c r="K139" s="93">
        <v>0.01</v>
      </c>
      <c r="L139" s="93">
        <v>0</v>
      </c>
      <c r="M139" s="93">
        <v>0</v>
      </c>
      <c r="N139" s="93">
        <v>0</v>
      </c>
      <c r="O139" s="93">
        <v>0</v>
      </c>
      <c r="P139" s="94">
        <v>0</v>
      </c>
      <c r="Q139" s="94">
        <v>0</v>
      </c>
      <c r="R139" s="94">
        <v>0</v>
      </c>
      <c r="S139" s="96">
        <v>0</v>
      </c>
      <c r="T139" s="96">
        <v>0</v>
      </c>
      <c r="U139" s="96">
        <v>0.02</v>
      </c>
      <c r="V139" s="94">
        <v>0</v>
      </c>
      <c r="W139" s="94">
        <v>0</v>
      </c>
      <c r="X139" s="94">
        <v>0</v>
      </c>
      <c r="Y139" s="94">
        <v>0</v>
      </c>
      <c r="Z139" s="94">
        <v>0.14050000000000001</v>
      </c>
      <c r="AA139" s="94">
        <v>0.5</v>
      </c>
      <c r="AB139" s="94">
        <v>0</v>
      </c>
      <c r="AC139" s="96">
        <v>0.06</v>
      </c>
      <c r="AD139" s="96">
        <v>0.06</v>
      </c>
      <c r="AE139" s="146">
        <v>0.02</v>
      </c>
      <c r="AF139" s="93">
        <v>0</v>
      </c>
      <c r="AG139" s="96">
        <v>0</v>
      </c>
      <c r="AH139" s="171">
        <v>0</v>
      </c>
      <c r="AI139" s="96">
        <v>0.02</v>
      </c>
      <c r="AJ139" s="96">
        <v>0.02</v>
      </c>
      <c r="AK139" s="96">
        <v>0.02</v>
      </c>
    </row>
    <row r="140" spans="2:37" x14ac:dyDescent="0.25">
      <c r="B140" s="110" t="s">
        <v>439</v>
      </c>
      <c r="C140" s="110" t="s">
        <v>456</v>
      </c>
      <c r="D140" s="36">
        <f t="shared" si="49"/>
        <v>0</v>
      </c>
      <c r="E140" s="4">
        <v>1</v>
      </c>
      <c r="F140" s="3"/>
      <c r="G140" s="15">
        <f>+IF(EXACT('3AC_Data'!$D$8,1),H140,IF(EXACT('3AC_Data'!$D$8,2),I140,IF(EXACT('3AC_Data'!$D$8,3),J140,IF(EXACT('3AC_Data'!$D$8,4),K140,IF(EXACT('3AC_Data'!$D$8,5),L140,IF(EXACT('3AC_Data'!$D$8,6),M140,IF(EXACT('3AC_Data'!$D$8,7),N140,IF(EXACT('3AC_Data'!$D$8,8),O140,IF(EXACT('3AC_Data'!$D$8,9),P140,IF(EXACT('3AC_Data'!$D$8,10),Q140,IF(EXACT('3AC_Data'!$D$8,11),R140,IF(EXACT('3AC_Data'!$D$8,12),S140,IF(EXACT('3AC_Data'!$D$8,13),T140,IF(EXACT('3AC_Data'!$D$8,14),U140,IF(EXACT('3AC_Data'!$D$8,15),V140,IF(EXACT('3AC_Data'!$D$8,16),W140,IF(EXACT('3AC_Data'!$D$8,17),X140,IF(EXACT('3AC_Data'!$D$8,18),Y140,IF(EXACT('3AC_Data'!$D$8,19),Z140,IF(EXACT('3AC_Data'!$D$8,20),AA140,IF(EXACT('3AC_Data'!$D$8,21),AB140,IF(EXACT('3AC_Data'!$D$8,22),AC140,IF(EXACT('3AC_Data'!$D$8,23),AD140,IF(EXACT('3AC_Data'!$D$8,24),AE140,IF(EXACT('3AC_Data'!$D$8,25),AF140,IF(EXACT('3AC_Data'!$D$8,26),AG140,IF(EXACT('3AC_Data'!$D$8,27),AH140,IF(EXACT('3AC_Data'!$D$8,28),AI140,IF(EXACT('3AC_Data'!$D$8,29),AJ140,IF(EXACT('3AC_Data'!$D$8,30),AK140))))))))))))))))))))))))))))))</f>
        <v>0</v>
      </c>
      <c r="H140" s="93">
        <v>0</v>
      </c>
      <c r="I140" s="94">
        <v>0</v>
      </c>
      <c r="J140" s="93">
        <v>0</v>
      </c>
      <c r="K140" s="93">
        <v>0.87</v>
      </c>
      <c r="L140" s="93">
        <v>0</v>
      </c>
      <c r="M140" s="93">
        <v>0</v>
      </c>
      <c r="N140" s="93">
        <v>0</v>
      </c>
      <c r="O140" s="93">
        <v>0</v>
      </c>
      <c r="P140" s="94">
        <v>0</v>
      </c>
      <c r="Q140" s="94">
        <v>0</v>
      </c>
      <c r="R140" s="94">
        <v>0</v>
      </c>
      <c r="S140" s="96">
        <v>0</v>
      </c>
      <c r="T140" s="96">
        <v>0</v>
      </c>
      <c r="U140" s="96">
        <v>0.95409999999999995</v>
      </c>
      <c r="V140" s="94">
        <v>0</v>
      </c>
      <c r="W140" s="94">
        <v>1</v>
      </c>
      <c r="X140" s="94">
        <v>1</v>
      </c>
      <c r="Y140" s="94">
        <v>0</v>
      </c>
      <c r="Z140" s="94">
        <v>0.68579999999999997</v>
      </c>
      <c r="AA140" s="94">
        <v>0.75</v>
      </c>
      <c r="AB140" s="94">
        <v>1</v>
      </c>
      <c r="AC140" s="96">
        <v>1</v>
      </c>
      <c r="AD140" s="96">
        <v>1</v>
      </c>
      <c r="AE140" s="146">
        <v>0.95409999999999995</v>
      </c>
      <c r="AF140" s="93">
        <v>0</v>
      </c>
      <c r="AG140" s="96">
        <v>0</v>
      </c>
      <c r="AH140" s="171">
        <v>0</v>
      </c>
      <c r="AI140" s="96">
        <v>0.95409999999999995</v>
      </c>
      <c r="AJ140" s="96">
        <v>0.95409999999999995</v>
      </c>
      <c r="AK140" s="96">
        <v>0.95409999999999995</v>
      </c>
    </row>
    <row r="141" spans="2:37" x14ac:dyDescent="0.25">
      <c r="B141" s="110" t="s">
        <v>441</v>
      </c>
      <c r="C141" s="110" t="s">
        <v>455</v>
      </c>
      <c r="D141" s="36">
        <f t="shared" si="49"/>
        <v>0</v>
      </c>
      <c r="E141" s="4">
        <v>1</v>
      </c>
      <c r="F141" s="3"/>
      <c r="G141" s="15">
        <f>+IF(EXACT('3AC_Data'!$D$8,1),H141,IF(EXACT('3AC_Data'!$D$8,2),I141,IF(EXACT('3AC_Data'!$D$8,3),J141,IF(EXACT('3AC_Data'!$D$8,4),K141,IF(EXACT('3AC_Data'!$D$8,5),L141,IF(EXACT('3AC_Data'!$D$8,6),M141,IF(EXACT('3AC_Data'!$D$8,7),N141,IF(EXACT('3AC_Data'!$D$8,8),O141,IF(EXACT('3AC_Data'!$D$8,9),P141,IF(EXACT('3AC_Data'!$D$8,10),Q141,IF(EXACT('3AC_Data'!$D$8,11),R141,IF(EXACT('3AC_Data'!$D$8,12),S141,IF(EXACT('3AC_Data'!$D$8,13),T141,IF(EXACT('3AC_Data'!$D$8,14),U141,IF(EXACT('3AC_Data'!$D$8,15),V141,IF(EXACT('3AC_Data'!$D$8,16),W141,IF(EXACT('3AC_Data'!$D$8,17),X141,IF(EXACT('3AC_Data'!$D$8,18),Y141,IF(EXACT('3AC_Data'!$D$8,19),Z141,IF(EXACT('3AC_Data'!$D$8,20),AA141,IF(EXACT('3AC_Data'!$D$8,21),AB141,IF(EXACT('3AC_Data'!$D$8,22),AC141,IF(EXACT('3AC_Data'!$D$8,23),AD141,IF(EXACT('3AC_Data'!$D$8,24),AE141,IF(EXACT('3AC_Data'!$D$8,25),AF141,IF(EXACT('3AC_Data'!$D$8,26),AG141,IF(EXACT('3AC_Data'!$D$8,27),AH141,IF(EXACT('3AC_Data'!$D$8,28),AI141,IF(EXACT('3AC_Data'!$D$8,29),AJ141,IF(EXACT('3AC_Data'!$D$8,30),AK141))))))))))))))))))))))))))))))</f>
        <v>0</v>
      </c>
      <c r="H141" s="93">
        <v>0</v>
      </c>
      <c r="I141" s="94">
        <v>0</v>
      </c>
      <c r="J141" s="93">
        <v>0</v>
      </c>
      <c r="K141" s="93">
        <v>0</v>
      </c>
      <c r="L141" s="93">
        <v>0</v>
      </c>
      <c r="M141" s="93">
        <v>0</v>
      </c>
      <c r="N141" s="93">
        <v>0</v>
      </c>
      <c r="O141" s="93">
        <v>0</v>
      </c>
      <c r="P141" s="94">
        <v>0</v>
      </c>
      <c r="Q141" s="94">
        <v>0</v>
      </c>
      <c r="R141" s="94">
        <v>0</v>
      </c>
      <c r="S141" s="96">
        <v>0</v>
      </c>
      <c r="T141" s="96">
        <v>0</v>
      </c>
      <c r="U141" s="96">
        <v>0</v>
      </c>
      <c r="V141" s="94">
        <v>0.02</v>
      </c>
      <c r="W141" s="94">
        <v>0</v>
      </c>
      <c r="X141" s="94">
        <v>0</v>
      </c>
      <c r="Y141" s="94">
        <v>0</v>
      </c>
      <c r="Z141" s="96">
        <v>0</v>
      </c>
      <c r="AA141" s="94">
        <v>0.5</v>
      </c>
      <c r="AB141" s="94">
        <v>0</v>
      </c>
      <c r="AC141" s="96">
        <v>0</v>
      </c>
      <c r="AD141" s="96">
        <v>0</v>
      </c>
      <c r="AE141" s="146">
        <v>0</v>
      </c>
      <c r="AF141" s="93">
        <v>0</v>
      </c>
      <c r="AG141" s="96">
        <v>0</v>
      </c>
      <c r="AH141" s="171">
        <v>0</v>
      </c>
      <c r="AI141" s="96">
        <v>0</v>
      </c>
      <c r="AJ141" s="96">
        <v>0</v>
      </c>
      <c r="AK141" s="96">
        <v>0</v>
      </c>
    </row>
    <row r="142" spans="2:37" x14ac:dyDescent="0.25">
      <c r="B142" s="110" t="s">
        <v>440</v>
      </c>
      <c r="C142" s="110" t="s">
        <v>454</v>
      </c>
      <c r="D142" s="36">
        <f t="shared" si="49"/>
        <v>0</v>
      </c>
      <c r="E142" s="4">
        <v>1</v>
      </c>
      <c r="F142" s="3"/>
      <c r="G142" s="15">
        <f>+IF(EXACT('3AC_Data'!$D$8,1),H142,IF(EXACT('3AC_Data'!$D$8,2),I142,IF(EXACT('3AC_Data'!$D$8,3),J142,IF(EXACT('3AC_Data'!$D$8,4),K142,IF(EXACT('3AC_Data'!$D$8,5),L142,IF(EXACT('3AC_Data'!$D$8,6),M142,IF(EXACT('3AC_Data'!$D$8,7),N142,IF(EXACT('3AC_Data'!$D$8,8),O142,IF(EXACT('3AC_Data'!$D$8,9),P142,IF(EXACT('3AC_Data'!$D$8,10),Q142,IF(EXACT('3AC_Data'!$D$8,11),R142,IF(EXACT('3AC_Data'!$D$8,12),S142,IF(EXACT('3AC_Data'!$D$8,13),T142,IF(EXACT('3AC_Data'!$D$8,14),U142,IF(EXACT('3AC_Data'!$D$8,15),V142,IF(EXACT('3AC_Data'!$D$8,16),W142,IF(EXACT('3AC_Data'!$D$8,17),X142,IF(EXACT('3AC_Data'!$D$8,18),Y142,IF(EXACT('3AC_Data'!$D$8,19),Z142,IF(EXACT('3AC_Data'!$D$8,20),AA142,IF(EXACT('3AC_Data'!$D$8,21),AB142,IF(EXACT('3AC_Data'!$D$8,22),AC142,IF(EXACT('3AC_Data'!$D$8,23),AD142,IF(EXACT('3AC_Data'!$D$8,24),AE142,IF(EXACT('3AC_Data'!$D$8,25),AF142,IF(EXACT('3AC_Data'!$D$8,26),AG142,IF(EXACT('3AC_Data'!$D$8,27),AH142,IF(EXACT('3AC_Data'!$D$8,28),AI142,IF(EXACT('3AC_Data'!$D$8,29),AJ142,IF(EXACT('3AC_Data'!$D$8,30),AK142))))))))))))))))))))))))))))))</f>
        <v>0</v>
      </c>
      <c r="H142" s="93">
        <v>0</v>
      </c>
      <c r="I142" s="94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4">
        <v>0</v>
      </c>
      <c r="Q142" s="94">
        <v>0</v>
      </c>
      <c r="R142" s="94">
        <v>0</v>
      </c>
      <c r="S142" s="96">
        <v>0</v>
      </c>
      <c r="T142" s="96">
        <v>0</v>
      </c>
      <c r="U142" s="96">
        <v>0</v>
      </c>
      <c r="V142" s="94">
        <v>0.57999999999999996</v>
      </c>
      <c r="W142" s="94">
        <v>0</v>
      </c>
      <c r="X142" s="94">
        <v>0</v>
      </c>
      <c r="Y142" s="94">
        <v>0</v>
      </c>
      <c r="Z142" s="96">
        <v>0</v>
      </c>
      <c r="AA142" s="94">
        <v>0.75</v>
      </c>
      <c r="AB142" s="94">
        <v>0</v>
      </c>
      <c r="AC142" s="96">
        <v>0</v>
      </c>
      <c r="AD142" s="96">
        <v>0</v>
      </c>
      <c r="AE142" s="146">
        <v>0</v>
      </c>
      <c r="AF142" s="93">
        <v>0</v>
      </c>
      <c r="AG142" s="96">
        <v>0</v>
      </c>
      <c r="AH142" s="171">
        <v>0</v>
      </c>
      <c r="AI142" s="96">
        <v>0</v>
      </c>
      <c r="AJ142" s="96">
        <v>0</v>
      </c>
      <c r="AK142" s="96">
        <v>0</v>
      </c>
    </row>
    <row r="143" spans="2:37" x14ac:dyDescent="0.25">
      <c r="B143" s="110" t="s">
        <v>442</v>
      </c>
      <c r="C143" s="110" t="s">
        <v>453</v>
      </c>
      <c r="D143" s="36">
        <f t="shared" si="49"/>
        <v>0</v>
      </c>
      <c r="E143" s="4">
        <v>1</v>
      </c>
      <c r="F143" s="3"/>
      <c r="G143" s="15">
        <f>+IF(EXACT('3AC_Data'!$D$8,1),H143,IF(EXACT('3AC_Data'!$D$8,2),I143,IF(EXACT('3AC_Data'!$D$8,3),J143,IF(EXACT('3AC_Data'!$D$8,4),K143,IF(EXACT('3AC_Data'!$D$8,5),L143,IF(EXACT('3AC_Data'!$D$8,6),M143,IF(EXACT('3AC_Data'!$D$8,7),N143,IF(EXACT('3AC_Data'!$D$8,8),O143,IF(EXACT('3AC_Data'!$D$8,9),P143,IF(EXACT('3AC_Data'!$D$8,10),Q143,IF(EXACT('3AC_Data'!$D$8,11),R143,IF(EXACT('3AC_Data'!$D$8,12),S143,IF(EXACT('3AC_Data'!$D$8,13),T143,IF(EXACT('3AC_Data'!$D$8,14),U143,IF(EXACT('3AC_Data'!$D$8,15),V143,IF(EXACT('3AC_Data'!$D$8,16),W143,IF(EXACT('3AC_Data'!$D$8,17),X143,IF(EXACT('3AC_Data'!$D$8,18),Y143,IF(EXACT('3AC_Data'!$D$8,19),Z143,IF(EXACT('3AC_Data'!$D$8,20),AA143,IF(EXACT('3AC_Data'!$D$8,21),AB143,IF(EXACT('3AC_Data'!$D$8,22),AC143,IF(EXACT('3AC_Data'!$D$8,23),AD143,IF(EXACT('3AC_Data'!$D$8,24),AE143,IF(EXACT('3AC_Data'!$D$8,25),AF143,IF(EXACT('3AC_Data'!$D$8,26),AG143,IF(EXACT('3AC_Data'!$D$8,27),AH143,IF(EXACT('3AC_Data'!$D$8,28),AI143,IF(EXACT('3AC_Data'!$D$8,29),AJ143,IF(EXACT('3AC_Data'!$D$8,30),AK143))))))))))))))))))))))))))))))</f>
        <v>0</v>
      </c>
      <c r="H143" s="94">
        <v>0.15240000000000001</v>
      </c>
      <c r="I143" s="94">
        <v>0.15240000000000001</v>
      </c>
      <c r="J143" s="93">
        <v>0.02</v>
      </c>
      <c r="K143" s="93">
        <v>0.01</v>
      </c>
      <c r="L143" s="93">
        <v>0.02</v>
      </c>
      <c r="M143" s="93">
        <v>0</v>
      </c>
      <c r="N143" s="93">
        <v>0.02</v>
      </c>
      <c r="O143" s="93">
        <v>0.02</v>
      </c>
      <c r="P143" s="94">
        <v>0.02</v>
      </c>
      <c r="Q143" s="94">
        <v>0.02</v>
      </c>
      <c r="R143" s="94">
        <v>0.02</v>
      </c>
      <c r="S143" s="96">
        <v>0</v>
      </c>
      <c r="T143" s="96">
        <v>0</v>
      </c>
      <c r="U143" s="96">
        <v>0</v>
      </c>
      <c r="V143" s="94">
        <v>0.02</v>
      </c>
      <c r="W143" s="94">
        <v>0.28999999999999998</v>
      </c>
      <c r="X143" s="94">
        <v>0.28999999999999998</v>
      </c>
      <c r="Y143" s="94">
        <v>0</v>
      </c>
      <c r="Z143" s="96">
        <v>0.15</v>
      </c>
      <c r="AA143" s="94">
        <v>0</v>
      </c>
      <c r="AB143" s="94">
        <v>0</v>
      </c>
      <c r="AC143" s="96">
        <v>0.10975</v>
      </c>
      <c r="AD143" s="96">
        <v>0.10975</v>
      </c>
      <c r="AE143" s="149">
        <v>0.5</v>
      </c>
      <c r="AF143" s="93">
        <v>0.02</v>
      </c>
      <c r="AG143" s="149">
        <v>0.5</v>
      </c>
      <c r="AH143" s="149">
        <v>0.1</v>
      </c>
      <c r="AI143" s="96">
        <v>0</v>
      </c>
      <c r="AJ143" s="96">
        <v>0</v>
      </c>
      <c r="AK143" s="96">
        <v>0</v>
      </c>
    </row>
    <row r="144" spans="2:37" x14ac:dyDescent="0.25">
      <c r="B144" s="110" t="s">
        <v>443</v>
      </c>
      <c r="C144" s="110" t="s">
        <v>452</v>
      </c>
      <c r="D144" s="36">
        <f t="shared" si="49"/>
        <v>0</v>
      </c>
      <c r="E144" s="4">
        <v>1</v>
      </c>
      <c r="F144" s="3"/>
      <c r="G144" s="15">
        <f>+IF(EXACT('3AC_Data'!$D$8,1),H144,IF(EXACT('3AC_Data'!$D$8,2),I144,IF(EXACT('3AC_Data'!$D$8,3),J144,IF(EXACT('3AC_Data'!$D$8,4),K144,IF(EXACT('3AC_Data'!$D$8,5),L144,IF(EXACT('3AC_Data'!$D$8,6),M144,IF(EXACT('3AC_Data'!$D$8,7),N144,IF(EXACT('3AC_Data'!$D$8,8),O144,IF(EXACT('3AC_Data'!$D$8,9),P144,IF(EXACT('3AC_Data'!$D$8,10),Q144,IF(EXACT('3AC_Data'!$D$8,11),R144,IF(EXACT('3AC_Data'!$D$8,12),S144,IF(EXACT('3AC_Data'!$D$8,13),T144,IF(EXACT('3AC_Data'!$D$8,14),U144,IF(EXACT('3AC_Data'!$D$8,15),V144,IF(EXACT('3AC_Data'!$D$8,16),W144,IF(EXACT('3AC_Data'!$D$8,17),X144,IF(EXACT('3AC_Data'!$D$8,18),Y144,IF(EXACT('3AC_Data'!$D$8,19),Z144,IF(EXACT('3AC_Data'!$D$8,20),AA144,IF(EXACT('3AC_Data'!$D$8,21),AB144,IF(EXACT('3AC_Data'!$D$8,22),AC144,IF(EXACT('3AC_Data'!$D$8,23),AD144,IF(EXACT('3AC_Data'!$D$8,24),AE144,IF(EXACT('3AC_Data'!$D$8,25),AF144,IF(EXACT('3AC_Data'!$D$8,26),AG144,IF(EXACT('3AC_Data'!$D$8,27),AH144,IF(EXACT('3AC_Data'!$D$8,28),AI144,IF(EXACT('3AC_Data'!$D$8,29),AJ144,IF(EXACT('3AC_Data'!$D$8,30),AK144))))))))))))))))))))))))))))))</f>
        <v>0</v>
      </c>
      <c r="H144" s="94">
        <v>0.46579999999999999</v>
      </c>
      <c r="I144" s="94">
        <v>0.46579999999999999</v>
      </c>
      <c r="J144" s="93">
        <v>0.57999999999999996</v>
      </c>
      <c r="K144" s="93">
        <v>0.69</v>
      </c>
      <c r="L144" s="93">
        <v>0.57999999999999996</v>
      </c>
      <c r="M144" s="93">
        <v>0</v>
      </c>
      <c r="N144" s="93">
        <v>0.57999999999999996</v>
      </c>
      <c r="O144" s="93">
        <v>0.57999999999999996</v>
      </c>
      <c r="P144" s="94">
        <v>0.57999999999999996</v>
      </c>
      <c r="Q144" s="94">
        <v>0.57999999999999996</v>
      </c>
      <c r="R144" s="94">
        <v>0.57999999999999996</v>
      </c>
      <c r="S144" s="96">
        <v>0</v>
      </c>
      <c r="T144" s="96">
        <v>0</v>
      </c>
      <c r="U144" s="96">
        <v>0.64900000000000002</v>
      </c>
      <c r="V144" s="94">
        <v>0.57999999999999996</v>
      </c>
      <c r="W144" s="94">
        <v>0.77</v>
      </c>
      <c r="X144" s="94">
        <v>0.77</v>
      </c>
      <c r="Y144" s="94">
        <v>0</v>
      </c>
      <c r="Z144" s="94">
        <v>0.7</v>
      </c>
      <c r="AA144" s="124">
        <v>0</v>
      </c>
      <c r="AB144" s="94">
        <v>0.6</v>
      </c>
      <c r="AC144" s="96">
        <v>0.75</v>
      </c>
      <c r="AD144" s="96">
        <v>0.75</v>
      </c>
      <c r="AE144" s="149">
        <v>0.98</v>
      </c>
      <c r="AF144" s="93">
        <v>0.5</v>
      </c>
      <c r="AG144" s="149">
        <v>0.98</v>
      </c>
      <c r="AH144" s="149">
        <v>0.5</v>
      </c>
      <c r="AI144" s="96">
        <v>0.64900000000000002</v>
      </c>
      <c r="AJ144" s="96">
        <v>0.64900000000000002</v>
      </c>
      <c r="AK144" s="96">
        <v>0.64900000000000002</v>
      </c>
    </row>
    <row r="145" spans="2:37" x14ac:dyDescent="0.25">
      <c r="B145" s="110" t="s">
        <v>444</v>
      </c>
      <c r="C145" s="110" t="s">
        <v>451</v>
      </c>
      <c r="D145" s="36">
        <f t="shared" si="49"/>
        <v>0</v>
      </c>
      <c r="E145" s="4">
        <v>1</v>
      </c>
      <c r="F145" s="3"/>
      <c r="G145" s="15">
        <f>+IF(EXACT('3AC_Data'!$D$8,1),H145,IF(EXACT('3AC_Data'!$D$8,2),I145,IF(EXACT('3AC_Data'!$D$8,3),J145,IF(EXACT('3AC_Data'!$D$8,4),K145,IF(EXACT('3AC_Data'!$D$8,5),L145,IF(EXACT('3AC_Data'!$D$8,6),M145,IF(EXACT('3AC_Data'!$D$8,7),N145,IF(EXACT('3AC_Data'!$D$8,8),O145,IF(EXACT('3AC_Data'!$D$8,9),P145,IF(EXACT('3AC_Data'!$D$8,10),Q145,IF(EXACT('3AC_Data'!$D$8,11),R145,IF(EXACT('3AC_Data'!$D$8,12),S145,IF(EXACT('3AC_Data'!$D$8,13),T145,IF(EXACT('3AC_Data'!$D$8,14),U145,IF(EXACT('3AC_Data'!$D$8,15),V145,IF(EXACT('3AC_Data'!$D$8,16),W145,IF(EXACT('3AC_Data'!$D$8,17),X145,IF(EXACT('3AC_Data'!$D$8,18),Y145,IF(EXACT('3AC_Data'!$D$8,19),Z145,IF(EXACT('3AC_Data'!$D$8,20),AA145,IF(EXACT('3AC_Data'!$D$8,21),AB145,IF(EXACT('3AC_Data'!$D$8,22),AC145,IF(EXACT('3AC_Data'!$D$8,23),AD145,IF(EXACT('3AC_Data'!$D$8,24),AE145,IF(EXACT('3AC_Data'!$D$8,25),AF145,IF(EXACT('3AC_Data'!$D$8,26),AG145,IF(EXACT('3AC_Data'!$D$8,27),AH145,IF(EXACT('3AC_Data'!$D$8,28),AI145,IF(EXACT('3AC_Data'!$D$8,29),AJ145,IF(EXACT('3AC_Data'!$D$8,30),AK145))))))))))))))))))))))))))))))</f>
        <v>0</v>
      </c>
      <c r="H145" s="93">
        <v>0</v>
      </c>
      <c r="I145" s="94">
        <v>0</v>
      </c>
      <c r="J145" s="93">
        <v>0</v>
      </c>
      <c r="K145" s="93">
        <v>0.01</v>
      </c>
      <c r="L145" s="93">
        <v>0</v>
      </c>
      <c r="M145" s="93">
        <v>0</v>
      </c>
      <c r="N145" s="93">
        <v>0</v>
      </c>
      <c r="O145" s="93">
        <v>0</v>
      </c>
      <c r="P145" s="94">
        <v>0</v>
      </c>
      <c r="Q145" s="94">
        <v>0</v>
      </c>
      <c r="R145" s="94">
        <v>0</v>
      </c>
      <c r="S145" s="96">
        <v>0</v>
      </c>
      <c r="T145" s="96">
        <v>0</v>
      </c>
      <c r="U145" s="96">
        <v>0.123</v>
      </c>
      <c r="V145" s="94">
        <v>0.2</v>
      </c>
      <c r="W145" s="94">
        <v>0</v>
      </c>
      <c r="X145" s="94">
        <v>0</v>
      </c>
      <c r="Y145" s="94">
        <v>0</v>
      </c>
      <c r="Z145" s="94">
        <v>0.21</v>
      </c>
      <c r="AA145" s="94">
        <v>0</v>
      </c>
      <c r="AB145" s="94">
        <v>0</v>
      </c>
      <c r="AC145" s="96">
        <v>0</v>
      </c>
      <c r="AD145" s="96">
        <v>0</v>
      </c>
      <c r="AE145" s="146">
        <v>0.123</v>
      </c>
      <c r="AF145" s="93">
        <v>0</v>
      </c>
      <c r="AG145" s="96">
        <v>0</v>
      </c>
      <c r="AH145" s="171">
        <v>0</v>
      </c>
      <c r="AI145" s="96">
        <v>0.123</v>
      </c>
      <c r="AJ145" s="96">
        <v>0.123</v>
      </c>
      <c r="AK145" s="96">
        <v>0.123</v>
      </c>
    </row>
    <row r="146" spans="2:37" x14ac:dyDescent="0.25">
      <c r="B146" s="110" t="s">
        <v>445</v>
      </c>
      <c r="C146" s="110" t="s">
        <v>459</v>
      </c>
      <c r="D146" s="36">
        <f t="shared" si="49"/>
        <v>0</v>
      </c>
      <c r="E146" s="4">
        <v>1</v>
      </c>
      <c r="F146" s="3"/>
      <c r="G146" s="15">
        <f>+IF(EXACT('3AC_Data'!$D$8,1),H146,IF(EXACT('3AC_Data'!$D$8,2),I146,IF(EXACT('3AC_Data'!$D$8,3),J146,IF(EXACT('3AC_Data'!$D$8,4),K146,IF(EXACT('3AC_Data'!$D$8,5),L146,IF(EXACT('3AC_Data'!$D$8,6),M146,IF(EXACT('3AC_Data'!$D$8,7),N146,IF(EXACT('3AC_Data'!$D$8,8),O146,IF(EXACT('3AC_Data'!$D$8,9),P146,IF(EXACT('3AC_Data'!$D$8,10),Q146,IF(EXACT('3AC_Data'!$D$8,11),R146,IF(EXACT('3AC_Data'!$D$8,12),S146,IF(EXACT('3AC_Data'!$D$8,13),T146,IF(EXACT('3AC_Data'!$D$8,14),U146,IF(EXACT('3AC_Data'!$D$8,15),V146,IF(EXACT('3AC_Data'!$D$8,16),W146,IF(EXACT('3AC_Data'!$D$8,17),X146,IF(EXACT('3AC_Data'!$D$8,18),Y146,IF(EXACT('3AC_Data'!$D$8,19),Z146,IF(EXACT('3AC_Data'!$D$8,20),AA146,IF(EXACT('3AC_Data'!$D$8,21),AB146,IF(EXACT('3AC_Data'!$D$8,22),AC146,IF(EXACT('3AC_Data'!$D$8,23),AD146,IF(EXACT('3AC_Data'!$D$8,24),AE146,IF(EXACT('3AC_Data'!$D$8,25),AF146,IF(EXACT('3AC_Data'!$D$8,26),AG146,IF(EXACT('3AC_Data'!$D$8,27),AH146,IF(EXACT('3AC_Data'!$D$8,28),AI146,IF(EXACT('3AC_Data'!$D$8,29),AJ146,IF(EXACT('3AC_Data'!$D$8,30),AK146))))))))))))))))))))))))))))))</f>
        <v>0</v>
      </c>
      <c r="H146" s="93">
        <v>0</v>
      </c>
      <c r="I146" s="94">
        <v>0</v>
      </c>
      <c r="J146" s="93">
        <v>0</v>
      </c>
      <c r="K146" s="93">
        <v>0.87</v>
      </c>
      <c r="L146" s="93">
        <v>0</v>
      </c>
      <c r="M146" s="93">
        <v>0</v>
      </c>
      <c r="N146" s="93">
        <v>0</v>
      </c>
      <c r="O146" s="93">
        <v>0</v>
      </c>
      <c r="P146" s="94">
        <v>0</v>
      </c>
      <c r="Q146" s="94">
        <v>0</v>
      </c>
      <c r="R146" s="94">
        <v>0</v>
      </c>
      <c r="S146" s="96">
        <v>0</v>
      </c>
      <c r="T146" s="96">
        <v>0</v>
      </c>
      <c r="U146" s="96">
        <v>0.98899999999999999</v>
      </c>
      <c r="V146" s="94">
        <v>0.98</v>
      </c>
      <c r="W146" s="94">
        <v>0.95</v>
      </c>
      <c r="X146" s="94">
        <v>1</v>
      </c>
      <c r="Y146" s="94">
        <v>1</v>
      </c>
      <c r="Z146" s="94">
        <v>0.98</v>
      </c>
      <c r="AA146" s="94">
        <v>0</v>
      </c>
      <c r="AB146" s="94">
        <v>1</v>
      </c>
      <c r="AC146" s="96">
        <v>1</v>
      </c>
      <c r="AD146" s="96">
        <v>1</v>
      </c>
      <c r="AE146" s="146">
        <v>0.98899999999999999</v>
      </c>
      <c r="AF146" s="93">
        <v>0</v>
      </c>
      <c r="AG146" s="96">
        <v>0</v>
      </c>
      <c r="AH146" s="171">
        <v>0</v>
      </c>
      <c r="AI146" s="96">
        <v>0.98899999999999999</v>
      </c>
      <c r="AJ146" s="96">
        <v>0.98899999999999999</v>
      </c>
      <c r="AK146" s="96">
        <v>0.98899999999999999</v>
      </c>
    </row>
    <row r="147" spans="2:37" x14ac:dyDescent="0.25">
      <c r="B147" s="110" t="s">
        <v>446</v>
      </c>
      <c r="C147" s="110" t="s">
        <v>1611</v>
      </c>
      <c r="D147" s="36">
        <f t="shared" si="49"/>
        <v>0.02</v>
      </c>
      <c r="E147" s="4">
        <v>1</v>
      </c>
      <c r="F147" s="3"/>
      <c r="G147" s="15">
        <f>+IF(EXACT('3AC_Data'!$D$8,1),H147,IF(EXACT('3AC_Data'!$D$8,2),I147,IF(EXACT('3AC_Data'!$D$8,3),J147,IF(EXACT('3AC_Data'!$D$8,4),K147,IF(EXACT('3AC_Data'!$D$8,5),L147,IF(EXACT('3AC_Data'!$D$8,6),M147,IF(EXACT('3AC_Data'!$D$8,7),N147,IF(EXACT('3AC_Data'!$D$8,8),O147,IF(EXACT('3AC_Data'!$D$8,9),P147,IF(EXACT('3AC_Data'!$D$8,10),Q147,IF(EXACT('3AC_Data'!$D$8,11),R147,IF(EXACT('3AC_Data'!$D$8,12),S147,IF(EXACT('3AC_Data'!$D$8,13),T147,IF(EXACT('3AC_Data'!$D$8,14),U147,IF(EXACT('3AC_Data'!$D$8,15),V147,IF(EXACT('3AC_Data'!$D$8,16),W147,IF(EXACT('3AC_Data'!$D$8,17),X147,IF(EXACT('3AC_Data'!$D$8,18),Y147,IF(EXACT('3AC_Data'!$D$8,19),Z147,IF(EXACT('3AC_Data'!$D$8,20),AA147,IF(EXACT('3AC_Data'!$D$8,21),AB147,IF(EXACT('3AC_Data'!$D$8,22),AC147,IF(EXACT('3AC_Data'!$D$8,23),AD147,IF(EXACT('3AC_Data'!$D$8,24),AE147,IF(EXACT('3AC_Data'!$D$8,25),AF147,IF(EXACT('3AC_Data'!$D$8,26),AG147,IF(EXACT('3AC_Data'!$D$8,27),AH147,IF(EXACT('3AC_Data'!$D$8,28),AI147,IF(EXACT('3AC_Data'!$D$8,29),AJ147,IF(EXACT('3AC_Data'!$D$8,30),AK147))))))))))))))))))))))))))))))</f>
        <v>0.02</v>
      </c>
      <c r="H147" s="93">
        <v>0.02</v>
      </c>
      <c r="I147" s="94">
        <v>0.02</v>
      </c>
      <c r="J147" s="93">
        <v>0.02</v>
      </c>
      <c r="K147" s="93">
        <v>0</v>
      </c>
      <c r="L147" s="93">
        <v>0.02</v>
      </c>
      <c r="M147" s="93">
        <v>0.02</v>
      </c>
      <c r="N147" s="93">
        <v>0.02</v>
      </c>
      <c r="O147" s="93">
        <v>0.02</v>
      </c>
      <c r="P147" s="94">
        <v>0.02</v>
      </c>
      <c r="Q147" s="94">
        <v>0.02</v>
      </c>
      <c r="R147" s="94">
        <v>0.02</v>
      </c>
      <c r="S147" s="96">
        <v>0</v>
      </c>
      <c r="T147" s="96">
        <v>0</v>
      </c>
      <c r="U147" s="96">
        <v>0</v>
      </c>
      <c r="V147" s="94">
        <v>0</v>
      </c>
      <c r="W147" s="94">
        <v>0</v>
      </c>
      <c r="X147" s="94">
        <v>0</v>
      </c>
      <c r="Y147" s="94"/>
      <c r="Z147" s="96">
        <v>0</v>
      </c>
      <c r="AA147" s="94">
        <v>0</v>
      </c>
      <c r="AB147" s="94">
        <v>0</v>
      </c>
      <c r="AC147" s="96">
        <v>0</v>
      </c>
      <c r="AD147" s="96">
        <v>0</v>
      </c>
      <c r="AE147" s="149">
        <v>0.02</v>
      </c>
      <c r="AF147" s="93">
        <v>0.02</v>
      </c>
      <c r="AG147" s="164">
        <v>0.02</v>
      </c>
      <c r="AH147" s="149">
        <v>0.02</v>
      </c>
      <c r="AI147" s="96">
        <v>0</v>
      </c>
      <c r="AJ147" s="96">
        <v>0</v>
      </c>
      <c r="AK147" s="96">
        <v>0</v>
      </c>
    </row>
    <row r="148" spans="2:37" x14ac:dyDescent="0.25">
      <c r="B148" s="110" t="s">
        <v>447</v>
      </c>
      <c r="C148" s="110" t="s">
        <v>1612</v>
      </c>
      <c r="D148" s="36">
        <f t="shared" si="49"/>
        <v>1</v>
      </c>
      <c r="E148" s="4">
        <v>1</v>
      </c>
      <c r="F148" s="3"/>
      <c r="G148" s="15">
        <f>+IF(EXACT('3AC_Data'!$D$8,1),H148,IF(EXACT('3AC_Data'!$D$8,2),I148,IF(EXACT('3AC_Data'!$D$8,3),J148,IF(EXACT('3AC_Data'!$D$8,4),K148,IF(EXACT('3AC_Data'!$D$8,5),L148,IF(EXACT('3AC_Data'!$D$8,6),M148,IF(EXACT('3AC_Data'!$D$8,7),N148,IF(EXACT('3AC_Data'!$D$8,8),O148,IF(EXACT('3AC_Data'!$D$8,9),P148,IF(EXACT('3AC_Data'!$D$8,10),Q148,IF(EXACT('3AC_Data'!$D$8,11),R148,IF(EXACT('3AC_Data'!$D$8,12),S148,IF(EXACT('3AC_Data'!$D$8,13),T148,IF(EXACT('3AC_Data'!$D$8,14),U148,IF(EXACT('3AC_Data'!$D$8,15),V148,IF(EXACT('3AC_Data'!$D$8,16),W148,IF(EXACT('3AC_Data'!$D$8,17),X148,IF(EXACT('3AC_Data'!$D$8,18),Y148,IF(EXACT('3AC_Data'!$D$8,19),Z148,IF(EXACT('3AC_Data'!$D$8,20),AA148,IF(EXACT('3AC_Data'!$D$8,21),AB148,IF(EXACT('3AC_Data'!$D$8,22),AC148,IF(EXACT('3AC_Data'!$D$8,23),AD148,IF(EXACT('3AC_Data'!$D$8,24),AE148,IF(EXACT('3AC_Data'!$D$8,25),AF148,IF(EXACT('3AC_Data'!$D$8,26),AG148,IF(EXACT('3AC_Data'!$D$8,27),AH148,IF(EXACT('3AC_Data'!$D$8,28),AI148,IF(EXACT('3AC_Data'!$D$8,29),AJ148,IF(EXACT('3AC_Data'!$D$8,30),AK148))))))))))))))))))))))))))))))</f>
        <v>1</v>
      </c>
      <c r="H148" s="93">
        <v>0.98</v>
      </c>
      <c r="I148" s="94">
        <v>0.98</v>
      </c>
      <c r="J148" s="93">
        <v>0.98</v>
      </c>
      <c r="K148" s="93">
        <v>0</v>
      </c>
      <c r="L148" s="93">
        <v>0.98</v>
      </c>
      <c r="M148" s="93">
        <v>1</v>
      </c>
      <c r="N148" s="93">
        <v>0.98</v>
      </c>
      <c r="O148" s="93">
        <v>0.98</v>
      </c>
      <c r="P148" s="94">
        <v>0.98</v>
      </c>
      <c r="Q148" s="94">
        <v>0.98</v>
      </c>
      <c r="R148" s="94">
        <v>0.98</v>
      </c>
      <c r="S148" s="96">
        <v>0</v>
      </c>
      <c r="T148" s="96">
        <v>0</v>
      </c>
      <c r="U148" s="96">
        <v>0</v>
      </c>
      <c r="V148" s="94">
        <v>0</v>
      </c>
      <c r="W148" s="94">
        <v>1</v>
      </c>
      <c r="X148" s="94">
        <v>1</v>
      </c>
      <c r="Y148" s="94"/>
      <c r="Z148" s="96">
        <v>0</v>
      </c>
      <c r="AA148" s="94">
        <v>0</v>
      </c>
      <c r="AB148" s="94">
        <v>0</v>
      </c>
      <c r="AC148" s="96">
        <v>0</v>
      </c>
      <c r="AD148" s="96">
        <v>0</v>
      </c>
      <c r="AE148" s="149">
        <v>0.98</v>
      </c>
      <c r="AF148" s="93">
        <v>0.98</v>
      </c>
      <c r="AG148" s="164">
        <v>0.98</v>
      </c>
      <c r="AH148" s="149">
        <v>0.98</v>
      </c>
      <c r="AI148" s="96">
        <v>0</v>
      </c>
      <c r="AJ148" s="96">
        <v>0</v>
      </c>
      <c r="AK148" s="96">
        <v>0</v>
      </c>
    </row>
    <row r="149" spans="2:37" x14ac:dyDescent="0.25">
      <c r="B149" s="110" t="s">
        <v>1503</v>
      </c>
      <c r="C149" s="110" t="s">
        <v>1613</v>
      </c>
      <c r="D149" s="36">
        <f t="shared" ref="D149:D150" si="50">+G149*E149</f>
        <v>0</v>
      </c>
      <c r="E149" s="4">
        <v>1</v>
      </c>
      <c r="F149" s="3"/>
      <c r="G149" s="15">
        <f>+IF(EXACT('3AC_Data'!$D$8,1),H149,IF(EXACT('3AC_Data'!$D$8,2),I149,IF(EXACT('3AC_Data'!$D$8,3),J149,IF(EXACT('3AC_Data'!$D$8,4),K149,IF(EXACT('3AC_Data'!$D$8,5),L149,IF(EXACT('3AC_Data'!$D$8,6),M149,IF(EXACT('3AC_Data'!$D$8,7),N149,IF(EXACT('3AC_Data'!$D$8,8),O149,IF(EXACT('3AC_Data'!$D$8,9),P149,IF(EXACT('3AC_Data'!$D$8,10),Q149,IF(EXACT('3AC_Data'!$D$8,11),R149,IF(EXACT('3AC_Data'!$D$8,12),S149,IF(EXACT('3AC_Data'!$D$8,13),T149,IF(EXACT('3AC_Data'!$D$8,14),U149,IF(EXACT('3AC_Data'!$D$8,15),V149,IF(EXACT('3AC_Data'!$D$8,16),W149,IF(EXACT('3AC_Data'!$D$8,17),X149,IF(EXACT('3AC_Data'!$D$8,18),Y149,IF(EXACT('3AC_Data'!$D$8,19),Z149,IF(EXACT('3AC_Data'!$D$8,20),AA149,IF(EXACT('3AC_Data'!$D$8,21),AB149,IF(EXACT('3AC_Data'!$D$8,22),AC149,IF(EXACT('3AC_Data'!$D$8,23),AD149,IF(EXACT('3AC_Data'!$D$8,24),AE149,IF(EXACT('3AC_Data'!$D$8,25),AF149,IF(EXACT('3AC_Data'!$D$8,26),AG149,IF(EXACT('3AC_Data'!$D$8,27),AH149,IF(EXACT('3AC_Data'!$D$8,28),AI149,IF(EXACT('3AC_Data'!$D$8,29),AJ149,IF(EXACT('3AC_Data'!$D$8,30),AK149))))))))))))))))))))))))))))))</f>
        <v>0</v>
      </c>
      <c r="H149" s="93">
        <v>0.98</v>
      </c>
      <c r="I149" s="94">
        <v>0.98</v>
      </c>
      <c r="J149" s="93">
        <v>0.98</v>
      </c>
      <c r="K149" s="93">
        <v>0</v>
      </c>
      <c r="L149" s="93">
        <v>0.98</v>
      </c>
      <c r="M149" s="93">
        <v>0</v>
      </c>
      <c r="N149" s="93">
        <v>0.98</v>
      </c>
      <c r="O149" s="93">
        <v>0.98</v>
      </c>
      <c r="P149" s="94">
        <v>0.98</v>
      </c>
      <c r="Q149" s="94">
        <v>0.98</v>
      </c>
      <c r="R149" s="94">
        <v>0.98</v>
      </c>
      <c r="S149" s="96">
        <v>0</v>
      </c>
      <c r="T149" s="96">
        <v>0</v>
      </c>
      <c r="U149" s="96">
        <v>0</v>
      </c>
      <c r="V149" s="94">
        <v>0</v>
      </c>
      <c r="W149" s="94">
        <v>1</v>
      </c>
      <c r="X149" s="94">
        <v>1</v>
      </c>
      <c r="Y149" s="94"/>
      <c r="Z149" s="96">
        <v>0</v>
      </c>
      <c r="AA149" s="94">
        <v>0</v>
      </c>
      <c r="AB149" s="94">
        <v>0</v>
      </c>
      <c r="AC149" s="96">
        <v>0</v>
      </c>
      <c r="AD149" s="96">
        <v>0</v>
      </c>
      <c r="AE149" s="149">
        <v>0.02</v>
      </c>
      <c r="AF149" s="93">
        <v>0</v>
      </c>
      <c r="AG149" s="164">
        <v>0.02</v>
      </c>
      <c r="AH149" s="149">
        <v>0</v>
      </c>
      <c r="AI149" s="96">
        <v>0</v>
      </c>
      <c r="AJ149" s="96">
        <v>0</v>
      </c>
      <c r="AK149" s="96">
        <v>0</v>
      </c>
    </row>
    <row r="150" spans="2:37" x14ac:dyDescent="0.25">
      <c r="B150" s="110" t="s">
        <v>1504</v>
      </c>
      <c r="C150" s="110" t="s">
        <v>1612</v>
      </c>
      <c r="D150" s="36">
        <f t="shared" si="50"/>
        <v>0</v>
      </c>
      <c r="E150" s="4">
        <v>1</v>
      </c>
      <c r="F150" s="3"/>
      <c r="G150" s="15">
        <f>+IF(EXACT('3AC_Data'!$D$8,1),H150,IF(EXACT('3AC_Data'!$D$8,2),I150,IF(EXACT('3AC_Data'!$D$8,3),J150,IF(EXACT('3AC_Data'!$D$8,4),K150,IF(EXACT('3AC_Data'!$D$8,5),L150,IF(EXACT('3AC_Data'!$D$8,6),M150,IF(EXACT('3AC_Data'!$D$8,7),N150,IF(EXACT('3AC_Data'!$D$8,8),O150,IF(EXACT('3AC_Data'!$D$8,9),P150,IF(EXACT('3AC_Data'!$D$8,10),Q150,IF(EXACT('3AC_Data'!$D$8,11),R150,IF(EXACT('3AC_Data'!$D$8,12),S150,IF(EXACT('3AC_Data'!$D$8,13),T150,IF(EXACT('3AC_Data'!$D$8,14),U150,IF(EXACT('3AC_Data'!$D$8,15),V150,IF(EXACT('3AC_Data'!$D$8,16),W150,IF(EXACT('3AC_Data'!$D$8,17),X150,IF(EXACT('3AC_Data'!$D$8,18),Y150,IF(EXACT('3AC_Data'!$D$8,19),Z150,IF(EXACT('3AC_Data'!$D$8,20),AA150,IF(EXACT('3AC_Data'!$D$8,21),AB150,IF(EXACT('3AC_Data'!$D$8,22),AC150,IF(EXACT('3AC_Data'!$D$8,23),AD150,IF(EXACT('3AC_Data'!$D$8,24),AE150,IF(EXACT('3AC_Data'!$D$8,25),AF150,IF(EXACT('3AC_Data'!$D$8,26),AG150,IF(EXACT('3AC_Data'!$D$8,27),AH150,IF(EXACT('3AC_Data'!$D$8,28),AI150,IF(EXACT('3AC_Data'!$D$8,29),AJ150,IF(EXACT('3AC_Data'!$D$8,30),AK150))))))))))))))))))))))))))))))</f>
        <v>0</v>
      </c>
      <c r="H150" s="93">
        <v>0.98</v>
      </c>
      <c r="I150" s="94">
        <v>0.98</v>
      </c>
      <c r="J150" s="93">
        <v>0.98</v>
      </c>
      <c r="K150" s="93">
        <v>0</v>
      </c>
      <c r="L150" s="93">
        <v>0.98</v>
      </c>
      <c r="M150" s="93">
        <v>0</v>
      </c>
      <c r="N150" s="93">
        <v>0.98</v>
      </c>
      <c r="O150" s="93">
        <v>0.98</v>
      </c>
      <c r="P150" s="94">
        <v>0.98</v>
      </c>
      <c r="Q150" s="94">
        <v>0.98</v>
      </c>
      <c r="R150" s="94">
        <v>0.98</v>
      </c>
      <c r="S150" s="96">
        <v>0</v>
      </c>
      <c r="T150" s="96">
        <v>0</v>
      </c>
      <c r="U150" s="96">
        <v>0</v>
      </c>
      <c r="V150" s="94">
        <v>0</v>
      </c>
      <c r="W150" s="94">
        <v>1</v>
      </c>
      <c r="X150" s="94">
        <v>1</v>
      </c>
      <c r="Y150" s="94"/>
      <c r="Z150" s="96">
        <v>0</v>
      </c>
      <c r="AA150" s="94">
        <v>0</v>
      </c>
      <c r="AB150" s="94">
        <v>0</v>
      </c>
      <c r="AC150" s="96">
        <v>0</v>
      </c>
      <c r="AD150" s="96">
        <v>0</v>
      </c>
      <c r="AE150" s="149">
        <v>0.98</v>
      </c>
      <c r="AF150" s="93">
        <v>0</v>
      </c>
      <c r="AG150" s="164">
        <v>0.98</v>
      </c>
      <c r="AH150" s="149">
        <v>0</v>
      </c>
      <c r="AI150" s="96">
        <v>0</v>
      </c>
      <c r="AJ150" s="96">
        <v>0</v>
      </c>
      <c r="AK150" s="96">
        <v>0</v>
      </c>
    </row>
    <row r="151" spans="2:37" x14ac:dyDescent="0.25">
      <c r="B151" s="110" t="s">
        <v>448</v>
      </c>
      <c r="C151" s="110" t="s">
        <v>906</v>
      </c>
      <c r="D151" s="36">
        <f t="shared" si="49"/>
        <v>0</v>
      </c>
      <c r="E151" s="4">
        <v>1</v>
      </c>
      <c r="F151" s="3"/>
      <c r="G151" s="15">
        <f>+IF(EXACT('3AC_Data'!$D$8,1),H151,IF(EXACT('3AC_Data'!$D$8,2),I151,IF(EXACT('3AC_Data'!$D$8,3),J151,IF(EXACT('3AC_Data'!$D$8,4),K151,IF(EXACT('3AC_Data'!$D$8,5),L151,IF(EXACT('3AC_Data'!$D$8,6),M151,IF(EXACT('3AC_Data'!$D$8,7),N151,IF(EXACT('3AC_Data'!$D$8,8),O151,IF(EXACT('3AC_Data'!$D$8,9),P151,IF(EXACT('3AC_Data'!$D$8,10),Q151,IF(EXACT('3AC_Data'!$D$8,11),R151,IF(EXACT('3AC_Data'!$D$8,12),S151,IF(EXACT('3AC_Data'!$D$8,13),T151,IF(EXACT('3AC_Data'!$D$8,14),U151,IF(EXACT('3AC_Data'!$D$8,15),V151,IF(EXACT('3AC_Data'!$D$8,16),W151,IF(EXACT('3AC_Data'!$D$8,17),X151,IF(EXACT('3AC_Data'!$D$8,18),Y151,IF(EXACT('3AC_Data'!$D$8,19),Z151,IF(EXACT('3AC_Data'!$D$8,20),AA151,IF(EXACT('3AC_Data'!$D$8,21),AB151,IF(EXACT('3AC_Data'!$D$8,22),AC151,IF(EXACT('3AC_Data'!$D$8,23),AD151,IF(EXACT('3AC_Data'!$D$8,24),AE151,IF(EXACT('3AC_Data'!$D$8,25),AF151,IF(EXACT('3AC_Data'!$D$8,26),AG151,IF(EXACT('3AC_Data'!$D$8,27),AH151,IF(EXACT('3AC_Data'!$D$8,28),AI151,IF(EXACT('3AC_Data'!$D$8,29),AJ151,IF(EXACT('3AC_Data'!$D$8,30),AK151))))))))))))))))))))))))))))))</f>
        <v>0</v>
      </c>
      <c r="H151" s="93">
        <v>0</v>
      </c>
      <c r="I151" s="94">
        <v>0</v>
      </c>
      <c r="J151" s="93">
        <v>0</v>
      </c>
      <c r="K151" s="93">
        <v>0</v>
      </c>
      <c r="L151" s="93">
        <v>0</v>
      </c>
      <c r="M151" s="93">
        <v>0</v>
      </c>
      <c r="N151" s="93">
        <v>0.62</v>
      </c>
      <c r="O151" s="93">
        <v>0</v>
      </c>
      <c r="P151" s="94">
        <v>0</v>
      </c>
      <c r="Q151" s="94">
        <v>0</v>
      </c>
      <c r="R151" s="94">
        <v>0</v>
      </c>
      <c r="S151" s="96">
        <v>0</v>
      </c>
      <c r="T151" s="96">
        <v>0</v>
      </c>
      <c r="U151" s="96">
        <v>0</v>
      </c>
      <c r="V151" s="94">
        <v>0.02</v>
      </c>
      <c r="W151" s="94">
        <v>0</v>
      </c>
      <c r="X151" s="94">
        <v>0</v>
      </c>
      <c r="Y151" s="94"/>
      <c r="Z151" s="96">
        <v>0</v>
      </c>
      <c r="AA151" s="94">
        <v>0</v>
      </c>
      <c r="AB151" s="94">
        <v>0</v>
      </c>
      <c r="AC151" s="96">
        <v>0</v>
      </c>
      <c r="AD151" s="96">
        <v>0</v>
      </c>
      <c r="AE151" s="146">
        <v>0</v>
      </c>
      <c r="AF151" s="93">
        <v>0</v>
      </c>
      <c r="AG151" s="96">
        <v>0</v>
      </c>
      <c r="AH151" s="171">
        <v>0</v>
      </c>
      <c r="AI151" s="96">
        <v>0</v>
      </c>
      <c r="AJ151" s="96">
        <v>0</v>
      </c>
      <c r="AK151" s="96">
        <v>0</v>
      </c>
    </row>
    <row r="152" spans="2:37" x14ac:dyDescent="0.25">
      <c r="B152" s="110" t="s">
        <v>449</v>
      </c>
      <c r="C152" s="110" t="s">
        <v>907</v>
      </c>
      <c r="D152" s="36">
        <f t="shared" si="49"/>
        <v>0</v>
      </c>
      <c r="E152" s="4">
        <v>1</v>
      </c>
      <c r="F152" s="3"/>
      <c r="G152" s="15">
        <f>+IF(EXACT('3AC_Data'!$D$8,1),H152,IF(EXACT('3AC_Data'!$D$8,2),I152,IF(EXACT('3AC_Data'!$D$8,3),J152,IF(EXACT('3AC_Data'!$D$8,4),K152,IF(EXACT('3AC_Data'!$D$8,5),L152,IF(EXACT('3AC_Data'!$D$8,6),M152,IF(EXACT('3AC_Data'!$D$8,7),N152,IF(EXACT('3AC_Data'!$D$8,8),O152,IF(EXACT('3AC_Data'!$D$8,9),P152,IF(EXACT('3AC_Data'!$D$8,10),Q152,IF(EXACT('3AC_Data'!$D$8,11),R152,IF(EXACT('3AC_Data'!$D$8,12),S152,IF(EXACT('3AC_Data'!$D$8,13),T152,IF(EXACT('3AC_Data'!$D$8,14),U152,IF(EXACT('3AC_Data'!$D$8,15),V152,IF(EXACT('3AC_Data'!$D$8,16),W152,IF(EXACT('3AC_Data'!$D$8,17),X152,IF(EXACT('3AC_Data'!$D$8,18),Y152,IF(EXACT('3AC_Data'!$D$8,19),Z152,IF(EXACT('3AC_Data'!$D$8,20),AA152,IF(EXACT('3AC_Data'!$D$8,21),AB152,IF(EXACT('3AC_Data'!$D$8,22),AC152,IF(EXACT('3AC_Data'!$D$8,23),AD152,IF(EXACT('3AC_Data'!$D$8,24),AE152,IF(EXACT('3AC_Data'!$D$8,25),AF152,IF(EXACT('3AC_Data'!$D$8,26),AG152,IF(EXACT('3AC_Data'!$D$8,27),AH152,IF(EXACT('3AC_Data'!$D$8,28),AI152,IF(EXACT('3AC_Data'!$D$8,29),AJ152,IF(EXACT('3AC_Data'!$D$8,30),AK152))))))))))))))))))))))))))))))</f>
        <v>0</v>
      </c>
      <c r="H152" s="93">
        <v>0</v>
      </c>
      <c r="I152" s="94">
        <v>0</v>
      </c>
      <c r="J152" s="93">
        <v>0</v>
      </c>
      <c r="K152" s="93">
        <v>0</v>
      </c>
      <c r="L152" s="93">
        <v>0</v>
      </c>
      <c r="M152" s="93">
        <v>0</v>
      </c>
      <c r="N152" s="93">
        <v>0.98</v>
      </c>
      <c r="O152" s="93">
        <v>0</v>
      </c>
      <c r="P152" s="94">
        <v>0</v>
      </c>
      <c r="Q152" s="94">
        <v>0</v>
      </c>
      <c r="R152" s="94">
        <v>0</v>
      </c>
      <c r="S152" s="96">
        <v>0</v>
      </c>
      <c r="T152" s="96">
        <v>0</v>
      </c>
      <c r="U152" s="96">
        <v>0</v>
      </c>
      <c r="V152" s="94">
        <v>0.98</v>
      </c>
      <c r="W152" s="94">
        <v>0</v>
      </c>
      <c r="X152" s="94">
        <v>0</v>
      </c>
      <c r="Y152" s="94"/>
      <c r="Z152" s="96">
        <v>0</v>
      </c>
      <c r="AA152" s="94">
        <v>0</v>
      </c>
      <c r="AB152" s="94">
        <v>0</v>
      </c>
      <c r="AC152" s="96">
        <v>0</v>
      </c>
      <c r="AD152" s="96">
        <v>0</v>
      </c>
      <c r="AE152" s="146">
        <v>0</v>
      </c>
      <c r="AF152" s="93">
        <v>0</v>
      </c>
      <c r="AG152" s="96">
        <v>0</v>
      </c>
      <c r="AH152" s="171">
        <v>0</v>
      </c>
      <c r="AI152" s="96">
        <v>0</v>
      </c>
      <c r="AJ152" s="96">
        <v>0</v>
      </c>
      <c r="AK152" s="96">
        <v>0</v>
      </c>
    </row>
    <row r="153" spans="2:37" x14ac:dyDescent="0.25">
      <c r="B153" s="92" t="s">
        <v>1418</v>
      </c>
      <c r="C153" s="92" t="s">
        <v>1422</v>
      </c>
      <c r="D153" s="36">
        <f t="shared" si="49"/>
        <v>0</v>
      </c>
      <c r="E153" s="4">
        <v>1</v>
      </c>
      <c r="F153" s="3"/>
      <c r="G153" s="15">
        <f>+IF(EXACT('3AC_Data'!$D$8,1),H153,IF(EXACT('3AC_Data'!$D$8,2),I153,IF(EXACT('3AC_Data'!$D$8,3),J153,IF(EXACT('3AC_Data'!$D$8,4),K153,IF(EXACT('3AC_Data'!$D$8,5),L153,IF(EXACT('3AC_Data'!$D$8,6),M153,IF(EXACT('3AC_Data'!$D$8,7),N153,IF(EXACT('3AC_Data'!$D$8,8),O153,IF(EXACT('3AC_Data'!$D$8,9),P153,IF(EXACT('3AC_Data'!$D$8,10),Q153,IF(EXACT('3AC_Data'!$D$8,11),R153,IF(EXACT('3AC_Data'!$D$8,12),S153,IF(EXACT('3AC_Data'!$D$8,13),T153,IF(EXACT('3AC_Data'!$D$8,14),U153,IF(EXACT('3AC_Data'!$D$8,15),V153,IF(EXACT('3AC_Data'!$D$8,16),W153,IF(EXACT('3AC_Data'!$D$8,17),X153,IF(EXACT('3AC_Data'!$D$8,18),Y153,IF(EXACT('3AC_Data'!$D$8,19),Z153,IF(EXACT('3AC_Data'!$D$8,20),AA153,IF(EXACT('3AC_Data'!$D$8,21),AB153,IF(EXACT('3AC_Data'!$D$8,22),AC153,IF(EXACT('3AC_Data'!$D$8,23),AD153,IF(EXACT('3AC_Data'!$D$8,24),AE153,IF(EXACT('3AC_Data'!$D$8,25),AF153,IF(EXACT('3AC_Data'!$D$8,26),AG153,IF(EXACT('3AC_Data'!$D$8,27),AH153,IF(EXACT('3AC_Data'!$D$8,28),AI153,IF(EXACT('3AC_Data'!$D$8,29),AJ153,IF(EXACT('3AC_Data'!$D$8,30),AK153))))))))))))))))))))))))))))))</f>
        <v>0</v>
      </c>
      <c r="H153" s="93"/>
      <c r="I153" s="94"/>
      <c r="J153" s="93">
        <v>0</v>
      </c>
      <c r="K153" s="93"/>
      <c r="L153" s="93"/>
      <c r="M153" s="93"/>
      <c r="N153" s="93"/>
      <c r="O153" s="93"/>
      <c r="P153" s="94"/>
      <c r="Q153" s="94"/>
      <c r="R153" s="94"/>
      <c r="S153" s="96"/>
      <c r="T153" s="96"/>
      <c r="U153" s="96"/>
      <c r="V153" s="94"/>
      <c r="W153" s="94"/>
      <c r="X153" s="94"/>
      <c r="Y153" s="94"/>
      <c r="Z153" s="96"/>
      <c r="AA153" s="94"/>
      <c r="AB153" s="94"/>
      <c r="AC153" s="96">
        <v>0.88</v>
      </c>
      <c r="AD153" s="96">
        <v>0.57420000000000004</v>
      </c>
      <c r="AE153" s="146"/>
      <c r="AF153" s="93">
        <v>0</v>
      </c>
      <c r="AG153" s="96"/>
      <c r="AH153" s="171"/>
      <c r="AI153" s="96"/>
      <c r="AJ153" s="96"/>
      <c r="AK153" s="96"/>
    </row>
    <row r="154" spans="2:37" x14ac:dyDescent="0.25">
      <c r="B154" s="92" t="s">
        <v>1419</v>
      </c>
      <c r="C154" s="92" t="s">
        <v>1423</v>
      </c>
      <c r="D154" s="36">
        <f t="shared" si="49"/>
        <v>0</v>
      </c>
      <c r="E154" s="4">
        <v>1</v>
      </c>
      <c r="F154" s="3"/>
      <c r="G154" s="15">
        <f>+IF(EXACT('3AC_Data'!$D$8,1),H154,IF(EXACT('3AC_Data'!$D$8,2),I154,IF(EXACT('3AC_Data'!$D$8,3),J154,IF(EXACT('3AC_Data'!$D$8,4),K154,IF(EXACT('3AC_Data'!$D$8,5),L154,IF(EXACT('3AC_Data'!$D$8,6),M154,IF(EXACT('3AC_Data'!$D$8,7),N154,IF(EXACT('3AC_Data'!$D$8,8),O154,IF(EXACT('3AC_Data'!$D$8,9),P154,IF(EXACT('3AC_Data'!$D$8,10),Q154,IF(EXACT('3AC_Data'!$D$8,11),R154,IF(EXACT('3AC_Data'!$D$8,12),S154,IF(EXACT('3AC_Data'!$D$8,13),T154,IF(EXACT('3AC_Data'!$D$8,14),U154,IF(EXACT('3AC_Data'!$D$8,15),V154,IF(EXACT('3AC_Data'!$D$8,16),W154,IF(EXACT('3AC_Data'!$D$8,17),X154,IF(EXACT('3AC_Data'!$D$8,18),Y154,IF(EXACT('3AC_Data'!$D$8,19),Z154,IF(EXACT('3AC_Data'!$D$8,20),AA154,IF(EXACT('3AC_Data'!$D$8,21),AB154,IF(EXACT('3AC_Data'!$D$8,22),AC154,IF(EXACT('3AC_Data'!$D$8,23),AD154,IF(EXACT('3AC_Data'!$D$8,24),AE154,IF(EXACT('3AC_Data'!$D$8,25),AF154,IF(EXACT('3AC_Data'!$D$8,26),AG154,IF(EXACT('3AC_Data'!$D$8,27),AH154,IF(EXACT('3AC_Data'!$D$8,28),AI154,IF(EXACT('3AC_Data'!$D$8,29),AJ154,IF(EXACT('3AC_Data'!$D$8,30),AK154))))))))))))))))))))))))))))))</f>
        <v>0</v>
      </c>
      <c r="H154" s="93"/>
      <c r="I154" s="94"/>
      <c r="J154" s="93">
        <v>0</v>
      </c>
      <c r="K154" s="93"/>
      <c r="L154" s="93"/>
      <c r="M154" s="93"/>
      <c r="N154" s="93"/>
      <c r="O154" s="93"/>
      <c r="P154" s="94"/>
      <c r="Q154" s="94"/>
      <c r="R154" s="94"/>
      <c r="S154" s="96"/>
      <c r="T154" s="96"/>
      <c r="U154" s="96"/>
      <c r="V154" s="94"/>
      <c r="W154" s="94"/>
      <c r="X154" s="94"/>
      <c r="Y154" s="94"/>
      <c r="Z154" s="96"/>
      <c r="AA154" s="94"/>
      <c r="AB154" s="94"/>
      <c r="AC154" s="96">
        <v>1</v>
      </c>
      <c r="AD154" s="96">
        <v>0.6956</v>
      </c>
      <c r="AE154" s="146"/>
      <c r="AF154" s="93">
        <v>0</v>
      </c>
      <c r="AG154" s="96"/>
      <c r="AH154" s="171"/>
      <c r="AI154" s="96"/>
      <c r="AJ154" s="96"/>
      <c r="AK154" s="96"/>
    </row>
    <row r="155" spans="2:37" x14ac:dyDescent="0.25">
      <c r="B155" s="92" t="s">
        <v>1420</v>
      </c>
      <c r="C155" s="92" t="s">
        <v>1615</v>
      </c>
      <c r="D155" s="36">
        <f t="shared" si="49"/>
        <v>0</v>
      </c>
      <c r="E155" s="4">
        <v>1</v>
      </c>
      <c r="F155" s="3"/>
      <c r="G155" s="15">
        <f>+IF(EXACT('3AC_Data'!$D$8,1),H155,IF(EXACT('3AC_Data'!$D$8,2),I155,IF(EXACT('3AC_Data'!$D$8,3),J155,IF(EXACT('3AC_Data'!$D$8,4),K155,IF(EXACT('3AC_Data'!$D$8,5),L155,IF(EXACT('3AC_Data'!$D$8,6),M155,IF(EXACT('3AC_Data'!$D$8,7),N155,IF(EXACT('3AC_Data'!$D$8,8),O155,IF(EXACT('3AC_Data'!$D$8,9),P155,IF(EXACT('3AC_Data'!$D$8,10),Q155,IF(EXACT('3AC_Data'!$D$8,11),R155,IF(EXACT('3AC_Data'!$D$8,12),S155,IF(EXACT('3AC_Data'!$D$8,13),T155,IF(EXACT('3AC_Data'!$D$8,14),U155,IF(EXACT('3AC_Data'!$D$8,15),V155,IF(EXACT('3AC_Data'!$D$8,16),W155,IF(EXACT('3AC_Data'!$D$8,17),X155,IF(EXACT('3AC_Data'!$D$8,18),Y155,IF(EXACT('3AC_Data'!$D$8,19),Z155,IF(EXACT('3AC_Data'!$D$8,20),AA155,IF(EXACT('3AC_Data'!$D$8,21),AB155,IF(EXACT('3AC_Data'!$D$8,22),AC155,IF(EXACT('3AC_Data'!$D$8,23),AD155,IF(EXACT('3AC_Data'!$D$8,24),AE155,IF(EXACT('3AC_Data'!$D$8,25),AF155,IF(EXACT('3AC_Data'!$D$8,26),AG155,IF(EXACT('3AC_Data'!$D$8,27),AH155,IF(EXACT('3AC_Data'!$D$8,28),AI155,IF(EXACT('3AC_Data'!$D$8,29),AJ155,IF(EXACT('3AC_Data'!$D$8,30),AK155))))))))))))))))))))))))))))))</f>
        <v>0</v>
      </c>
      <c r="H155" s="93"/>
      <c r="I155" s="94"/>
      <c r="J155" s="93">
        <v>0</v>
      </c>
      <c r="K155" s="93"/>
      <c r="L155" s="93"/>
      <c r="M155" s="93"/>
      <c r="N155" s="93"/>
      <c r="O155" s="93"/>
      <c r="P155" s="94"/>
      <c r="Q155" s="94"/>
      <c r="R155" s="94"/>
      <c r="S155" s="96"/>
      <c r="T155" s="96"/>
      <c r="U155" s="96"/>
      <c r="V155" s="94"/>
      <c r="W155" s="94"/>
      <c r="X155" s="94"/>
      <c r="Y155" s="94"/>
      <c r="Z155" s="96"/>
      <c r="AA155" s="94"/>
      <c r="AB155" s="94"/>
      <c r="AC155" s="96">
        <v>0.295878267179145</v>
      </c>
      <c r="AD155" s="96">
        <v>4.8899999999999999E-2</v>
      </c>
      <c r="AE155" s="146"/>
      <c r="AF155" s="93">
        <v>0</v>
      </c>
      <c r="AG155" s="96"/>
      <c r="AH155" s="171"/>
      <c r="AI155" s="96"/>
      <c r="AJ155" s="96"/>
      <c r="AK155" s="96"/>
    </row>
    <row r="156" spans="2:37" x14ac:dyDescent="0.25">
      <c r="B156" s="92" t="s">
        <v>1421</v>
      </c>
      <c r="C156" s="92" t="s">
        <v>1614</v>
      </c>
      <c r="D156" s="36">
        <f t="shared" si="49"/>
        <v>0</v>
      </c>
      <c r="E156" s="4">
        <v>1</v>
      </c>
      <c r="F156" s="3"/>
      <c r="G156" s="15">
        <f>+IF(EXACT('3AC_Data'!$D$8,1),H156,IF(EXACT('3AC_Data'!$D$8,2),I156,IF(EXACT('3AC_Data'!$D$8,3),J156,IF(EXACT('3AC_Data'!$D$8,4),K156,IF(EXACT('3AC_Data'!$D$8,5),L156,IF(EXACT('3AC_Data'!$D$8,6),M156,IF(EXACT('3AC_Data'!$D$8,7),N156,IF(EXACT('3AC_Data'!$D$8,8),O156,IF(EXACT('3AC_Data'!$D$8,9),P156,IF(EXACT('3AC_Data'!$D$8,10),Q156,IF(EXACT('3AC_Data'!$D$8,11),R156,IF(EXACT('3AC_Data'!$D$8,12),S156,IF(EXACT('3AC_Data'!$D$8,13),T156,IF(EXACT('3AC_Data'!$D$8,14),U156,IF(EXACT('3AC_Data'!$D$8,15),V156,IF(EXACT('3AC_Data'!$D$8,16),W156,IF(EXACT('3AC_Data'!$D$8,17),X156,IF(EXACT('3AC_Data'!$D$8,18),Y156,IF(EXACT('3AC_Data'!$D$8,19),Z156,IF(EXACT('3AC_Data'!$D$8,20),AA156,IF(EXACT('3AC_Data'!$D$8,21),AB156,IF(EXACT('3AC_Data'!$D$8,22),AC156,IF(EXACT('3AC_Data'!$D$8,23),AD156,IF(EXACT('3AC_Data'!$D$8,24),AE156,IF(EXACT('3AC_Data'!$D$8,25),AF156,IF(EXACT('3AC_Data'!$D$8,26),AG156,IF(EXACT('3AC_Data'!$D$8,27),AH156,IF(EXACT('3AC_Data'!$D$8,28),AI156,IF(EXACT('3AC_Data'!$D$8,29),AJ156,IF(EXACT('3AC_Data'!$D$8,30),AK156))))))))))))))))))))))))))))))</f>
        <v>0</v>
      </c>
      <c r="H156" s="93"/>
      <c r="I156" s="94"/>
      <c r="J156" s="93">
        <v>0</v>
      </c>
      <c r="K156" s="93"/>
      <c r="L156" s="93"/>
      <c r="M156" s="93"/>
      <c r="N156" s="93"/>
      <c r="O156" s="93"/>
      <c r="P156" s="94"/>
      <c r="Q156" s="94"/>
      <c r="R156" s="94"/>
      <c r="S156" s="96"/>
      <c r="T156" s="96"/>
      <c r="U156" s="96"/>
      <c r="V156" s="94"/>
      <c r="W156" s="94"/>
      <c r="X156" s="94"/>
      <c r="Y156" s="94"/>
      <c r="Z156" s="96"/>
      <c r="AA156" s="94"/>
      <c r="AB156" s="94"/>
      <c r="AC156" s="96">
        <v>0.83919861329463497</v>
      </c>
      <c r="AD156" s="96">
        <v>0.39610000000000001</v>
      </c>
      <c r="AE156" s="146"/>
      <c r="AF156" s="93">
        <v>0</v>
      </c>
      <c r="AG156" s="96"/>
      <c r="AH156" s="171"/>
      <c r="AI156" s="96"/>
      <c r="AJ156" s="96"/>
      <c r="AK156" s="96"/>
    </row>
    <row r="157" spans="2:37" x14ac:dyDescent="0.25">
      <c r="B157" s="92" t="s">
        <v>1424</v>
      </c>
      <c r="C157" s="92" t="s">
        <v>1426</v>
      </c>
      <c r="D157" s="36">
        <f t="shared" si="49"/>
        <v>0</v>
      </c>
      <c r="E157" s="4">
        <v>1</v>
      </c>
      <c r="F157" s="3"/>
      <c r="G157" s="15">
        <f>+IF(EXACT('3AC_Data'!$D$8,1),H157,IF(EXACT('3AC_Data'!$D$8,2),I157,IF(EXACT('3AC_Data'!$D$8,3),J157,IF(EXACT('3AC_Data'!$D$8,4),K157,IF(EXACT('3AC_Data'!$D$8,5),L157,IF(EXACT('3AC_Data'!$D$8,6),M157,IF(EXACT('3AC_Data'!$D$8,7),N157,IF(EXACT('3AC_Data'!$D$8,8),O157,IF(EXACT('3AC_Data'!$D$8,9),P157,IF(EXACT('3AC_Data'!$D$8,10),Q157,IF(EXACT('3AC_Data'!$D$8,11),R157,IF(EXACT('3AC_Data'!$D$8,12),S157,IF(EXACT('3AC_Data'!$D$8,13),T157,IF(EXACT('3AC_Data'!$D$8,14),U157,IF(EXACT('3AC_Data'!$D$8,15),V157,IF(EXACT('3AC_Data'!$D$8,16),W157,IF(EXACT('3AC_Data'!$D$8,17),X157,IF(EXACT('3AC_Data'!$D$8,18),Y157,IF(EXACT('3AC_Data'!$D$8,19),Z157,IF(EXACT('3AC_Data'!$D$8,20),AA157,IF(EXACT('3AC_Data'!$D$8,21),AB157,IF(EXACT('3AC_Data'!$D$8,22),AC157,IF(EXACT('3AC_Data'!$D$8,23),AD157,IF(EXACT('3AC_Data'!$D$8,24),AE157,IF(EXACT('3AC_Data'!$D$8,25),AF157,IF(EXACT('3AC_Data'!$D$8,26),AG157,IF(EXACT('3AC_Data'!$D$8,27),AH157,IF(EXACT('3AC_Data'!$D$8,28),AI157,IF(EXACT('3AC_Data'!$D$8,29),AJ157,IF(EXACT('3AC_Data'!$D$8,30),AK157))))))))))))))))))))))))))))))</f>
        <v>0</v>
      </c>
      <c r="H157" s="93"/>
      <c r="I157" s="94"/>
      <c r="J157" s="93">
        <v>0</v>
      </c>
      <c r="K157" s="93"/>
      <c r="L157" s="93"/>
      <c r="M157" s="93"/>
      <c r="N157" s="93"/>
      <c r="O157" s="93"/>
      <c r="P157" s="94"/>
      <c r="Q157" s="94"/>
      <c r="R157" s="94"/>
      <c r="S157" s="96"/>
      <c r="T157" s="96"/>
      <c r="U157" s="96"/>
      <c r="V157" s="94"/>
      <c r="W157" s="94"/>
      <c r="X157" s="94"/>
      <c r="Y157" s="94"/>
      <c r="Z157" s="96"/>
      <c r="AA157" s="94"/>
      <c r="AB157" s="94"/>
      <c r="AC157" s="96">
        <v>0</v>
      </c>
      <c r="AD157" s="96">
        <v>0</v>
      </c>
      <c r="AE157" s="146"/>
      <c r="AF157" s="93">
        <v>0</v>
      </c>
      <c r="AG157" s="96"/>
      <c r="AH157" s="171"/>
      <c r="AI157" s="96"/>
      <c r="AJ157" s="96"/>
      <c r="AK157" s="96"/>
    </row>
    <row r="158" spans="2:37" x14ac:dyDescent="0.25">
      <c r="B158" s="92" t="s">
        <v>1425</v>
      </c>
      <c r="C158" s="92" t="s">
        <v>1431</v>
      </c>
      <c r="D158" s="36">
        <f t="shared" si="49"/>
        <v>0</v>
      </c>
      <c r="E158" s="4">
        <v>1</v>
      </c>
      <c r="F158" s="3"/>
      <c r="G158" s="15">
        <f>+IF(EXACT('3AC_Data'!$D$8,1),H158,IF(EXACT('3AC_Data'!$D$8,2),I158,IF(EXACT('3AC_Data'!$D$8,3),J158,IF(EXACT('3AC_Data'!$D$8,4),K158,IF(EXACT('3AC_Data'!$D$8,5),L158,IF(EXACT('3AC_Data'!$D$8,6),M158,IF(EXACT('3AC_Data'!$D$8,7),N158,IF(EXACT('3AC_Data'!$D$8,8),O158,IF(EXACT('3AC_Data'!$D$8,9),P158,IF(EXACT('3AC_Data'!$D$8,10),Q158,IF(EXACT('3AC_Data'!$D$8,11),R158,IF(EXACT('3AC_Data'!$D$8,12),S158,IF(EXACT('3AC_Data'!$D$8,13),T158,IF(EXACT('3AC_Data'!$D$8,14),U158,IF(EXACT('3AC_Data'!$D$8,15),V158,IF(EXACT('3AC_Data'!$D$8,16),W158,IF(EXACT('3AC_Data'!$D$8,17),X158,IF(EXACT('3AC_Data'!$D$8,18),Y158,IF(EXACT('3AC_Data'!$D$8,19),Z158,IF(EXACT('3AC_Data'!$D$8,20),AA158,IF(EXACT('3AC_Data'!$D$8,21),AB158,IF(EXACT('3AC_Data'!$D$8,22),AC158,IF(EXACT('3AC_Data'!$D$8,23),AD158,IF(EXACT('3AC_Data'!$D$8,24),AE158,IF(EXACT('3AC_Data'!$D$8,25),AF158,IF(EXACT('3AC_Data'!$D$8,26),AG158,IF(EXACT('3AC_Data'!$D$8,27),AH158,IF(EXACT('3AC_Data'!$D$8,28),AI158,IF(EXACT('3AC_Data'!$D$8,29),AJ158,IF(EXACT('3AC_Data'!$D$8,30),AK158))))))))))))))))))))))))))))))</f>
        <v>0</v>
      </c>
      <c r="H158" s="93"/>
      <c r="I158" s="94"/>
      <c r="J158" s="93">
        <v>0</v>
      </c>
      <c r="K158" s="93"/>
      <c r="L158" s="93"/>
      <c r="M158" s="93"/>
      <c r="N158" s="93"/>
      <c r="O158" s="93"/>
      <c r="P158" s="94"/>
      <c r="Q158" s="94"/>
      <c r="R158" s="94"/>
      <c r="S158" s="96"/>
      <c r="T158" s="96"/>
      <c r="U158" s="96"/>
      <c r="V158" s="94"/>
      <c r="W158" s="94"/>
      <c r="X158" s="94"/>
      <c r="Y158" s="94"/>
      <c r="Z158" s="96"/>
      <c r="AA158" s="94"/>
      <c r="AB158" s="94"/>
      <c r="AC158" s="96">
        <v>1</v>
      </c>
      <c r="AD158" s="96">
        <v>1</v>
      </c>
      <c r="AE158" s="146"/>
      <c r="AF158" s="93">
        <v>0</v>
      </c>
      <c r="AG158" s="96"/>
      <c r="AH158" s="171"/>
      <c r="AI158" s="96"/>
      <c r="AJ158" s="96"/>
      <c r="AK158" s="96"/>
    </row>
    <row r="159" spans="2:37" x14ac:dyDescent="0.25">
      <c r="B159" s="92" t="s">
        <v>1427</v>
      </c>
      <c r="C159" s="92" t="s">
        <v>1429</v>
      </c>
      <c r="D159" s="36">
        <f t="shared" si="49"/>
        <v>0</v>
      </c>
      <c r="E159" s="4">
        <v>1</v>
      </c>
      <c r="F159" s="3"/>
      <c r="G159" s="15">
        <f>+IF(EXACT('3AC_Data'!$D$8,1),H159,IF(EXACT('3AC_Data'!$D$8,2),I159,IF(EXACT('3AC_Data'!$D$8,3),J159,IF(EXACT('3AC_Data'!$D$8,4),K159,IF(EXACT('3AC_Data'!$D$8,5),L159,IF(EXACT('3AC_Data'!$D$8,6),M159,IF(EXACT('3AC_Data'!$D$8,7),N159,IF(EXACT('3AC_Data'!$D$8,8),O159,IF(EXACT('3AC_Data'!$D$8,9),P159,IF(EXACT('3AC_Data'!$D$8,10),Q159,IF(EXACT('3AC_Data'!$D$8,11),R159,IF(EXACT('3AC_Data'!$D$8,12),S159,IF(EXACT('3AC_Data'!$D$8,13),T159,IF(EXACT('3AC_Data'!$D$8,14),U159,IF(EXACT('3AC_Data'!$D$8,15),V159,IF(EXACT('3AC_Data'!$D$8,16),W159,IF(EXACT('3AC_Data'!$D$8,17),X159,IF(EXACT('3AC_Data'!$D$8,18),Y159,IF(EXACT('3AC_Data'!$D$8,19),Z159,IF(EXACT('3AC_Data'!$D$8,20),AA159,IF(EXACT('3AC_Data'!$D$8,21),AB159,IF(EXACT('3AC_Data'!$D$8,22),AC159,IF(EXACT('3AC_Data'!$D$8,23),AD159,IF(EXACT('3AC_Data'!$D$8,24),AE159,IF(EXACT('3AC_Data'!$D$8,25),AF159,IF(EXACT('3AC_Data'!$D$8,26),AG159,IF(EXACT('3AC_Data'!$D$8,27),AH159,IF(EXACT('3AC_Data'!$D$8,28),AI159,IF(EXACT('3AC_Data'!$D$8,29),AJ159,IF(EXACT('3AC_Data'!$D$8,30),AK159))))))))))))))))))))))))))))))</f>
        <v>0</v>
      </c>
      <c r="H159" s="93"/>
      <c r="I159" s="94"/>
      <c r="J159" s="93">
        <v>0</v>
      </c>
      <c r="K159" s="93"/>
      <c r="L159" s="93"/>
      <c r="M159" s="93"/>
      <c r="N159" s="93"/>
      <c r="O159" s="93"/>
      <c r="P159" s="94"/>
      <c r="Q159" s="94"/>
      <c r="R159" s="94"/>
      <c r="S159" s="96"/>
      <c r="T159" s="96"/>
      <c r="U159" s="96"/>
      <c r="V159" s="94"/>
      <c r="W159" s="94"/>
      <c r="X159" s="94"/>
      <c r="Y159" s="94"/>
      <c r="Z159" s="96"/>
      <c r="AA159" s="94"/>
      <c r="AB159" s="94"/>
      <c r="AC159" s="96">
        <v>0.55000000000000004</v>
      </c>
      <c r="AD159" s="96">
        <v>0.55000000000000004</v>
      </c>
      <c r="AE159" s="146"/>
      <c r="AF159" s="93">
        <v>0</v>
      </c>
      <c r="AG159" s="96"/>
      <c r="AH159" s="171"/>
      <c r="AI159" s="96"/>
      <c r="AJ159" s="96"/>
      <c r="AK159" s="96"/>
    </row>
    <row r="160" spans="2:37" x14ac:dyDescent="0.25">
      <c r="B160" s="92" t="s">
        <v>1428</v>
      </c>
      <c r="C160" s="92" t="s">
        <v>1430</v>
      </c>
      <c r="D160" s="36">
        <f t="shared" si="49"/>
        <v>0</v>
      </c>
      <c r="E160" s="4">
        <v>1</v>
      </c>
      <c r="F160" s="3"/>
      <c r="G160" s="15">
        <f>+IF(EXACT('3AC_Data'!$D$8,1),H160,IF(EXACT('3AC_Data'!$D$8,2),I160,IF(EXACT('3AC_Data'!$D$8,3),J160,IF(EXACT('3AC_Data'!$D$8,4),K160,IF(EXACT('3AC_Data'!$D$8,5),L160,IF(EXACT('3AC_Data'!$D$8,6),M160,IF(EXACT('3AC_Data'!$D$8,7),N160,IF(EXACT('3AC_Data'!$D$8,8),O160,IF(EXACT('3AC_Data'!$D$8,9),P160,IF(EXACT('3AC_Data'!$D$8,10),Q160,IF(EXACT('3AC_Data'!$D$8,11),R160,IF(EXACT('3AC_Data'!$D$8,12),S160,IF(EXACT('3AC_Data'!$D$8,13),T160,IF(EXACT('3AC_Data'!$D$8,14),U160,IF(EXACT('3AC_Data'!$D$8,15),V160,IF(EXACT('3AC_Data'!$D$8,16),W160,IF(EXACT('3AC_Data'!$D$8,17),X160,IF(EXACT('3AC_Data'!$D$8,18),Y160,IF(EXACT('3AC_Data'!$D$8,19),Z160,IF(EXACT('3AC_Data'!$D$8,20),AA160,IF(EXACT('3AC_Data'!$D$8,21),AB160,IF(EXACT('3AC_Data'!$D$8,22),AC160,IF(EXACT('3AC_Data'!$D$8,23),AD160,IF(EXACT('3AC_Data'!$D$8,24),AE160,IF(EXACT('3AC_Data'!$D$8,25),AF160,IF(EXACT('3AC_Data'!$D$8,26),AG160,IF(EXACT('3AC_Data'!$D$8,27),AH160,IF(EXACT('3AC_Data'!$D$8,28),AI160,IF(EXACT('3AC_Data'!$D$8,29),AJ160,IF(EXACT('3AC_Data'!$D$8,30),AK160))))))))))))))))))))))))))))))</f>
        <v>0</v>
      </c>
      <c r="H160" s="93"/>
      <c r="I160" s="94"/>
      <c r="J160" s="93">
        <v>0</v>
      </c>
      <c r="K160" s="93"/>
      <c r="L160" s="93"/>
      <c r="M160" s="93"/>
      <c r="N160" s="93"/>
      <c r="O160" s="93"/>
      <c r="P160" s="94"/>
      <c r="Q160" s="94"/>
      <c r="R160" s="94"/>
      <c r="S160" s="96"/>
      <c r="T160" s="96"/>
      <c r="U160" s="96"/>
      <c r="V160" s="94"/>
      <c r="W160" s="94"/>
      <c r="X160" s="94"/>
      <c r="Y160" s="94"/>
      <c r="Z160" s="96"/>
      <c r="AA160" s="94"/>
      <c r="AB160" s="94"/>
      <c r="AC160" s="96">
        <v>0.75</v>
      </c>
      <c r="AD160" s="96">
        <v>0.75</v>
      </c>
      <c r="AE160" s="146"/>
      <c r="AF160" s="93">
        <v>0</v>
      </c>
      <c r="AG160" s="96"/>
      <c r="AH160" s="171"/>
      <c r="AI160" s="96"/>
      <c r="AJ160" s="96"/>
      <c r="AK160" s="96"/>
    </row>
    <row r="161" spans="2:37" x14ac:dyDescent="0.25">
      <c r="B161" s="2" t="s">
        <v>461</v>
      </c>
      <c r="C161" s="2" t="s">
        <v>474</v>
      </c>
      <c r="D161" s="36">
        <f t="shared" si="49"/>
        <v>-0.43633231299858238</v>
      </c>
      <c r="E161" s="4">
        <f t="shared" ref="E161:E182" si="51">+PI()/180</f>
        <v>1.7453292519943295E-2</v>
      </c>
      <c r="F161" s="3" t="s">
        <v>488</v>
      </c>
      <c r="G161" s="15">
        <f>+IF(EXACT('3AC_Data'!$D$8,1),H161,IF(EXACT('3AC_Data'!$D$8,2),I161,IF(EXACT('3AC_Data'!$D$8,3),J161,IF(EXACT('3AC_Data'!$D$8,4),K161,IF(EXACT('3AC_Data'!$D$8,5),L161,IF(EXACT('3AC_Data'!$D$8,6),M161,IF(EXACT('3AC_Data'!$D$8,7),N161,IF(EXACT('3AC_Data'!$D$8,8),O161,IF(EXACT('3AC_Data'!$D$8,9),P161,IF(EXACT('3AC_Data'!$D$8,10),Q161,IF(EXACT('3AC_Data'!$D$8,11),R161,IF(EXACT('3AC_Data'!$D$8,12),S161,IF(EXACT('3AC_Data'!$D$8,13),T161,IF(EXACT('3AC_Data'!$D$8,14),U161,IF(EXACT('3AC_Data'!$D$8,15),V161,IF(EXACT('3AC_Data'!$D$8,16),W161,IF(EXACT('3AC_Data'!$D$8,17),X161,IF(EXACT('3AC_Data'!$D$8,18),Y161,IF(EXACT('3AC_Data'!$D$8,19),Z161,IF(EXACT('3AC_Data'!$D$8,20),AA161,IF(EXACT('3AC_Data'!$D$8,21),AB161,IF(EXACT('3AC_Data'!$D$8,22),AC161,IF(EXACT('3AC_Data'!$D$8,23),AD161,IF(EXACT('3AC_Data'!$D$8,24),AE161,IF(EXACT('3AC_Data'!$D$8,25),AF161,IF(EXACT('3AC_Data'!$D$8,26),AG161,IF(EXACT('3AC_Data'!$D$8,27),AH161,IF(EXACT('3AC_Data'!$D$8,28),AI161,IF(EXACT('3AC_Data'!$D$8,29),AJ161,IF(EXACT('3AC_Data'!$D$8,30),AK161))))))))))))))))))))))))))))))</f>
        <v>-25</v>
      </c>
      <c r="H161" s="103">
        <v>-25</v>
      </c>
      <c r="I161" s="101">
        <v>-25</v>
      </c>
      <c r="J161" s="103">
        <v>-25</v>
      </c>
      <c r="K161" s="103">
        <v>-25</v>
      </c>
      <c r="L161" s="103">
        <v>-25</v>
      </c>
      <c r="M161" s="103">
        <v>-25</v>
      </c>
      <c r="N161" s="103">
        <v>-25</v>
      </c>
      <c r="O161" s="103">
        <v>-25</v>
      </c>
      <c r="P161" s="101">
        <v>-25</v>
      </c>
      <c r="Q161" s="101">
        <v>-25</v>
      </c>
      <c r="R161" s="101">
        <v>-25</v>
      </c>
      <c r="S161" s="101">
        <v>-25</v>
      </c>
      <c r="T161" s="101">
        <v>-25</v>
      </c>
      <c r="U161" s="99">
        <v>-25</v>
      </c>
      <c r="V161" s="101">
        <v>-25</v>
      </c>
      <c r="W161" s="101">
        <v>-25</v>
      </c>
      <c r="X161" s="101">
        <v>-25</v>
      </c>
      <c r="Y161" s="101"/>
      <c r="Z161" s="99">
        <v>-25</v>
      </c>
      <c r="AA161" s="103">
        <v>-25</v>
      </c>
      <c r="AB161" s="101">
        <v>-25</v>
      </c>
      <c r="AC161" s="99">
        <v>-16</v>
      </c>
      <c r="AD161" s="99">
        <v>-16</v>
      </c>
      <c r="AE161" s="147">
        <v>-25</v>
      </c>
      <c r="AF161" s="103">
        <v>-25</v>
      </c>
      <c r="AG161" s="99">
        <v>-25</v>
      </c>
      <c r="AH161" s="172">
        <v>-25</v>
      </c>
      <c r="AI161" s="99">
        <v>-25</v>
      </c>
      <c r="AJ161" s="99">
        <v>-25</v>
      </c>
      <c r="AK161" s="99">
        <v>-25</v>
      </c>
    </row>
    <row r="162" spans="2:37" x14ac:dyDescent="0.25">
      <c r="B162" s="2" t="s">
        <v>460</v>
      </c>
      <c r="C162" s="2" t="s">
        <v>475</v>
      </c>
      <c r="D162" s="36">
        <f t="shared" si="49"/>
        <v>0.43633231299858238</v>
      </c>
      <c r="E162" s="4">
        <f t="shared" si="51"/>
        <v>1.7453292519943295E-2</v>
      </c>
      <c r="F162" s="3" t="s">
        <v>488</v>
      </c>
      <c r="G162" s="15">
        <f>+IF(EXACT('3AC_Data'!$D$8,1),H162,IF(EXACT('3AC_Data'!$D$8,2),I162,IF(EXACT('3AC_Data'!$D$8,3),J162,IF(EXACT('3AC_Data'!$D$8,4),K162,IF(EXACT('3AC_Data'!$D$8,5),L162,IF(EXACT('3AC_Data'!$D$8,6),M162,IF(EXACT('3AC_Data'!$D$8,7),N162,IF(EXACT('3AC_Data'!$D$8,8),O162,IF(EXACT('3AC_Data'!$D$8,9),P162,IF(EXACT('3AC_Data'!$D$8,10),Q162,IF(EXACT('3AC_Data'!$D$8,11),R162,IF(EXACT('3AC_Data'!$D$8,12),S162,IF(EXACT('3AC_Data'!$D$8,13),T162,IF(EXACT('3AC_Data'!$D$8,14),U162,IF(EXACT('3AC_Data'!$D$8,15),V162,IF(EXACT('3AC_Data'!$D$8,16),W162,IF(EXACT('3AC_Data'!$D$8,17),X162,IF(EXACT('3AC_Data'!$D$8,18),Y162,IF(EXACT('3AC_Data'!$D$8,19),Z162,IF(EXACT('3AC_Data'!$D$8,20),AA162,IF(EXACT('3AC_Data'!$D$8,21),AB162,IF(EXACT('3AC_Data'!$D$8,22),AC162,IF(EXACT('3AC_Data'!$D$8,23),AD162,IF(EXACT('3AC_Data'!$D$8,24),AE162,IF(EXACT('3AC_Data'!$D$8,25),AF162,IF(EXACT('3AC_Data'!$D$8,26),AG162,IF(EXACT('3AC_Data'!$D$8,27),AH162,IF(EXACT('3AC_Data'!$D$8,28),AI162,IF(EXACT('3AC_Data'!$D$8,29),AJ162,IF(EXACT('3AC_Data'!$D$8,30),AK162))))))))))))))))))))))))))))))</f>
        <v>25</v>
      </c>
      <c r="H162" s="103">
        <v>25</v>
      </c>
      <c r="I162" s="101">
        <v>25</v>
      </c>
      <c r="J162" s="103">
        <v>25</v>
      </c>
      <c r="K162" s="103">
        <v>25</v>
      </c>
      <c r="L162" s="103">
        <v>25</v>
      </c>
      <c r="M162" s="103">
        <v>25</v>
      </c>
      <c r="N162" s="103">
        <v>25</v>
      </c>
      <c r="O162" s="103">
        <v>25</v>
      </c>
      <c r="P162" s="101">
        <v>25</v>
      </c>
      <c r="Q162" s="101">
        <v>25</v>
      </c>
      <c r="R162" s="101">
        <v>25</v>
      </c>
      <c r="S162" s="101">
        <v>25</v>
      </c>
      <c r="T162" s="101">
        <v>25</v>
      </c>
      <c r="U162" s="99">
        <v>25</v>
      </c>
      <c r="V162" s="101">
        <v>25</v>
      </c>
      <c r="W162" s="101">
        <v>25</v>
      </c>
      <c r="X162" s="101">
        <v>25</v>
      </c>
      <c r="Y162" s="101"/>
      <c r="Z162" s="99">
        <v>25</v>
      </c>
      <c r="AA162" s="103">
        <v>25</v>
      </c>
      <c r="AB162" s="101">
        <v>25</v>
      </c>
      <c r="AC162" s="99">
        <v>25</v>
      </c>
      <c r="AD162" s="99">
        <v>25</v>
      </c>
      <c r="AE162" s="147">
        <v>25</v>
      </c>
      <c r="AF162" s="103">
        <v>25</v>
      </c>
      <c r="AG162" s="99">
        <v>25</v>
      </c>
      <c r="AH162" s="172">
        <v>25</v>
      </c>
      <c r="AI162" s="99">
        <v>25</v>
      </c>
      <c r="AJ162" s="99">
        <v>25</v>
      </c>
      <c r="AK162" s="99">
        <v>25</v>
      </c>
    </row>
    <row r="163" spans="2:37" x14ac:dyDescent="0.25">
      <c r="B163" s="2" t="s">
        <v>462</v>
      </c>
      <c r="C163" s="2" t="s">
        <v>476</v>
      </c>
      <c r="D163" s="36">
        <f t="shared" si="49"/>
        <v>-0.43633231299858238</v>
      </c>
      <c r="E163" s="4">
        <f t="shared" si="51"/>
        <v>1.7453292519943295E-2</v>
      </c>
      <c r="F163" s="3" t="s">
        <v>488</v>
      </c>
      <c r="G163" s="15">
        <f>+IF(EXACT('3AC_Data'!$D$8,1),H163,IF(EXACT('3AC_Data'!$D$8,2),I163,IF(EXACT('3AC_Data'!$D$8,3),J163,IF(EXACT('3AC_Data'!$D$8,4),K163,IF(EXACT('3AC_Data'!$D$8,5),L163,IF(EXACT('3AC_Data'!$D$8,6),M163,IF(EXACT('3AC_Data'!$D$8,7),N163,IF(EXACT('3AC_Data'!$D$8,8),O163,IF(EXACT('3AC_Data'!$D$8,9),P163,IF(EXACT('3AC_Data'!$D$8,10),Q163,IF(EXACT('3AC_Data'!$D$8,11),R163,IF(EXACT('3AC_Data'!$D$8,12),S163,IF(EXACT('3AC_Data'!$D$8,13),T163,IF(EXACT('3AC_Data'!$D$8,14),U163,IF(EXACT('3AC_Data'!$D$8,15),V163,IF(EXACT('3AC_Data'!$D$8,16),W163,IF(EXACT('3AC_Data'!$D$8,17),X163,IF(EXACT('3AC_Data'!$D$8,18),Y163,IF(EXACT('3AC_Data'!$D$8,19),Z163,IF(EXACT('3AC_Data'!$D$8,20),AA163,IF(EXACT('3AC_Data'!$D$8,21),AB163,IF(EXACT('3AC_Data'!$D$8,22),AC163,IF(EXACT('3AC_Data'!$D$8,23),AD163,IF(EXACT('3AC_Data'!$D$8,24),AE163,IF(EXACT('3AC_Data'!$D$8,25),AF163,IF(EXACT('3AC_Data'!$D$8,26),AG163,IF(EXACT('3AC_Data'!$D$8,27),AH163,IF(EXACT('3AC_Data'!$D$8,28),AI163,IF(EXACT('3AC_Data'!$D$8,29),AJ163,IF(EXACT('3AC_Data'!$D$8,30),AK163))))))))))))))))))))))))))))))</f>
        <v>-25</v>
      </c>
      <c r="H163" s="103">
        <v>-25</v>
      </c>
      <c r="I163" s="101">
        <v>-25</v>
      </c>
      <c r="J163" s="103">
        <v>-25</v>
      </c>
      <c r="K163" s="103">
        <v>-25</v>
      </c>
      <c r="L163" s="103">
        <v>-25</v>
      </c>
      <c r="M163" s="103">
        <v>-25</v>
      </c>
      <c r="N163" s="103">
        <v>-25</v>
      </c>
      <c r="O163" s="103">
        <v>-25</v>
      </c>
      <c r="P163" s="101">
        <v>-25</v>
      </c>
      <c r="Q163" s="101">
        <v>-25</v>
      </c>
      <c r="R163" s="101">
        <v>-25</v>
      </c>
      <c r="S163" s="99">
        <v>0</v>
      </c>
      <c r="T163" s="99">
        <v>0</v>
      </c>
      <c r="U163" s="99">
        <v>-25</v>
      </c>
      <c r="V163" s="101">
        <v>-25</v>
      </c>
      <c r="W163" s="101">
        <v>-25</v>
      </c>
      <c r="X163" s="101">
        <v>-25</v>
      </c>
      <c r="Y163" s="101"/>
      <c r="Z163" s="99">
        <v>-25</v>
      </c>
      <c r="AA163" s="103">
        <v>-25</v>
      </c>
      <c r="AB163" s="101">
        <v>-25</v>
      </c>
      <c r="AC163" s="99">
        <v>-20</v>
      </c>
      <c r="AD163" s="99">
        <v>-20</v>
      </c>
      <c r="AE163" s="147">
        <v>-25</v>
      </c>
      <c r="AF163" s="103">
        <v>-25</v>
      </c>
      <c r="AG163" s="99">
        <v>-25</v>
      </c>
      <c r="AH163" s="172">
        <v>-25</v>
      </c>
      <c r="AI163" s="99">
        <v>-25</v>
      </c>
      <c r="AJ163" s="99">
        <v>-25</v>
      </c>
      <c r="AK163" s="99">
        <v>-25</v>
      </c>
    </row>
    <row r="164" spans="2:37" x14ac:dyDescent="0.25">
      <c r="B164" s="2" t="s">
        <v>465</v>
      </c>
      <c r="C164" s="2" t="s">
        <v>477</v>
      </c>
      <c r="D164" s="36">
        <f t="shared" si="49"/>
        <v>0.43633231299858238</v>
      </c>
      <c r="E164" s="4">
        <f t="shared" si="51"/>
        <v>1.7453292519943295E-2</v>
      </c>
      <c r="F164" s="3" t="s">
        <v>488</v>
      </c>
      <c r="G164" s="15">
        <f>+IF(EXACT('3AC_Data'!$D$8,1),H164,IF(EXACT('3AC_Data'!$D$8,2),I164,IF(EXACT('3AC_Data'!$D$8,3),J164,IF(EXACT('3AC_Data'!$D$8,4),K164,IF(EXACT('3AC_Data'!$D$8,5),L164,IF(EXACT('3AC_Data'!$D$8,6),M164,IF(EXACT('3AC_Data'!$D$8,7),N164,IF(EXACT('3AC_Data'!$D$8,8),O164,IF(EXACT('3AC_Data'!$D$8,9),P164,IF(EXACT('3AC_Data'!$D$8,10),Q164,IF(EXACT('3AC_Data'!$D$8,11),R164,IF(EXACT('3AC_Data'!$D$8,12),S164,IF(EXACT('3AC_Data'!$D$8,13),T164,IF(EXACT('3AC_Data'!$D$8,14),U164,IF(EXACT('3AC_Data'!$D$8,15),V164,IF(EXACT('3AC_Data'!$D$8,16),W164,IF(EXACT('3AC_Data'!$D$8,17),X164,IF(EXACT('3AC_Data'!$D$8,18),Y164,IF(EXACT('3AC_Data'!$D$8,19),Z164,IF(EXACT('3AC_Data'!$D$8,20),AA164,IF(EXACT('3AC_Data'!$D$8,21),AB164,IF(EXACT('3AC_Data'!$D$8,22),AC164,IF(EXACT('3AC_Data'!$D$8,23),AD164,IF(EXACT('3AC_Data'!$D$8,24),AE164,IF(EXACT('3AC_Data'!$D$8,25),AF164,IF(EXACT('3AC_Data'!$D$8,26),AG164,IF(EXACT('3AC_Data'!$D$8,27),AH164,IF(EXACT('3AC_Data'!$D$8,28),AI164,IF(EXACT('3AC_Data'!$D$8,29),AJ164,IF(EXACT('3AC_Data'!$D$8,30),AK164))))))))))))))))))))))))))))))</f>
        <v>25</v>
      </c>
      <c r="H164" s="103">
        <v>25</v>
      </c>
      <c r="I164" s="101">
        <v>25</v>
      </c>
      <c r="J164" s="103">
        <v>25</v>
      </c>
      <c r="K164" s="103">
        <v>15</v>
      </c>
      <c r="L164" s="103">
        <v>25</v>
      </c>
      <c r="M164" s="103">
        <v>25</v>
      </c>
      <c r="N164" s="103">
        <v>25</v>
      </c>
      <c r="O164" s="103">
        <v>25</v>
      </c>
      <c r="P164" s="101">
        <v>25</v>
      </c>
      <c r="Q164" s="101">
        <v>25</v>
      </c>
      <c r="R164" s="101">
        <v>25</v>
      </c>
      <c r="S164" s="99">
        <v>0</v>
      </c>
      <c r="T164" s="99">
        <v>0</v>
      </c>
      <c r="U164" s="99">
        <v>15</v>
      </c>
      <c r="V164" s="101">
        <v>25</v>
      </c>
      <c r="W164" s="101">
        <v>25</v>
      </c>
      <c r="X164" s="101">
        <v>25</v>
      </c>
      <c r="Y164" s="101"/>
      <c r="Z164" s="99">
        <v>15</v>
      </c>
      <c r="AA164" s="103">
        <v>25</v>
      </c>
      <c r="AB164" s="101">
        <v>25</v>
      </c>
      <c r="AC164" s="99">
        <v>25</v>
      </c>
      <c r="AD164" s="99">
        <v>25</v>
      </c>
      <c r="AE164" s="147">
        <v>15</v>
      </c>
      <c r="AF164" s="103">
        <v>25</v>
      </c>
      <c r="AG164" s="99">
        <v>15</v>
      </c>
      <c r="AH164" s="172">
        <v>25</v>
      </c>
      <c r="AI164" s="99">
        <v>15</v>
      </c>
      <c r="AJ164" s="99">
        <v>15</v>
      </c>
      <c r="AK164" s="99">
        <v>15</v>
      </c>
    </row>
    <row r="165" spans="2:37" x14ac:dyDescent="0.25">
      <c r="B165" s="2" t="s">
        <v>466</v>
      </c>
      <c r="C165" s="2" t="s">
        <v>478</v>
      </c>
      <c r="D165" s="36">
        <f t="shared" si="49"/>
        <v>-0.43633231299858238</v>
      </c>
      <c r="E165" s="4">
        <f t="shared" si="51"/>
        <v>1.7453292519943295E-2</v>
      </c>
      <c r="F165" s="3" t="s">
        <v>488</v>
      </c>
      <c r="G165" s="15">
        <f>+IF(EXACT('3AC_Data'!$D$8,1),H165,IF(EXACT('3AC_Data'!$D$8,2),I165,IF(EXACT('3AC_Data'!$D$8,3),J165,IF(EXACT('3AC_Data'!$D$8,4),K165,IF(EXACT('3AC_Data'!$D$8,5),L165,IF(EXACT('3AC_Data'!$D$8,6),M165,IF(EXACT('3AC_Data'!$D$8,7),N165,IF(EXACT('3AC_Data'!$D$8,8),O165,IF(EXACT('3AC_Data'!$D$8,9),P165,IF(EXACT('3AC_Data'!$D$8,10),Q165,IF(EXACT('3AC_Data'!$D$8,11),R165,IF(EXACT('3AC_Data'!$D$8,12),S165,IF(EXACT('3AC_Data'!$D$8,13),T165,IF(EXACT('3AC_Data'!$D$8,14),U165,IF(EXACT('3AC_Data'!$D$8,15),V165,IF(EXACT('3AC_Data'!$D$8,16),W165,IF(EXACT('3AC_Data'!$D$8,17),X165,IF(EXACT('3AC_Data'!$D$8,18),Y165,IF(EXACT('3AC_Data'!$D$8,19),Z165,IF(EXACT('3AC_Data'!$D$8,20),AA165,IF(EXACT('3AC_Data'!$D$8,21),AB165,IF(EXACT('3AC_Data'!$D$8,22),AC165,IF(EXACT('3AC_Data'!$D$8,23),AD165,IF(EXACT('3AC_Data'!$D$8,24),AE165,IF(EXACT('3AC_Data'!$D$8,25),AF165,IF(EXACT('3AC_Data'!$D$8,26),AG165,IF(EXACT('3AC_Data'!$D$8,27),AH165,IF(EXACT('3AC_Data'!$D$8,28),AI165,IF(EXACT('3AC_Data'!$D$8,29),AJ165,IF(EXACT('3AC_Data'!$D$8,30),AK165))))))))))))))))))))))))))))))</f>
        <v>-25</v>
      </c>
      <c r="H165" s="103">
        <v>-25</v>
      </c>
      <c r="I165" s="101">
        <v>-25</v>
      </c>
      <c r="J165" s="103">
        <v>-25</v>
      </c>
      <c r="K165" s="103">
        <v>0</v>
      </c>
      <c r="L165" s="103">
        <v>-25</v>
      </c>
      <c r="M165" s="103">
        <v>-25</v>
      </c>
      <c r="N165" s="103">
        <v>-25</v>
      </c>
      <c r="O165" s="103">
        <v>-25</v>
      </c>
      <c r="P165" s="101">
        <v>-25</v>
      </c>
      <c r="Q165" s="101">
        <v>-25</v>
      </c>
      <c r="R165" s="101">
        <v>-25</v>
      </c>
      <c r="S165" s="99">
        <v>0</v>
      </c>
      <c r="T165" s="99">
        <v>0</v>
      </c>
      <c r="U165" s="99">
        <v>0</v>
      </c>
      <c r="V165" s="101">
        <v>-25</v>
      </c>
      <c r="W165" s="101">
        <v>-25</v>
      </c>
      <c r="X165" s="101">
        <v>-25</v>
      </c>
      <c r="Y165" s="101"/>
      <c r="Z165" s="99">
        <v>0</v>
      </c>
      <c r="AA165" s="103">
        <v>-25</v>
      </c>
      <c r="AB165" s="101">
        <v>-25</v>
      </c>
      <c r="AC165" s="99">
        <v>0</v>
      </c>
      <c r="AD165" s="99">
        <v>0</v>
      </c>
      <c r="AE165" s="147">
        <v>0</v>
      </c>
      <c r="AF165" s="103">
        <v>-25</v>
      </c>
      <c r="AG165" s="99">
        <v>0</v>
      </c>
      <c r="AH165" s="172">
        <v>-25</v>
      </c>
      <c r="AI165" s="99">
        <v>0</v>
      </c>
      <c r="AJ165" s="99">
        <v>0</v>
      </c>
      <c r="AK165" s="99">
        <v>0</v>
      </c>
    </row>
    <row r="166" spans="2:37" x14ac:dyDescent="0.25">
      <c r="B166" s="2" t="s">
        <v>467</v>
      </c>
      <c r="C166" s="2" t="s">
        <v>479</v>
      </c>
      <c r="D166" s="36">
        <f t="shared" si="49"/>
        <v>0.43633231299858238</v>
      </c>
      <c r="E166" s="4">
        <f t="shared" si="51"/>
        <v>1.7453292519943295E-2</v>
      </c>
      <c r="F166" s="3" t="s">
        <v>488</v>
      </c>
      <c r="G166" s="15">
        <f>+IF(EXACT('3AC_Data'!$D$8,1),H166,IF(EXACT('3AC_Data'!$D$8,2),I166,IF(EXACT('3AC_Data'!$D$8,3),J166,IF(EXACT('3AC_Data'!$D$8,4),K166,IF(EXACT('3AC_Data'!$D$8,5),L166,IF(EXACT('3AC_Data'!$D$8,6),M166,IF(EXACT('3AC_Data'!$D$8,7),N166,IF(EXACT('3AC_Data'!$D$8,8),O166,IF(EXACT('3AC_Data'!$D$8,9),P166,IF(EXACT('3AC_Data'!$D$8,10),Q166,IF(EXACT('3AC_Data'!$D$8,11),R166,IF(EXACT('3AC_Data'!$D$8,12),S166,IF(EXACT('3AC_Data'!$D$8,13),T166,IF(EXACT('3AC_Data'!$D$8,14),U166,IF(EXACT('3AC_Data'!$D$8,15),V166,IF(EXACT('3AC_Data'!$D$8,16),W166,IF(EXACT('3AC_Data'!$D$8,17),X166,IF(EXACT('3AC_Data'!$D$8,18),Y166,IF(EXACT('3AC_Data'!$D$8,19),Z166,IF(EXACT('3AC_Data'!$D$8,20),AA166,IF(EXACT('3AC_Data'!$D$8,21),AB166,IF(EXACT('3AC_Data'!$D$8,22),AC166,IF(EXACT('3AC_Data'!$D$8,23),AD166,IF(EXACT('3AC_Data'!$D$8,24),AE166,IF(EXACT('3AC_Data'!$D$8,25),AF166,IF(EXACT('3AC_Data'!$D$8,26),AG166,IF(EXACT('3AC_Data'!$D$8,27),AH166,IF(EXACT('3AC_Data'!$D$8,28),AI166,IF(EXACT('3AC_Data'!$D$8,29),AJ166,IF(EXACT('3AC_Data'!$D$8,30),AK166))))))))))))))))))))))))))))))</f>
        <v>25</v>
      </c>
      <c r="H166" s="103">
        <v>25</v>
      </c>
      <c r="I166" s="101">
        <v>25</v>
      </c>
      <c r="J166" s="103">
        <v>25</v>
      </c>
      <c r="K166" s="103">
        <v>0</v>
      </c>
      <c r="L166" s="103">
        <v>25</v>
      </c>
      <c r="M166" s="103">
        <v>25</v>
      </c>
      <c r="N166" s="103">
        <v>25</v>
      </c>
      <c r="O166" s="103">
        <v>25</v>
      </c>
      <c r="P166" s="101">
        <v>25</v>
      </c>
      <c r="Q166" s="101">
        <v>25</v>
      </c>
      <c r="R166" s="101">
        <v>25</v>
      </c>
      <c r="S166" s="99">
        <v>0</v>
      </c>
      <c r="T166" s="99">
        <v>0</v>
      </c>
      <c r="U166" s="99">
        <v>0</v>
      </c>
      <c r="V166" s="101">
        <v>25</v>
      </c>
      <c r="W166" s="101">
        <v>25</v>
      </c>
      <c r="X166" s="101">
        <v>25</v>
      </c>
      <c r="Y166" s="101"/>
      <c r="Z166" s="99">
        <v>0</v>
      </c>
      <c r="AA166" s="103">
        <v>25</v>
      </c>
      <c r="AB166" s="101">
        <v>25</v>
      </c>
      <c r="AC166" s="99">
        <v>0</v>
      </c>
      <c r="AD166" s="99">
        <v>0</v>
      </c>
      <c r="AE166" s="147">
        <v>0</v>
      </c>
      <c r="AF166" s="103">
        <v>25</v>
      </c>
      <c r="AG166" s="99">
        <v>0</v>
      </c>
      <c r="AH166" s="172">
        <v>25</v>
      </c>
      <c r="AI166" s="99">
        <v>0</v>
      </c>
      <c r="AJ166" s="99">
        <v>0</v>
      </c>
      <c r="AK166" s="99">
        <v>0</v>
      </c>
    </row>
    <row r="167" spans="2:37" x14ac:dyDescent="0.25">
      <c r="B167" s="2" t="s">
        <v>468</v>
      </c>
      <c r="C167" s="2" t="s">
        <v>480</v>
      </c>
      <c r="D167" s="36">
        <f t="shared" si="49"/>
        <v>-0.52359877559829882</v>
      </c>
      <c r="E167" s="4">
        <f t="shared" si="51"/>
        <v>1.7453292519943295E-2</v>
      </c>
      <c r="F167" s="3" t="s">
        <v>488</v>
      </c>
      <c r="G167" s="15">
        <f>+IF(EXACT('3AC_Data'!$D$8,1),H167,IF(EXACT('3AC_Data'!$D$8,2),I167,IF(EXACT('3AC_Data'!$D$8,3),J167,IF(EXACT('3AC_Data'!$D$8,4),K167,IF(EXACT('3AC_Data'!$D$8,5),L167,IF(EXACT('3AC_Data'!$D$8,6),M167,IF(EXACT('3AC_Data'!$D$8,7),N167,IF(EXACT('3AC_Data'!$D$8,8),O167,IF(EXACT('3AC_Data'!$D$8,9),P167,IF(EXACT('3AC_Data'!$D$8,10),Q167,IF(EXACT('3AC_Data'!$D$8,11),R167,IF(EXACT('3AC_Data'!$D$8,12),S167,IF(EXACT('3AC_Data'!$D$8,13),T167,IF(EXACT('3AC_Data'!$D$8,14),U167,IF(EXACT('3AC_Data'!$D$8,15),V167,IF(EXACT('3AC_Data'!$D$8,16),W167,IF(EXACT('3AC_Data'!$D$8,17),X167,IF(EXACT('3AC_Data'!$D$8,18),Y167,IF(EXACT('3AC_Data'!$D$8,19),Z167,IF(EXACT('3AC_Data'!$D$8,20),AA167,IF(EXACT('3AC_Data'!$D$8,21),AB167,IF(EXACT('3AC_Data'!$D$8,22),AC167,IF(EXACT('3AC_Data'!$D$8,23),AD167,IF(EXACT('3AC_Data'!$D$8,24),AE167,IF(EXACT('3AC_Data'!$D$8,25),AF167,IF(EXACT('3AC_Data'!$D$8,26),AG167,IF(EXACT('3AC_Data'!$D$8,27),AH167,IF(EXACT('3AC_Data'!$D$8,28),AI167,IF(EXACT('3AC_Data'!$D$8,29),AJ167,IF(EXACT('3AC_Data'!$D$8,30),AK167))))))))))))))))))))))))))))))</f>
        <v>-30</v>
      </c>
      <c r="H167" s="103">
        <v>-30</v>
      </c>
      <c r="I167" s="101">
        <v>-30</v>
      </c>
      <c r="J167" s="103">
        <v>-30</v>
      </c>
      <c r="K167" s="103">
        <v>-35</v>
      </c>
      <c r="L167" s="103">
        <v>-30</v>
      </c>
      <c r="M167" s="103">
        <v>-30</v>
      </c>
      <c r="N167" s="103">
        <v>-30</v>
      </c>
      <c r="O167" s="103">
        <v>-30</v>
      </c>
      <c r="P167" s="101">
        <v>-30</v>
      </c>
      <c r="Q167" s="101">
        <v>-30</v>
      </c>
      <c r="R167" s="101">
        <v>-30</v>
      </c>
      <c r="S167" s="99">
        <v>0</v>
      </c>
      <c r="T167" s="99">
        <v>0</v>
      </c>
      <c r="U167" s="99">
        <v>-35</v>
      </c>
      <c r="V167" s="101">
        <v>-30</v>
      </c>
      <c r="W167" s="101">
        <v>-30</v>
      </c>
      <c r="X167" s="101">
        <v>-30</v>
      </c>
      <c r="Y167" s="101"/>
      <c r="Z167" s="99">
        <v>-35</v>
      </c>
      <c r="AA167" s="103">
        <v>-30</v>
      </c>
      <c r="AB167" s="101">
        <v>-30</v>
      </c>
      <c r="AC167" s="99">
        <v>-35</v>
      </c>
      <c r="AD167" s="99">
        <v>-35</v>
      </c>
      <c r="AE167" s="147">
        <v>-35</v>
      </c>
      <c r="AF167" s="103">
        <v>-30</v>
      </c>
      <c r="AG167" s="99">
        <v>-35</v>
      </c>
      <c r="AH167" s="172">
        <v>-30</v>
      </c>
      <c r="AI167" s="99">
        <v>-35</v>
      </c>
      <c r="AJ167" s="99">
        <v>-35</v>
      </c>
      <c r="AK167" s="99">
        <v>-35</v>
      </c>
    </row>
    <row r="168" spans="2:37" x14ac:dyDescent="0.25">
      <c r="B168" s="2" t="s">
        <v>469</v>
      </c>
      <c r="C168" s="2" t="s">
        <v>481</v>
      </c>
      <c r="D168" s="36">
        <f t="shared" si="49"/>
        <v>0.52359877559829882</v>
      </c>
      <c r="E168" s="4">
        <f t="shared" si="51"/>
        <v>1.7453292519943295E-2</v>
      </c>
      <c r="F168" s="3" t="s">
        <v>488</v>
      </c>
      <c r="G168" s="15">
        <f>+IF(EXACT('3AC_Data'!$D$8,1),H168,IF(EXACT('3AC_Data'!$D$8,2),I168,IF(EXACT('3AC_Data'!$D$8,3),J168,IF(EXACT('3AC_Data'!$D$8,4),K168,IF(EXACT('3AC_Data'!$D$8,5),L168,IF(EXACT('3AC_Data'!$D$8,6),M168,IF(EXACT('3AC_Data'!$D$8,7),N168,IF(EXACT('3AC_Data'!$D$8,8),O168,IF(EXACT('3AC_Data'!$D$8,9),P168,IF(EXACT('3AC_Data'!$D$8,10),Q168,IF(EXACT('3AC_Data'!$D$8,11),R168,IF(EXACT('3AC_Data'!$D$8,12),S168,IF(EXACT('3AC_Data'!$D$8,13),T168,IF(EXACT('3AC_Data'!$D$8,14),U168,IF(EXACT('3AC_Data'!$D$8,15),V168,IF(EXACT('3AC_Data'!$D$8,16),W168,IF(EXACT('3AC_Data'!$D$8,17),X168,IF(EXACT('3AC_Data'!$D$8,18),Y168,IF(EXACT('3AC_Data'!$D$8,19),Z168,IF(EXACT('3AC_Data'!$D$8,20),AA168,IF(EXACT('3AC_Data'!$D$8,21),AB168,IF(EXACT('3AC_Data'!$D$8,22),AC168,IF(EXACT('3AC_Data'!$D$8,23),AD168,IF(EXACT('3AC_Data'!$D$8,24),AE168,IF(EXACT('3AC_Data'!$D$8,25),AF168,IF(EXACT('3AC_Data'!$D$8,26),AG168,IF(EXACT('3AC_Data'!$D$8,27),AH168,IF(EXACT('3AC_Data'!$D$8,28),AI168,IF(EXACT('3AC_Data'!$D$8,29),AJ168,IF(EXACT('3AC_Data'!$D$8,30),AK168))))))))))))))))))))))))))))))</f>
        <v>30</v>
      </c>
      <c r="H168" s="103">
        <v>30</v>
      </c>
      <c r="I168" s="101">
        <v>30</v>
      </c>
      <c r="J168" s="103">
        <v>30</v>
      </c>
      <c r="K168" s="103">
        <v>35</v>
      </c>
      <c r="L168" s="103">
        <v>30</v>
      </c>
      <c r="M168" s="103">
        <v>30</v>
      </c>
      <c r="N168" s="103">
        <v>30</v>
      </c>
      <c r="O168" s="103">
        <v>30</v>
      </c>
      <c r="P168" s="101">
        <v>30</v>
      </c>
      <c r="Q168" s="101">
        <v>30</v>
      </c>
      <c r="R168" s="101">
        <v>30</v>
      </c>
      <c r="S168" s="99">
        <v>0</v>
      </c>
      <c r="T168" s="99">
        <v>0</v>
      </c>
      <c r="U168" s="99">
        <v>35</v>
      </c>
      <c r="V168" s="101">
        <v>30</v>
      </c>
      <c r="W168" s="101">
        <v>30</v>
      </c>
      <c r="X168" s="101">
        <v>30</v>
      </c>
      <c r="Y168" s="101"/>
      <c r="Z168" s="99">
        <v>35</v>
      </c>
      <c r="AA168" s="103">
        <v>30</v>
      </c>
      <c r="AB168" s="101">
        <v>30</v>
      </c>
      <c r="AC168" s="99">
        <v>35</v>
      </c>
      <c r="AD168" s="99">
        <v>35</v>
      </c>
      <c r="AE168" s="147">
        <v>35</v>
      </c>
      <c r="AF168" s="103">
        <v>30</v>
      </c>
      <c r="AG168" s="99">
        <v>35</v>
      </c>
      <c r="AH168" s="172">
        <v>30</v>
      </c>
      <c r="AI168" s="99">
        <v>35</v>
      </c>
      <c r="AJ168" s="99">
        <v>35</v>
      </c>
      <c r="AK168" s="99">
        <v>35</v>
      </c>
    </row>
    <row r="169" spans="2:37" x14ac:dyDescent="0.25">
      <c r="B169" s="2" t="s">
        <v>470</v>
      </c>
      <c r="C169" s="2" t="s">
        <v>482</v>
      </c>
      <c r="D169" s="36">
        <f t="shared" si="49"/>
        <v>-0.43633231299858238</v>
      </c>
      <c r="E169" s="4">
        <f t="shared" si="51"/>
        <v>1.7453292519943295E-2</v>
      </c>
      <c r="F169" s="3" t="s">
        <v>488</v>
      </c>
      <c r="G169" s="15">
        <f>+IF(EXACT('3AC_Data'!$D$8,1),H169,IF(EXACT('3AC_Data'!$D$8,2),I169,IF(EXACT('3AC_Data'!$D$8,3),J169,IF(EXACT('3AC_Data'!$D$8,4),K169,IF(EXACT('3AC_Data'!$D$8,5),L169,IF(EXACT('3AC_Data'!$D$8,6),M169,IF(EXACT('3AC_Data'!$D$8,7),N169,IF(EXACT('3AC_Data'!$D$8,8),O169,IF(EXACT('3AC_Data'!$D$8,9),P169,IF(EXACT('3AC_Data'!$D$8,10),Q169,IF(EXACT('3AC_Data'!$D$8,11),R169,IF(EXACT('3AC_Data'!$D$8,12),S169,IF(EXACT('3AC_Data'!$D$8,13),T169,IF(EXACT('3AC_Data'!$D$8,14),U169,IF(EXACT('3AC_Data'!$D$8,15),V169,IF(EXACT('3AC_Data'!$D$8,16),W169,IF(EXACT('3AC_Data'!$D$8,17),X169,IF(EXACT('3AC_Data'!$D$8,18),Y169,IF(EXACT('3AC_Data'!$D$8,19),Z169,IF(EXACT('3AC_Data'!$D$8,20),AA169,IF(EXACT('3AC_Data'!$D$8,21),AB169,IF(EXACT('3AC_Data'!$D$8,22),AC169,IF(EXACT('3AC_Data'!$D$8,23),AD169,IF(EXACT('3AC_Data'!$D$8,24),AE169,IF(EXACT('3AC_Data'!$D$8,25),AF169,IF(EXACT('3AC_Data'!$D$8,26),AG169,IF(EXACT('3AC_Data'!$D$8,27),AH169,IF(EXACT('3AC_Data'!$D$8,28),AI169,IF(EXACT('3AC_Data'!$D$8,29),AJ169,IF(EXACT('3AC_Data'!$D$8,30),AK169))))))))))))))))))))))))))))))</f>
        <v>-25</v>
      </c>
      <c r="H169" s="103">
        <v>-25</v>
      </c>
      <c r="I169" s="101">
        <v>-25</v>
      </c>
      <c r="J169" s="103">
        <v>-25</v>
      </c>
      <c r="K169" s="103">
        <v>-25</v>
      </c>
      <c r="L169" s="103">
        <v>-25</v>
      </c>
      <c r="M169" s="103">
        <v>-25</v>
      </c>
      <c r="N169" s="103">
        <v>-25</v>
      </c>
      <c r="O169" s="103">
        <v>-25</v>
      </c>
      <c r="P169" s="101">
        <v>-25</v>
      </c>
      <c r="Q169" s="101">
        <v>-25</v>
      </c>
      <c r="R169" s="101">
        <v>-25</v>
      </c>
      <c r="S169" s="99">
        <v>0</v>
      </c>
      <c r="T169" s="99">
        <v>0</v>
      </c>
      <c r="U169" s="99">
        <v>-25</v>
      </c>
      <c r="V169" s="101">
        <v>-25</v>
      </c>
      <c r="W169" s="101">
        <v>-25</v>
      </c>
      <c r="X169" s="101">
        <v>-25</v>
      </c>
      <c r="Y169" s="101"/>
      <c r="Z169" s="99">
        <v>-25</v>
      </c>
      <c r="AA169" s="103">
        <v>-25</v>
      </c>
      <c r="AB169" s="101">
        <v>-25</v>
      </c>
      <c r="AC169" s="99">
        <v>-25</v>
      </c>
      <c r="AD169" s="99">
        <v>-25</v>
      </c>
      <c r="AE169" s="147">
        <v>-25</v>
      </c>
      <c r="AF169" s="103">
        <v>-25</v>
      </c>
      <c r="AG169" s="99">
        <v>-25</v>
      </c>
      <c r="AH169" s="172">
        <v>-25</v>
      </c>
      <c r="AI169" s="99">
        <v>-25</v>
      </c>
      <c r="AJ169" s="99">
        <v>-25</v>
      </c>
      <c r="AK169" s="99">
        <v>-25</v>
      </c>
    </row>
    <row r="170" spans="2:37" x14ac:dyDescent="0.25">
      <c r="B170" s="2" t="s">
        <v>471</v>
      </c>
      <c r="C170" s="2" t="s">
        <v>483</v>
      </c>
      <c r="D170" s="36">
        <f t="shared" si="49"/>
        <v>0.43633231299858238</v>
      </c>
      <c r="E170" s="4">
        <f t="shared" si="51"/>
        <v>1.7453292519943295E-2</v>
      </c>
      <c r="F170" s="3" t="s">
        <v>488</v>
      </c>
      <c r="G170" s="15">
        <f>+IF(EXACT('3AC_Data'!$D$8,1),H170,IF(EXACT('3AC_Data'!$D$8,2),I170,IF(EXACT('3AC_Data'!$D$8,3),J170,IF(EXACT('3AC_Data'!$D$8,4),K170,IF(EXACT('3AC_Data'!$D$8,5),L170,IF(EXACT('3AC_Data'!$D$8,6),M170,IF(EXACT('3AC_Data'!$D$8,7),N170,IF(EXACT('3AC_Data'!$D$8,8),O170,IF(EXACT('3AC_Data'!$D$8,9),P170,IF(EXACT('3AC_Data'!$D$8,10),Q170,IF(EXACT('3AC_Data'!$D$8,11),R170,IF(EXACT('3AC_Data'!$D$8,12),S170,IF(EXACT('3AC_Data'!$D$8,13),T170,IF(EXACT('3AC_Data'!$D$8,14),U170,IF(EXACT('3AC_Data'!$D$8,15),V170,IF(EXACT('3AC_Data'!$D$8,16),W170,IF(EXACT('3AC_Data'!$D$8,17),X170,IF(EXACT('3AC_Data'!$D$8,18),Y170,IF(EXACT('3AC_Data'!$D$8,19),Z170,IF(EXACT('3AC_Data'!$D$8,20),AA170,IF(EXACT('3AC_Data'!$D$8,21),AB170,IF(EXACT('3AC_Data'!$D$8,22),AC170,IF(EXACT('3AC_Data'!$D$8,23),AD170,IF(EXACT('3AC_Data'!$D$8,24),AE170,IF(EXACT('3AC_Data'!$D$8,25),AF170,IF(EXACT('3AC_Data'!$D$8,26),AG170,IF(EXACT('3AC_Data'!$D$8,27),AH170,IF(EXACT('3AC_Data'!$D$8,28),AI170,IF(EXACT('3AC_Data'!$D$8,29),AJ170,IF(EXACT('3AC_Data'!$D$8,30),AK170))))))))))))))))))))))))))))))</f>
        <v>25</v>
      </c>
      <c r="H170" s="103">
        <v>25</v>
      </c>
      <c r="I170" s="101">
        <v>25</v>
      </c>
      <c r="J170" s="103">
        <v>25</v>
      </c>
      <c r="K170" s="103">
        <v>25</v>
      </c>
      <c r="L170" s="103">
        <v>25</v>
      </c>
      <c r="M170" s="103">
        <v>25</v>
      </c>
      <c r="N170" s="103">
        <v>25</v>
      </c>
      <c r="O170" s="103">
        <v>25</v>
      </c>
      <c r="P170" s="101">
        <v>25</v>
      </c>
      <c r="Q170" s="101">
        <v>25</v>
      </c>
      <c r="R170" s="101">
        <v>25</v>
      </c>
      <c r="S170" s="99">
        <v>0</v>
      </c>
      <c r="T170" s="99">
        <v>0</v>
      </c>
      <c r="U170" s="99">
        <v>25</v>
      </c>
      <c r="V170" s="101">
        <v>25</v>
      </c>
      <c r="W170" s="101">
        <v>25</v>
      </c>
      <c r="X170" s="101">
        <v>25</v>
      </c>
      <c r="Y170" s="101"/>
      <c r="Z170" s="99">
        <v>25</v>
      </c>
      <c r="AA170" s="103">
        <v>25</v>
      </c>
      <c r="AB170" s="101">
        <v>25</v>
      </c>
      <c r="AC170" s="99">
        <v>25</v>
      </c>
      <c r="AD170" s="99">
        <v>25</v>
      </c>
      <c r="AE170" s="147">
        <v>25</v>
      </c>
      <c r="AF170" s="103">
        <v>25</v>
      </c>
      <c r="AG170" s="99">
        <v>25</v>
      </c>
      <c r="AH170" s="172">
        <v>25</v>
      </c>
      <c r="AI170" s="99">
        <v>25</v>
      </c>
      <c r="AJ170" s="99">
        <v>25</v>
      </c>
      <c r="AK170" s="99">
        <v>25</v>
      </c>
    </row>
    <row r="171" spans="2:37" x14ac:dyDescent="0.25">
      <c r="B171" s="2" t="s">
        <v>463</v>
      </c>
      <c r="C171" s="2" t="s">
        <v>484</v>
      </c>
      <c r="D171" s="36">
        <f t="shared" si="49"/>
        <v>-0.43633231299858238</v>
      </c>
      <c r="E171" s="4">
        <f t="shared" si="51"/>
        <v>1.7453292519943295E-2</v>
      </c>
      <c r="F171" s="3" t="s">
        <v>488</v>
      </c>
      <c r="G171" s="15">
        <f>+IF(EXACT('3AC_Data'!$D$8,1),H171,IF(EXACT('3AC_Data'!$D$8,2),I171,IF(EXACT('3AC_Data'!$D$8,3),J171,IF(EXACT('3AC_Data'!$D$8,4),K171,IF(EXACT('3AC_Data'!$D$8,5),L171,IF(EXACT('3AC_Data'!$D$8,6),M171,IF(EXACT('3AC_Data'!$D$8,7),N171,IF(EXACT('3AC_Data'!$D$8,8),O171,IF(EXACT('3AC_Data'!$D$8,9),P171,IF(EXACT('3AC_Data'!$D$8,10),Q171,IF(EXACT('3AC_Data'!$D$8,11),R171,IF(EXACT('3AC_Data'!$D$8,12),S171,IF(EXACT('3AC_Data'!$D$8,13),T171,IF(EXACT('3AC_Data'!$D$8,14),U171,IF(EXACT('3AC_Data'!$D$8,15),V171,IF(EXACT('3AC_Data'!$D$8,16),W171,IF(EXACT('3AC_Data'!$D$8,17),X171,IF(EXACT('3AC_Data'!$D$8,18),Y171,IF(EXACT('3AC_Data'!$D$8,19),Z171,IF(EXACT('3AC_Data'!$D$8,20),AA171,IF(EXACT('3AC_Data'!$D$8,21),AB171,IF(EXACT('3AC_Data'!$D$8,22),AC171,IF(EXACT('3AC_Data'!$D$8,23),AD171,IF(EXACT('3AC_Data'!$D$8,24),AE171,IF(EXACT('3AC_Data'!$D$8,25),AF171,IF(EXACT('3AC_Data'!$D$8,26),AG171,IF(EXACT('3AC_Data'!$D$8,27),AH171,IF(EXACT('3AC_Data'!$D$8,28),AI171,IF(EXACT('3AC_Data'!$D$8,29),AJ171,IF(EXACT('3AC_Data'!$D$8,30),AK171))))))))))))))))))))))))))))))</f>
        <v>-25</v>
      </c>
      <c r="H171" s="103">
        <v>-25</v>
      </c>
      <c r="I171" s="101">
        <v>-25</v>
      </c>
      <c r="J171" s="103">
        <v>-25</v>
      </c>
      <c r="K171" s="103">
        <v>0</v>
      </c>
      <c r="L171" s="103">
        <v>-25</v>
      </c>
      <c r="M171" s="103">
        <v>-25</v>
      </c>
      <c r="N171" s="103">
        <v>-25</v>
      </c>
      <c r="O171" s="103">
        <v>-25</v>
      </c>
      <c r="P171" s="101">
        <v>-25</v>
      </c>
      <c r="Q171" s="101">
        <v>-25</v>
      </c>
      <c r="R171" s="101">
        <v>-25</v>
      </c>
      <c r="S171" s="99">
        <v>0</v>
      </c>
      <c r="T171" s="99">
        <v>0</v>
      </c>
      <c r="U171" s="99">
        <v>0</v>
      </c>
      <c r="V171" s="101">
        <v>-25</v>
      </c>
      <c r="W171" s="101">
        <v>-25</v>
      </c>
      <c r="X171" s="101">
        <v>-25</v>
      </c>
      <c r="Y171" s="101"/>
      <c r="Z171" s="99">
        <v>0</v>
      </c>
      <c r="AA171" s="103">
        <v>-25</v>
      </c>
      <c r="AB171" s="101">
        <v>-25</v>
      </c>
      <c r="AC171" s="99">
        <v>0</v>
      </c>
      <c r="AD171" s="99">
        <v>0</v>
      </c>
      <c r="AE171" s="147">
        <v>0</v>
      </c>
      <c r="AF171" s="103">
        <v>-25</v>
      </c>
      <c r="AG171" s="99">
        <v>0</v>
      </c>
      <c r="AH171" s="172">
        <v>-25</v>
      </c>
      <c r="AI171" s="99">
        <v>0</v>
      </c>
      <c r="AJ171" s="99">
        <v>0</v>
      </c>
      <c r="AK171" s="99">
        <v>0</v>
      </c>
    </row>
    <row r="172" spans="2:37" x14ac:dyDescent="0.25">
      <c r="B172" s="2" t="s">
        <v>464</v>
      </c>
      <c r="C172" s="2" t="s">
        <v>485</v>
      </c>
      <c r="D172" s="36">
        <f t="shared" si="49"/>
        <v>0.43633231299858238</v>
      </c>
      <c r="E172" s="4">
        <f t="shared" si="51"/>
        <v>1.7453292519943295E-2</v>
      </c>
      <c r="F172" s="3" t="s">
        <v>488</v>
      </c>
      <c r="G172" s="15">
        <f>+IF(EXACT('3AC_Data'!$D$8,1),H172,IF(EXACT('3AC_Data'!$D$8,2),I172,IF(EXACT('3AC_Data'!$D$8,3),J172,IF(EXACT('3AC_Data'!$D$8,4),K172,IF(EXACT('3AC_Data'!$D$8,5),L172,IF(EXACT('3AC_Data'!$D$8,6),M172,IF(EXACT('3AC_Data'!$D$8,7),N172,IF(EXACT('3AC_Data'!$D$8,8),O172,IF(EXACT('3AC_Data'!$D$8,9),P172,IF(EXACT('3AC_Data'!$D$8,10),Q172,IF(EXACT('3AC_Data'!$D$8,11),R172,IF(EXACT('3AC_Data'!$D$8,12),S172,IF(EXACT('3AC_Data'!$D$8,13),T172,IF(EXACT('3AC_Data'!$D$8,14),U172,IF(EXACT('3AC_Data'!$D$8,15),V172,IF(EXACT('3AC_Data'!$D$8,16),W172,IF(EXACT('3AC_Data'!$D$8,17),X172,IF(EXACT('3AC_Data'!$D$8,18),Y172,IF(EXACT('3AC_Data'!$D$8,19),Z172,IF(EXACT('3AC_Data'!$D$8,20),AA172,IF(EXACT('3AC_Data'!$D$8,21),AB172,IF(EXACT('3AC_Data'!$D$8,22),AC172,IF(EXACT('3AC_Data'!$D$8,23),AD172,IF(EXACT('3AC_Data'!$D$8,24),AE172,IF(EXACT('3AC_Data'!$D$8,25),AF172,IF(EXACT('3AC_Data'!$D$8,26),AG172,IF(EXACT('3AC_Data'!$D$8,27),AH172,IF(EXACT('3AC_Data'!$D$8,28),AI172,IF(EXACT('3AC_Data'!$D$8,29),AJ172,IF(EXACT('3AC_Data'!$D$8,30),AK172))))))))))))))))))))))))))))))</f>
        <v>25</v>
      </c>
      <c r="H172" s="103">
        <v>25</v>
      </c>
      <c r="I172" s="101">
        <v>25</v>
      </c>
      <c r="J172" s="103">
        <v>25</v>
      </c>
      <c r="K172" s="103">
        <v>0</v>
      </c>
      <c r="L172" s="103">
        <v>25</v>
      </c>
      <c r="M172" s="103">
        <v>25</v>
      </c>
      <c r="N172" s="103">
        <v>25</v>
      </c>
      <c r="O172" s="103">
        <v>25</v>
      </c>
      <c r="P172" s="101">
        <v>25</v>
      </c>
      <c r="Q172" s="101">
        <v>25</v>
      </c>
      <c r="R172" s="101">
        <v>25</v>
      </c>
      <c r="S172" s="99">
        <v>0</v>
      </c>
      <c r="T172" s="99">
        <v>0</v>
      </c>
      <c r="U172" s="99">
        <v>0</v>
      </c>
      <c r="V172" s="101">
        <v>25</v>
      </c>
      <c r="W172" s="101">
        <v>25</v>
      </c>
      <c r="X172" s="101">
        <v>25</v>
      </c>
      <c r="Y172" s="101"/>
      <c r="Z172" s="99">
        <v>0</v>
      </c>
      <c r="AA172" s="103">
        <v>25</v>
      </c>
      <c r="AB172" s="101">
        <v>25</v>
      </c>
      <c r="AC172" s="99">
        <v>0</v>
      </c>
      <c r="AD172" s="99">
        <v>0</v>
      </c>
      <c r="AE172" s="147">
        <v>0</v>
      </c>
      <c r="AF172" s="103">
        <v>25</v>
      </c>
      <c r="AG172" s="99">
        <v>0</v>
      </c>
      <c r="AH172" s="172">
        <v>25</v>
      </c>
      <c r="AI172" s="99">
        <v>0</v>
      </c>
      <c r="AJ172" s="99">
        <v>0</v>
      </c>
      <c r="AK172" s="99">
        <v>0</v>
      </c>
    </row>
    <row r="173" spans="2:37" x14ac:dyDescent="0.25">
      <c r="B173" s="2" t="s">
        <v>472</v>
      </c>
      <c r="C173" s="2" t="s">
        <v>486</v>
      </c>
      <c r="D173" s="36">
        <f t="shared" si="49"/>
        <v>-0.43633231299858238</v>
      </c>
      <c r="E173" s="4">
        <f t="shared" si="51"/>
        <v>1.7453292519943295E-2</v>
      </c>
      <c r="F173" s="3" t="s">
        <v>488</v>
      </c>
      <c r="G173" s="15">
        <f>+IF(EXACT('3AC_Data'!$D$8,1),H173,IF(EXACT('3AC_Data'!$D$8,2),I173,IF(EXACT('3AC_Data'!$D$8,3),J173,IF(EXACT('3AC_Data'!$D$8,4),K173,IF(EXACT('3AC_Data'!$D$8,5),L173,IF(EXACT('3AC_Data'!$D$8,6),M173,IF(EXACT('3AC_Data'!$D$8,7),N173,IF(EXACT('3AC_Data'!$D$8,8),O173,IF(EXACT('3AC_Data'!$D$8,9),P173,IF(EXACT('3AC_Data'!$D$8,10),Q173,IF(EXACT('3AC_Data'!$D$8,11),R173,IF(EXACT('3AC_Data'!$D$8,12),S173,IF(EXACT('3AC_Data'!$D$8,13),T173,IF(EXACT('3AC_Data'!$D$8,14),U173,IF(EXACT('3AC_Data'!$D$8,15),V173,IF(EXACT('3AC_Data'!$D$8,16),W173,IF(EXACT('3AC_Data'!$D$8,17),X173,IF(EXACT('3AC_Data'!$D$8,18),Y173,IF(EXACT('3AC_Data'!$D$8,19),Z173,IF(EXACT('3AC_Data'!$D$8,20),AA173,IF(EXACT('3AC_Data'!$D$8,21),AB173,IF(EXACT('3AC_Data'!$D$8,22),AC173,IF(EXACT('3AC_Data'!$D$8,23),AD173,IF(EXACT('3AC_Data'!$D$8,24),AE173,IF(EXACT('3AC_Data'!$D$8,25),AF173,IF(EXACT('3AC_Data'!$D$8,26),AG173,IF(EXACT('3AC_Data'!$D$8,27),AH173,IF(EXACT('3AC_Data'!$D$8,28),AI173,IF(EXACT('3AC_Data'!$D$8,29),AJ173,IF(EXACT('3AC_Data'!$D$8,30),AK173))))))))))))))))))))))))))))))</f>
        <v>-25</v>
      </c>
      <c r="H173" s="103">
        <v>-25</v>
      </c>
      <c r="I173" s="101">
        <v>-25</v>
      </c>
      <c r="J173" s="103">
        <v>-25</v>
      </c>
      <c r="K173" s="103">
        <v>0</v>
      </c>
      <c r="L173" s="103">
        <v>-25</v>
      </c>
      <c r="M173" s="103">
        <v>-25</v>
      </c>
      <c r="N173" s="103">
        <v>-25</v>
      </c>
      <c r="O173" s="103">
        <v>-25</v>
      </c>
      <c r="P173" s="101">
        <v>-25</v>
      </c>
      <c r="Q173" s="101">
        <v>-25</v>
      </c>
      <c r="R173" s="101">
        <v>-25</v>
      </c>
      <c r="S173" s="99">
        <v>0</v>
      </c>
      <c r="T173" s="99">
        <v>0</v>
      </c>
      <c r="U173" s="99">
        <v>0</v>
      </c>
      <c r="V173" s="101">
        <v>-25</v>
      </c>
      <c r="W173" s="101">
        <v>-25</v>
      </c>
      <c r="X173" s="101">
        <v>-25</v>
      </c>
      <c r="Y173" s="101"/>
      <c r="Z173" s="99">
        <v>0</v>
      </c>
      <c r="AA173" s="103">
        <v>-25</v>
      </c>
      <c r="AB173" s="101">
        <v>-25</v>
      </c>
      <c r="AC173" s="99">
        <v>0</v>
      </c>
      <c r="AD173" s="99">
        <v>0</v>
      </c>
      <c r="AE173" s="147">
        <v>0</v>
      </c>
      <c r="AF173" s="103">
        <v>-25</v>
      </c>
      <c r="AG173" s="99">
        <v>0</v>
      </c>
      <c r="AH173" s="172">
        <v>-25</v>
      </c>
      <c r="AI173" s="99">
        <v>0</v>
      </c>
      <c r="AJ173" s="99">
        <v>0</v>
      </c>
      <c r="AK173" s="99">
        <v>0</v>
      </c>
    </row>
    <row r="174" spans="2:37" x14ac:dyDescent="0.25">
      <c r="B174" s="2" t="s">
        <v>473</v>
      </c>
      <c r="C174" s="2" t="s">
        <v>487</v>
      </c>
      <c r="D174" s="36">
        <f t="shared" si="49"/>
        <v>0.43633231299858238</v>
      </c>
      <c r="E174" s="4">
        <f t="shared" si="51"/>
        <v>1.7453292519943295E-2</v>
      </c>
      <c r="F174" s="3" t="s">
        <v>488</v>
      </c>
      <c r="G174" s="15">
        <f>+IF(EXACT('3AC_Data'!$D$8,1),H174,IF(EXACT('3AC_Data'!$D$8,2),I174,IF(EXACT('3AC_Data'!$D$8,3),J174,IF(EXACT('3AC_Data'!$D$8,4),K174,IF(EXACT('3AC_Data'!$D$8,5),L174,IF(EXACT('3AC_Data'!$D$8,6),M174,IF(EXACT('3AC_Data'!$D$8,7),N174,IF(EXACT('3AC_Data'!$D$8,8),O174,IF(EXACT('3AC_Data'!$D$8,9),P174,IF(EXACT('3AC_Data'!$D$8,10),Q174,IF(EXACT('3AC_Data'!$D$8,11),R174,IF(EXACT('3AC_Data'!$D$8,12),S174,IF(EXACT('3AC_Data'!$D$8,13),T174,IF(EXACT('3AC_Data'!$D$8,14),U174,IF(EXACT('3AC_Data'!$D$8,15),V174,IF(EXACT('3AC_Data'!$D$8,16),W174,IF(EXACT('3AC_Data'!$D$8,17),X174,IF(EXACT('3AC_Data'!$D$8,18),Y174,IF(EXACT('3AC_Data'!$D$8,19),Z174,IF(EXACT('3AC_Data'!$D$8,20),AA174,IF(EXACT('3AC_Data'!$D$8,21),AB174,IF(EXACT('3AC_Data'!$D$8,22),AC174,IF(EXACT('3AC_Data'!$D$8,23),AD174,IF(EXACT('3AC_Data'!$D$8,24),AE174,IF(EXACT('3AC_Data'!$D$8,25),AF174,IF(EXACT('3AC_Data'!$D$8,26),AG174,IF(EXACT('3AC_Data'!$D$8,27),AH174,IF(EXACT('3AC_Data'!$D$8,28),AI174,IF(EXACT('3AC_Data'!$D$8,29),AJ174,IF(EXACT('3AC_Data'!$D$8,30),AK174))))))))))))))))))))))))))))))</f>
        <v>25</v>
      </c>
      <c r="H174" s="103">
        <v>25</v>
      </c>
      <c r="I174" s="101">
        <v>25</v>
      </c>
      <c r="J174" s="103">
        <v>25</v>
      </c>
      <c r="K174" s="103">
        <v>0</v>
      </c>
      <c r="L174" s="103">
        <v>25</v>
      </c>
      <c r="M174" s="103">
        <v>25</v>
      </c>
      <c r="N174" s="103">
        <v>25</v>
      </c>
      <c r="O174" s="103">
        <v>25</v>
      </c>
      <c r="P174" s="101">
        <v>25</v>
      </c>
      <c r="Q174" s="101">
        <v>25</v>
      </c>
      <c r="R174" s="101">
        <v>25</v>
      </c>
      <c r="S174" s="99">
        <v>0</v>
      </c>
      <c r="T174" s="99">
        <v>0</v>
      </c>
      <c r="U174" s="99">
        <v>0</v>
      </c>
      <c r="V174" s="101">
        <v>25</v>
      </c>
      <c r="W174" s="101">
        <v>25</v>
      </c>
      <c r="X174" s="101">
        <v>25</v>
      </c>
      <c r="Y174" s="101"/>
      <c r="Z174" s="99">
        <v>0</v>
      </c>
      <c r="AA174" s="103">
        <v>25</v>
      </c>
      <c r="AB174" s="101">
        <v>25</v>
      </c>
      <c r="AC174" s="99">
        <v>0</v>
      </c>
      <c r="AD174" s="99">
        <v>0</v>
      </c>
      <c r="AE174" s="147">
        <v>0</v>
      </c>
      <c r="AF174" s="103">
        <v>25</v>
      </c>
      <c r="AG174" s="99">
        <v>0</v>
      </c>
      <c r="AH174" s="172">
        <v>25</v>
      </c>
      <c r="AI174" s="99">
        <v>0</v>
      </c>
      <c r="AJ174" s="99">
        <v>0</v>
      </c>
      <c r="AK174" s="99">
        <v>0</v>
      </c>
    </row>
    <row r="175" spans="2:37" x14ac:dyDescent="0.25">
      <c r="B175" s="2" t="s">
        <v>1432</v>
      </c>
      <c r="C175" s="2" t="s">
        <v>1439</v>
      </c>
      <c r="D175" s="36">
        <f t="shared" ref="D175:D182" si="52">+G175*E175</f>
        <v>0</v>
      </c>
      <c r="E175" s="4">
        <f t="shared" si="51"/>
        <v>1.7453292519943295E-2</v>
      </c>
      <c r="F175" s="3" t="s">
        <v>488</v>
      </c>
      <c r="G175" s="15">
        <f>+IF(EXACT('3AC_Data'!$D$8,1),H175,IF(EXACT('3AC_Data'!$D$8,2),I175,IF(EXACT('3AC_Data'!$D$8,3),J175,IF(EXACT('3AC_Data'!$D$8,4),K175,IF(EXACT('3AC_Data'!$D$8,5),L175,IF(EXACT('3AC_Data'!$D$8,6),M175,IF(EXACT('3AC_Data'!$D$8,7),N175,IF(EXACT('3AC_Data'!$D$8,8),O175,IF(EXACT('3AC_Data'!$D$8,9),P175,IF(EXACT('3AC_Data'!$D$8,10),Q175,IF(EXACT('3AC_Data'!$D$8,11),R175,IF(EXACT('3AC_Data'!$D$8,12),S175,IF(EXACT('3AC_Data'!$D$8,13),T175,IF(EXACT('3AC_Data'!$D$8,14),U175,IF(EXACT('3AC_Data'!$D$8,15),V175,IF(EXACT('3AC_Data'!$D$8,16),W175,IF(EXACT('3AC_Data'!$D$8,17),X175,IF(EXACT('3AC_Data'!$D$8,18),Y175,IF(EXACT('3AC_Data'!$D$8,19),Z175,IF(EXACT('3AC_Data'!$D$8,20),AA175,IF(EXACT('3AC_Data'!$D$8,21),AB175,IF(EXACT('3AC_Data'!$D$8,22),AC175,IF(EXACT('3AC_Data'!$D$8,23),AD175,IF(EXACT('3AC_Data'!$D$8,24),AE175,IF(EXACT('3AC_Data'!$D$8,25),AF175,IF(EXACT('3AC_Data'!$D$8,26),AG175,IF(EXACT('3AC_Data'!$D$8,27),AH175,IF(EXACT('3AC_Data'!$D$8,28),AI175,IF(EXACT('3AC_Data'!$D$8,29),AJ175,IF(EXACT('3AC_Data'!$D$8,30),AK175))))))))))))))))))))))))))))))</f>
        <v>0</v>
      </c>
      <c r="H175" s="103"/>
      <c r="I175" s="101"/>
      <c r="J175" s="103">
        <v>0</v>
      </c>
      <c r="K175" s="103"/>
      <c r="L175" s="103"/>
      <c r="M175" s="103"/>
      <c r="N175" s="103"/>
      <c r="O175" s="103"/>
      <c r="P175" s="101"/>
      <c r="Q175" s="101"/>
      <c r="R175" s="101"/>
      <c r="S175" s="99"/>
      <c r="T175" s="99"/>
      <c r="U175" s="99"/>
      <c r="V175" s="101"/>
      <c r="W175" s="101"/>
      <c r="X175" s="101"/>
      <c r="Y175" s="101"/>
      <c r="Z175" s="99"/>
      <c r="AA175" s="103"/>
      <c r="AB175" s="101"/>
      <c r="AC175" s="99">
        <v>-15</v>
      </c>
      <c r="AD175" s="99">
        <v>-15</v>
      </c>
      <c r="AE175" s="147"/>
      <c r="AF175" s="103">
        <v>0</v>
      </c>
      <c r="AG175" s="99"/>
      <c r="AH175" s="173"/>
      <c r="AI175" s="99"/>
      <c r="AJ175" s="99"/>
      <c r="AK175" s="99"/>
    </row>
    <row r="176" spans="2:37" x14ac:dyDescent="0.25">
      <c r="B176" s="2" t="s">
        <v>1433</v>
      </c>
      <c r="C176" s="2" t="s">
        <v>1440</v>
      </c>
      <c r="D176" s="36">
        <f t="shared" si="52"/>
        <v>0</v>
      </c>
      <c r="E176" s="4">
        <f t="shared" si="51"/>
        <v>1.7453292519943295E-2</v>
      </c>
      <c r="F176" s="3" t="s">
        <v>488</v>
      </c>
      <c r="G176" s="15">
        <f>+IF(EXACT('3AC_Data'!$D$8,1),H176,IF(EXACT('3AC_Data'!$D$8,2),I176,IF(EXACT('3AC_Data'!$D$8,3),J176,IF(EXACT('3AC_Data'!$D$8,4),K176,IF(EXACT('3AC_Data'!$D$8,5),L176,IF(EXACT('3AC_Data'!$D$8,6),M176,IF(EXACT('3AC_Data'!$D$8,7),N176,IF(EXACT('3AC_Data'!$D$8,8),O176,IF(EXACT('3AC_Data'!$D$8,9),P176,IF(EXACT('3AC_Data'!$D$8,10),Q176,IF(EXACT('3AC_Data'!$D$8,11),R176,IF(EXACT('3AC_Data'!$D$8,12),S176,IF(EXACT('3AC_Data'!$D$8,13),T176,IF(EXACT('3AC_Data'!$D$8,14),U176,IF(EXACT('3AC_Data'!$D$8,15),V176,IF(EXACT('3AC_Data'!$D$8,16),W176,IF(EXACT('3AC_Data'!$D$8,17),X176,IF(EXACT('3AC_Data'!$D$8,18),Y176,IF(EXACT('3AC_Data'!$D$8,19),Z176,IF(EXACT('3AC_Data'!$D$8,20),AA176,IF(EXACT('3AC_Data'!$D$8,21),AB176,IF(EXACT('3AC_Data'!$D$8,22),AC176,IF(EXACT('3AC_Data'!$D$8,23),AD176,IF(EXACT('3AC_Data'!$D$8,24),AE176,IF(EXACT('3AC_Data'!$D$8,25),AF176,IF(EXACT('3AC_Data'!$D$8,26),AG176,IF(EXACT('3AC_Data'!$D$8,27),AH176,IF(EXACT('3AC_Data'!$D$8,28),AI176,IF(EXACT('3AC_Data'!$D$8,29),AJ176,IF(EXACT('3AC_Data'!$D$8,30),AK176))))))))))))))))))))))))))))))</f>
        <v>0</v>
      </c>
      <c r="H176" s="103"/>
      <c r="I176" s="101"/>
      <c r="J176" s="103">
        <v>0</v>
      </c>
      <c r="K176" s="103"/>
      <c r="L176" s="103"/>
      <c r="M176" s="103"/>
      <c r="N176" s="103"/>
      <c r="O176" s="103"/>
      <c r="P176" s="101"/>
      <c r="Q176" s="101"/>
      <c r="R176" s="101"/>
      <c r="S176" s="99"/>
      <c r="T176" s="99"/>
      <c r="U176" s="99"/>
      <c r="V176" s="101"/>
      <c r="W176" s="101"/>
      <c r="X176" s="101"/>
      <c r="Y176" s="101"/>
      <c r="Z176" s="99"/>
      <c r="AA176" s="103"/>
      <c r="AB176" s="101"/>
      <c r="AC176" s="99">
        <v>15</v>
      </c>
      <c r="AD176" s="99">
        <v>15</v>
      </c>
      <c r="AE176" s="147"/>
      <c r="AF176" s="103">
        <v>0</v>
      </c>
      <c r="AG176" s="99"/>
      <c r="AH176" s="173"/>
      <c r="AI176" s="99"/>
      <c r="AJ176" s="99"/>
      <c r="AK176" s="99"/>
    </row>
    <row r="177" spans="2:37" x14ac:dyDescent="0.25">
      <c r="B177" s="2" t="s">
        <v>1434</v>
      </c>
      <c r="C177" s="2" t="s">
        <v>1441</v>
      </c>
      <c r="D177" s="36">
        <f t="shared" si="52"/>
        <v>0</v>
      </c>
      <c r="E177" s="4">
        <f t="shared" si="51"/>
        <v>1.7453292519943295E-2</v>
      </c>
      <c r="F177" s="3" t="s">
        <v>488</v>
      </c>
      <c r="G177" s="15">
        <f>+IF(EXACT('3AC_Data'!$D$8,1),H177,IF(EXACT('3AC_Data'!$D$8,2),I177,IF(EXACT('3AC_Data'!$D$8,3),J177,IF(EXACT('3AC_Data'!$D$8,4),K177,IF(EXACT('3AC_Data'!$D$8,5),L177,IF(EXACT('3AC_Data'!$D$8,6),M177,IF(EXACT('3AC_Data'!$D$8,7),N177,IF(EXACT('3AC_Data'!$D$8,8),O177,IF(EXACT('3AC_Data'!$D$8,9),P177,IF(EXACT('3AC_Data'!$D$8,10),Q177,IF(EXACT('3AC_Data'!$D$8,11),R177,IF(EXACT('3AC_Data'!$D$8,12),S177,IF(EXACT('3AC_Data'!$D$8,13),T177,IF(EXACT('3AC_Data'!$D$8,14),U177,IF(EXACT('3AC_Data'!$D$8,15),V177,IF(EXACT('3AC_Data'!$D$8,16),W177,IF(EXACT('3AC_Data'!$D$8,17),X177,IF(EXACT('3AC_Data'!$D$8,18),Y177,IF(EXACT('3AC_Data'!$D$8,19),Z177,IF(EXACT('3AC_Data'!$D$8,20),AA177,IF(EXACT('3AC_Data'!$D$8,21),AB177,IF(EXACT('3AC_Data'!$D$8,22),AC177,IF(EXACT('3AC_Data'!$D$8,23),AD177,IF(EXACT('3AC_Data'!$D$8,24),AE177,IF(EXACT('3AC_Data'!$D$8,25),AF177,IF(EXACT('3AC_Data'!$D$8,26),AG177,IF(EXACT('3AC_Data'!$D$8,27),AH177,IF(EXACT('3AC_Data'!$D$8,28),AI177,IF(EXACT('3AC_Data'!$D$8,29),AJ177,IF(EXACT('3AC_Data'!$D$8,30),AK177))))))))))))))))))))))))))))))</f>
        <v>0</v>
      </c>
      <c r="H177" s="103"/>
      <c r="I177" s="101"/>
      <c r="J177" s="103">
        <v>0</v>
      </c>
      <c r="K177" s="103"/>
      <c r="L177" s="103"/>
      <c r="M177" s="103"/>
      <c r="N177" s="103"/>
      <c r="O177" s="103"/>
      <c r="P177" s="101"/>
      <c r="Q177" s="101"/>
      <c r="R177" s="101"/>
      <c r="S177" s="99"/>
      <c r="T177" s="99"/>
      <c r="U177" s="99"/>
      <c r="V177" s="101"/>
      <c r="W177" s="101"/>
      <c r="X177" s="101"/>
      <c r="Y177" s="101"/>
      <c r="Z177" s="99"/>
      <c r="AA177" s="103"/>
      <c r="AB177" s="101"/>
      <c r="AC177" s="99">
        <v>-15</v>
      </c>
      <c r="AD177" s="99">
        <v>-15</v>
      </c>
      <c r="AE177" s="147"/>
      <c r="AF177" s="103">
        <v>0</v>
      </c>
      <c r="AG177" s="99"/>
      <c r="AH177" s="173"/>
      <c r="AI177" s="99"/>
      <c r="AJ177" s="99"/>
      <c r="AK177" s="99"/>
    </row>
    <row r="178" spans="2:37" x14ac:dyDescent="0.25">
      <c r="B178" s="2" t="s">
        <v>1437</v>
      </c>
      <c r="C178" s="2" t="s">
        <v>1442</v>
      </c>
      <c r="D178" s="36">
        <f t="shared" si="52"/>
        <v>0</v>
      </c>
      <c r="E178" s="4">
        <f t="shared" si="51"/>
        <v>1.7453292519943295E-2</v>
      </c>
      <c r="F178" s="3" t="s">
        <v>488</v>
      </c>
      <c r="G178" s="15">
        <f>+IF(EXACT('3AC_Data'!$D$8,1),H178,IF(EXACT('3AC_Data'!$D$8,2),I178,IF(EXACT('3AC_Data'!$D$8,3),J178,IF(EXACT('3AC_Data'!$D$8,4),K178,IF(EXACT('3AC_Data'!$D$8,5),L178,IF(EXACT('3AC_Data'!$D$8,6),M178,IF(EXACT('3AC_Data'!$D$8,7),N178,IF(EXACT('3AC_Data'!$D$8,8),O178,IF(EXACT('3AC_Data'!$D$8,9),P178,IF(EXACT('3AC_Data'!$D$8,10),Q178,IF(EXACT('3AC_Data'!$D$8,11),R178,IF(EXACT('3AC_Data'!$D$8,12),S178,IF(EXACT('3AC_Data'!$D$8,13),T178,IF(EXACT('3AC_Data'!$D$8,14),U178,IF(EXACT('3AC_Data'!$D$8,15),V178,IF(EXACT('3AC_Data'!$D$8,16),W178,IF(EXACT('3AC_Data'!$D$8,17),X178,IF(EXACT('3AC_Data'!$D$8,18),Y178,IF(EXACT('3AC_Data'!$D$8,19),Z178,IF(EXACT('3AC_Data'!$D$8,20),AA178,IF(EXACT('3AC_Data'!$D$8,21),AB178,IF(EXACT('3AC_Data'!$D$8,22),AC178,IF(EXACT('3AC_Data'!$D$8,23),AD178,IF(EXACT('3AC_Data'!$D$8,24),AE178,IF(EXACT('3AC_Data'!$D$8,25),AF178,IF(EXACT('3AC_Data'!$D$8,26),AG178,IF(EXACT('3AC_Data'!$D$8,27),AH178,IF(EXACT('3AC_Data'!$D$8,28),AI178,IF(EXACT('3AC_Data'!$D$8,29),AJ178,IF(EXACT('3AC_Data'!$D$8,30),AK178))))))))))))))))))))))))))))))</f>
        <v>0</v>
      </c>
      <c r="H178" s="103"/>
      <c r="I178" s="101"/>
      <c r="J178" s="103">
        <v>0</v>
      </c>
      <c r="K178" s="103"/>
      <c r="L178" s="103"/>
      <c r="M178" s="103"/>
      <c r="N178" s="103"/>
      <c r="O178" s="103"/>
      <c r="P178" s="101"/>
      <c r="Q178" s="101"/>
      <c r="R178" s="101"/>
      <c r="S178" s="99"/>
      <c r="T178" s="99"/>
      <c r="U178" s="99"/>
      <c r="V178" s="101"/>
      <c r="W178" s="101"/>
      <c r="X178" s="101"/>
      <c r="Y178" s="101"/>
      <c r="Z178" s="99"/>
      <c r="AA178" s="103"/>
      <c r="AB178" s="101"/>
      <c r="AC178" s="99">
        <v>15</v>
      </c>
      <c r="AD178" s="99">
        <v>15</v>
      </c>
      <c r="AE178" s="147"/>
      <c r="AF178" s="103">
        <v>0</v>
      </c>
      <c r="AG178" s="99"/>
      <c r="AH178" s="173"/>
      <c r="AI178" s="99"/>
      <c r="AJ178" s="99"/>
      <c r="AK178" s="99"/>
    </row>
    <row r="179" spans="2:37" x14ac:dyDescent="0.25">
      <c r="B179" s="2" t="s">
        <v>1435</v>
      </c>
      <c r="C179" s="2" t="s">
        <v>1443</v>
      </c>
      <c r="D179" s="36">
        <f t="shared" si="52"/>
        <v>0</v>
      </c>
      <c r="E179" s="4">
        <f t="shared" si="51"/>
        <v>1.7453292519943295E-2</v>
      </c>
      <c r="F179" s="3" t="s">
        <v>488</v>
      </c>
      <c r="G179" s="15">
        <f>+IF(EXACT('3AC_Data'!$D$8,1),H179,IF(EXACT('3AC_Data'!$D$8,2),I179,IF(EXACT('3AC_Data'!$D$8,3),J179,IF(EXACT('3AC_Data'!$D$8,4),K179,IF(EXACT('3AC_Data'!$D$8,5),L179,IF(EXACT('3AC_Data'!$D$8,6),M179,IF(EXACT('3AC_Data'!$D$8,7),N179,IF(EXACT('3AC_Data'!$D$8,8),O179,IF(EXACT('3AC_Data'!$D$8,9),P179,IF(EXACT('3AC_Data'!$D$8,10),Q179,IF(EXACT('3AC_Data'!$D$8,11),R179,IF(EXACT('3AC_Data'!$D$8,12),S179,IF(EXACT('3AC_Data'!$D$8,13),T179,IF(EXACT('3AC_Data'!$D$8,14),U179,IF(EXACT('3AC_Data'!$D$8,15),V179,IF(EXACT('3AC_Data'!$D$8,16),W179,IF(EXACT('3AC_Data'!$D$8,17),X179,IF(EXACT('3AC_Data'!$D$8,18),Y179,IF(EXACT('3AC_Data'!$D$8,19),Z179,IF(EXACT('3AC_Data'!$D$8,20),AA179,IF(EXACT('3AC_Data'!$D$8,21),AB179,IF(EXACT('3AC_Data'!$D$8,22),AC179,IF(EXACT('3AC_Data'!$D$8,23),AD179,IF(EXACT('3AC_Data'!$D$8,24),AE179,IF(EXACT('3AC_Data'!$D$8,25),AF179,IF(EXACT('3AC_Data'!$D$8,26),AG179,IF(EXACT('3AC_Data'!$D$8,27),AH179,IF(EXACT('3AC_Data'!$D$8,28),AI179,IF(EXACT('3AC_Data'!$D$8,29),AJ179,IF(EXACT('3AC_Data'!$D$8,30),AK179))))))))))))))))))))))))))))))</f>
        <v>0</v>
      </c>
      <c r="H179" s="103"/>
      <c r="I179" s="101"/>
      <c r="J179" s="103">
        <v>0</v>
      </c>
      <c r="K179" s="103"/>
      <c r="L179" s="103"/>
      <c r="M179" s="103"/>
      <c r="N179" s="103"/>
      <c r="O179" s="103"/>
      <c r="P179" s="101"/>
      <c r="Q179" s="101"/>
      <c r="R179" s="101"/>
      <c r="S179" s="99"/>
      <c r="T179" s="99"/>
      <c r="U179" s="99"/>
      <c r="V179" s="101"/>
      <c r="W179" s="101"/>
      <c r="X179" s="101"/>
      <c r="Y179" s="101"/>
      <c r="Z179" s="99"/>
      <c r="AA179" s="103"/>
      <c r="AB179" s="101"/>
      <c r="AC179" s="99">
        <v>-20</v>
      </c>
      <c r="AD179" s="99">
        <v>-20</v>
      </c>
      <c r="AE179" s="147"/>
      <c r="AF179" s="103">
        <v>0</v>
      </c>
      <c r="AG179" s="99"/>
      <c r="AH179" s="173"/>
      <c r="AI179" s="99"/>
      <c r="AJ179" s="99"/>
      <c r="AK179" s="99"/>
    </row>
    <row r="180" spans="2:37" x14ac:dyDescent="0.25">
      <c r="B180" s="2" t="s">
        <v>1436</v>
      </c>
      <c r="C180" s="2" t="s">
        <v>1444</v>
      </c>
      <c r="D180" s="36">
        <f t="shared" si="52"/>
        <v>0</v>
      </c>
      <c r="E180" s="4">
        <f t="shared" si="51"/>
        <v>1.7453292519943295E-2</v>
      </c>
      <c r="F180" s="3" t="s">
        <v>488</v>
      </c>
      <c r="G180" s="15">
        <f>+IF(EXACT('3AC_Data'!$D$8,1),H180,IF(EXACT('3AC_Data'!$D$8,2),I180,IF(EXACT('3AC_Data'!$D$8,3),J180,IF(EXACT('3AC_Data'!$D$8,4),K180,IF(EXACT('3AC_Data'!$D$8,5),L180,IF(EXACT('3AC_Data'!$D$8,6),M180,IF(EXACT('3AC_Data'!$D$8,7),N180,IF(EXACT('3AC_Data'!$D$8,8),O180,IF(EXACT('3AC_Data'!$D$8,9),P180,IF(EXACT('3AC_Data'!$D$8,10),Q180,IF(EXACT('3AC_Data'!$D$8,11),R180,IF(EXACT('3AC_Data'!$D$8,12),S180,IF(EXACT('3AC_Data'!$D$8,13),T180,IF(EXACT('3AC_Data'!$D$8,14),U180,IF(EXACT('3AC_Data'!$D$8,15),V180,IF(EXACT('3AC_Data'!$D$8,16),W180,IF(EXACT('3AC_Data'!$D$8,17),X180,IF(EXACT('3AC_Data'!$D$8,18),Y180,IF(EXACT('3AC_Data'!$D$8,19),Z180,IF(EXACT('3AC_Data'!$D$8,20),AA180,IF(EXACT('3AC_Data'!$D$8,21),AB180,IF(EXACT('3AC_Data'!$D$8,22),AC180,IF(EXACT('3AC_Data'!$D$8,23),AD180,IF(EXACT('3AC_Data'!$D$8,24),AE180,IF(EXACT('3AC_Data'!$D$8,25),AF180,IF(EXACT('3AC_Data'!$D$8,26),AG180,IF(EXACT('3AC_Data'!$D$8,27),AH180,IF(EXACT('3AC_Data'!$D$8,28),AI180,IF(EXACT('3AC_Data'!$D$8,29),AJ180,IF(EXACT('3AC_Data'!$D$8,30),AK180))))))))))))))))))))))))))))))</f>
        <v>0</v>
      </c>
      <c r="H180" s="103"/>
      <c r="I180" s="101"/>
      <c r="J180" s="103">
        <v>0</v>
      </c>
      <c r="K180" s="103"/>
      <c r="L180" s="103"/>
      <c r="M180" s="103"/>
      <c r="N180" s="103"/>
      <c r="O180" s="103"/>
      <c r="P180" s="101"/>
      <c r="Q180" s="101"/>
      <c r="R180" s="101"/>
      <c r="S180" s="99"/>
      <c r="T180" s="99"/>
      <c r="U180" s="99"/>
      <c r="V180" s="101"/>
      <c r="W180" s="101"/>
      <c r="X180" s="101"/>
      <c r="Y180" s="101"/>
      <c r="Z180" s="99"/>
      <c r="AA180" s="103"/>
      <c r="AB180" s="101"/>
      <c r="AC180" s="99">
        <v>20</v>
      </c>
      <c r="AD180" s="99">
        <v>20</v>
      </c>
      <c r="AE180" s="147"/>
      <c r="AF180" s="103">
        <v>0</v>
      </c>
      <c r="AG180" s="99"/>
      <c r="AH180" s="173"/>
      <c r="AI180" s="99"/>
      <c r="AJ180" s="99"/>
      <c r="AK180" s="99"/>
    </row>
    <row r="181" spans="2:37" x14ac:dyDescent="0.25">
      <c r="B181" s="2" t="s">
        <v>1486</v>
      </c>
      <c r="C181" s="2" t="s">
        <v>1446</v>
      </c>
      <c r="D181" s="36">
        <f t="shared" si="52"/>
        <v>0</v>
      </c>
      <c r="E181" s="4">
        <f t="shared" si="51"/>
        <v>1.7453292519943295E-2</v>
      </c>
      <c r="F181" s="3" t="s">
        <v>488</v>
      </c>
      <c r="G181" s="15">
        <f>+IF(EXACT('3AC_Data'!$D$8,1),H181,IF(EXACT('3AC_Data'!$D$8,2),I181,IF(EXACT('3AC_Data'!$D$8,3),J181,IF(EXACT('3AC_Data'!$D$8,4),K181,IF(EXACT('3AC_Data'!$D$8,5),L181,IF(EXACT('3AC_Data'!$D$8,6),M181,IF(EXACT('3AC_Data'!$D$8,7),N181,IF(EXACT('3AC_Data'!$D$8,8),O181,IF(EXACT('3AC_Data'!$D$8,9),P181,IF(EXACT('3AC_Data'!$D$8,10),Q181,IF(EXACT('3AC_Data'!$D$8,11),R181,IF(EXACT('3AC_Data'!$D$8,12),S181,IF(EXACT('3AC_Data'!$D$8,13),T181,IF(EXACT('3AC_Data'!$D$8,14),U181,IF(EXACT('3AC_Data'!$D$8,15),V181,IF(EXACT('3AC_Data'!$D$8,16),W181,IF(EXACT('3AC_Data'!$D$8,17),X181,IF(EXACT('3AC_Data'!$D$8,18),Y181,IF(EXACT('3AC_Data'!$D$8,19),Z181,IF(EXACT('3AC_Data'!$D$8,20),AA181,IF(EXACT('3AC_Data'!$D$8,21),AB181,IF(EXACT('3AC_Data'!$D$8,22),AC181,IF(EXACT('3AC_Data'!$D$8,23),AD181,IF(EXACT('3AC_Data'!$D$8,24),AE181,IF(EXACT('3AC_Data'!$D$8,25),AF181,IF(EXACT('3AC_Data'!$D$8,26),AG181,IF(EXACT('3AC_Data'!$D$8,27),AH181,IF(EXACT('3AC_Data'!$D$8,28),AI181,IF(EXACT('3AC_Data'!$D$8,29),AJ181,IF(EXACT('3AC_Data'!$D$8,30),AK181))))))))))))))))))))))))))))))</f>
        <v>0</v>
      </c>
      <c r="H181" s="103"/>
      <c r="I181" s="101"/>
      <c r="J181" s="103">
        <v>0</v>
      </c>
      <c r="K181" s="103"/>
      <c r="L181" s="103"/>
      <c r="M181" s="103"/>
      <c r="N181" s="103"/>
      <c r="O181" s="103"/>
      <c r="P181" s="101"/>
      <c r="Q181" s="101"/>
      <c r="R181" s="101"/>
      <c r="S181" s="99"/>
      <c r="T181" s="99"/>
      <c r="U181" s="99"/>
      <c r="V181" s="101"/>
      <c r="W181" s="101"/>
      <c r="X181" s="101"/>
      <c r="Y181" s="101"/>
      <c r="Z181" s="99"/>
      <c r="AA181" s="103"/>
      <c r="AB181" s="101"/>
      <c r="AC181" s="99">
        <v>0</v>
      </c>
      <c r="AD181" s="99">
        <v>0</v>
      </c>
      <c r="AE181" s="147"/>
      <c r="AF181" s="103">
        <v>0</v>
      </c>
      <c r="AG181" s="99"/>
      <c r="AH181" s="173"/>
      <c r="AI181" s="99"/>
      <c r="AJ181" s="99"/>
      <c r="AK181" s="99"/>
    </row>
    <row r="182" spans="2:37" x14ac:dyDescent="0.25">
      <c r="B182" s="2" t="s">
        <v>1438</v>
      </c>
      <c r="C182" s="2" t="s">
        <v>1445</v>
      </c>
      <c r="D182" s="36">
        <f t="shared" si="52"/>
        <v>0</v>
      </c>
      <c r="E182" s="4">
        <f t="shared" si="51"/>
        <v>1.7453292519943295E-2</v>
      </c>
      <c r="F182" s="3" t="s">
        <v>488</v>
      </c>
      <c r="G182" s="15">
        <f>+IF(EXACT('3AC_Data'!$D$8,1),H182,IF(EXACT('3AC_Data'!$D$8,2),I182,IF(EXACT('3AC_Data'!$D$8,3),J182,IF(EXACT('3AC_Data'!$D$8,4),K182,IF(EXACT('3AC_Data'!$D$8,5),L182,IF(EXACT('3AC_Data'!$D$8,6),M182,IF(EXACT('3AC_Data'!$D$8,7),N182,IF(EXACT('3AC_Data'!$D$8,8),O182,IF(EXACT('3AC_Data'!$D$8,9),P182,IF(EXACT('3AC_Data'!$D$8,10),Q182,IF(EXACT('3AC_Data'!$D$8,11),R182,IF(EXACT('3AC_Data'!$D$8,12),S182,IF(EXACT('3AC_Data'!$D$8,13),T182,IF(EXACT('3AC_Data'!$D$8,14),U182,IF(EXACT('3AC_Data'!$D$8,15),V182,IF(EXACT('3AC_Data'!$D$8,16),W182,IF(EXACT('3AC_Data'!$D$8,17),X182,IF(EXACT('3AC_Data'!$D$8,18),Y182,IF(EXACT('3AC_Data'!$D$8,19),Z182,IF(EXACT('3AC_Data'!$D$8,20),AA182,IF(EXACT('3AC_Data'!$D$8,21),AB182,IF(EXACT('3AC_Data'!$D$8,22),AC182,IF(EXACT('3AC_Data'!$D$8,23),AD182,IF(EXACT('3AC_Data'!$D$8,24),AE182,IF(EXACT('3AC_Data'!$D$8,25),AF182,IF(EXACT('3AC_Data'!$D$8,26),AG182,IF(EXACT('3AC_Data'!$D$8,27),AH182,IF(EXACT('3AC_Data'!$D$8,28),AI182,IF(EXACT('3AC_Data'!$D$8,29),AJ182,IF(EXACT('3AC_Data'!$D$8,30),AK182))))))))))))))))))))))))))))))</f>
        <v>0</v>
      </c>
      <c r="H182" s="103"/>
      <c r="I182" s="101"/>
      <c r="J182" s="103">
        <v>0</v>
      </c>
      <c r="K182" s="103"/>
      <c r="L182" s="103"/>
      <c r="M182" s="103"/>
      <c r="N182" s="103"/>
      <c r="O182" s="103"/>
      <c r="P182" s="101"/>
      <c r="Q182" s="101"/>
      <c r="R182" s="101"/>
      <c r="S182" s="99"/>
      <c r="T182" s="99"/>
      <c r="U182" s="99"/>
      <c r="V182" s="101"/>
      <c r="W182" s="101"/>
      <c r="X182" s="101"/>
      <c r="Y182" s="101"/>
      <c r="Z182" s="99"/>
      <c r="AA182" s="103"/>
      <c r="AB182" s="101"/>
      <c r="AC182" s="99">
        <v>20</v>
      </c>
      <c r="AD182" s="99">
        <v>20</v>
      </c>
      <c r="AE182" s="147"/>
      <c r="AF182" s="103">
        <v>0</v>
      </c>
      <c r="AG182" s="99"/>
      <c r="AH182" s="173"/>
      <c r="AI182" s="99"/>
      <c r="AJ182" s="99"/>
      <c r="AK182" s="99"/>
    </row>
    <row r="183" spans="2:37" x14ac:dyDescent="0.25">
      <c r="B183" s="2" t="s">
        <v>490</v>
      </c>
      <c r="C183" s="2" t="s">
        <v>491</v>
      </c>
      <c r="D183" s="36">
        <f t="shared" si="49"/>
        <v>0.25</v>
      </c>
      <c r="E183" s="4">
        <v>1</v>
      </c>
      <c r="F183" s="3"/>
      <c r="G183" s="15">
        <f>+IF(EXACT('3AC_Data'!$D$8,1),H183,IF(EXACT('3AC_Data'!$D$8,2),I183,IF(EXACT('3AC_Data'!$D$8,3),J183,IF(EXACT('3AC_Data'!$D$8,4),K183,IF(EXACT('3AC_Data'!$D$8,5),L183,IF(EXACT('3AC_Data'!$D$8,6),M183,IF(EXACT('3AC_Data'!$D$8,7),N183,IF(EXACT('3AC_Data'!$D$8,8),O183,IF(EXACT('3AC_Data'!$D$8,9),P183,IF(EXACT('3AC_Data'!$D$8,10),Q183,IF(EXACT('3AC_Data'!$D$8,11),R183,IF(EXACT('3AC_Data'!$D$8,12),S183,IF(EXACT('3AC_Data'!$D$8,13),T183,IF(EXACT('3AC_Data'!$D$8,14),U183,IF(EXACT('3AC_Data'!$D$8,15),V183,IF(EXACT('3AC_Data'!$D$8,16),W183,IF(EXACT('3AC_Data'!$D$8,17),X183,IF(EXACT('3AC_Data'!$D$8,18),Y183,IF(EXACT('3AC_Data'!$D$8,19),Z183,IF(EXACT('3AC_Data'!$D$8,20),AA183,IF(EXACT('3AC_Data'!$D$8,21),AB183,IF(EXACT('3AC_Data'!$D$8,22),AC183,IF(EXACT('3AC_Data'!$D$8,23),AD183,IF(EXACT('3AC_Data'!$D$8,24),AE183,IF(EXACT('3AC_Data'!$D$8,25),AF183,IF(EXACT('3AC_Data'!$D$8,26),AG183,IF(EXACT('3AC_Data'!$D$8,27),AH183,IF(EXACT('3AC_Data'!$D$8,28),AI183,IF(EXACT('3AC_Data'!$D$8,29),AJ183,IF(EXACT('3AC_Data'!$D$8,30),AK183))))))))))))))))))))))))))))))</f>
        <v>0.25</v>
      </c>
      <c r="H183" s="115">
        <v>0.25</v>
      </c>
      <c r="I183" s="116">
        <v>0.25</v>
      </c>
      <c r="J183" s="115">
        <v>0.25</v>
      </c>
      <c r="K183" s="115">
        <v>0.25</v>
      </c>
      <c r="L183" s="115">
        <v>0.25</v>
      </c>
      <c r="M183" s="115">
        <v>0.25</v>
      </c>
      <c r="N183" s="115">
        <v>0.25</v>
      </c>
      <c r="O183" s="115">
        <v>0.25</v>
      </c>
      <c r="P183" s="116">
        <v>0.25</v>
      </c>
      <c r="Q183" s="116">
        <v>0.25</v>
      </c>
      <c r="R183" s="116">
        <v>0.25</v>
      </c>
      <c r="S183" s="117">
        <v>25</v>
      </c>
      <c r="T183" s="117">
        <v>25</v>
      </c>
      <c r="U183" s="117">
        <v>0.26</v>
      </c>
      <c r="V183" s="116">
        <v>0.27500000000000002</v>
      </c>
      <c r="W183" s="116">
        <v>0.25</v>
      </c>
      <c r="X183" s="116">
        <v>0.25</v>
      </c>
      <c r="Y183" s="116"/>
      <c r="Z183" s="117">
        <v>0.26</v>
      </c>
      <c r="AA183" s="115">
        <v>0.25</v>
      </c>
      <c r="AB183" s="116">
        <v>0.3</v>
      </c>
      <c r="AC183" s="117">
        <v>0.3</v>
      </c>
      <c r="AD183" s="117">
        <v>0.29070000000000001</v>
      </c>
      <c r="AE183" s="150">
        <v>0.26</v>
      </c>
      <c r="AF183" s="115">
        <v>0.25</v>
      </c>
      <c r="AG183" s="117">
        <v>0.25</v>
      </c>
      <c r="AH183" s="174">
        <v>0.25</v>
      </c>
      <c r="AI183" s="117">
        <v>0.26</v>
      </c>
      <c r="AJ183" s="117">
        <v>0.26</v>
      </c>
      <c r="AK183" s="117">
        <v>0.26</v>
      </c>
    </row>
    <row r="184" spans="2:37" x14ac:dyDescent="0.25">
      <c r="B184" s="2" t="s">
        <v>489</v>
      </c>
      <c r="C184" s="2" t="s">
        <v>492</v>
      </c>
      <c r="D184" s="36">
        <f t="shared" si="49"/>
        <v>0.15</v>
      </c>
      <c r="E184" s="4">
        <v>1</v>
      </c>
      <c r="F184" s="3"/>
      <c r="G184" s="15">
        <f>+IF(EXACT('3AC_Data'!$D$8,1),H184,IF(EXACT('3AC_Data'!$D$8,2),I184,IF(EXACT('3AC_Data'!$D$8,3),J184,IF(EXACT('3AC_Data'!$D$8,4),K184,IF(EXACT('3AC_Data'!$D$8,5),L184,IF(EXACT('3AC_Data'!$D$8,6),M184,IF(EXACT('3AC_Data'!$D$8,7),N184,IF(EXACT('3AC_Data'!$D$8,8),O184,IF(EXACT('3AC_Data'!$D$8,9),P184,IF(EXACT('3AC_Data'!$D$8,10),Q184,IF(EXACT('3AC_Data'!$D$8,11),R184,IF(EXACT('3AC_Data'!$D$8,12),S184,IF(EXACT('3AC_Data'!$D$8,13),T184,IF(EXACT('3AC_Data'!$D$8,14),U184,IF(EXACT('3AC_Data'!$D$8,15),V184,IF(EXACT('3AC_Data'!$D$8,16),W184,IF(EXACT('3AC_Data'!$D$8,17),X184,IF(EXACT('3AC_Data'!$D$8,18),Y184,IF(EXACT('3AC_Data'!$D$8,19),Z184,IF(EXACT('3AC_Data'!$D$8,20),AA184,IF(EXACT('3AC_Data'!$D$8,21),AB184,IF(EXACT('3AC_Data'!$D$8,22),AC184,IF(EXACT('3AC_Data'!$D$8,23),AD184,IF(EXACT('3AC_Data'!$D$8,24),AE184,IF(EXACT('3AC_Data'!$D$8,25),AF184,IF(EXACT('3AC_Data'!$D$8,26),AG184,IF(EXACT('3AC_Data'!$D$8,27),AH184,IF(EXACT('3AC_Data'!$D$8,28),AI184,IF(EXACT('3AC_Data'!$D$8,29),AJ184,IF(EXACT('3AC_Data'!$D$8,30),AK184))))))))))))))))))))))))))))))</f>
        <v>0.15</v>
      </c>
      <c r="H184" s="115">
        <v>0.15</v>
      </c>
      <c r="I184" s="116">
        <v>0.15</v>
      </c>
      <c r="J184" s="115">
        <v>0.129</v>
      </c>
      <c r="K184" s="115">
        <v>0.12</v>
      </c>
      <c r="L184" s="115">
        <v>0.15</v>
      </c>
      <c r="M184" s="115">
        <v>0.15</v>
      </c>
      <c r="N184" s="115">
        <v>0.15</v>
      </c>
      <c r="O184" s="115">
        <v>0.15</v>
      </c>
      <c r="P184" s="116">
        <v>0.15</v>
      </c>
      <c r="Q184" s="116">
        <v>0.15</v>
      </c>
      <c r="R184" s="116">
        <v>0.15</v>
      </c>
      <c r="S184" s="116">
        <v>0.15</v>
      </c>
      <c r="T184" s="116">
        <v>0.15</v>
      </c>
      <c r="U184" s="117">
        <v>0.13</v>
      </c>
      <c r="V184" s="116">
        <v>0.15</v>
      </c>
      <c r="W184" s="116">
        <v>0.15</v>
      </c>
      <c r="X184" s="116">
        <v>0.15</v>
      </c>
      <c r="Y184" s="116"/>
      <c r="Z184" s="117">
        <v>0.13</v>
      </c>
      <c r="AA184" s="115">
        <v>0.15</v>
      </c>
      <c r="AB184" s="116">
        <v>0.15</v>
      </c>
      <c r="AC184" s="117">
        <v>0.13</v>
      </c>
      <c r="AD184" s="117">
        <v>0.13</v>
      </c>
      <c r="AE184" s="150">
        <v>0.13</v>
      </c>
      <c r="AF184" s="115">
        <v>0.129</v>
      </c>
      <c r="AG184" s="117">
        <v>0.151</v>
      </c>
      <c r="AH184" s="174">
        <v>0.15</v>
      </c>
      <c r="AI184" s="117">
        <v>0.13</v>
      </c>
      <c r="AJ184" s="117">
        <v>0.13</v>
      </c>
      <c r="AK184" s="117">
        <v>0.13</v>
      </c>
    </row>
    <row r="185" spans="2:37" x14ac:dyDescent="0.25">
      <c r="B185" s="2" t="s">
        <v>493</v>
      </c>
      <c r="C185" s="2" t="s">
        <v>505</v>
      </c>
      <c r="D185" s="36">
        <f t="shared" si="49"/>
        <v>0.25</v>
      </c>
      <c r="E185" s="4">
        <v>1</v>
      </c>
      <c r="F185" s="3"/>
      <c r="G185" s="15">
        <f>+IF(EXACT('3AC_Data'!$D$8,1),H185,IF(EXACT('3AC_Data'!$D$8,2),I185,IF(EXACT('3AC_Data'!$D$8,3),J185,IF(EXACT('3AC_Data'!$D$8,4),K185,IF(EXACT('3AC_Data'!$D$8,5),L185,IF(EXACT('3AC_Data'!$D$8,6),M185,IF(EXACT('3AC_Data'!$D$8,7),N185,IF(EXACT('3AC_Data'!$D$8,8),O185,IF(EXACT('3AC_Data'!$D$8,9),P185,IF(EXACT('3AC_Data'!$D$8,10),Q185,IF(EXACT('3AC_Data'!$D$8,11),R185,IF(EXACT('3AC_Data'!$D$8,12),S185,IF(EXACT('3AC_Data'!$D$8,13),T185,IF(EXACT('3AC_Data'!$D$8,14),U185,IF(EXACT('3AC_Data'!$D$8,15),V185,IF(EXACT('3AC_Data'!$D$8,16),W185,IF(EXACT('3AC_Data'!$D$8,17),X185,IF(EXACT('3AC_Data'!$D$8,18),Y185,IF(EXACT('3AC_Data'!$D$8,19),Z185,IF(EXACT('3AC_Data'!$D$8,20),AA185,IF(EXACT('3AC_Data'!$D$8,21),AB185,IF(EXACT('3AC_Data'!$D$8,22),AC185,IF(EXACT('3AC_Data'!$D$8,23),AD185,IF(EXACT('3AC_Data'!$D$8,24),AE185,IF(EXACT('3AC_Data'!$D$8,25),AF185,IF(EXACT('3AC_Data'!$D$8,26),AG185,IF(EXACT('3AC_Data'!$D$8,27),AH185,IF(EXACT('3AC_Data'!$D$8,28),AI185,IF(EXACT('3AC_Data'!$D$8,29),AJ185,IF(EXACT('3AC_Data'!$D$8,30),AK185))))))))))))))))))))))))))))))</f>
        <v>0.25</v>
      </c>
      <c r="H185" s="115">
        <v>0.25</v>
      </c>
      <c r="I185" s="116">
        <v>0.25</v>
      </c>
      <c r="J185" s="115">
        <v>0.25</v>
      </c>
      <c r="K185" s="115">
        <v>0.25</v>
      </c>
      <c r="L185" s="115">
        <v>0.25</v>
      </c>
      <c r="M185" s="115">
        <v>0.25</v>
      </c>
      <c r="N185" s="115">
        <v>0.25</v>
      </c>
      <c r="O185" s="115">
        <v>0.25</v>
      </c>
      <c r="P185" s="116">
        <v>0.25</v>
      </c>
      <c r="Q185" s="116">
        <v>0.25</v>
      </c>
      <c r="R185" s="116">
        <v>0.25</v>
      </c>
      <c r="S185" s="117">
        <v>0</v>
      </c>
      <c r="T185" s="117">
        <v>0</v>
      </c>
      <c r="U185" s="117">
        <v>0.32</v>
      </c>
      <c r="V185" s="116">
        <v>0.32</v>
      </c>
      <c r="W185" s="116">
        <v>0.25</v>
      </c>
      <c r="X185" s="116">
        <v>0.25</v>
      </c>
      <c r="Y185" s="116"/>
      <c r="Z185" s="117">
        <v>0.32</v>
      </c>
      <c r="AA185" s="115">
        <v>0.25</v>
      </c>
      <c r="AB185" s="116">
        <v>0.375</v>
      </c>
      <c r="AC185" s="117">
        <v>0.4889</v>
      </c>
      <c r="AD185" s="117">
        <v>0.4889</v>
      </c>
      <c r="AE185" s="150">
        <v>0.32</v>
      </c>
      <c r="AF185" s="115">
        <v>0.25</v>
      </c>
      <c r="AG185" s="117">
        <v>0.32</v>
      </c>
      <c r="AH185" s="174">
        <v>0</v>
      </c>
      <c r="AI185" s="117">
        <v>0.32</v>
      </c>
      <c r="AJ185" s="117">
        <v>0.32</v>
      </c>
      <c r="AK185" s="117">
        <v>0.32</v>
      </c>
    </row>
    <row r="186" spans="2:37" x14ac:dyDescent="0.25">
      <c r="B186" s="2" t="s">
        <v>494</v>
      </c>
      <c r="C186" s="2" t="s">
        <v>506</v>
      </c>
      <c r="D186" s="36">
        <f t="shared" si="49"/>
        <v>7.0000000000000007E-2</v>
      </c>
      <c r="E186" s="4">
        <v>1</v>
      </c>
      <c r="F186" s="3"/>
      <c r="G186" s="15">
        <f>+IF(EXACT('3AC_Data'!$D$8,1),H186,IF(EXACT('3AC_Data'!$D$8,2),I186,IF(EXACT('3AC_Data'!$D$8,3),J186,IF(EXACT('3AC_Data'!$D$8,4),K186,IF(EXACT('3AC_Data'!$D$8,5),L186,IF(EXACT('3AC_Data'!$D$8,6),M186,IF(EXACT('3AC_Data'!$D$8,7),N186,IF(EXACT('3AC_Data'!$D$8,8),O186,IF(EXACT('3AC_Data'!$D$8,9),P186,IF(EXACT('3AC_Data'!$D$8,10),Q186,IF(EXACT('3AC_Data'!$D$8,11),R186,IF(EXACT('3AC_Data'!$D$8,12),S186,IF(EXACT('3AC_Data'!$D$8,13),T186,IF(EXACT('3AC_Data'!$D$8,14),U186,IF(EXACT('3AC_Data'!$D$8,15),V186,IF(EXACT('3AC_Data'!$D$8,16),W186,IF(EXACT('3AC_Data'!$D$8,17),X186,IF(EXACT('3AC_Data'!$D$8,18),Y186,IF(EXACT('3AC_Data'!$D$8,19),Z186,IF(EXACT('3AC_Data'!$D$8,20),AA186,IF(EXACT('3AC_Data'!$D$8,21),AB186,IF(EXACT('3AC_Data'!$D$8,22),AC186,IF(EXACT('3AC_Data'!$D$8,23),AD186,IF(EXACT('3AC_Data'!$D$8,24),AE186,IF(EXACT('3AC_Data'!$D$8,25),AF186,IF(EXACT('3AC_Data'!$D$8,26),AG186,IF(EXACT('3AC_Data'!$D$8,27),AH186,IF(EXACT('3AC_Data'!$D$8,28),AI186,IF(EXACT('3AC_Data'!$D$8,29),AJ186,IF(EXACT('3AC_Data'!$D$8,30),AK186))))))))))))))))))))))))))))))</f>
        <v>7.0000000000000007E-2</v>
      </c>
      <c r="H186" s="115">
        <v>0.15</v>
      </c>
      <c r="I186" s="116">
        <v>0.15</v>
      </c>
      <c r="J186" s="115">
        <v>0.15</v>
      </c>
      <c r="K186" s="115">
        <v>0.1</v>
      </c>
      <c r="L186" s="115">
        <v>0.15</v>
      </c>
      <c r="M186" s="115">
        <v>7.0000000000000007E-2</v>
      </c>
      <c r="N186" s="115">
        <v>0.15</v>
      </c>
      <c r="O186" s="115">
        <v>0.15</v>
      </c>
      <c r="P186" s="116">
        <v>0.15</v>
      </c>
      <c r="Q186" s="116">
        <v>0.15</v>
      </c>
      <c r="R186" s="116">
        <v>0.15</v>
      </c>
      <c r="S186" s="117">
        <v>0</v>
      </c>
      <c r="T186" s="117">
        <v>0</v>
      </c>
      <c r="U186" s="117">
        <v>0.1</v>
      </c>
      <c r="V186" s="116">
        <v>0.15</v>
      </c>
      <c r="W186" s="116">
        <v>0.15</v>
      </c>
      <c r="X186" s="116">
        <v>0.15</v>
      </c>
      <c r="Y186" s="116"/>
      <c r="Z186" s="117">
        <v>0.1</v>
      </c>
      <c r="AA186" s="115">
        <v>0.15</v>
      </c>
      <c r="AB186" s="116">
        <v>0.15</v>
      </c>
      <c r="AC186" s="117">
        <v>0.12</v>
      </c>
      <c r="AD186" s="117">
        <v>1.2E-2</v>
      </c>
      <c r="AE186" s="150">
        <v>0.1</v>
      </c>
      <c r="AF186" s="115">
        <v>0.15</v>
      </c>
      <c r="AG186" s="117">
        <v>0.1</v>
      </c>
      <c r="AH186" s="174">
        <v>0</v>
      </c>
      <c r="AI186" s="117">
        <v>0.1</v>
      </c>
      <c r="AJ186" s="117">
        <v>0.1</v>
      </c>
      <c r="AK186" s="117">
        <v>0.1</v>
      </c>
    </row>
    <row r="187" spans="2:37" x14ac:dyDescent="0.25">
      <c r="B187" s="2" t="s">
        <v>496</v>
      </c>
      <c r="C187" s="2" t="s">
        <v>507</v>
      </c>
      <c r="D187" s="36">
        <f t="shared" si="49"/>
        <v>0.25</v>
      </c>
      <c r="E187" s="4">
        <v>1</v>
      </c>
      <c r="F187" s="3"/>
      <c r="G187" s="15">
        <f>+IF(EXACT('3AC_Data'!$D$8,1),H187,IF(EXACT('3AC_Data'!$D$8,2),I187,IF(EXACT('3AC_Data'!$D$8,3),J187,IF(EXACT('3AC_Data'!$D$8,4),K187,IF(EXACT('3AC_Data'!$D$8,5),L187,IF(EXACT('3AC_Data'!$D$8,6),M187,IF(EXACT('3AC_Data'!$D$8,7),N187,IF(EXACT('3AC_Data'!$D$8,8),O187,IF(EXACT('3AC_Data'!$D$8,9),P187,IF(EXACT('3AC_Data'!$D$8,10),Q187,IF(EXACT('3AC_Data'!$D$8,11),R187,IF(EXACT('3AC_Data'!$D$8,12),S187,IF(EXACT('3AC_Data'!$D$8,13),T187,IF(EXACT('3AC_Data'!$D$8,14),U187,IF(EXACT('3AC_Data'!$D$8,15),V187,IF(EXACT('3AC_Data'!$D$8,16),W187,IF(EXACT('3AC_Data'!$D$8,17),X187,IF(EXACT('3AC_Data'!$D$8,18),Y187,IF(EXACT('3AC_Data'!$D$8,19),Z187,IF(EXACT('3AC_Data'!$D$8,20),AA187,IF(EXACT('3AC_Data'!$D$8,21),AB187,IF(EXACT('3AC_Data'!$D$8,22),AC187,IF(EXACT('3AC_Data'!$D$8,23),AD187,IF(EXACT('3AC_Data'!$D$8,24),AE187,IF(EXACT('3AC_Data'!$D$8,25),AF187,IF(EXACT('3AC_Data'!$D$8,26),AG187,IF(EXACT('3AC_Data'!$D$8,27),AH187,IF(EXACT('3AC_Data'!$D$8,28),AI187,IF(EXACT('3AC_Data'!$D$8,29),AJ187,IF(EXACT('3AC_Data'!$D$8,30),AK187))))))))))))))))))))))))))))))</f>
        <v>0.25</v>
      </c>
      <c r="H187" s="115">
        <v>0.25</v>
      </c>
      <c r="I187" s="116">
        <v>0.25</v>
      </c>
      <c r="J187" s="115">
        <v>0.25</v>
      </c>
      <c r="K187" s="115">
        <v>0</v>
      </c>
      <c r="L187" s="115">
        <v>0.25</v>
      </c>
      <c r="M187" s="115">
        <v>0.25</v>
      </c>
      <c r="N187" s="115">
        <v>0.25</v>
      </c>
      <c r="O187" s="115">
        <v>0.25</v>
      </c>
      <c r="P187" s="116">
        <v>0.25</v>
      </c>
      <c r="Q187" s="116">
        <v>0.25</v>
      </c>
      <c r="R187" s="116">
        <v>0.25</v>
      </c>
      <c r="S187" s="117">
        <v>0</v>
      </c>
      <c r="T187" s="117">
        <v>0</v>
      </c>
      <c r="U187" s="117">
        <v>0</v>
      </c>
      <c r="V187" s="116">
        <v>0.25</v>
      </c>
      <c r="W187" s="116">
        <v>0.25</v>
      </c>
      <c r="X187" s="116">
        <v>0.25</v>
      </c>
      <c r="Y187" s="116"/>
      <c r="Z187" s="117">
        <v>0</v>
      </c>
      <c r="AA187" s="115">
        <v>0.25</v>
      </c>
      <c r="AB187" s="116">
        <v>0.25</v>
      </c>
      <c r="AC187" s="117">
        <v>0</v>
      </c>
      <c r="AD187" s="117">
        <v>0</v>
      </c>
      <c r="AE187" s="150">
        <v>0</v>
      </c>
      <c r="AF187" s="115">
        <v>0.25</v>
      </c>
      <c r="AG187" s="117">
        <v>0</v>
      </c>
      <c r="AH187" s="174">
        <v>0</v>
      </c>
      <c r="AI187" s="117">
        <v>0</v>
      </c>
      <c r="AJ187" s="117">
        <v>0</v>
      </c>
      <c r="AK187" s="117">
        <v>0</v>
      </c>
    </row>
    <row r="188" spans="2:37" x14ac:dyDescent="0.25">
      <c r="B188" s="2" t="s">
        <v>495</v>
      </c>
      <c r="C188" s="2" t="s">
        <v>508</v>
      </c>
      <c r="D188" s="36">
        <f t="shared" si="49"/>
        <v>0.15</v>
      </c>
      <c r="E188" s="4">
        <v>1</v>
      </c>
      <c r="F188" s="3"/>
      <c r="G188" s="15">
        <f>+IF(EXACT('3AC_Data'!$D$8,1),H188,IF(EXACT('3AC_Data'!$D$8,2),I188,IF(EXACT('3AC_Data'!$D$8,3),J188,IF(EXACT('3AC_Data'!$D$8,4),K188,IF(EXACT('3AC_Data'!$D$8,5),L188,IF(EXACT('3AC_Data'!$D$8,6),M188,IF(EXACT('3AC_Data'!$D$8,7),N188,IF(EXACT('3AC_Data'!$D$8,8),O188,IF(EXACT('3AC_Data'!$D$8,9),P188,IF(EXACT('3AC_Data'!$D$8,10),Q188,IF(EXACT('3AC_Data'!$D$8,11),R188,IF(EXACT('3AC_Data'!$D$8,12),S188,IF(EXACT('3AC_Data'!$D$8,13),T188,IF(EXACT('3AC_Data'!$D$8,14),U188,IF(EXACT('3AC_Data'!$D$8,15),V188,IF(EXACT('3AC_Data'!$D$8,16),W188,IF(EXACT('3AC_Data'!$D$8,17),X188,IF(EXACT('3AC_Data'!$D$8,18),Y188,IF(EXACT('3AC_Data'!$D$8,19),Z188,IF(EXACT('3AC_Data'!$D$8,20),AA188,IF(EXACT('3AC_Data'!$D$8,21),AB188,IF(EXACT('3AC_Data'!$D$8,22),AC188,IF(EXACT('3AC_Data'!$D$8,23),AD188,IF(EXACT('3AC_Data'!$D$8,24),AE188,IF(EXACT('3AC_Data'!$D$8,25),AF188,IF(EXACT('3AC_Data'!$D$8,26),AG188,IF(EXACT('3AC_Data'!$D$8,27),AH188,IF(EXACT('3AC_Data'!$D$8,28),AI188,IF(EXACT('3AC_Data'!$D$8,29),AJ188,IF(EXACT('3AC_Data'!$D$8,30),AK188))))))))))))))))))))))))))))))</f>
        <v>0.15</v>
      </c>
      <c r="H188" s="115">
        <v>0.15</v>
      </c>
      <c r="I188" s="116">
        <v>0.15</v>
      </c>
      <c r="J188" s="115">
        <v>0.15</v>
      </c>
      <c r="K188" s="115">
        <v>0</v>
      </c>
      <c r="L188" s="115">
        <v>0.15</v>
      </c>
      <c r="M188" s="115">
        <v>0.15</v>
      </c>
      <c r="N188" s="115">
        <v>0.15</v>
      </c>
      <c r="O188" s="115">
        <v>0.15</v>
      </c>
      <c r="P188" s="116">
        <v>0.15</v>
      </c>
      <c r="Q188" s="116">
        <v>0.15</v>
      </c>
      <c r="R188" s="116">
        <v>0.15</v>
      </c>
      <c r="S188" s="117">
        <v>0</v>
      </c>
      <c r="T188" s="117">
        <v>0</v>
      </c>
      <c r="U188" s="117">
        <v>0</v>
      </c>
      <c r="V188" s="116">
        <v>0.15</v>
      </c>
      <c r="W188" s="116">
        <v>0.15</v>
      </c>
      <c r="X188" s="116">
        <v>0.15</v>
      </c>
      <c r="Y188" s="116"/>
      <c r="Z188" s="117">
        <v>0</v>
      </c>
      <c r="AA188" s="115">
        <v>0.15</v>
      </c>
      <c r="AB188" s="116">
        <v>0.15</v>
      </c>
      <c r="AC188" s="117">
        <v>0</v>
      </c>
      <c r="AD188" s="117">
        <v>0</v>
      </c>
      <c r="AE188" s="150">
        <v>0</v>
      </c>
      <c r="AF188" s="115">
        <v>0.15</v>
      </c>
      <c r="AG188" s="117">
        <v>0</v>
      </c>
      <c r="AH188" s="174">
        <v>0</v>
      </c>
      <c r="AI188" s="117">
        <v>0</v>
      </c>
      <c r="AJ188" s="117">
        <v>0</v>
      </c>
      <c r="AK188" s="117">
        <v>0</v>
      </c>
    </row>
    <row r="189" spans="2:37" x14ac:dyDescent="0.25">
      <c r="B189" s="2" t="s">
        <v>498</v>
      </c>
      <c r="C189" s="2" t="s">
        <v>509</v>
      </c>
      <c r="D189" s="36">
        <f t="shared" si="49"/>
        <v>0.25</v>
      </c>
      <c r="E189" s="4">
        <v>1</v>
      </c>
      <c r="F189" s="3"/>
      <c r="G189" s="15">
        <f>+IF(EXACT('3AC_Data'!$D$8,1),H189,IF(EXACT('3AC_Data'!$D$8,2),I189,IF(EXACT('3AC_Data'!$D$8,3),J189,IF(EXACT('3AC_Data'!$D$8,4),K189,IF(EXACT('3AC_Data'!$D$8,5),L189,IF(EXACT('3AC_Data'!$D$8,6),M189,IF(EXACT('3AC_Data'!$D$8,7),N189,IF(EXACT('3AC_Data'!$D$8,8),O189,IF(EXACT('3AC_Data'!$D$8,9),P189,IF(EXACT('3AC_Data'!$D$8,10),Q189,IF(EXACT('3AC_Data'!$D$8,11),R189,IF(EXACT('3AC_Data'!$D$8,12),S189,IF(EXACT('3AC_Data'!$D$8,13),T189,IF(EXACT('3AC_Data'!$D$8,14),U189,IF(EXACT('3AC_Data'!$D$8,15),V189,IF(EXACT('3AC_Data'!$D$8,16),W189,IF(EXACT('3AC_Data'!$D$8,17),X189,IF(EXACT('3AC_Data'!$D$8,18),Y189,IF(EXACT('3AC_Data'!$D$8,19),Z189,IF(EXACT('3AC_Data'!$D$8,20),AA189,IF(EXACT('3AC_Data'!$D$8,21),AB189,IF(EXACT('3AC_Data'!$D$8,22),AC189,IF(EXACT('3AC_Data'!$D$8,23),AD189,IF(EXACT('3AC_Data'!$D$8,24),AE189,IF(EXACT('3AC_Data'!$D$8,25),AF189,IF(EXACT('3AC_Data'!$D$8,26),AG189,IF(EXACT('3AC_Data'!$D$8,27),AH189,IF(EXACT('3AC_Data'!$D$8,28),AI189,IF(EXACT('3AC_Data'!$D$8,29),AJ189,IF(EXACT('3AC_Data'!$D$8,30),AK189))))))))))))))))))))))))))))))</f>
        <v>0.25</v>
      </c>
      <c r="H189" s="115">
        <v>0.25</v>
      </c>
      <c r="I189" s="116">
        <v>0.25</v>
      </c>
      <c r="J189" s="115">
        <v>0.25</v>
      </c>
      <c r="K189" s="115">
        <v>0.2</v>
      </c>
      <c r="L189" s="115">
        <v>0.25</v>
      </c>
      <c r="M189" s="115">
        <v>0.25</v>
      </c>
      <c r="N189" s="115">
        <v>0.25</v>
      </c>
      <c r="O189" s="115">
        <v>0.25</v>
      </c>
      <c r="P189" s="116">
        <v>0.25</v>
      </c>
      <c r="Q189" s="116">
        <v>0.25</v>
      </c>
      <c r="R189" s="116">
        <v>0.25</v>
      </c>
      <c r="S189" s="117">
        <v>0</v>
      </c>
      <c r="T189" s="117">
        <v>0</v>
      </c>
      <c r="U189" s="117">
        <v>0.12</v>
      </c>
      <c r="V189" s="116">
        <v>0.27500000000000002</v>
      </c>
      <c r="W189" s="116">
        <v>0.25</v>
      </c>
      <c r="X189" s="116">
        <v>0.25</v>
      </c>
      <c r="Y189" s="116"/>
      <c r="Z189" s="117">
        <v>0.12</v>
      </c>
      <c r="AA189" s="115">
        <v>0.25</v>
      </c>
      <c r="AB189" s="116">
        <v>0.25</v>
      </c>
      <c r="AC189" s="117">
        <v>0.3</v>
      </c>
      <c r="AD189" s="117">
        <v>0.3</v>
      </c>
      <c r="AE189" s="150">
        <v>0.12</v>
      </c>
      <c r="AF189" s="115">
        <v>0.25</v>
      </c>
      <c r="AG189" s="117">
        <v>0.12</v>
      </c>
      <c r="AH189" s="174">
        <v>0</v>
      </c>
      <c r="AI189" s="117">
        <v>0.12</v>
      </c>
      <c r="AJ189" s="117">
        <v>0.12</v>
      </c>
      <c r="AK189" s="117">
        <v>0.12</v>
      </c>
    </row>
    <row r="190" spans="2:37" x14ac:dyDescent="0.25">
      <c r="B190" s="2" t="s">
        <v>497</v>
      </c>
      <c r="C190" s="2" t="s">
        <v>510</v>
      </c>
      <c r="D190" s="36">
        <f t="shared" ref="D190:D238" si="53">+G190*E190</f>
        <v>0.15</v>
      </c>
      <c r="E190" s="4">
        <v>1</v>
      </c>
      <c r="F190" s="3"/>
      <c r="G190" s="15">
        <f>+IF(EXACT('3AC_Data'!$D$8,1),H190,IF(EXACT('3AC_Data'!$D$8,2),I190,IF(EXACT('3AC_Data'!$D$8,3),J190,IF(EXACT('3AC_Data'!$D$8,4),K190,IF(EXACT('3AC_Data'!$D$8,5),L190,IF(EXACT('3AC_Data'!$D$8,6),M190,IF(EXACT('3AC_Data'!$D$8,7),N190,IF(EXACT('3AC_Data'!$D$8,8),O190,IF(EXACT('3AC_Data'!$D$8,9),P190,IF(EXACT('3AC_Data'!$D$8,10),Q190,IF(EXACT('3AC_Data'!$D$8,11),R190,IF(EXACT('3AC_Data'!$D$8,12),S190,IF(EXACT('3AC_Data'!$D$8,13),T190,IF(EXACT('3AC_Data'!$D$8,14),U190,IF(EXACT('3AC_Data'!$D$8,15),V190,IF(EXACT('3AC_Data'!$D$8,16),W190,IF(EXACT('3AC_Data'!$D$8,17),X190,IF(EXACT('3AC_Data'!$D$8,18),Y190,IF(EXACT('3AC_Data'!$D$8,19),Z190,IF(EXACT('3AC_Data'!$D$8,20),AA190,IF(EXACT('3AC_Data'!$D$8,21),AB190,IF(EXACT('3AC_Data'!$D$8,22),AC190,IF(EXACT('3AC_Data'!$D$8,23),AD190,IF(EXACT('3AC_Data'!$D$8,24),AE190,IF(EXACT('3AC_Data'!$D$8,25),AF190,IF(EXACT('3AC_Data'!$D$8,26),AG190,IF(EXACT('3AC_Data'!$D$8,27),AH190,IF(EXACT('3AC_Data'!$D$8,28),AI190,IF(EXACT('3AC_Data'!$D$8,29),AJ190,IF(EXACT('3AC_Data'!$D$8,30),AK190))))))))))))))))))))))))))))))</f>
        <v>0.15</v>
      </c>
      <c r="H190" s="115">
        <v>0.15</v>
      </c>
      <c r="I190" s="116">
        <v>0.15</v>
      </c>
      <c r="J190" s="115">
        <v>0.129</v>
      </c>
      <c r="K190" s="115">
        <v>0.17</v>
      </c>
      <c r="L190" s="115">
        <v>0.15</v>
      </c>
      <c r="M190" s="115">
        <v>0.15</v>
      </c>
      <c r="N190" s="115">
        <v>0.15</v>
      </c>
      <c r="O190" s="115">
        <v>0.15</v>
      </c>
      <c r="P190" s="116">
        <v>0.15</v>
      </c>
      <c r="Q190" s="116">
        <v>0.15</v>
      </c>
      <c r="R190" s="116">
        <v>0.15</v>
      </c>
      <c r="S190" s="117">
        <v>0</v>
      </c>
      <c r="T190" s="117">
        <v>0</v>
      </c>
      <c r="U190" s="117">
        <v>0.13</v>
      </c>
      <c r="V190" s="116">
        <v>0.15</v>
      </c>
      <c r="W190" s="116">
        <v>0.15</v>
      </c>
      <c r="X190" s="116">
        <v>0.15</v>
      </c>
      <c r="Y190" s="116"/>
      <c r="Z190" s="117">
        <v>0.13</v>
      </c>
      <c r="AA190" s="115">
        <v>0.15</v>
      </c>
      <c r="AB190" s="116">
        <v>0.15</v>
      </c>
      <c r="AC190" s="117">
        <v>0.13</v>
      </c>
      <c r="AD190" s="117">
        <v>0.12</v>
      </c>
      <c r="AE190" s="150">
        <v>0.13</v>
      </c>
      <c r="AF190" s="115">
        <v>0.129</v>
      </c>
      <c r="AG190" s="117">
        <v>0.13</v>
      </c>
      <c r="AH190" s="174">
        <v>0</v>
      </c>
      <c r="AI190" s="117">
        <v>0.13</v>
      </c>
      <c r="AJ190" s="117">
        <v>0.13</v>
      </c>
      <c r="AK190" s="117">
        <v>0.13</v>
      </c>
    </row>
    <row r="191" spans="2:37" x14ac:dyDescent="0.25">
      <c r="B191" s="2" t="s">
        <v>500</v>
      </c>
      <c r="C191" s="2" t="s">
        <v>511</v>
      </c>
      <c r="D191" s="36">
        <f t="shared" si="53"/>
        <v>0.25</v>
      </c>
      <c r="E191" s="4">
        <v>1</v>
      </c>
      <c r="F191" s="3"/>
      <c r="G191" s="15">
        <f>+IF(EXACT('3AC_Data'!$D$8,1),H191,IF(EXACT('3AC_Data'!$D$8,2),I191,IF(EXACT('3AC_Data'!$D$8,3),J191,IF(EXACT('3AC_Data'!$D$8,4),K191,IF(EXACT('3AC_Data'!$D$8,5),L191,IF(EXACT('3AC_Data'!$D$8,6),M191,IF(EXACT('3AC_Data'!$D$8,7),N191,IF(EXACT('3AC_Data'!$D$8,8),O191,IF(EXACT('3AC_Data'!$D$8,9),P191,IF(EXACT('3AC_Data'!$D$8,10),Q191,IF(EXACT('3AC_Data'!$D$8,11),R191,IF(EXACT('3AC_Data'!$D$8,12),S191,IF(EXACT('3AC_Data'!$D$8,13),T191,IF(EXACT('3AC_Data'!$D$8,14),U191,IF(EXACT('3AC_Data'!$D$8,15),V191,IF(EXACT('3AC_Data'!$D$8,16),W191,IF(EXACT('3AC_Data'!$D$8,17),X191,IF(EXACT('3AC_Data'!$D$8,18),Y191,IF(EXACT('3AC_Data'!$D$8,19),Z191,IF(EXACT('3AC_Data'!$D$8,20),AA191,IF(EXACT('3AC_Data'!$D$8,21),AB191,IF(EXACT('3AC_Data'!$D$8,22),AC191,IF(EXACT('3AC_Data'!$D$8,23),AD191,IF(EXACT('3AC_Data'!$D$8,24),AE191,IF(EXACT('3AC_Data'!$D$8,25),AF191,IF(EXACT('3AC_Data'!$D$8,26),AG191,IF(EXACT('3AC_Data'!$D$8,27),AH191,IF(EXACT('3AC_Data'!$D$8,28),AI191,IF(EXACT('3AC_Data'!$D$8,29),AJ191,IF(EXACT('3AC_Data'!$D$8,30),AK191))))))))))))))))))))))))))))))</f>
        <v>0.25</v>
      </c>
      <c r="H191" s="115">
        <v>0.25</v>
      </c>
      <c r="I191" s="116">
        <v>0.25</v>
      </c>
      <c r="J191" s="115">
        <v>0.45</v>
      </c>
      <c r="K191" s="115">
        <v>0.25</v>
      </c>
      <c r="L191" s="115">
        <v>0.25</v>
      </c>
      <c r="M191" s="115">
        <v>0.25</v>
      </c>
      <c r="N191" s="115">
        <v>0.25</v>
      </c>
      <c r="O191" s="115">
        <v>0.25</v>
      </c>
      <c r="P191" s="116">
        <v>0.25</v>
      </c>
      <c r="Q191" s="116">
        <v>0.25</v>
      </c>
      <c r="R191" s="116">
        <v>0.25</v>
      </c>
      <c r="S191" s="117">
        <v>0</v>
      </c>
      <c r="T191" s="117">
        <v>0</v>
      </c>
      <c r="U191" s="117">
        <v>0.311</v>
      </c>
      <c r="V191" s="116">
        <v>0.23</v>
      </c>
      <c r="W191" s="116">
        <v>0.25</v>
      </c>
      <c r="X191" s="116">
        <v>0.35</v>
      </c>
      <c r="Y191" s="116"/>
      <c r="Z191" s="117">
        <v>0.311</v>
      </c>
      <c r="AA191" s="115">
        <v>0.25</v>
      </c>
      <c r="AB191" s="116">
        <v>0.6</v>
      </c>
      <c r="AC191" s="117">
        <v>0.44259999999999999</v>
      </c>
      <c r="AD191" s="117">
        <v>0.44259999999999999</v>
      </c>
      <c r="AE191" s="150">
        <v>0.311</v>
      </c>
      <c r="AF191" s="115">
        <v>0.45</v>
      </c>
      <c r="AG191" s="117">
        <v>0.311</v>
      </c>
      <c r="AH191" s="174">
        <v>0</v>
      </c>
      <c r="AI191" s="117">
        <v>0.311</v>
      </c>
      <c r="AJ191" s="117">
        <v>0.311</v>
      </c>
      <c r="AK191" s="117">
        <v>0.311</v>
      </c>
    </row>
    <row r="192" spans="2:37" x14ac:dyDescent="0.25">
      <c r="B192" s="2" t="s">
        <v>499</v>
      </c>
      <c r="C192" s="2" t="s">
        <v>512</v>
      </c>
      <c r="D192" s="36">
        <f t="shared" si="53"/>
        <v>7.0000000000000007E-2</v>
      </c>
      <c r="E192" s="4">
        <v>1</v>
      </c>
      <c r="F192" s="3"/>
      <c r="G192" s="15">
        <f>+IF(EXACT('3AC_Data'!$D$8,1),H192,IF(EXACT('3AC_Data'!$D$8,2),I192,IF(EXACT('3AC_Data'!$D$8,3),J192,IF(EXACT('3AC_Data'!$D$8,4),K192,IF(EXACT('3AC_Data'!$D$8,5),L192,IF(EXACT('3AC_Data'!$D$8,6),M192,IF(EXACT('3AC_Data'!$D$8,7),N192,IF(EXACT('3AC_Data'!$D$8,8),O192,IF(EXACT('3AC_Data'!$D$8,9),P192,IF(EXACT('3AC_Data'!$D$8,10),Q192,IF(EXACT('3AC_Data'!$D$8,11),R192,IF(EXACT('3AC_Data'!$D$8,12),S192,IF(EXACT('3AC_Data'!$D$8,13),T192,IF(EXACT('3AC_Data'!$D$8,14),U192,IF(EXACT('3AC_Data'!$D$8,15),V192,IF(EXACT('3AC_Data'!$D$8,16),W192,IF(EXACT('3AC_Data'!$D$8,17),X192,IF(EXACT('3AC_Data'!$D$8,18),Y192,IF(EXACT('3AC_Data'!$D$8,19),Z192,IF(EXACT('3AC_Data'!$D$8,20),AA192,IF(EXACT('3AC_Data'!$D$8,21),AB192,IF(EXACT('3AC_Data'!$D$8,22),AC192,IF(EXACT('3AC_Data'!$D$8,23),AD192,IF(EXACT('3AC_Data'!$D$8,24),AE192,IF(EXACT('3AC_Data'!$D$8,25),AF192,IF(EXACT('3AC_Data'!$D$8,26),AG192,IF(EXACT('3AC_Data'!$D$8,27),AH192,IF(EXACT('3AC_Data'!$D$8,28),AI192,IF(EXACT('3AC_Data'!$D$8,29),AJ192,IF(EXACT('3AC_Data'!$D$8,30),AK192))))))))))))))))))))))))))))))</f>
        <v>7.0000000000000007E-2</v>
      </c>
      <c r="H192" s="115">
        <v>0.15</v>
      </c>
      <c r="I192" s="116">
        <v>0.15</v>
      </c>
      <c r="J192" s="115">
        <v>0.12</v>
      </c>
      <c r="K192" s="115">
        <v>0.1</v>
      </c>
      <c r="L192" s="115">
        <v>0.15</v>
      </c>
      <c r="M192" s="115">
        <v>7.0000000000000007E-2</v>
      </c>
      <c r="N192" s="115">
        <v>0.15</v>
      </c>
      <c r="O192" s="115">
        <v>0.15</v>
      </c>
      <c r="P192" s="116">
        <v>0.15</v>
      </c>
      <c r="Q192" s="116">
        <v>0.15</v>
      </c>
      <c r="R192" s="116">
        <v>0.15</v>
      </c>
      <c r="S192" s="117">
        <v>0</v>
      </c>
      <c r="T192" s="117">
        <v>0</v>
      </c>
      <c r="U192" s="117">
        <v>0.1</v>
      </c>
      <c r="V192" s="116">
        <v>0.15</v>
      </c>
      <c r="W192" s="116">
        <v>0.15</v>
      </c>
      <c r="X192" s="116">
        <v>0.15</v>
      </c>
      <c r="Y192" s="116"/>
      <c r="Z192" s="117">
        <v>0.1</v>
      </c>
      <c r="AA192" s="115">
        <v>0.15</v>
      </c>
      <c r="AB192" s="116">
        <v>0.15</v>
      </c>
      <c r="AC192" s="117">
        <v>0.08</v>
      </c>
      <c r="AD192" s="117">
        <v>0.09</v>
      </c>
      <c r="AE192" s="150">
        <v>0.1</v>
      </c>
      <c r="AF192" s="115">
        <v>0.12</v>
      </c>
      <c r="AG192" s="117">
        <v>0.1</v>
      </c>
      <c r="AH192" s="174">
        <v>0</v>
      </c>
      <c r="AI192" s="117">
        <v>0.1</v>
      </c>
      <c r="AJ192" s="117">
        <v>0.1</v>
      </c>
      <c r="AK192" s="117">
        <v>0.1</v>
      </c>
    </row>
    <row r="193" spans="2:37" x14ac:dyDescent="0.25">
      <c r="B193" s="2" t="s">
        <v>502</v>
      </c>
      <c r="C193" s="2" t="s">
        <v>513</v>
      </c>
      <c r="D193" s="36">
        <f t="shared" si="53"/>
        <v>0.5</v>
      </c>
      <c r="E193" s="4">
        <v>1</v>
      </c>
      <c r="F193" s="3"/>
      <c r="G193" s="15">
        <f>+IF(EXACT('3AC_Data'!$D$8,1),H193,IF(EXACT('3AC_Data'!$D$8,2),I193,IF(EXACT('3AC_Data'!$D$8,3),J193,IF(EXACT('3AC_Data'!$D$8,4),K193,IF(EXACT('3AC_Data'!$D$8,5),L193,IF(EXACT('3AC_Data'!$D$8,6),M193,IF(EXACT('3AC_Data'!$D$8,7),N193,IF(EXACT('3AC_Data'!$D$8,8),O193,IF(EXACT('3AC_Data'!$D$8,9),P193,IF(EXACT('3AC_Data'!$D$8,10),Q193,IF(EXACT('3AC_Data'!$D$8,11),R193,IF(EXACT('3AC_Data'!$D$8,12),S193,IF(EXACT('3AC_Data'!$D$8,13),T193,IF(EXACT('3AC_Data'!$D$8,14),U193,IF(EXACT('3AC_Data'!$D$8,15),V193,IF(EXACT('3AC_Data'!$D$8,16),W193,IF(EXACT('3AC_Data'!$D$8,17),X193,IF(EXACT('3AC_Data'!$D$8,18),Y193,IF(EXACT('3AC_Data'!$D$8,19),Z193,IF(EXACT('3AC_Data'!$D$8,20),AA193,IF(EXACT('3AC_Data'!$D$8,21),AB193,IF(EXACT('3AC_Data'!$D$8,22),AC193,IF(EXACT('3AC_Data'!$D$8,23),AD193,IF(EXACT('3AC_Data'!$D$8,24),AE193,IF(EXACT('3AC_Data'!$D$8,25),AF193,IF(EXACT('3AC_Data'!$D$8,26),AG193,IF(EXACT('3AC_Data'!$D$8,27),AH193,IF(EXACT('3AC_Data'!$D$8,28),AI193,IF(EXACT('3AC_Data'!$D$8,29),AJ193,IF(EXACT('3AC_Data'!$D$8,30),AK193))))))))))))))))))))))))))))))</f>
        <v>0.5</v>
      </c>
      <c r="H193" s="115">
        <v>0.25</v>
      </c>
      <c r="I193" s="116">
        <v>0.25</v>
      </c>
      <c r="J193" s="115">
        <v>0.35</v>
      </c>
      <c r="K193" s="115">
        <v>0</v>
      </c>
      <c r="L193" s="115">
        <v>0.25</v>
      </c>
      <c r="M193" s="115">
        <v>0.5</v>
      </c>
      <c r="N193" s="115">
        <v>0.25</v>
      </c>
      <c r="O193" s="115">
        <v>0.25</v>
      </c>
      <c r="P193" s="116">
        <v>0.25</v>
      </c>
      <c r="Q193" s="116">
        <v>0.25</v>
      </c>
      <c r="R193" s="116">
        <v>0.25</v>
      </c>
      <c r="S193" s="117">
        <v>0</v>
      </c>
      <c r="T193" s="117">
        <v>0</v>
      </c>
      <c r="U193" s="117">
        <v>0</v>
      </c>
      <c r="V193" s="116">
        <v>0.25</v>
      </c>
      <c r="W193" s="116">
        <v>0.25</v>
      </c>
      <c r="X193" s="116">
        <v>0.25</v>
      </c>
      <c r="Y193" s="116"/>
      <c r="Z193" s="117">
        <v>0</v>
      </c>
      <c r="AA193" s="115">
        <v>0.25</v>
      </c>
      <c r="AB193" s="116">
        <v>0.25</v>
      </c>
      <c r="AC193" s="117">
        <v>0</v>
      </c>
      <c r="AD193" s="117">
        <v>0</v>
      </c>
      <c r="AE193" s="150">
        <v>0.25</v>
      </c>
      <c r="AF193" s="115">
        <v>0.35</v>
      </c>
      <c r="AG193" s="150">
        <v>1</v>
      </c>
      <c r="AH193" s="174">
        <v>0.25</v>
      </c>
      <c r="AI193" s="117">
        <v>0</v>
      </c>
      <c r="AJ193" s="117">
        <v>0</v>
      </c>
      <c r="AK193" s="117">
        <v>0</v>
      </c>
    </row>
    <row r="194" spans="2:37" x14ac:dyDescent="0.25">
      <c r="B194" s="2" t="s">
        <v>501</v>
      </c>
      <c r="C194" s="2" t="s">
        <v>514</v>
      </c>
      <c r="D194" s="36">
        <f t="shared" si="53"/>
        <v>0.15</v>
      </c>
      <c r="E194" s="4">
        <v>1</v>
      </c>
      <c r="F194" s="3"/>
      <c r="G194" s="15">
        <f>+IF(EXACT('3AC_Data'!$D$8,1),H194,IF(EXACT('3AC_Data'!$D$8,2),I194,IF(EXACT('3AC_Data'!$D$8,3),J194,IF(EXACT('3AC_Data'!$D$8,4),K194,IF(EXACT('3AC_Data'!$D$8,5),L194,IF(EXACT('3AC_Data'!$D$8,6),M194,IF(EXACT('3AC_Data'!$D$8,7),N194,IF(EXACT('3AC_Data'!$D$8,8),O194,IF(EXACT('3AC_Data'!$D$8,9),P194,IF(EXACT('3AC_Data'!$D$8,10),Q194,IF(EXACT('3AC_Data'!$D$8,11),R194,IF(EXACT('3AC_Data'!$D$8,12),S194,IF(EXACT('3AC_Data'!$D$8,13),T194,IF(EXACT('3AC_Data'!$D$8,14),U194,IF(EXACT('3AC_Data'!$D$8,15),V194,IF(EXACT('3AC_Data'!$D$8,16),W194,IF(EXACT('3AC_Data'!$D$8,17),X194,IF(EXACT('3AC_Data'!$D$8,18),Y194,IF(EXACT('3AC_Data'!$D$8,19),Z194,IF(EXACT('3AC_Data'!$D$8,20),AA194,IF(EXACT('3AC_Data'!$D$8,21),AB194,IF(EXACT('3AC_Data'!$D$8,22),AC194,IF(EXACT('3AC_Data'!$D$8,23),AD194,IF(EXACT('3AC_Data'!$D$8,24),AE194,IF(EXACT('3AC_Data'!$D$8,25),AF194,IF(EXACT('3AC_Data'!$D$8,26),AG194,IF(EXACT('3AC_Data'!$D$8,27),AH194,IF(EXACT('3AC_Data'!$D$8,28),AI194,IF(EXACT('3AC_Data'!$D$8,29),AJ194,IF(EXACT('3AC_Data'!$D$8,30),AK194))))))))))))))))))))))))))))))</f>
        <v>0.15</v>
      </c>
      <c r="H194" s="115">
        <v>0.15</v>
      </c>
      <c r="I194" s="116">
        <v>0.15</v>
      </c>
      <c r="J194" s="115">
        <v>0.12</v>
      </c>
      <c r="K194" s="115">
        <v>0</v>
      </c>
      <c r="L194" s="115">
        <v>0.15</v>
      </c>
      <c r="M194" s="115">
        <v>0.15</v>
      </c>
      <c r="N194" s="115">
        <v>0.15</v>
      </c>
      <c r="O194" s="115">
        <v>0.15</v>
      </c>
      <c r="P194" s="116">
        <v>0.15</v>
      </c>
      <c r="Q194" s="116">
        <v>0.15</v>
      </c>
      <c r="R194" s="116">
        <v>0.15</v>
      </c>
      <c r="S194" s="117">
        <v>0</v>
      </c>
      <c r="T194" s="117">
        <v>0</v>
      </c>
      <c r="U194" s="117">
        <v>0</v>
      </c>
      <c r="V194" s="116">
        <v>0.15</v>
      </c>
      <c r="W194" s="116">
        <v>0.15</v>
      </c>
      <c r="X194" s="116">
        <v>0.15</v>
      </c>
      <c r="Y194" s="116"/>
      <c r="Z194" s="117">
        <v>0</v>
      </c>
      <c r="AA194" s="115">
        <v>0.15</v>
      </c>
      <c r="AB194" s="116">
        <v>0.15</v>
      </c>
      <c r="AC194" s="117">
        <v>0</v>
      </c>
      <c r="AD194" s="117">
        <v>0</v>
      </c>
      <c r="AE194" s="150">
        <v>0.12</v>
      </c>
      <c r="AF194" s="115">
        <v>0.12</v>
      </c>
      <c r="AG194" s="150">
        <v>0.13</v>
      </c>
      <c r="AH194" s="174">
        <v>0.13</v>
      </c>
      <c r="AI194" s="117">
        <v>0</v>
      </c>
      <c r="AJ194" s="117">
        <v>0</v>
      </c>
      <c r="AK194" s="117">
        <v>0</v>
      </c>
    </row>
    <row r="195" spans="2:37" x14ac:dyDescent="0.25">
      <c r="B195" s="2" t="s">
        <v>502</v>
      </c>
      <c r="C195" s="2" t="s">
        <v>1505</v>
      </c>
      <c r="D195" s="36">
        <f t="shared" ref="D195:D196" si="54">+G195*E195</f>
        <v>0.15</v>
      </c>
      <c r="E195" s="4">
        <v>1</v>
      </c>
      <c r="F195" s="3"/>
      <c r="G195" s="15">
        <f>+IF(EXACT('3AC_Data'!$D$8,1),H195,IF(EXACT('3AC_Data'!$D$8,2),I195,IF(EXACT('3AC_Data'!$D$8,3),J195,IF(EXACT('3AC_Data'!$D$8,4),K195,IF(EXACT('3AC_Data'!$D$8,5),L195,IF(EXACT('3AC_Data'!$D$8,6),M195,IF(EXACT('3AC_Data'!$D$8,7),N195,IF(EXACT('3AC_Data'!$D$8,8),O195,IF(EXACT('3AC_Data'!$D$8,9),P195,IF(EXACT('3AC_Data'!$D$8,10),Q195,IF(EXACT('3AC_Data'!$D$8,11),R195,IF(EXACT('3AC_Data'!$D$8,12),S195,IF(EXACT('3AC_Data'!$D$8,13),T195,IF(EXACT('3AC_Data'!$D$8,14),U195,IF(EXACT('3AC_Data'!$D$8,15),V195,IF(EXACT('3AC_Data'!$D$8,16),W195,IF(EXACT('3AC_Data'!$D$8,17),X195,IF(EXACT('3AC_Data'!$D$8,18),Y195,IF(EXACT('3AC_Data'!$D$8,19),Z195,IF(EXACT('3AC_Data'!$D$8,20),AA195,IF(EXACT('3AC_Data'!$D$8,21),AB195,IF(EXACT('3AC_Data'!$D$8,22),AC195,IF(EXACT('3AC_Data'!$D$8,23),AD195,IF(EXACT('3AC_Data'!$D$8,24),AE195,IF(EXACT('3AC_Data'!$D$8,25),AF195,IF(EXACT('3AC_Data'!$D$8,26),AG195,IF(EXACT('3AC_Data'!$D$8,27),AH195,IF(EXACT('3AC_Data'!$D$8,28),AI195,IF(EXACT('3AC_Data'!$D$8,29),AJ195,IF(EXACT('3AC_Data'!$D$8,30),AK195))))))))))))))))))))))))))))))</f>
        <v>0.15</v>
      </c>
      <c r="H195" s="115">
        <v>0.15</v>
      </c>
      <c r="I195" s="116">
        <v>0.15</v>
      </c>
      <c r="J195" s="115">
        <v>0.12</v>
      </c>
      <c r="K195" s="115">
        <v>0</v>
      </c>
      <c r="L195" s="115">
        <v>0.15</v>
      </c>
      <c r="M195" s="115">
        <v>0.15</v>
      </c>
      <c r="N195" s="115">
        <v>0.15</v>
      </c>
      <c r="O195" s="115">
        <v>0.15</v>
      </c>
      <c r="P195" s="116">
        <v>0.15</v>
      </c>
      <c r="Q195" s="116">
        <v>0.15</v>
      </c>
      <c r="R195" s="116">
        <v>0.15</v>
      </c>
      <c r="S195" s="117">
        <v>0</v>
      </c>
      <c r="T195" s="117">
        <v>0</v>
      </c>
      <c r="U195" s="117">
        <v>0</v>
      </c>
      <c r="V195" s="116">
        <v>0.15</v>
      </c>
      <c r="W195" s="116">
        <v>0.15</v>
      </c>
      <c r="X195" s="116">
        <v>0.15</v>
      </c>
      <c r="Y195" s="116"/>
      <c r="Z195" s="117">
        <v>0</v>
      </c>
      <c r="AA195" s="115">
        <v>0.15</v>
      </c>
      <c r="AB195" s="116">
        <v>0.15</v>
      </c>
      <c r="AC195" s="117">
        <v>0</v>
      </c>
      <c r="AD195" s="117">
        <v>0</v>
      </c>
      <c r="AE195" s="150">
        <v>0.25</v>
      </c>
      <c r="AF195" s="115">
        <v>0.35</v>
      </c>
      <c r="AG195" s="150">
        <v>0.25</v>
      </c>
      <c r="AH195" s="174">
        <v>0.25</v>
      </c>
      <c r="AI195" s="117">
        <v>0</v>
      </c>
      <c r="AJ195" s="117">
        <v>0</v>
      </c>
      <c r="AK195" s="117">
        <v>0</v>
      </c>
    </row>
    <row r="196" spans="2:37" x14ac:dyDescent="0.25">
      <c r="B196" s="2" t="s">
        <v>501</v>
      </c>
      <c r="C196" s="2" t="s">
        <v>1506</v>
      </c>
      <c r="D196" s="36">
        <f t="shared" si="54"/>
        <v>0.15</v>
      </c>
      <c r="E196" s="4">
        <v>1</v>
      </c>
      <c r="F196" s="3"/>
      <c r="G196" s="15">
        <f>+IF(EXACT('3AC_Data'!$D$8,1),H196,IF(EXACT('3AC_Data'!$D$8,2),I196,IF(EXACT('3AC_Data'!$D$8,3),J196,IF(EXACT('3AC_Data'!$D$8,4),K196,IF(EXACT('3AC_Data'!$D$8,5),L196,IF(EXACT('3AC_Data'!$D$8,6),M196,IF(EXACT('3AC_Data'!$D$8,7),N196,IF(EXACT('3AC_Data'!$D$8,8),O196,IF(EXACT('3AC_Data'!$D$8,9),P196,IF(EXACT('3AC_Data'!$D$8,10),Q196,IF(EXACT('3AC_Data'!$D$8,11),R196,IF(EXACT('3AC_Data'!$D$8,12),S196,IF(EXACT('3AC_Data'!$D$8,13),T196,IF(EXACT('3AC_Data'!$D$8,14),U196,IF(EXACT('3AC_Data'!$D$8,15),V196,IF(EXACT('3AC_Data'!$D$8,16),W196,IF(EXACT('3AC_Data'!$D$8,17),X196,IF(EXACT('3AC_Data'!$D$8,18),Y196,IF(EXACT('3AC_Data'!$D$8,19),Z196,IF(EXACT('3AC_Data'!$D$8,20),AA196,IF(EXACT('3AC_Data'!$D$8,21),AB196,IF(EXACT('3AC_Data'!$D$8,22),AC196,IF(EXACT('3AC_Data'!$D$8,23),AD196,IF(EXACT('3AC_Data'!$D$8,24),AE196,IF(EXACT('3AC_Data'!$D$8,25),AF196,IF(EXACT('3AC_Data'!$D$8,26),AG196,IF(EXACT('3AC_Data'!$D$8,27),AH196,IF(EXACT('3AC_Data'!$D$8,28),AI196,IF(EXACT('3AC_Data'!$D$8,29),AJ196,IF(EXACT('3AC_Data'!$D$8,30),AK196))))))))))))))))))))))))))))))</f>
        <v>0.15</v>
      </c>
      <c r="H196" s="115">
        <v>0.15</v>
      </c>
      <c r="I196" s="116">
        <v>0.15</v>
      </c>
      <c r="J196" s="115">
        <v>0.12</v>
      </c>
      <c r="K196" s="115">
        <v>0</v>
      </c>
      <c r="L196" s="115">
        <v>0.15</v>
      </c>
      <c r="M196" s="115">
        <v>0.15</v>
      </c>
      <c r="N196" s="115">
        <v>0.15</v>
      </c>
      <c r="O196" s="115">
        <v>0.15</v>
      </c>
      <c r="P196" s="116">
        <v>0.15</v>
      </c>
      <c r="Q196" s="116">
        <v>0.15</v>
      </c>
      <c r="R196" s="116">
        <v>0.15</v>
      </c>
      <c r="S196" s="117">
        <v>0</v>
      </c>
      <c r="T196" s="117">
        <v>0</v>
      </c>
      <c r="U196" s="117">
        <v>0</v>
      </c>
      <c r="V196" s="116">
        <v>0.15</v>
      </c>
      <c r="W196" s="116">
        <v>0.15</v>
      </c>
      <c r="X196" s="116">
        <v>0.15</v>
      </c>
      <c r="Y196" s="116"/>
      <c r="Z196" s="117">
        <v>0</v>
      </c>
      <c r="AA196" s="115">
        <v>0.15</v>
      </c>
      <c r="AB196" s="116">
        <v>0.15</v>
      </c>
      <c r="AC196" s="117">
        <v>0</v>
      </c>
      <c r="AD196" s="117">
        <v>0</v>
      </c>
      <c r="AE196" s="150">
        <v>0.12</v>
      </c>
      <c r="AF196" s="115">
        <v>0.12</v>
      </c>
      <c r="AG196" s="150">
        <v>0.13</v>
      </c>
      <c r="AH196" s="174">
        <v>0.13</v>
      </c>
      <c r="AI196" s="117">
        <v>0</v>
      </c>
      <c r="AJ196" s="117">
        <v>0</v>
      </c>
      <c r="AK196" s="117">
        <v>0</v>
      </c>
    </row>
    <row r="197" spans="2:37" x14ac:dyDescent="0.25">
      <c r="B197" s="2" t="s">
        <v>504</v>
      </c>
      <c r="C197" s="2" t="s">
        <v>908</v>
      </c>
      <c r="D197" s="36">
        <f t="shared" si="53"/>
        <v>0.25</v>
      </c>
      <c r="E197" s="4">
        <v>1</v>
      </c>
      <c r="F197" s="3"/>
      <c r="G197" s="15">
        <f>+IF(EXACT('3AC_Data'!$D$8,1),H197,IF(EXACT('3AC_Data'!$D$8,2),I197,IF(EXACT('3AC_Data'!$D$8,3),J197,IF(EXACT('3AC_Data'!$D$8,4),K197,IF(EXACT('3AC_Data'!$D$8,5),L197,IF(EXACT('3AC_Data'!$D$8,6),M197,IF(EXACT('3AC_Data'!$D$8,7),N197,IF(EXACT('3AC_Data'!$D$8,8),O197,IF(EXACT('3AC_Data'!$D$8,9),P197,IF(EXACT('3AC_Data'!$D$8,10),Q197,IF(EXACT('3AC_Data'!$D$8,11),R197,IF(EXACT('3AC_Data'!$D$8,12),S197,IF(EXACT('3AC_Data'!$D$8,13),T197,IF(EXACT('3AC_Data'!$D$8,14),U197,IF(EXACT('3AC_Data'!$D$8,15),V197,IF(EXACT('3AC_Data'!$D$8,16),W197,IF(EXACT('3AC_Data'!$D$8,17),X197,IF(EXACT('3AC_Data'!$D$8,18),Y197,IF(EXACT('3AC_Data'!$D$8,19),Z197,IF(EXACT('3AC_Data'!$D$8,20),AA197,IF(EXACT('3AC_Data'!$D$8,21),AB197,IF(EXACT('3AC_Data'!$D$8,22),AC197,IF(EXACT('3AC_Data'!$D$8,23),AD197,IF(EXACT('3AC_Data'!$D$8,24),AE197,IF(EXACT('3AC_Data'!$D$8,25),AF197,IF(EXACT('3AC_Data'!$D$8,26),AG197,IF(EXACT('3AC_Data'!$D$8,27),AH197,IF(EXACT('3AC_Data'!$D$8,28),AI197,IF(EXACT('3AC_Data'!$D$8,29),AJ197,IF(EXACT('3AC_Data'!$D$8,30),AK197))))))))))))))))))))))))))))))</f>
        <v>0.25</v>
      </c>
      <c r="H197" s="115">
        <v>0.25</v>
      </c>
      <c r="I197" s="116">
        <v>0.25</v>
      </c>
      <c r="J197" s="115">
        <v>0.25</v>
      </c>
      <c r="K197" s="115">
        <v>0</v>
      </c>
      <c r="L197" s="115">
        <v>0.25</v>
      </c>
      <c r="M197" s="115">
        <v>0.25</v>
      </c>
      <c r="N197" s="115">
        <v>0.25</v>
      </c>
      <c r="O197" s="115">
        <v>0.25</v>
      </c>
      <c r="P197" s="116">
        <v>0.25</v>
      </c>
      <c r="Q197" s="116">
        <v>0.25</v>
      </c>
      <c r="R197" s="116">
        <v>0.25</v>
      </c>
      <c r="S197" s="117">
        <v>0</v>
      </c>
      <c r="T197" s="117">
        <v>0</v>
      </c>
      <c r="U197" s="117">
        <v>0</v>
      </c>
      <c r="V197" s="116">
        <v>0.25</v>
      </c>
      <c r="W197" s="116">
        <v>0.25</v>
      </c>
      <c r="X197" s="116">
        <v>0.25</v>
      </c>
      <c r="Y197" s="116"/>
      <c r="Z197" s="117">
        <v>0</v>
      </c>
      <c r="AA197" s="115">
        <v>0.25</v>
      </c>
      <c r="AB197" s="116">
        <v>0.25</v>
      </c>
      <c r="AC197" s="117">
        <v>0</v>
      </c>
      <c r="AD197" s="117">
        <v>0</v>
      </c>
      <c r="AE197" s="150">
        <v>0</v>
      </c>
      <c r="AF197" s="115">
        <v>0.25</v>
      </c>
      <c r="AG197" s="165">
        <v>0</v>
      </c>
      <c r="AH197" s="174">
        <v>0</v>
      </c>
      <c r="AI197" s="117">
        <v>0</v>
      </c>
      <c r="AJ197" s="117">
        <v>0</v>
      </c>
      <c r="AK197" s="117">
        <v>0</v>
      </c>
    </row>
    <row r="198" spans="2:37" x14ac:dyDescent="0.25">
      <c r="B198" s="2" t="s">
        <v>503</v>
      </c>
      <c r="C198" s="2" t="s">
        <v>909</v>
      </c>
      <c r="D198" s="36">
        <f t="shared" si="53"/>
        <v>0.15</v>
      </c>
      <c r="E198" s="4">
        <v>1</v>
      </c>
      <c r="F198" s="3"/>
      <c r="G198" s="15">
        <f>+IF(EXACT('3AC_Data'!$D$8,1),H198,IF(EXACT('3AC_Data'!$D$8,2),I198,IF(EXACT('3AC_Data'!$D$8,3),J198,IF(EXACT('3AC_Data'!$D$8,4),K198,IF(EXACT('3AC_Data'!$D$8,5),L198,IF(EXACT('3AC_Data'!$D$8,6),M198,IF(EXACT('3AC_Data'!$D$8,7),N198,IF(EXACT('3AC_Data'!$D$8,8),O198,IF(EXACT('3AC_Data'!$D$8,9),P198,IF(EXACT('3AC_Data'!$D$8,10),Q198,IF(EXACT('3AC_Data'!$D$8,11),R198,IF(EXACT('3AC_Data'!$D$8,12),S198,IF(EXACT('3AC_Data'!$D$8,13),T198,IF(EXACT('3AC_Data'!$D$8,14),U198,IF(EXACT('3AC_Data'!$D$8,15),V198,IF(EXACT('3AC_Data'!$D$8,16),W198,IF(EXACT('3AC_Data'!$D$8,17),X198,IF(EXACT('3AC_Data'!$D$8,18),Y198,IF(EXACT('3AC_Data'!$D$8,19),Z198,IF(EXACT('3AC_Data'!$D$8,20),AA198,IF(EXACT('3AC_Data'!$D$8,21),AB198,IF(EXACT('3AC_Data'!$D$8,22),AC198,IF(EXACT('3AC_Data'!$D$8,23),AD198,IF(EXACT('3AC_Data'!$D$8,24),AE198,IF(EXACT('3AC_Data'!$D$8,25),AF198,IF(EXACT('3AC_Data'!$D$8,26),AG198,IF(EXACT('3AC_Data'!$D$8,27),AH198,IF(EXACT('3AC_Data'!$D$8,28),AI198,IF(EXACT('3AC_Data'!$D$8,29),AJ198,IF(EXACT('3AC_Data'!$D$8,30),AK198))))))))))))))))))))))))))))))</f>
        <v>0.15</v>
      </c>
      <c r="H198" s="115">
        <v>0.15</v>
      </c>
      <c r="I198" s="116">
        <v>0.15</v>
      </c>
      <c r="J198" s="115">
        <v>0.12</v>
      </c>
      <c r="K198" s="115">
        <v>0</v>
      </c>
      <c r="L198" s="115">
        <v>0.15</v>
      </c>
      <c r="M198" s="115">
        <v>0.15</v>
      </c>
      <c r="N198" s="115">
        <v>0.15</v>
      </c>
      <c r="O198" s="115">
        <v>0.15</v>
      </c>
      <c r="P198" s="116">
        <v>0.15</v>
      </c>
      <c r="Q198" s="116">
        <v>0.15</v>
      </c>
      <c r="R198" s="116">
        <v>0.15</v>
      </c>
      <c r="S198" s="117">
        <v>0</v>
      </c>
      <c r="T198" s="117">
        <v>0</v>
      </c>
      <c r="U198" s="117">
        <v>0</v>
      </c>
      <c r="V198" s="116">
        <v>0.15</v>
      </c>
      <c r="W198" s="116">
        <v>0.15</v>
      </c>
      <c r="X198" s="116">
        <v>0.15</v>
      </c>
      <c r="Y198" s="116"/>
      <c r="Z198" s="117">
        <v>0</v>
      </c>
      <c r="AA198" s="115">
        <v>0.15</v>
      </c>
      <c r="AB198" s="116">
        <v>0.15</v>
      </c>
      <c r="AC198" s="117">
        <v>0</v>
      </c>
      <c r="AD198" s="117">
        <v>0</v>
      </c>
      <c r="AE198" s="150">
        <v>0</v>
      </c>
      <c r="AF198" s="115">
        <v>0.12</v>
      </c>
      <c r="AG198" s="117">
        <v>0</v>
      </c>
      <c r="AH198" s="174">
        <v>0</v>
      </c>
      <c r="AI198" s="117">
        <v>0</v>
      </c>
      <c r="AJ198" s="117">
        <v>0</v>
      </c>
      <c r="AK198" s="117">
        <v>0</v>
      </c>
    </row>
    <row r="199" spans="2:37" x14ac:dyDescent="0.25">
      <c r="B199" s="69" t="s">
        <v>1479</v>
      </c>
      <c r="C199" s="69" t="s">
        <v>1447</v>
      </c>
      <c r="D199" s="36">
        <f t="shared" ref="D199:D206" si="55">+G199*E199</f>
        <v>0.15</v>
      </c>
      <c r="E199" s="4">
        <v>1</v>
      </c>
      <c r="F199" s="3"/>
      <c r="G199" s="15">
        <f>+IF(EXACT('3AC_Data'!$D$8,1),H199,IF(EXACT('3AC_Data'!$D$8,2),I199,IF(EXACT('3AC_Data'!$D$8,3),J199,IF(EXACT('3AC_Data'!$D$8,4),K199,IF(EXACT('3AC_Data'!$D$8,5),L199,IF(EXACT('3AC_Data'!$D$8,6),M199,IF(EXACT('3AC_Data'!$D$8,7),N199,IF(EXACT('3AC_Data'!$D$8,8),O199,IF(EXACT('3AC_Data'!$D$8,9),P199,IF(EXACT('3AC_Data'!$D$8,10),Q199,IF(EXACT('3AC_Data'!$D$8,11),R199,IF(EXACT('3AC_Data'!$D$8,12),S199,IF(EXACT('3AC_Data'!$D$8,13),T199,IF(EXACT('3AC_Data'!$D$8,14),U199,IF(EXACT('3AC_Data'!$D$8,15),V199,IF(EXACT('3AC_Data'!$D$8,16),W199,IF(EXACT('3AC_Data'!$D$8,17),X199,IF(EXACT('3AC_Data'!$D$8,18),Y199,IF(EXACT('3AC_Data'!$D$8,19),Z199,IF(EXACT('3AC_Data'!$D$8,20),AA199,IF(EXACT('3AC_Data'!$D$8,21),AB199,IF(EXACT('3AC_Data'!$D$8,22),AC199,IF(EXACT('3AC_Data'!$D$8,23),AD199,IF(EXACT('3AC_Data'!$D$8,24),AE199,IF(EXACT('3AC_Data'!$D$8,25),AF199,IF(EXACT('3AC_Data'!$D$8,26),AG199,IF(EXACT('3AC_Data'!$D$8,27),AH199,IF(EXACT('3AC_Data'!$D$8,28),AI199,IF(EXACT('3AC_Data'!$D$8,29),AJ199,IF(EXACT('3AC_Data'!$D$8,30),AK199))))))))))))))))))))))))))))))</f>
        <v>0.15</v>
      </c>
      <c r="H199" s="115">
        <v>0.15</v>
      </c>
      <c r="I199" s="116">
        <v>0.15</v>
      </c>
      <c r="J199" s="115">
        <v>0.12</v>
      </c>
      <c r="K199" s="115">
        <v>0</v>
      </c>
      <c r="L199" s="115">
        <v>0.15</v>
      </c>
      <c r="M199" s="115">
        <v>0.15</v>
      </c>
      <c r="N199" s="115">
        <v>0.15</v>
      </c>
      <c r="O199" s="115">
        <v>0.15</v>
      </c>
      <c r="P199" s="116">
        <v>0.15</v>
      </c>
      <c r="Q199" s="116">
        <v>0.15</v>
      </c>
      <c r="R199" s="116">
        <v>0.15</v>
      </c>
      <c r="S199" s="117">
        <v>0</v>
      </c>
      <c r="T199" s="117">
        <v>0</v>
      </c>
      <c r="U199" s="117">
        <v>0</v>
      </c>
      <c r="V199" s="116">
        <v>0.15</v>
      </c>
      <c r="W199" s="116">
        <v>0.15</v>
      </c>
      <c r="X199" s="116">
        <v>0.15</v>
      </c>
      <c r="Y199" s="116"/>
      <c r="Z199" s="117">
        <v>0</v>
      </c>
      <c r="AA199" s="115">
        <v>0.15</v>
      </c>
      <c r="AB199" s="116">
        <v>0.15</v>
      </c>
      <c r="AC199" s="117">
        <v>0.26960000000000001</v>
      </c>
      <c r="AD199" s="117">
        <v>0.24859999999999999</v>
      </c>
      <c r="AE199" s="150">
        <v>0</v>
      </c>
      <c r="AF199" s="115">
        <v>0.12</v>
      </c>
      <c r="AG199" s="117">
        <v>0</v>
      </c>
      <c r="AH199" s="175">
        <v>0</v>
      </c>
      <c r="AI199" s="117">
        <v>0</v>
      </c>
      <c r="AJ199" s="117">
        <v>0</v>
      </c>
      <c r="AK199" s="117">
        <v>0</v>
      </c>
    </row>
    <row r="200" spans="2:37" x14ac:dyDescent="0.25">
      <c r="B200" s="69" t="s">
        <v>1453</v>
      </c>
      <c r="C200" s="69" t="s">
        <v>1448</v>
      </c>
      <c r="D200" s="36">
        <f t="shared" si="55"/>
        <v>0.15</v>
      </c>
      <c r="E200" s="4">
        <v>1</v>
      </c>
      <c r="F200" s="3"/>
      <c r="G200" s="15">
        <f>+IF(EXACT('3AC_Data'!$D$8,1),H200,IF(EXACT('3AC_Data'!$D$8,2),I200,IF(EXACT('3AC_Data'!$D$8,3),J200,IF(EXACT('3AC_Data'!$D$8,4),K200,IF(EXACT('3AC_Data'!$D$8,5),L200,IF(EXACT('3AC_Data'!$D$8,6),M200,IF(EXACT('3AC_Data'!$D$8,7),N200,IF(EXACT('3AC_Data'!$D$8,8),O200,IF(EXACT('3AC_Data'!$D$8,9),P200,IF(EXACT('3AC_Data'!$D$8,10),Q200,IF(EXACT('3AC_Data'!$D$8,11),R200,IF(EXACT('3AC_Data'!$D$8,12),S200,IF(EXACT('3AC_Data'!$D$8,13),T200,IF(EXACT('3AC_Data'!$D$8,14),U200,IF(EXACT('3AC_Data'!$D$8,15),V200,IF(EXACT('3AC_Data'!$D$8,16),W200,IF(EXACT('3AC_Data'!$D$8,17),X200,IF(EXACT('3AC_Data'!$D$8,18),Y200,IF(EXACT('3AC_Data'!$D$8,19),Z200,IF(EXACT('3AC_Data'!$D$8,20),AA200,IF(EXACT('3AC_Data'!$D$8,21),AB200,IF(EXACT('3AC_Data'!$D$8,22),AC200,IF(EXACT('3AC_Data'!$D$8,23),AD200,IF(EXACT('3AC_Data'!$D$8,24),AE200,IF(EXACT('3AC_Data'!$D$8,25),AF200,IF(EXACT('3AC_Data'!$D$8,26),AG200,IF(EXACT('3AC_Data'!$D$8,27),AH200,IF(EXACT('3AC_Data'!$D$8,28),AI200,IF(EXACT('3AC_Data'!$D$8,29),AJ200,IF(EXACT('3AC_Data'!$D$8,30),AK200))))))))))))))))))))))))))))))</f>
        <v>0.15</v>
      </c>
      <c r="H200" s="115">
        <v>0.15</v>
      </c>
      <c r="I200" s="116">
        <v>0.15</v>
      </c>
      <c r="J200" s="115">
        <v>0.12</v>
      </c>
      <c r="K200" s="115">
        <v>0</v>
      </c>
      <c r="L200" s="115">
        <v>0.15</v>
      </c>
      <c r="M200" s="115">
        <v>0.15</v>
      </c>
      <c r="N200" s="115">
        <v>0.15</v>
      </c>
      <c r="O200" s="115">
        <v>0.15</v>
      </c>
      <c r="P200" s="116">
        <v>0.15</v>
      </c>
      <c r="Q200" s="116">
        <v>0.15</v>
      </c>
      <c r="R200" s="116">
        <v>0.15</v>
      </c>
      <c r="S200" s="117">
        <v>0</v>
      </c>
      <c r="T200" s="117">
        <v>0</v>
      </c>
      <c r="U200" s="117">
        <v>0</v>
      </c>
      <c r="V200" s="116">
        <v>0.15</v>
      </c>
      <c r="W200" s="116">
        <v>0.15</v>
      </c>
      <c r="X200" s="116">
        <v>0.15</v>
      </c>
      <c r="Y200" s="116"/>
      <c r="Z200" s="117">
        <v>0</v>
      </c>
      <c r="AA200" s="115">
        <v>0.15</v>
      </c>
      <c r="AB200" s="116">
        <v>0.15</v>
      </c>
      <c r="AC200" s="117">
        <v>0.13</v>
      </c>
      <c r="AD200" s="117">
        <v>0.13</v>
      </c>
      <c r="AE200" s="150">
        <v>0</v>
      </c>
      <c r="AF200" s="115">
        <v>0.12</v>
      </c>
      <c r="AG200" s="117">
        <v>0</v>
      </c>
      <c r="AH200" s="175">
        <v>0</v>
      </c>
      <c r="AI200" s="117">
        <v>0</v>
      </c>
      <c r="AJ200" s="117">
        <v>0</v>
      </c>
      <c r="AK200" s="117">
        <v>0</v>
      </c>
    </row>
    <row r="201" spans="2:37" x14ac:dyDescent="0.25">
      <c r="B201" s="69" t="s">
        <v>1480</v>
      </c>
      <c r="C201" s="69" t="s">
        <v>1449</v>
      </c>
      <c r="D201" s="36">
        <f t="shared" si="55"/>
        <v>0.15</v>
      </c>
      <c r="E201" s="4">
        <v>1</v>
      </c>
      <c r="F201" s="3"/>
      <c r="G201" s="15">
        <f>+IF(EXACT('3AC_Data'!$D$8,1),H201,IF(EXACT('3AC_Data'!$D$8,2),I201,IF(EXACT('3AC_Data'!$D$8,3),J201,IF(EXACT('3AC_Data'!$D$8,4),K201,IF(EXACT('3AC_Data'!$D$8,5),L201,IF(EXACT('3AC_Data'!$D$8,6),M201,IF(EXACT('3AC_Data'!$D$8,7),N201,IF(EXACT('3AC_Data'!$D$8,8),O201,IF(EXACT('3AC_Data'!$D$8,9),P201,IF(EXACT('3AC_Data'!$D$8,10),Q201,IF(EXACT('3AC_Data'!$D$8,11),R201,IF(EXACT('3AC_Data'!$D$8,12),S201,IF(EXACT('3AC_Data'!$D$8,13),T201,IF(EXACT('3AC_Data'!$D$8,14),U201,IF(EXACT('3AC_Data'!$D$8,15),V201,IF(EXACT('3AC_Data'!$D$8,16),W201,IF(EXACT('3AC_Data'!$D$8,17),X201,IF(EXACT('3AC_Data'!$D$8,18),Y201,IF(EXACT('3AC_Data'!$D$8,19),Z201,IF(EXACT('3AC_Data'!$D$8,20),AA201,IF(EXACT('3AC_Data'!$D$8,21),AB201,IF(EXACT('3AC_Data'!$D$8,22),AC201,IF(EXACT('3AC_Data'!$D$8,23),AD201,IF(EXACT('3AC_Data'!$D$8,24),AE201,IF(EXACT('3AC_Data'!$D$8,25),AF201,IF(EXACT('3AC_Data'!$D$8,26),AG201,IF(EXACT('3AC_Data'!$D$8,27),AH201,IF(EXACT('3AC_Data'!$D$8,28),AI201,IF(EXACT('3AC_Data'!$D$8,29),AJ201,IF(EXACT('3AC_Data'!$D$8,30),AK201))))))))))))))))))))))))))))))</f>
        <v>0.15</v>
      </c>
      <c r="H201" s="115">
        <v>0.15</v>
      </c>
      <c r="I201" s="116">
        <v>0.15</v>
      </c>
      <c r="J201" s="115">
        <v>0.12</v>
      </c>
      <c r="K201" s="115">
        <v>0</v>
      </c>
      <c r="L201" s="115">
        <v>0.15</v>
      </c>
      <c r="M201" s="115">
        <v>0.15</v>
      </c>
      <c r="N201" s="115">
        <v>0.15</v>
      </c>
      <c r="O201" s="115">
        <v>0.15</v>
      </c>
      <c r="P201" s="116">
        <v>0.15</v>
      </c>
      <c r="Q201" s="116">
        <v>0.15</v>
      </c>
      <c r="R201" s="116">
        <v>0.15</v>
      </c>
      <c r="S201" s="117">
        <v>0</v>
      </c>
      <c r="T201" s="117">
        <v>0</v>
      </c>
      <c r="U201" s="117">
        <v>0</v>
      </c>
      <c r="V201" s="116">
        <v>0.15</v>
      </c>
      <c r="W201" s="116">
        <v>0.15</v>
      </c>
      <c r="X201" s="116">
        <v>0.15</v>
      </c>
      <c r="Y201" s="116"/>
      <c r="Z201" s="117">
        <v>0</v>
      </c>
      <c r="AA201" s="115">
        <v>0.15</v>
      </c>
      <c r="AB201" s="116">
        <v>0.15</v>
      </c>
      <c r="AC201" s="117">
        <v>0.29599999999999999</v>
      </c>
      <c r="AD201" s="117">
        <v>0.27450000000000002</v>
      </c>
      <c r="AE201" s="150">
        <v>0</v>
      </c>
      <c r="AF201" s="115">
        <v>0.12</v>
      </c>
      <c r="AG201" s="117">
        <v>0</v>
      </c>
      <c r="AH201" s="175">
        <v>0</v>
      </c>
      <c r="AI201" s="117">
        <v>0</v>
      </c>
      <c r="AJ201" s="117">
        <v>0</v>
      </c>
      <c r="AK201" s="117">
        <v>0</v>
      </c>
    </row>
    <row r="202" spans="2:37" x14ac:dyDescent="0.25">
      <c r="B202" s="69" t="s">
        <v>1454</v>
      </c>
      <c r="C202" s="69" t="s">
        <v>1450</v>
      </c>
      <c r="D202" s="36">
        <f t="shared" si="55"/>
        <v>0.15</v>
      </c>
      <c r="E202" s="4">
        <v>1</v>
      </c>
      <c r="F202" s="3"/>
      <c r="G202" s="15">
        <f>+IF(EXACT('3AC_Data'!$D$8,1),H202,IF(EXACT('3AC_Data'!$D$8,2),I202,IF(EXACT('3AC_Data'!$D$8,3),J202,IF(EXACT('3AC_Data'!$D$8,4),K202,IF(EXACT('3AC_Data'!$D$8,5),L202,IF(EXACT('3AC_Data'!$D$8,6),M202,IF(EXACT('3AC_Data'!$D$8,7),N202,IF(EXACT('3AC_Data'!$D$8,8),O202,IF(EXACT('3AC_Data'!$D$8,9),P202,IF(EXACT('3AC_Data'!$D$8,10),Q202,IF(EXACT('3AC_Data'!$D$8,11),R202,IF(EXACT('3AC_Data'!$D$8,12),S202,IF(EXACT('3AC_Data'!$D$8,13),T202,IF(EXACT('3AC_Data'!$D$8,14),U202,IF(EXACT('3AC_Data'!$D$8,15),V202,IF(EXACT('3AC_Data'!$D$8,16),W202,IF(EXACT('3AC_Data'!$D$8,17),X202,IF(EXACT('3AC_Data'!$D$8,18),Y202,IF(EXACT('3AC_Data'!$D$8,19),Z202,IF(EXACT('3AC_Data'!$D$8,20),AA202,IF(EXACT('3AC_Data'!$D$8,21),AB202,IF(EXACT('3AC_Data'!$D$8,22),AC202,IF(EXACT('3AC_Data'!$D$8,23),AD202,IF(EXACT('3AC_Data'!$D$8,24),AE202,IF(EXACT('3AC_Data'!$D$8,25),AF202,IF(EXACT('3AC_Data'!$D$8,26),AG202,IF(EXACT('3AC_Data'!$D$8,27),AH202,IF(EXACT('3AC_Data'!$D$8,28),AI202,IF(EXACT('3AC_Data'!$D$8,29),AJ202,IF(EXACT('3AC_Data'!$D$8,30),AK202))))))))))))))))))))))))))))))</f>
        <v>0.15</v>
      </c>
      <c r="H202" s="115">
        <v>0.15</v>
      </c>
      <c r="I202" s="116">
        <v>0.15</v>
      </c>
      <c r="J202" s="115">
        <v>0.12</v>
      </c>
      <c r="K202" s="115">
        <v>0</v>
      </c>
      <c r="L202" s="115">
        <v>0.15</v>
      </c>
      <c r="M202" s="115">
        <v>0.15</v>
      </c>
      <c r="N202" s="115">
        <v>0.15</v>
      </c>
      <c r="O202" s="115">
        <v>0.15</v>
      </c>
      <c r="P202" s="116">
        <v>0.15</v>
      </c>
      <c r="Q202" s="116">
        <v>0.15</v>
      </c>
      <c r="R202" s="116">
        <v>0.15</v>
      </c>
      <c r="S202" s="117">
        <v>0</v>
      </c>
      <c r="T202" s="117">
        <v>0</v>
      </c>
      <c r="U202" s="117">
        <v>0</v>
      </c>
      <c r="V202" s="116">
        <v>0.15</v>
      </c>
      <c r="W202" s="116">
        <v>0.15</v>
      </c>
      <c r="X202" s="116">
        <v>0.15</v>
      </c>
      <c r="Y202" s="116"/>
      <c r="Z202" s="117">
        <v>0</v>
      </c>
      <c r="AA202" s="115">
        <v>0.15</v>
      </c>
      <c r="AB202" s="116">
        <v>0.15</v>
      </c>
      <c r="AC202" s="117">
        <v>0.08</v>
      </c>
      <c r="AD202" s="117">
        <v>0.12</v>
      </c>
      <c r="AE202" s="150">
        <v>0</v>
      </c>
      <c r="AF202" s="115">
        <v>0.12</v>
      </c>
      <c r="AG202" s="117">
        <v>0</v>
      </c>
      <c r="AH202" s="175">
        <v>0</v>
      </c>
      <c r="AI202" s="117">
        <v>0</v>
      </c>
      <c r="AJ202" s="117">
        <v>0</v>
      </c>
      <c r="AK202" s="117">
        <v>0</v>
      </c>
    </row>
    <row r="203" spans="2:37" x14ac:dyDescent="0.25">
      <c r="B203" s="69" t="s">
        <v>1481</v>
      </c>
      <c r="C203" s="69" t="s">
        <v>1455</v>
      </c>
      <c r="D203" s="36">
        <f t="shared" si="55"/>
        <v>0.15</v>
      </c>
      <c r="E203" s="4">
        <v>1</v>
      </c>
      <c r="F203" s="3"/>
      <c r="G203" s="15">
        <f>+IF(EXACT('3AC_Data'!$D$8,1),H203,IF(EXACT('3AC_Data'!$D$8,2),I203,IF(EXACT('3AC_Data'!$D$8,3),J203,IF(EXACT('3AC_Data'!$D$8,4),K203,IF(EXACT('3AC_Data'!$D$8,5),L203,IF(EXACT('3AC_Data'!$D$8,6),M203,IF(EXACT('3AC_Data'!$D$8,7),N203,IF(EXACT('3AC_Data'!$D$8,8),O203,IF(EXACT('3AC_Data'!$D$8,9),P203,IF(EXACT('3AC_Data'!$D$8,10),Q203,IF(EXACT('3AC_Data'!$D$8,11),R203,IF(EXACT('3AC_Data'!$D$8,12),S203,IF(EXACT('3AC_Data'!$D$8,13),T203,IF(EXACT('3AC_Data'!$D$8,14),U203,IF(EXACT('3AC_Data'!$D$8,15),V203,IF(EXACT('3AC_Data'!$D$8,16),W203,IF(EXACT('3AC_Data'!$D$8,17),X203,IF(EXACT('3AC_Data'!$D$8,18),Y203,IF(EXACT('3AC_Data'!$D$8,19),Z203,IF(EXACT('3AC_Data'!$D$8,20),AA203,IF(EXACT('3AC_Data'!$D$8,21),AB203,IF(EXACT('3AC_Data'!$D$8,22),AC203,IF(EXACT('3AC_Data'!$D$8,23),AD203,IF(EXACT('3AC_Data'!$D$8,24),AE203,IF(EXACT('3AC_Data'!$D$8,25),AF203,IF(EXACT('3AC_Data'!$D$8,26),AG203,IF(EXACT('3AC_Data'!$D$8,27),AH203,IF(EXACT('3AC_Data'!$D$8,28),AI203,IF(EXACT('3AC_Data'!$D$8,29),AJ203,IF(EXACT('3AC_Data'!$D$8,30),AK203))))))))))))))))))))))))))))))</f>
        <v>0.15</v>
      </c>
      <c r="H203" s="115">
        <v>0.15</v>
      </c>
      <c r="I203" s="116">
        <v>0.15</v>
      </c>
      <c r="J203" s="115">
        <v>0.12</v>
      </c>
      <c r="K203" s="115">
        <v>0</v>
      </c>
      <c r="L203" s="115">
        <v>0.15</v>
      </c>
      <c r="M203" s="115">
        <v>0.15</v>
      </c>
      <c r="N203" s="115">
        <v>0.15</v>
      </c>
      <c r="O203" s="115">
        <v>0.15</v>
      </c>
      <c r="P203" s="116">
        <v>0.15</v>
      </c>
      <c r="Q203" s="116">
        <v>0.15</v>
      </c>
      <c r="R203" s="116">
        <v>0.15</v>
      </c>
      <c r="S203" s="117">
        <v>0</v>
      </c>
      <c r="T203" s="117">
        <v>0</v>
      </c>
      <c r="U203" s="117">
        <v>0</v>
      </c>
      <c r="V203" s="116">
        <v>0.15</v>
      </c>
      <c r="W203" s="116">
        <v>0.15</v>
      </c>
      <c r="X203" s="116">
        <v>0.15</v>
      </c>
      <c r="Y203" s="116"/>
      <c r="Z203" s="117">
        <v>0</v>
      </c>
      <c r="AA203" s="115">
        <v>0.15</v>
      </c>
      <c r="AB203" s="116">
        <v>0.15</v>
      </c>
      <c r="AC203" s="117">
        <v>1</v>
      </c>
      <c r="AD203" s="117">
        <v>0.21690000000000001</v>
      </c>
      <c r="AE203" s="150">
        <v>0</v>
      </c>
      <c r="AF203" s="115">
        <v>0.12</v>
      </c>
      <c r="AG203" s="117">
        <v>0</v>
      </c>
      <c r="AH203" s="175">
        <v>0</v>
      </c>
      <c r="AI203" s="117">
        <v>0</v>
      </c>
      <c r="AJ203" s="117">
        <v>0</v>
      </c>
      <c r="AK203" s="117">
        <v>0</v>
      </c>
    </row>
    <row r="204" spans="2:37" x14ac:dyDescent="0.25">
      <c r="B204" s="69" t="s">
        <v>1457</v>
      </c>
      <c r="C204" s="69" t="s">
        <v>1456</v>
      </c>
      <c r="D204" s="36">
        <f t="shared" si="55"/>
        <v>0.15</v>
      </c>
      <c r="E204" s="4">
        <v>1</v>
      </c>
      <c r="F204" s="3"/>
      <c r="G204" s="15">
        <f>+IF(EXACT('3AC_Data'!$D$8,1),H204,IF(EXACT('3AC_Data'!$D$8,2),I204,IF(EXACT('3AC_Data'!$D$8,3),J204,IF(EXACT('3AC_Data'!$D$8,4),K204,IF(EXACT('3AC_Data'!$D$8,5),L204,IF(EXACT('3AC_Data'!$D$8,6),M204,IF(EXACT('3AC_Data'!$D$8,7),N204,IF(EXACT('3AC_Data'!$D$8,8),O204,IF(EXACT('3AC_Data'!$D$8,9),P204,IF(EXACT('3AC_Data'!$D$8,10),Q204,IF(EXACT('3AC_Data'!$D$8,11),R204,IF(EXACT('3AC_Data'!$D$8,12),S204,IF(EXACT('3AC_Data'!$D$8,13),T204,IF(EXACT('3AC_Data'!$D$8,14),U204,IF(EXACT('3AC_Data'!$D$8,15),V204,IF(EXACT('3AC_Data'!$D$8,16),W204,IF(EXACT('3AC_Data'!$D$8,17),X204,IF(EXACT('3AC_Data'!$D$8,18),Y204,IF(EXACT('3AC_Data'!$D$8,19),Z204,IF(EXACT('3AC_Data'!$D$8,20),AA204,IF(EXACT('3AC_Data'!$D$8,21),AB204,IF(EXACT('3AC_Data'!$D$8,22),AC204,IF(EXACT('3AC_Data'!$D$8,23),AD204,IF(EXACT('3AC_Data'!$D$8,24),AE204,IF(EXACT('3AC_Data'!$D$8,25),AF204,IF(EXACT('3AC_Data'!$D$8,26),AG204,IF(EXACT('3AC_Data'!$D$8,27),AH204,IF(EXACT('3AC_Data'!$D$8,28),AI204,IF(EXACT('3AC_Data'!$D$8,29),AJ204,IF(EXACT('3AC_Data'!$D$8,30),AK204))))))))))))))))))))))))))))))</f>
        <v>0.15</v>
      </c>
      <c r="H204" s="115">
        <v>0.15</v>
      </c>
      <c r="I204" s="116">
        <v>0.15</v>
      </c>
      <c r="J204" s="115">
        <v>0.12</v>
      </c>
      <c r="K204" s="115">
        <v>0</v>
      </c>
      <c r="L204" s="115">
        <v>0.15</v>
      </c>
      <c r="M204" s="115">
        <v>0.15</v>
      </c>
      <c r="N204" s="115">
        <v>0.15</v>
      </c>
      <c r="O204" s="115">
        <v>0.15</v>
      </c>
      <c r="P204" s="116">
        <v>0.15</v>
      </c>
      <c r="Q204" s="116">
        <v>0.15</v>
      </c>
      <c r="R204" s="116">
        <v>0.15</v>
      </c>
      <c r="S204" s="117">
        <v>0</v>
      </c>
      <c r="T204" s="117">
        <v>0</v>
      </c>
      <c r="U204" s="117">
        <v>0</v>
      </c>
      <c r="V204" s="116">
        <v>0.15</v>
      </c>
      <c r="W204" s="116">
        <v>0.15</v>
      </c>
      <c r="X204" s="116">
        <v>0.15</v>
      </c>
      <c r="Y204" s="116"/>
      <c r="Z204" s="117">
        <v>0</v>
      </c>
      <c r="AA204" s="115">
        <v>0.15</v>
      </c>
      <c r="AB204" s="116">
        <v>0.15</v>
      </c>
      <c r="AC204" s="117">
        <v>0.08</v>
      </c>
      <c r="AD204" s="117">
        <v>0.09</v>
      </c>
      <c r="AE204" s="150">
        <v>0</v>
      </c>
      <c r="AF204" s="115">
        <v>0.12</v>
      </c>
      <c r="AG204" s="117">
        <v>0</v>
      </c>
      <c r="AH204" s="175">
        <v>0</v>
      </c>
      <c r="AI204" s="117">
        <v>0</v>
      </c>
      <c r="AJ204" s="117">
        <v>0</v>
      </c>
      <c r="AK204" s="117">
        <v>0</v>
      </c>
    </row>
    <row r="205" spans="2:37" x14ac:dyDescent="0.25">
      <c r="B205" s="69" t="s">
        <v>1482</v>
      </c>
      <c r="C205" s="69" t="s">
        <v>1452</v>
      </c>
      <c r="D205" s="36">
        <f t="shared" si="55"/>
        <v>0.15</v>
      </c>
      <c r="E205" s="4">
        <v>1</v>
      </c>
      <c r="F205" s="3"/>
      <c r="G205" s="15">
        <f>+IF(EXACT('3AC_Data'!$D$8,1),H205,IF(EXACT('3AC_Data'!$D$8,2),I205,IF(EXACT('3AC_Data'!$D$8,3),J205,IF(EXACT('3AC_Data'!$D$8,4),K205,IF(EXACT('3AC_Data'!$D$8,5),L205,IF(EXACT('3AC_Data'!$D$8,6),M205,IF(EXACT('3AC_Data'!$D$8,7),N205,IF(EXACT('3AC_Data'!$D$8,8),O205,IF(EXACT('3AC_Data'!$D$8,9),P205,IF(EXACT('3AC_Data'!$D$8,10),Q205,IF(EXACT('3AC_Data'!$D$8,11),R205,IF(EXACT('3AC_Data'!$D$8,12),S205,IF(EXACT('3AC_Data'!$D$8,13),T205,IF(EXACT('3AC_Data'!$D$8,14),U205,IF(EXACT('3AC_Data'!$D$8,15),V205,IF(EXACT('3AC_Data'!$D$8,16),W205,IF(EXACT('3AC_Data'!$D$8,17),X205,IF(EXACT('3AC_Data'!$D$8,18),Y205,IF(EXACT('3AC_Data'!$D$8,19),Z205,IF(EXACT('3AC_Data'!$D$8,20),AA205,IF(EXACT('3AC_Data'!$D$8,21),AB205,IF(EXACT('3AC_Data'!$D$8,22),AC205,IF(EXACT('3AC_Data'!$D$8,23),AD205,IF(EXACT('3AC_Data'!$D$8,24),AE205,IF(EXACT('3AC_Data'!$D$8,25),AF205,IF(EXACT('3AC_Data'!$D$8,26),AG205,IF(EXACT('3AC_Data'!$D$8,27),AH205,IF(EXACT('3AC_Data'!$D$8,28),AI205,IF(EXACT('3AC_Data'!$D$8,29),AJ205,IF(EXACT('3AC_Data'!$D$8,30),AK205))))))))))))))))))))))))))))))</f>
        <v>0.15</v>
      </c>
      <c r="H205" s="115">
        <v>0.15</v>
      </c>
      <c r="I205" s="116">
        <v>0.15</v>
      </c>
      <c r="J205" s="115">
        <v>0.12</v>
      </c>
      <c r="K205" s="115">
        <v>0</v>
      </c>
      <c r="L205" s="115">
        <v>0.15</v>
      </c>
      <c r="M205" s="115">
        <v>0.15</v>
      </c>
      <c r="N205" s="115">
        <v>0.15</v>
      </c>
      <c r="O205" s="115">
        <v>0.15</v>
      </c>
      <c r="P205" s="116">
        <v>0.15</v>
      </c>
      <c r="Q205" s="116">
        <v>0.15</v>
      </c>
      <c r="R205" s="116">
        <v>0.15</v>
      </c>
      <c r="S205" s="117">
        <v>0</v>
      </c>
      <c r="T205" s="117">
        <v>0</v>
      </c>
      <c r="U205" s="117">
        <v>0</v>
      </c>
      <c r="V205" s="116">
        <v>0.15</v>
      </c>
      <c r="W205" s="116">
        <v>0.15</v>
      </c>
      <c r="X205" s="116">
        <v>0.15</v>
      </c>
      <c r="Y205" s="116"/>
      <c r="Z205" s="117">
        <v>0</v>
      </c>
      <c r="AA205" s="115">
        <v>0.15</v>
      </c>
      <c r="AB205" s="116">
        <v>0.15</v>
      </c>
      <c r="AC205" s="117">
        <v>0</v>
      </c>
      <c r="AD205" s="117">
        <v>0</v>
      </c>
      <c r="AE205" s="150">
        <v>0</v>
      </c>
      <c r="AF205" s="115">
        <v>0.12</v>
      </c>
      <c r="AG205" s="117">
        <v>0</v>
      </c>
      <c r="AH205" s="175">
        <v>0</v>
      </c>
      <c r="AI205" s="117">
        <v>0</v>
      </c>
      <c r="AJ205" s="117">
        <v>0</v>
      </c>
      <c r="AK205" s="117">
        <v>0</v>
      </c>
    </row>
    <row r="206" spans="2:37" x14ac:dyDescent="0.25">
      <c r="B206" s="69" t="s">
        <v>1458</v>
      </c>
      <c r="C206" s="69" t="s">
        <v>1451</v>
      </c>
      <c r="D206" s="36">
        <f t="shared" si="55"/>
        <v>0.15</v>
      </c>
      <c r="E206" s="4">
        <v>1</v>
      </c>
      <c r="F206" s="3"/>
      <c r="G206" s="15">
        <f>+IF(EXACT('3AC_Data'!$D$8,1),H206,IF(EXACT('3AC_Data'!$D$8,2),I206,IF(EXACT('3AC_Data'!$D$8,3),J206,IF(EXACT('3AC_Data'!$D$8,4),K206,IF(EXACT('3AC_Data'!$D$8,5),L206,IF(EXACT('3AC_Data'!$D$8,6),M206,IF(EXACT('3AC_Data'!$D$8,7),N206,IF(EXACT('3AC_Data'!$D$8,8),O206,IF(EXACT('3AC_Data'!$D$8,9),P206,IF(EXACT('3AC_Data'!$D$8,10),Q206,IF(EXACT('3AC_Data'!$D$8,11),R206,IF(EXACT('3AC_Data'!$D$8,12),S206,IF(EXACT('3AC_Data'!$D$8,13),T206,IF(EXACT('3AC_Data'!$D$8,14),U206,IF(EXACT('3AC_Data'!$D$8,15),V206,IF(EXACT('3AC_Data'!$D$8,16),W206,IF(EXACT('3AC_Data'!$D$8,17),X206,IF(EXACT('3AC_Data'!$D$8,18),Y206,IF(EXACT('3AC_Data'!$D$8,19),Z206,IF(EXACT('3AC_Data'!$D$8,20),AA206,IF(EXACT('3AC_Data'!$D$8,21),AB206,IF(EXACT('3AC_Data'!$D$8,22),AC206,IF(EXACT('3AC_Data'!$D$8,23),AD206,IF(EXACT('3AC_Data'!$D$8,24),AE206,IF(EXACT('3AC_Data'!$D$8,25),AF206,IF(EXACT('3AC_Data'!$D$8,26),AG206,IF(EXACT('3AC_Data'!$D$8,27),AH206,IF(EXACT('3AC_Data'!$D$8,28),AI206,IF(EXACT('3AC_Data'!$D$8,29),AJ206,IF(EXACT('3AC_Data'!$D$8,30),AK206))))))))))))))))))))))))))))))</f>
        <v>0.15</v>
      </c>
      <c r="H206" s="115">
        <v>0.15</v>
      </c>
      <c r="I206" s="116">
        <v>0.15</v>
      </c>
      <c r="J206" s="115">
        <v>0.12</v>
      </c>
      <c r="K206" s="115">
        <v>0</v>
      </c>
      <c r="L206" s="115">
        <v>0.15</v>
      </c>
      <c r="M206" s="115">
        <v>0.15</v>
      </c>
      <c r="N206" s="115">
        <v>0.15</v>
      </c>
      <c r="O206" s="115">
        <v>0.15</v>
      </c>
      <c r="P206" s="116">
        <v>0.15</v>
      </c>
      <c r="Q206" s="116">
        <v>0.15</v>
      </c>
      <c r="R206" s="116">
        <v>0.15</v>
      </c>
      <c r="S206" s="117">
        <v>0</v>
      </c>
      <c r="T206" s="117">
        <v>0</v>
      </c>
      <c r="U206" s="117">
        <v>0</v>
      </c>
      <c r="V206" s="116">
        <v>0.15</v>
      </c>
      <c r="W206" s="116">
        <v>0.15</v>
      </c>
      <c r="X206" s="116">
        <v>0.15</v>
      </c>
      <c r="Y206" s="116"/>
      <c r="Z206" s="117">
        <v>0</v>
      </c>
      <c r="AA206" s="115">
        <v>0.15</v>
      </c>
      <c r="AB206" s="116">
        <v>0.15</v>
      </c>
      <c r="AC206" s="117">
        <v>0</v>
      </c>
      <c r="AD206" s="117">
        <v>0</v>
      </c>
      <c r="AE206" s="150">
        <v>0</v>
      </c>
      <c r="AF206" s="115">
        <v>0.12</v>
      </c>
      <c r="AG206" s="117">
        <v>0</v>
      </c>
      <c r="AH206" s="175">
        <v>0</v>
      </c>
      <c r="AI206" s="117">
        <v>0</v>
      </c>
      <c r="AJ206" s="117">
        <v>0</v>
      </c>
      <c r="AK206" s="117">
        <v>0</v>
      </c>
    </row>
    <row r="207" spans="2:37" x14ac:dyDescent="0.25">
      <c r="B207" s="2" t="s">
        <v>515</v>
      </c>
      <c r="C207" s="2" t="s">
        <v>518</v>
      </c>
      <c r="D207" s="36">
        <f t="shared" si="53"/>
        <v>0.45179999999999998</v>
      </c>
      <c r="E207" s="4">
        <v>1</v>
      </c>
      <c r="F207" s="3"/>
      <c r="G207" s="15">
        <f>+IF(EXACT('3AC_Data'!$D$8,1),H207,IF(EXACT('3AC_Data'!$D$8,2),I207,IF(EXACT('3AC_Data'!$D$8,3),J207,IF(EXACT('3AC_Data'!$D$8,4),K207,IF(EXACT('3AC_Data'!$D$8,5),L207,IF(EXACT('3AC_Data'!$D$8,6),M207,IF(EXACT('3AC_Data'!$D$8,7),N207,IF(EXACT('3AC_Data'!$D$8,8),O207,IF(EXACT('3AC_Data'!$D$8,9),P207,IF(EXACT('3AC_Data'!$D$8,10),Q207,IF(EXACT('3AC_Data'!$D$8,11),R207,IF(EXACT('3AC_Data'!$D$8,12),S207,IF(EXACT('3AC_Data'!$D$8,13),T207,IF(EXACT('3AC_Data'!$D$8,14),U207,IF(EXACT('3AC_Data'!$D$8,15),V207,IF(EXACT('3AC_Data'!$D$8,16),W207,IF(EXACT('3AC_Data'!$D$8,17),X207,IF(EXACT('3AC_Data'!$D$8,18),Y207,IF(EXACT('3AC_Data'!$D$8,19),Z207,IF(EXACT('3AC_Data'!$D$8,20),AA207,IF(EXACT('3AC_Data'!$D$8,21),AB207,IF(EXACT('3AC_Data'!$D$8,22),AC207,IF(EXACT('3AC_Data'!$D$8,23),AD207,IF(EXACT('3AC_Data'!$D$8,24),AE207,IF(EXACT('3AC_Data'!$D$8,25),AF207,IF(EXACT('3AC_Data'!$D$8,26),AG207,IF(EXACT('3AC_Data'!$D$8,27),AH207,IF(EXACT('3AC_Data'!$D$8,28),AI207,IF(EXACT('3AC_Data'!$D$8,29),AJ207,IF(EXACT('3AC_Data'!$D$8,30),AK207))))))))))))))))))))))))))))))</f>
        <v>0.45179999999999998</v>
      </c>
      <c r="H207" s="21">
        <v>0.9</v>
      </c>
      <c r="I207" s="45">
        <v>0.9</v>
      </c>
      <c r="J207" s="21">
        <v>0.95230000000000004</v>
      </c>
      <c r="K207" s="21">
        <v>17</v>
      </c>
      <c r="L207" s="21">
        <v>0.9</v>
      </c>
      <c r="M207" s="21">
        <v>0.45179999999999998</v>
      </c>
      <c r="N207" s="21">
        <v>0.5</v>
      </c>
      <c r="O207" s="21">
        <v>0.9</v>
      </c>
      <c r="P207" s="45">
        <v>0.8</v>
      </c>
      <c r="Q207" s="45">
        <v>0.8</v>
      </c>
      <c r="R207" s="45">
        <v>0.99709999999999999</v>
      </c>
      <c r="S207" s="44">
        <v>0.217</v>
      </c>
      <c r="T207" s="44">
        <v>0.20899999999999999</v>
      </c>
      <c r="U207" s="44">
        <v>17</v>
      </c>
      <c r="V207" s="45">
        <v>0.8</v>
      </c>
      <c r="W207" s="45">
        <f>1.215+494.034/1000</f>
        <v>1.7090339999999999</v>
      </c>
      <c r="X207" s="45">
        <f>1.215+494.034/1000</f>
        <v>1.7090339999999999</v>
      </c>
      <c r="Y207" s="45">
        <v>0.68</v>
      </c>
      <c r="Z207" s="45">
        <v>10</v>
      </c>
      <c r="AA207" s="45">
        <v>0.6</v>
      </c>
      <c r="AB207" s="45">
        <v>0.40899999999999997</v>
      </c>
      <c r="AC207" s="44">
        <v>4.5006000000000004</v>
      </c>
      <c r="AD207" s="44">
        <v>5.6740120679387402</v>
      </c>
      <c r="AE207" s="141">
        <v>1.9739689591542799</v>
      </c>
      <c r="AF207" s="21">
        <v>0.95230000000000004</v>
      </c>
      <c r="AG207" s="44">
        <v>0.85299999999999998</v>
      </c>
      <c r="AH207" s="176">
        <v>1.387667</v>
      </c>
      <c r="AI207" s="44">
        <v>17</v>
      </c>
      <c r="AJ207" s="44">
        <v>17</v>
      </c>
      <c r="AK207" s="44">
        <v>17</v>
      </c>
    </row>
    <row r="208" spans="2:37" x14ac:dyDescent="0.25">
      <c r="B208" s="2" t="s">
        <v>516</v>
      </c>
      <c r="C208" s="2" t="s">
        <v>519</v>
      </c>
      <c r="D208" s="36">
        <f t="shared" si="53"/>
        <v>0</v>
      </c>
      <c r="E208" s="4">
        <v>1</v>
      </c>
      <c r="F208" s="3"/>
      <c r="G208" s="15">
        <f>+IF(EXACT('3AC_Data'!$D$8,1),H208,IF(EXACT('3AC_Data'!$D$8,2),I208,IF(EXACT('3AC_Data'!$D$8,3),J208,IF(EXACT('3AC_Data'!$D$8,4),K208,IF(EXACT('3AC_Data'!$D$8,5),L208,IF(EXACT('3AC_Data'!$D$8,6),M208,IF(EXACT('3AC_Data'!$D$8,7),N208,IF(EXACT('3AC_Data'!$D$8,8),O208,IF(EXACT('3AC_Data'!$D$8,9),P208,IF(EXACT('3AC_Data'!$D$8,10),Q208,IF(EXACT('3AC_Data'!$D$8,11),R208,IF(EXACT('3AC_Data'!$D$8,12),S208,IF(EXACT('3AC_Data'!$D$8,13),T208,IF(EXACT('3AC_Data'!$D$8,14),U208,IF(EXACT('3AC_Data'!$D$8,15),V208,IF(EXACT('3AC_Data'!$D$8,16),W208,IF(EXACT('3AC_Data'!$D$8,17),X208,IF(EXACT('3AC_Data'!$D$8,18),Y208,IF(EXACT('3AC_Data'!$D$8,19),Z208,IF(EXACT('3AC_Data'!$D$8,20),AA208,IF(EXACT('3AC_Data'!$D$8,21),AB208,IF(EXACT('3AC_Data'!$D$8,22),AC208,IF(EXACT('3AC_Data'!$D$8,23),AD208,IF(EXACT('3AC_Data'!$D$8,24),AE208,IF(EXACT('3AC_Data'!$D$8,25),AF208,IF(EXACT('3AC_Data'!$D$8,26),AG208,IF(EXACT('3AC_Data'!$D$8,27),AH208,IF(EXACT('3AC_Data'!$D$8,28),AI208,IF(EXACT('3AC_Data'!$D$8,29),AJ208,IF(EXACT('3AC_Data'!$D$8,30),AK208))))))))))))))))))))))))))))))</f>
        <v>0</v>
      </c>
      <c r="H208" s="21">
        <v>0</v>
      </c>
      <c r="I208" s="45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45">
        <v>0</v>
      </c>
      <c r="Q208" s="45">
        <v>0</v>
      </c>
      <c r="R208" s="45">
        <v>0</v>
      </c>
      <c r="S208" s="44">
        <v>0</v>
      </c>
      <c r="T208" s="44">
        <v>0</v>
      </c>
      <c r="U208" s="44">
        <v>0</v>
      </c>
      <c r="V208" s="45">
        <v>0</v>
      </c>
      <c r="W208" s="45">
        <v>0</v>
      </c>
      <c r="X208" s="45">
        <f>-1.429/1000</f>
        <v>-1.4290000000000001E-3</v>
      </c>
      <c r="Y208" s="45">
        <v>0</v>
      </c>
      <c r="Z208" s="45">
        <v>0</v>
      </c>
      <c r="AA208" s="45">
        <v>0</v>
      </c>
      <c r="AB208" s="45">
        <v>0</v>
      </c>
      <c r="AC208" s="44">
        <v>0</v>
      </c>
      <c r="AD208" s="44">
        <v>0</v>
      </c>
      <c r="AE208" s="141">
        <v>0</v>
      </c>
      <c r="AF208" s="21">
        <v>0</v>
      </c>
      <c r="AG208" s="44">
        <v>0</v>
      </c>
      <c r="AH208" s="176">
        <v>0</v>
      </c>
      <c r="AI208" s="44">
        <v>0</v>
      </c>
      <c r="AJ208" s="44">
        <v>0</v>
      </c>
      <c r="AK208" s="44">
        <v>0</v>
      </c>
    </row>
    <row r="209" spans="2:37" x14ac:dyDescent="0.25">
      <c r="B209" s="2" t="s">
        <v>517</v>
      </c>
      <c r="C209" s="2" t="s">
        <v>520</v>
      </c>
      <c r="D209" s="36">
        <f t="shared" si="53"/>
        <v>0</v>
      </c>
      <c r="E209" s="4">
        <v>1</v>
      </c>
      <c r="F209" s="3"/>
      <c r="G209" s="15">
        <f>+IF(EXACT('3AC_Data'!$D$8,1),H209,IF(EXACT('3AC_Data'!$D$8,2),I209,IF(EXACT('3AC_Data'!$D$8,3),J209,IF(EXACT('3AC_Data'!$D$8,4),K209,IF(EXACT('3AC_Data'!$D$8,5),L209,IF(EXACT('3AC_Data'!$D$8,6),M209,IF(EXACT('3AC_Data'!$D$8,7),N209,IF(EXACT('3AC_Data'!$D$8,8),O209,IF(EXACT('3AC_Data'!$D$8,9),P209,IF(EXACT('3AC_Data'!$D$8,10),Q209,IF(EXACT('3AC_Data'!$D$8,11),R209,IF(EXACT('3AC_Data'!$D$8,12),S209,IF(EXACT('3AC_Data'!$D$8,13),T209,IF(EXACT('3AC_Data'!$D$8,14),U209,IF(EXACT('3AC_Data'!$D$8,15),V209,IF(EXACT('3AC_Data'!$D$8,16),W209,IF(EXACT('3AC_Data'!$D$8,17),X209,IF(EXACT('3AC_Data'!$D$8,18),Y209,IF(EXACT('3AC_Data'!$D$8,19),Z209,IF(EXACT('3AC_Data'!$D$8,20),AA209,IF(EXACT('3AC_Data'!$D$8,21),AB209,IF(EXACT('3AC_Data'!$D$8,22),AC209,IF(EXACT('3AC_Data'!$D$8,23),AD209,IF(EXACT('3AC_Data'!$D$8,24),AE209,IF(EXACT('3AC_Data'!$D$8,25),AF209,IF(EXACT('3AC_Data'!$D$8,26),AG209,IF(EXACT('3AC_Data'!$D$8,27),AH209,IF(EXACT('3AC_Data'!$D$8,28),AI209,IF(EXACT('3AC_Data'!$D$8,29),AJ209,IF(EXACT('3AC_Data'!$D$8,30),AK209))))))))))))))))))))))))))))))</f>
        <v>0</v>
      </c>
      <c r="H209" s="21">
        <v>0</v>
      </c>
      <c r="I209" s="45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45">
        <v>0</v>
      </c>
      <c r="Q209" s="45">
        <v>0</v>
      </c>
      <c r="R209" s="45">
        <v>0</v>
      </c>
      <c r="S209" s="44">
        <v>-6.9000000000000006E-2</v>
      </c>
      <c r="T209" s="44">
        <v>-7.3999999999999996E-2</v>
      </c>
      <c r="U209" s="44">
        <v>0</v>
      </c>
      <c r="V209" s="45">
        <v>0</v>
      </c>
      <c r="W209" s="45">
        <v>-8.0712000000000006E-2</v>
      </c>
      <c r="X209" s="45">
        <f>-74.041/1000</f>
        <v>-7.4040999999999996E-2</v>
      </c>
      <c r="Y209" s="45">
        <v>0</v>
      </c>
      <c r="Z209" s="45">
        <v>0</v>
      </c>
      <c r="AA209" s="45">
        <v>0</v>
      </c>
      <c r="AB209" s="45">
        <v>0</v>
      </c>
      <c r="AC209" s="44">
        <v>0</v>
      </c>
      <c r="AD209" s="44">
        <v>0</v>
      </c>
      <c r="AE209" s="141">
        <v>0</v>
      </c>
      <c r="AF209" s="21">
        <v>0</v>
      </c>
      <c r="AG209" s="44">
        <v>0</v>
      </c>
      <c r="AH209" s="176">
        <v>0</v>
      </c>
      <c r="AI209" s="44">
        <v>0</v>
      </c>
      <c r="AJ209" s="44">
        <v>0</v>
      </c>
      <c r="AK209" s="44">
        <v>0</v>
      </c>
    </row>
    <row r="210" spans="2:37" x14ac:dyDescent="0.25">
      <c r="B210" s="2" t="s">
        <v>815</v>
      </c>
      <c r="C210" s="2" t="s">
        <v>816</v>
      </c>
      <c r="D210" s="36">
        <f t="shared" si="53"/>
        <v>1.1200000000000001</v>
      </c>
      <c r="E210" s="4">
        <v>1</v>
      </c>
      <c r="F210" s="3"/>
      <c r="G210" s="15">
        <f>+IF(EXACT('3AC_Data'!$D$8,1),H210,IF(EXACT('3AC_Data'!$D$8,2),I210,IF(EXACT('3AC_Data'!$D$8,3),J210,IF(EXACT('3AC_Data'!$D$8,4),K210,IF(EXACT('3AC_Data'!$D$8,5),L210,IF(EXACT('3AC_Data'!$D$8,6),M210,IF(EXACT('3AC_Data'!$D$8,7),N210,IF(EXACT('3AC_Data'!$D$8,8),O210,IF(EXACT('3AC_Data'!$D$8,9),P210,IF(EXACT('3AC_Data'!$D$8,10),Q210,IF(EXACT('3AC_Data'!$D$8,11),R210,IF(EXACT('3AC_Data'!$D$8,12),S210,IF(EXACT('3AC_Data'!$D$8,13),T210,IF(EXACT('3AC_Data'!$D$8,14),U210,IF(EXACT('3AC_Data'!$D$8,15),V210,IF(EXACT('3AC_Data'!$D$8,16),W210,IF(EXACT('3AC_Data'!$D$8,17),X210,IF(EXACT('3AC_Data'!$D$8,18),Y210,IF(EXACT('3AC_Data'!$D$8,19),Z210,IF(EXACT('3AC_Data'!$D$8,20),AA210,IF(EXACT('3AC_Data'!$D$8,21),AB210,IF(EXACT('3AC_Data'!$D$8,22),AC210,IF(EXACT('3AC_Data'!$D$8,23),AD210,IF(EXACT('3AC_Data'!$D$8,24),AE210,IF(EXACT('3AC_Data'!$D$8,25),AF210,IF(EXACT('3AC_Data'!$D$8,26),AG210,IF(EXACT('3AC_Data'!$D$8,27),AH210,IF(EXACT('3AC_Data'!$D$8,28),AI210,IF(EXACT('3AC_Data'!$D$8,29),AJ210,IF(EXACT('3AC_Data'!$D$8,30),AK210))))))))))))))))))))))))))))))</f>
        <v>1.1200000000000001</v>
      </c>
      <c r="H210" s="118">
        <v>0.9</v>
      </c>
      <c r="I210" s="118">
        <v>0.9</v>
      </c>
      <c r="J210" s="112">
        <v>1.94</v>
      </c>
      <c r="K210" s="112">
        <v>14.061999999999999</v>
      </c>
      <c r="L210" s="112">
        <v>13.057</v>
      </c>
      <c r="M210" s="112">
        <v>1.1200000000000001</v>
      </c>
      <c r="N210" s="112">
        <v>1</v>
      </c>
      <c r="O210" s="112">
        <v>13.057</v>
      </c>
      <c r="P210" s="112">
        <v>13.057</v>
      </c>
      <c r="Q210" s="112">
        <v>13.057</v>
      </c>
      <c r="R210" s="112">
        <v>0.87145300000000003</v>
      </c>
      <c r="S210" s="112">
        <v>13.057</v>
      </c>
      <c r="T210" s="112">
        <v>13.057</v>
      </c>
      <c r="U210" s="112">
        <v>13.1046</v>
      </c>
      <c r="V210" s="112">
        <v>0.12239999999999999</v>
      </c>
      <c r="W210" s="112">
        <f>2602.266/1000</f>
        <v>2.6022660000000002</v>
      </c>
      <c r="X210" s="112">
        <f>2672.835/1000</f>
        <v>2.6728350000000001</v>
      </c>
      <c r="Y210" s="112"/>
      <c r="Z210" s="112">
        <v>13.144</v>
      </c>
      <c r="AA210" s="112">
        <v>1.2</v>
      </c>
      <c r="AB210" s="112">
        <v>-5.5E-2</v>
      </c>
      <c r="AC210" s="112">
        <v>0.51500000000000001</v>
      </c>
      <c r="AD210" s="112">
        <v>1.7064859999999999</v>
      </c>
      <c r="AE210" s="148">
        <v>3.7</v>
      </c>
      <c r="AF210" s="112">
        <v>1.94</v>
      </c>
      <c r="AG210" s="112">
        <v>1.8</v>
      </c>
      <c r="AH210" s="182">
        <v>3.1</v>
      </c>
      <c r="AI210" s="112">
        <v>13.1046</v>
      </c>
      <c r="AJ210" s="112">
        <v>13.1046</v>
      </c>
      <c r="AK210" s="112">
        <v>13.1046</v>
      </c>
    </row>
    <row r="211" spans="2:37" x14ac:dyDescent="0.25">
      <c r="B211" s="2" t="s">
        <v>815</v>
      </c>
      <c r="C211" s="2" t="s">
        <v>817</v>
      </c>
      <c r="D211" s="36">
        <f t="shared" si="53"/>
        <v>0</v>
      </c>
      <c r="E211" s="4">
        <v>1</v>
      </c>
      <c r="F211" s="3"/>
      <c r="G211" s="15">
        <f>+IF(EXACT('3AC_Data'!$D$8,1),H211,IF(EXACT('3AC_Data'!$D$8,2),I211,IF(EXACT('3AC_Data'!$D$8,3),J211,IF(EXACT('3AC_Data'!$D$8,4),K211,IF(EXACT('3AC_Data'!$D$8,5),L211,IF(EXACT('3AC_Data'!$D$8,6),M211,IF(EXACT('3AC_Data'!$D$8,7),N211,IF(EXACT('3AC_Data'!$D$8,8),O211,IF(EXACT('3AC_Data'!$D$8,9),P211,IF(EXACT('3AC_Data'!$D$8,10),Q211,IF(EXACT('3AC_Data'!$D$8,11),R211,IF(EXACT('3AC_Data'!$D$8,12),S211,IF(EXACT('3AC_Data'!$D$8,13),T211,IF(EXACT('3AC_Data'!$D$8,14),U211,IF(EXACT('3AC_Data'!$D$8,15),V211,IF(EXACT('3AC_Data'!$D$8,16),W211,IF(EXACT('3AC_Data'!$D$8,17),X211,IF(EXACT('3AC_Data'!$D$8,18),Y211,IF(EXACT('3AC_Data'!$D$8,19),Z211,IF(EXACT('3AC_Data'!$D$8,20),AA211,IF(EXACT('3AC_Data'!$D$8,21),AB211,IF(EXACT('3AC_Data'!$D$8,22),AC211,IF(EXACT('3AC_Data'!$D$8,23),AD211,IF(EXACT('3AC_Data'!$D$8,24),AE211,IF(EXACT('3AC_Data'!$D$8,25),AF211,IF(EXACT('3AC_Data'!$D$8,26),AG211,IF(EXACT('3AC_Data'!$D$8,27),AH211,IF(EXACT('3AC_Data'!$D$8,28),AI211,IF(EXACT('3AC_Data'!$D$8,29),AJ211,IF(EXACT('3AC_Data'!$D$8,30),AK211))))))))))))))))))))))))))))))</f>
        <v>0</v>
      </c>
      <c r="H211" s="118">
        <f>1256.6/1000</f>
        <v>1.2565999999999999</v>
      </c>
      <c r="I211" s="118">
        <f>1256.6/1000</f>
        <v>1.2565999999999999</v>
      </c>
      <c r="J211" s="112">
        <v>0</v>
      </c>
      <c r="K211" s="112">
        <v>6.56</v>
      </c>
      <c r="L211" s="112">
        <v>5.9690000000000003</v>
      </c>
      <c r="M211" s="112">
        <v>0</v>
      </c>
      <c r="N211" s="112">
        <v>0</v>
      </c>
      <c r="O211" s="112">
        <v>5.9690000000000003</v>
      </c>
      <c r="P211" s="112">
        <v>5.9690000000000003</v>
      </c>
      <c r="Q211" s="112">
        <v>5.9690000000000003</v>
      </c>
      <c r="R211" s="112">
        <f>1273.936/1000</f>
        <v>1.273936</v>
      </c>
      <c r="S211" s="112">
        <v>5.9690000000000003</v>
      </c>
      <c r="T211" s="112">
        <v>5.9690000000000003</v>
      </c>
      <c r="U211" s="112">
        <v>5.75</v>
      </c>
      <c r="V211" s="112">
        <v>1.0411600000000001</v>
      </c>
      <c r="W211" s="112">
        <v>0</v>
      </c>
      <c r="X211" s="112">
        <v>0</v>
      </c>
      <c r="Y211" s="112"/>
      <c r="Z211" s="112">
        <v>1.7370000000000001</v>
      </c>
      <c r="AA211" s="112">
        <v>0</v>
      </c>
      <c r="AB211" s="112">
        <v>0</v>
      </c>
      <c r="AC211" s="112">
        <v>0</v>
      </c>
      <c r="AD211" s="112">
        <v>2.5731329999999999</v>
      </c>
      <c r="AE211" s="148">
        <v>0</v>
      </c>
      <c r="AF211" s="112">
        <v>0</v>
      </c>
      <c r="AG211" s="112">
        <v>0</v>
      </c>
      <c r="AH211" s="182">
        <v>0</v>
      </c>
      <c r="AI211" s="112">
        <v>5.75</v>
      </c>
      <c r="AJ211" s="112">
        <v>5.75</v>
      </c>
      <c r="AK211" s="112">
        <v>5.75</v>
      </c>
    </row>
    <row r="212" spans="2:37" x14ac:dyDescent="0.25">
      <c r="B212" s="2" t="s">
        <v>815</v>
      </c>
      <c r="C212" s="2" t="s">
        <v>818</v>
      </c>
      <c r="D212" s="36">
        <f t="shared" si="53"/>
        <v>0</v>
      </c>
      <c r="E212" s="4">
        <v>1</v>
      </c>
      <c r="F212" s="3"/>
      <c r="G212" s="15">
        <f>+IF(EXACT('3AC_Data'!$D$8,1),H212,IF(EXACT('3AC_Data'!$D$8,2),I212,IF(EXACT('3AC_Data'!$D$8,3),J212,IF(EXACT('3AC_Data'!$D$8,4),K212,IF(EXACT('3AC_Data'!$D$8,5),L212,IF(EXACT('3AC_Data'!$D$8,6),M212,IF(EXACT('3AC_Data'!$D$8,7),N212,IF(EXACT('3AC_Data'!$D$8,8),O212,IF(EXACT('3AC_Data'!$D$8,9),P212,IF(EXACT('3AC_Data'!$D$8,10),Q212,IF(EXACT('3AC_Data'!$D$8,11),R212,IF(EXACT('3AC_Data'!$D$8,12),S212,IF(EXACT('3AC_Data'!$D$8,13),T212,IF(EXACT('3AC_Data'!$D$8,14),U212,IF(EXACT('3AC_Data'!$D$8,15),V212,IF(EXACT('3AC_Data'!$D$8,16),W212,IF(EXACT('3AC_Data'!$D$8,17),X212,IF(EXACT('3AC_Data'!$D$8,18),Y212,IF(EXACT('3AC_Data'!$D$8,19),Z212,IF(EXACT('3AC_Data'!$D$8,20),AA212,IF(EXACT('3AC_Data'!$D$8,21),AB212,IF(EXACT('3AC_Data'!$D$8,22),AC212,IF(EXACT('3AC_Data'!$D$8,23),AD212,IF(EXACT('3AC_Data'!$D$8,24),AE212,IF(EXACT('3AC_Data'!$D$8,25),AF212,IF(EXACT('3AC_Data'!$D$8,26),AG212,IF(EXACT('3AC_Data'!$D$8,27),AH212,IF(EXACT('3AC_Data'!$D$8,28),AI212,IF(EXACT('3AC_Data'!$D$8,29),AJ212,IF(EXACT('3AC_Data'!$D$8,30),AK212))))))))))))))))))))))))))))))</f>
        <v>0</v>
      </c>
      <c r="H212" s="118">
        <f>152.999/1000</f>
        <v>0.152999</v>
      </c>
      <c r="I212" s="118">
        <f>152.999/1000</f>
        <v>0.152999</v>
      </c>
      <c r="J212" s="112">
        <v>0</v>
      </c>
      <c r="K212" s="112">
        <v>1.5629999999999999</v>
      </c>
      <c r="L212" s="112">
        <v>-2.4039999999999999</v>
      </c>
      <c r="M212" s="112">
        <v>0</v>
      </c>
      <c r="N212" s="112">
        <v>0</v>
      </c>
      <c r="O212" s="112">
        <v>-2.4039999999999999</v>
      </c>
      <c r="P212" s="112">
        <v>-2.4039999999999999</v>
      </c>
      <c r="Q212" s="112">
        <v>-2.4039999999999999</v>
      </c>
      <c r="R212" s="112">
        <v>0.25059999999999999</v>
      </c>
      <c r="S212" s="112">
        <v>-2.4039999999999999</v>
      </c>
      <c r="T212" s="112">
        <v>-2.4039999999999999</v>
      </c>
      <c r="U212" s="112">
        <f>-2.21814+0.549843+0.110665</f>
        <v>-1.5576319999999999</v>
      </c>
      <c r="V212" s="112">
        <v>1.4880000000000001E-2</v>
      </c>
      <c r="W212" s="112">
        <f>10.064/1000</f>
        <v>1.0064E-2</v>
      </c>
      <c r="X212" s="112">
        <f>34.41/1000</f>
        <v>3.4409999999999996E-2</v>
      </c>
      <c r="Y212" s="112"/>
      <c r="Z212" s="112">
        <v>1.1919999999999999</v>
      </c>
      <c r="AA212" s="112">
        <v>0</v>
      </c>
      <c r="AB212" s="112">
        <v>0</v>
      </c>
      <c r="AC212" s="112">
        <v>0</v>
      </c>
      <c r="AD212" s="112">
        <v>0.14916199999999999</v>
      </c>
      <c r="AE212" s="148">
        <v>0</v>
      </c>
      <c r="AF212" s="112">
        <v>0</v>
      </c>
      <c r="AG212" s="112">
        <v>0</v>
      </c>
      <c r="AH212" s="182">
        <v>0.35</v>
      </c>
      <c r="AI212" s="112">
        <f t="shared" ref="AI212:AK212" si="56">-2.21814+0.549843+0.110665</f>
        <v>-1.5576319999999999</v>
      </c>
      <c r="AJ212" s="112">
        <f t="shared" si="56"/>
        <v>-1.5576319999999999</v>
      </c>
      <c r="AK212" s="112">
        <f t="shared" si="56"/>
        <v>-1.5576319999999999</v>
      </c>
    </row>
    <row r="213" spans="2:37" x14ac:dyDescent="0.25">
      <c r="B213" s="2" t="s">
        <v>822</v>
      </c>
      <c r="C213" s="2" t="s">
        <v>819</v>
      </c>
      <c r="D213" s="36">
        <f t="shared" si="53"/>
        <v>0</v>
      </c>
      <c r="E213" s="4">
        <v>1</v>
      </c>
      <c r="F213" s="3"/>
      <c r="G213" s="15">
        <f>+IF(EXACT('3AC_Data'!$D$8,1),H213,IF(EXACT('3AC_Data'!$D$8,2),I213,IF(EXACT('3AC_Data'!$D$8,3),J213,IF(EXACT('3AC_Data'!$D$8,4),K213,IF(EXACT('3AC_Data'!$D$8,5),L213,IF(EXACT('3AC_Data'!$D$8,6),M213,IF(EXACT('3AC_Data'!$D$8,7),N213,IF(EXACT('3AC_Data'!$D$8,8),O213,IF(EXACT('3AC_Data'!$D$8,9),P213,IF(EXACT('3AC_Data'!$D$8,10),Q213,IF(EXACT('3AC_Data'!$D$8,11),R213,IF(EXACT('3AC_Data'!$D$8,12),S213,IF(EXACT('3AC_Data'!$D$8,13),T213,IF(EXACT('3AC_Data'!$D$8,14),U213,IF(EXACT('3AC_Data'!$D$8,15),V213,IF(EXACT('3AC_Data'!$D$8,16),W213,IF(EXACT('3AC_Data'!$D$8,17),X213,IF(EXACT('3AC_Data'!$D$8,18),Y213,IF(EXACT('3AC_Data'!$D$8,19),Z213,IF(EXACT('3AC_Data'!$D$8,20),AA213,IF(EXACT('3AC_Data'!$D$8,21),AB213,IF(EXACT('3AC_Data'!$D$8,22),AC213,IF(EXACT('3AC_Data'!$D$8,23),AD213,IF(EXACT('3AC_Data'!$D$8,24),AE213,IF(EXACT('3AC_Data'!$D$8,25),AF213,IF(EXACT('3AC_Data'!$D$8,26),AG213,IF(EXACT('3AC_Data'!$D$8,27),AH213,IF(EXACT('3AC_Data'!$D$8,28),AI213,IF(EXACT('3AC_Data'!$D$8,29),AJ213,IF(EXACT('3AC_Data'!$D$8,30),AK213))))))))))))))))))))))))))))))</f>
        <v>0</v>
      </c>
      <c r="H213" s="112">
        <v>0</v>
      </c>
      <c r="I213" s="112">
        <v>0</v>
      </c>
      <c r="J213" s="112">
        <v>0</v>
      </c>
      <c r="K213" s="112">
        <v>16.245999999999999</v>
      </c>
      <c r="L213" s="112">
        <v>0</v>
      </c>
      <c r="M213" s="112">
        <v>0</v>
      </c>
      <c r="N213" s="112">
        <v>0</v>
      </c>
      <c r="O213" s="112">
        <v>0</v>
      </c>
      <c r="P213" s="112">
        <v>0</v>
      </c>
      <c r="Q213" s="112">
        <v>0</v>
      </c>
      <c r="R213" s="112">
        <v>0</v>
      </c>
      <c r="S213" s="112">
        <v>0</v>
      </c>
      <c r="T213" s="112">
        <v>0</v>
      </c>
      <c r="U213" s="112">
        <v>0</v>
      </c>
      <c r="V213" s="112">
        <v>1.53287</v>
      </c>
      <c r="W213" s="112">
        <v>0</v>
      </c>
      <c r="X213" s="112">
        <v>0</v>
      </c>
      <c r="Y213" s="112"/>
      <c r="Z213" s="112">
        <v>0</v>
      </c>
      <c r="AA213" s="112">
        <v>0</v>
      </c>
      <c r="AB213" s="112">
        <v>0</v>
      </c>
      <c r="AC213" s="112">
        <v>0</v>
      </c>
      <c r="AD213" s="112">
        <v>1.7064859999999999</v>
      </c>
      <c r="AE213" s="148">
        <v>0</v>
      </c>
      <c r="AF213" s="112">
        <v>0</v>
      </c>
      <c r="AG213" s="112">
        <v>0</v>
      </c>
      <c r="AH213" s="182">
        <v>0</v>
      </c>
      <c r="AI213" s="112">
        <v>0</v>
      </c>
      <c r="AJ213" s="112">
        <v>0</v>
      </c>
      <c r="AK213" s="112">
        <v>0</v>
      </c>
    </row>
    <row r="214" spans="2:37" x14ac:dyDescent="0.25">
      <c r="B214" s="2" t="s">
        <v>823</v>
      </c>
      <c r="C214" s="2" t="s">
        <v>820</v>
      </c>
      <c r="D214" s="36">
        <f t="shared" si="53"/>
        <v>0</v>
      </c>
      <c r="E214" s="4">
        <v>1</v>
      </c>
      <c r="F214" s="3"/>
      <c r="G214" s="15">
        <f>+IF(EXACT('3AC_Data'!$D$8,1),H214,IF(EXACT('3AC_Data'!$D$8,2),I214,IF(EXACT('3AC_Data'!$D$8,3),J214,IF(EXACT('3AC_Data'!$D$8,4),K214,IF(EXACT('3AC_Data'!$D$8,5),L214,IF(EXACT('3AC_Data'!$D$8,6),M214,IF(EXACT('3AC_Data'!$D$8,7),N214,IF(EXACT('3AC_Data'!$D$8,8),O214,IF(EXACT('3AC_Data'!$D$8,9),P214,IF(EXACT('3AC_Data'!$D$8,10),Q214,IF(EXACT('3AC_Data'!$D$8,11),R214,IF(EXACT('3AC_Data'!$D$8,12),S214,IF(EXACT('3AC_Data'!$D$8,13),T214,IF(EXACT('3AC_Data'!$D$8,14),U214,IF(EXACT('3AC_Data'!$D$8,15),V214,IF(EXACT('3AC_Data'!$D$8,16),W214,IF(EXACT('3AC_Data'!$D$8,17),X214,IF(EXACT('3AC_Data'!$D$8,18),Y214,IF(EXACT('3AC_Data'!$D$8,19),Z214,IF(EXACT('3AC_Data'!$D$8,20),AA214,IF(EXACT('3AC_Data'!$D$8,21),AB214,IF(EXACT('3AC_Data'!$D$8,22),AC214,IF(EXACT('3AC_Data'!$D$8,23),AD214,IF(EXACT('3AC_Data'!$D$8,24),AE214,IF(EXACT('3AC_Data'!$D$8,25),AF214,IF(EXACT('3AC_Data'!$D$8,26),AG214,IF(EXACT('3AC_Data'!$D$8,27),AH214,IF(EXACT('3AC_Data'!$D$8,28),AI214,IF(EXACT('3AC_Data'!$D$8,29),AJ214,IF(EXACT('3AC_Data'!$D$8,30),AK214))))))))))))))))))))))))))))))</f>
        <v>0</v>
      </c>
      <c r="H214" s="112">
        <v>0</v>
      </c>
      <c r="I214" s="112">
        <v>0</v>
      </c>
      <c r="J214" s="112">
        <v>0</v>
      </c>
      <c r="K214" s="112">
        <v>12.46</v>
      </c>
      <c r="L214" s="112">
        <v>0</v>
      </c>
      <c r="M214" s="112">
        <v>0</v>
      </c>
      <c r="N214" s="112">
        <v>0</v>
      </c>
      <c r="O214" s="112">
        <v>0</v>
      </c>
      <c r="P214" s="112">
        <v>0</v>
      </c>
      <c r="Q214" s="112">
        <v>0</v>
      </c>
      <c r="R214" s="112">
        <v>0</v>
      </c>
      <c r="S214" s="112">
        <v>0</v>
      </c>
      <c r="T214" s="112">
        <v>0</v>
      </c>
      <c r="U214" s="112">
        <v>0</v>
      </c>
      <c r="V214" s="112">
        <v>1.0411600000000001</v>
      </c>
      <c r="W214" s="112">
        <v>0</v>
      </c>
      <c r="X214" s="112">
        <v>0</v>
      </c>
      <c r="Y214" s="112"/>
      <c r="Z214" s="112">
        <v>0</v>
      </c>
      <c r="AA214" s="112">
        <v>0</v>
      </c>
      <c r="AB214" s="112">
        <v>0</v>
      </c>
      <c r="AC214" s="112">
        <v>0</v>
      </c>
      <c r="AD214" s="112">
        <v>-2.5731329999999999</v>
      </c>
      <c r="AE214" s="148">
        <v>0</v>
      </c>
      <c r="AF214" s="112">
        <v>0</v>
      </c>
      <c r="AG214" s="112">
        <v>0</v>
      </c>
      <c r="AH214" s="182">
        <v>0</v>
      </c>
      <c r="AI214" s="112">
        <v>0</v>
      </c>
      <c r="AJ214" s="112">
        <v>0</v>
      </c>
      <c r="AK214" s="112">
        <v>0</v>
      </c>
    </row>
    <row r="215" spans="2:37" x14ac:dyDescent="0.25">
      <c r="B215" s="2" t="s">
        <v>823</v>
      </c>
      <c r="C215" s="2" t="s">
        <v>821</v>
      </c>
      <c r="D215" s="36">
        <f t="shared" si="53"/>
        <v>0</v>
      </c>
      <c r="E215" s="4">
        <v>1</v>
      </c>
      <c r="F215" s="3"/>
      <c r="G215" s="15">
        <f>+IF(EXACT('3AC_Data'!$D$8,1),H215,IF(EXACT('3AC_Data'!$D$8,2),I215,IF(EXACT('3AC_Data'!$D$8,3),J215,IF(EXACT('3AC_Data'!$D$8,4),K215,IF(EXACT('3AC_Data'!$D$8,5),L215,IF(EXACT('3AC_Data'!$D$8,6),M215,IF(EXACT('3AC_Data'!$D$8,7),N215,IF(EXACT('3AC_Data'!$D$8,8),O215,IF(EXACT('3AC_Data'!$D$8,9),P215,IF(EXACT('3AC_Data'!$D$8,10),Q215,IF(EXACT('3AC_Data'!$D$8,11),R215,IF(EXACT('3AC_Data'!$D$8,12),S215,IF(EXACT('3AC_Data'!$D$8,13),T215,IF(EXACT('3AC_Data'!$D$8,14),U215,IF(EXACT('3AC_Data'!$D$8,15),V215,IF(EXACT('3AC_Data'!$D$8,16),W215,IF(EXACT('3AC_Data'!$D$8,17),X215,IF(EXACT('3AC_Data'!$D$8,18),Y215,IF(EXACT('3AC_Data'!$D$8,19),Z215,IF(EXACT('3AC_Data'!$D$8,20),AA215,IF(EXACT('3AC_Data'!$D$8,21),AB215,IF(EXACT('3AC_Data'!$D$8,22),AC215,IF(EXACT('3AC_Data'!$D$8,23),AD215,IF(EXACT('3AC_Data'!$D$8,24),AE215,IF(EXACT('3AC_Data'!$D$8,25),AF215,IF(EXACT('3AC_Data'!$D$8,26),AG215,IF(EXACT('3AC_Data'!$D$8,27),AH215,IF(EXACT('3AC_Data'!$D$8,28),AI215,IF(EXACT('3AC_Data'!$D$8,29),AJ215,IF(EXACT('3AC_Data'!$D$8,30),AK215))))))))))))))))))))))))))))))</f>
        <v>0</v>
      </c>
      <c r="H215" s="112">
        <v>0</v>
      </c>
      <c r="I215" s="112">
        <v>0</v>
      </c>
      <c r="J215" s="112">
        <v>0</v>
      </c>
      <c r="K215" s="112">
        <v>1.046</v>
      </c>
      <c r="L215" s="112">
        <v>0</v>
      </c>
      <c r="M215" s="112">
        <v>0</v>
      </c>
      <c r="N215" s="112">
        <v>0</v>
      </c>
      <c r="O215" s="112">
        <v>0</v>
      </c>
      <c r="P215" s="112">
        <v>0</v>
      </c>
      <c r="Q215" s="112">
        <v>0</v>
      </c>
      <c r="R215" s="112">
        <v>0</v>
      </c>
      <c r="S215" s="112">
        <v>0</v>
      </c>
      <c r="T215" s="112">
        <v>0</v>
      </c>
      <c r="U215" s="112">
        <v>0</v>
      </c>
      <c r="V215" s="112">
        <v>0.1585</v>
      </c>
      <c r="W215" s="112">
        <v>0</v>
      </c>
      <c r="X215" s="112">
        <v>0</v>
      </c>
      <c r="Y215" s="112"/>
      <c r="Z215" s="112">
        <v>0</v>
      </c>
      <c r="AA215" s="112">
        <v>0</v>
      </c>
      <c r="AB215" s="112">
        <v>0</v>
      </c>
      <c r="AC215" s="112">
        <v>0</v>
      </c>
      <c r="AD215" s="112">
        <v>0.14916199999999999</v>
      </c>
      <c r="AE215" s="148">
        <v>0</v>
      </c>
      <c r="AF215" s="112">
        <v>0</v>
      </c>
      <c r="AG215" s="112">
        <v>0</v>
      </c>
      <c r="AH215" s="182">
        <v>0</v>
      </c>
      <c r="AI215" s="112">
        <v>0</v>
      </c>
      <c r="AJ215" s="112">
        <v>0</v>
      </c>
      <c r="AK215" s="112">
        <v>0</v>
      </c>
    </row>
    <row r="216" spans="2:37" x14ac:dyDescent="0.25">
      <c r="B216" s="2" t="s">
        <v>854</v>
      </c>
      <c r="C216" s="2" t="s">
        <v>851</v>
      </c>
      <c r="D216" s="36">
        <f t="shared" si="53"/>
        <v>1</v>
      </c>
      <c r="E216" s="4">
        <v>1</v>
      </c>
      <c r="F216" s="3"/>
      <c r="G216" s="15">
        <f>+IF(EXACT('3AC_Data'!$D$8,1),H216,IF(EXACT('3AC_Data'!$D$8,2),I216,IF(EXACT('3AC_Data'!$D$8,3),J216,IF(EXACT('3AC_Data'!$D$8,4),K216,IF(EXACT('3AC_Data'!$D$8,5),L216,IF(EXACT('3AC_Data'!$D$8,6),M216,IF(EXACT('3AC_Data'!$D$8,7),N216,IF(EXACT('3AC_Data'!$D$8,8),O216,IF(EXACT('3AC_Data'!$D$8,9),P216,IF(EXACT('3AC_Data'!$D$8,10),Q216,IF(EXACT('3AC_Data'!$D$8,11),R216,IF(EXACT('3AC_Data'!$D$8,12),S216,IF(EXACT('3AC_Data'!$D$8,13),T216,IF(EXACT('3AC_Data'!$D$8,14),U216,IF(EXACT('3AC_Data'!$D$8,15),V216,IF(EXACT('3AC_Data'!$D$8,16),W216,IF(EXACT('3AC_Data'!$D$8,17),X216,IF(EXACT('3AC_Data'!$D$8,18),Y216,IF(EXACT('3AC_Data'!$D$8,19),Z216,IF(EXACT('3AC_Data'!$D$8,20),AA216,IF(EXACT('3AC_Data'!$D$8,21),AB216,IF(EXACT('3AC_Data'!$D$8,22),AC216,IF(EXACT('3AC_Data'!$D$8,23),AD216,IF(EXACT('3AC_Data'!$D$8,24),AE216,IF(EXACT('3AC_Data'!$D$8,25),AF216,IF(EXACT('3AC_Data'!$D$8,26),AG216,IF(EXACT('3AC_Data'!$D$8,27),AH216,IF(EXACT('3AC_Data'!$D$8,28),AI216,IF(EXACT('3AC_Data'!$D$8,29),AJ216,IF(EXACT('3AC_Data'!$D$8,30),AK216))))))))))))))))))))))))))))))</f>
        <v>1</v>
      </c>
      <c r="H216" s="118">
        <v>0.9</v>
      </c>
      <c r="I216" s="118">
        <v>0.9</v>
      </c>
      <c r="J216" s="112">
        <v>1.94</v>
      </c>
      <c r="K216" s="112">
        <v>14.061999999999999</v>
      </c>
      <c r="L216" s="112">
        <v>13.057</v>
      </c>
      <c r="M216" s="112">
        <v>1</v>
      </c>
      <c r="N216" s="112">
        <v>1</v>
      </c>
      <c r="O216" s="112">
        <v>13.057</v>
      </c>
      <c r="P216" s="112">
        <v>13.057</v>
      </c>
      <c r="Q216" s="112">
        <v>13.057</v>
      </c>
      <c r="R216" s="112">
        <v>0.87145300000000003</v>
      </c>
      <c r="S216" s="112">
        <v>13.057</v>
      </c>
      <c r="T216" s="112">
        <v>13.057</v>
      </c>
      <c r="U216" s="112">
        <v>11.19</v>
      </c>
      <c r="V216" s="112">
        <v>0.12239999999999999</v>
      </c>
      <c r="W216" s="112">
        <f>2602.266/1000</f>
        <v>2.6022660000000002</v>
      </c>
      <c r="X216" s="112">
        <f>2672.835/1000</f>
        <v>2.6728350000000001</v>
      </c>
      <c r="Y216" s="112"/>
      <c r="Z216" s="112">
        <v>12.94</v>
      </c>
      <c r="AA216" s="112">
        <v>0</v>
      </c>
      <c r="AB216" s="112">
        <v>-5.5E-2</v>
      </c>
      <c r="AC216" s="112">
        <v>0</v>
      </c>
      <c r="AD216" s="112">
        <v>2.0804990000000001</v>
      </c>
      <c r="AE216" s="148">
        <v>11.19</v>
      </c>
      <c r="AF216" s="112">
        <v>1.94</v>
      </c>
      <c r="AG216" s="112">
        <v>1.8</v>
      </c>
      <c r="AH216" s="182">
        <v>2.8</v>
      </c>
      <c r="AI216" s="112">
        <v>11.19</v>
      </c>
      <c r="AJ216" s="112">
        <v>11.19</v>
      </c>
      <c r="AK216" s="112">
        <v>11.19</v>
      </c>
    </row>
    <row r="217" spans="2:37" x14ac:dyDescent="0.25">
      <c r="B217" s="2" t="s">
        <v>855</v>
      </c>
      <c r="C217" s="2" t="s">
        <v>852</v>
      </c>
      <c r="D217" s="36">
        <f t="shared" si="53"/>
        <v>0</v>
      </c>
      <c r="E217" s="4">
        <v>1</v>
      </c>
      <c r="F217" s="3"/>
      <c r="G217" s="15">
        <f>+IF(EXACT('3AC_Data'!$D$8,1),H217,IF(EXACT('3AC_Data'!$D$8,2),I217,IF(EXACT('3AC_Data'!$D$8,3),J217,IF(EXACT('3AC_Data'!$D$8,4),K217,IF(EXACT('3AC_Data'!$D$8,5),L217,IF(EXACT('3AC_Data'!$D$8,6),M217,IF(EXACT('3AC_Data'!$D$8,7),N217,IF(EXACT('3AC_Data'!$D$8,8),O217,IF(EXACT('3AC_Data'!$D$8,9),P217,IF(EXACT('3AC_Data'!$D$8,10),Q217,IF(EXACT('3AC_Data'!$D$8,11),R217,IF(EXACT('3AC_Data'!$D$8,12),S217,IF(EXACT('3AC_Data'!$D$8,13),T217,IF(EXACT('3AC_Data'!$D$8,14),U217,IF(EXACT('3AC_Data'!$D$8,15),V217,IF(EXACT('3AC_Data'!$D$8,16),W217,IF(EXACT('3AC_Data'!$D$8,17),X217,IF(EXACT('3AC_Data'!$D$8,18),Y217,IF(EXACT('3AC_Data'!$D$8,19),Z217,IF(EXACT('3AC_Data'!$D$8,20),AA217,IF(EXACT('3AC_Data'!$D$8,21),AB217,IF(EXACT('3AC_Data'!$D$8,22),AC217,IF(EXACT('3AC_Data'!$D$8,23),AD217,IF(EXACT('3AC_Data'!$D$8,24),AE217,IF(EXACT('3AC_Data'!$D$8,25),AF217,IF(EXACT('3AC_Data'!$D$8,26),AG217,IF(EXACT('3AC_Data'!$D$8,27),AH217,IF(EXACT('3AC_Data'!$D$8,28),AI217,IF(EXACT('3AC_Data'!$D$8,29),AJ217,IF(EXACT('3AC_Data'!$D$8,30),AK217))))))))))))))))))))))))))))))</f>
        <v>0</v>
      </c>
      <c r="H217" s="118">
        <f>1256.6/1000</f>
        <v>1.2565999999999999</v>
      </c>
      <c r="I217" s="118">
        <f>1256.6/1000</f>
        <v>1.2565999999999999</v>
      </c>
      <c r="J217" s="112">
        <v>0</v>
      </c>
      <c r="K217" s="112">
        <v>6.56</v>
      </c>
      <c r="L217" s="112">
        <v>5.5305799999999996</v>
      </c>
      <c r="M217" s="112">
        <v>0</v>
      </c>
      <c r="N217" s="112">
        <v>0</v>
      </c>
      <c r="O217" s="112">
        <v>5.5305799999999996</v>
      </c>
      <c r="P217" s="112">
        <v>5.5305799999999996</v>
      </c>
      <c r="Q217" s="112">
        <v>5.5305799999999996</v>
      </c>
      <c r="R217" s="112">
        <f>1273.936/1000</f>
        <v>1.273936</v>
      </c>
      <c r="S217" s="112">
        <v>5.5305799999999996</v>
      </c>
      <c r="T217" s="112">
        <v>5.5305799999999996</v>
      </c>
      <c r="U217" s="112">
        <v>5.75</v>
      </c>
      <c r="V217" s="112">
        <v>1.0411600000000001</v>
      </c>
      <c r="W217" s="112">
        <v>0</v>
      </c>
      <c r="X217" s="112">
        <v>0</v>
      </c>
      <c r="Y217" s="112"/>
      <c r="Z217" s="112">
        <v>1.7370000000000001</v>
      </c>
      <c r="AA217" s="112">
        <v>0</v>
      </c>
      <c r="AB217" s="112">
        <v>0</v>
      </c>
      <c r="AC217" s="112">
        <v>0</v>
      </c>
      <c r="AD217" s="112">
        <v>2.5731329999999999</v>
      </c>
      <c r="AE217" s="148">
        <v>5.75</v>
      </c>
      <c r="AF217" s="112">
        <v>0</v>
      </c>
      <c r="AG217" s="112">
        <v>0</v>
      </c>
      <c r="AH217" s="182">
        <v>0</v>
      </c>
      <c r="AI217" s="112">
        <v>5.75</v>
      </c>
      <c r="AJ217" s="112">
        <v>5.75</v>
      </c>
      <c r="AK217" s="112">
        <v>5.75</v>
      </c>
    </row>
    <row r="218" spans="2:37" ht="13.9" customHeight="1" x14ac:dyDescent="0.25">
      <c r="B218" s="2" t="s">
        <v>856</v>
      </c>
      <c r="C218" s="2" t="s">
        <v>853</v>
      </c>
      <c r="D218" s="36">
        <f t="shared" si="53"/>
        <v>0</v>
      </c>
      <c r="E218" s="4">
        <v>1</v>
      </c>
      <c r="F218" s="3"/>
      <c r="G218" s="15">
        <f>+IF(EXACT('3AC_Data'!$D$8,1),H218,IF(EXACT('3AC_Data'!$D$8,2),I218,IF(EXACT('3AC_Data'!$D$8,3),J218,IF(EXACT('3AC_Data'!$D$8,4),K218,IF(EXACT('3AC_Data'!$D$8,5),L218,IF(EXACT('3AC_Data'!$D$8,6),M218,IF(EXACT('3AC_Data'!$D$8,7),N218,IF(EXACT('3AC_Data'!$D$8,8),O218,IF(EXACT('3AC_Data'!$D$8,9),P218,IF(EXACT('3AC_Data'!$D$8,10),Q218,IF(EXACT('3AC_Data'!$D$8,11),R218,IF(EXACT('3AC_Data'!$D$8,12),S218,IF(EXACT('3AC_Data'!$D$8,13),T218,IF(EXACT('3AC_Data'!$D$8,14),U218,IF(EXACT('3AC_Data'!$D$8,15),V218,IF(EXACT('3AC_Data'!$D$8,16),W218,IF(EXACT('3AC_Data'!$D$8,17),X218,IF(EXACT('3AC_Data'!$D$8,18),Y218,IF(EXACT('3AC_Data'!$D$8,19),Z218,IF(EXACT('3AC_Data'!$D$8,20),AA218,IF(EXACT('3AC_Data'!$D$8,21),AB218,IF(EXACT('3AC_Data'!$D$8,22),AC218,IF(EXACT('3AC_Data'!$D$8,23),AD218,IF(EXACT('3AC_Data'!$D$8,24),AE218,IF(EXACT('3AC_Data'!$D$8,25),AF218,IF(EXACT('3AC_Data'!$D$8,26),AG218,IF(EXACT('3AC_Data'!$D$8,27),AH218,IF(EXACT('3AC_Data'!$D$8,28),AI218,IF(EXACT('3AC_Data'!$D$8,29),AJ218,IF(EXACT('3AC_Data'!$D$8,30),AK218))))))))))))))))))))))))))))))</f>
        <v>0</v>
      </c>
      <c r="H218" s="118">
        <f>152.999/1000</f>
        <v>0.152999</v>
      </c>
      <c r="I218" s="118">
        <f>152.999/1000</f>
        <v>0.152999</v>
      </c>
      <c r="J218" s="112">
        <v>0</v>
      </c>
      <c r="K218" s="112">
        <v>1.5629999999999999</v>
      </c>
      <c r="L218" s="112">
        <v>-2.21814</v>
      </c>
      <c r="M218" s="112">
        <v>0</v>
      </c>
      <c r="N218" s="112">
        <v>0</v>
      </c>
      <c r="O218" s="112">
        <v>-2.21814</v>
      </c>
      <c r="P218" s="112">
        <v>-2.21814</v>
      </c>
      <c r="Q218" s="112">
        <v>-2.21814</v>
      </c>
      <c r="R218" s="112">
        <v>0.25059999999999999</v>
      </c>
      <c r="S218" s="112">
        <v>-2.21814</v>
      </c>
      <c r="T218" s="112">
        <v>-2.21814</v>
      </c>
      <c r="U218" s="112">
        <f>-2.21814+0.549843+0.110665</f>
        <v>-1.5576319999999999</v>
      </c>
      <c r="V218" s="112">
        <v>1.4880000000000001E-2</v>
      </c>
      <c r="W218" s="112">
        <f>10.064/1000</f>
        <v>1.0064E-2</v>
      </c>
      <c r="X218" s="112">
        <f>34.41/1000</f>
        <v>3.4409999999999996E-2</v>
      </c>
      <c r="Y218" s="112"/>
      <c r="Z218" s="112">
        <v>1.1919999999999999</v>
      </c>
      <c r="AA218" s="112">
        <v>0</v>
      </c>
      <c r="AB218" s="112">
        <v>0</v>
      </c>
      <c r="AC218" s="112">
        <v>0</v>
      </c>
      <c r="AD218" s="112">
        <v>0.14916199999999999</v>
      </c>
      <c r="AE218" s="148">
        <f t="shared" ref="AE218:AK218" si="57">-2.21814+0.549843+0.110665</f>
        <v>-1.5576319999999999</v>
      </c>
      <c r="AF218" s="112">
        <v>0</v>
      </c>
      <c r="AG218" s="112">
        <v>0</v>
      </c>
      <c r="AH218" s="182">
        <v>0.35</v>
      </c>
      <c r="AI218" s="112">
        <f t="shared" si="57"/>
        <v>-1.5576319999999999</v>
      </c>
      <c r="AJ218" s="112">
        <f t="shared" si="57"/>
        <v>-1.5576319999999999</v>
      </c>
      <c r="AK218" s="112">
        <f t="shared" si="57"/>
        <v>-1.5576319999999999</v>
      </c>
    </row>
    <row r="219" spans="2:37" ht="13.9" customHeight="1" x14ac:dyDescent="0.25">
      <c r="B219" s="2" t="s">
        <v>900</v>
      </c>
      <c r="C219" s="2" t="s">
        <v>897</v>
      </c>
      <c r="D219" s="36">
        <f t="shared" si="53"/>
        <v>0</v>
      </c>
      <c r="E219" s="4">
        <v>1</v>
      </c>
      <c r="F219" s="3"/>
      <c r="G219" s="15">
        <f>+IF(EXACT('3AC_Data'!$D$8,1),H219,IF(EXACT('3AC_Data'!$D$8,2),I219,IF(EXACT('3AC_Data'!$D$8,3),J219,IF(EXACT('3AC_Data'!$D$8,4),K219,IF(EXACT('3AC_Data'!$D$8,5),L219,IF(EXACT('3AC_Data'!$D$8,6),M219,IF(EXACT('3AC_Data'!$D$8,7),N219,IF(EXACT('3AC_Data'!$D$8,8),O219,IF(EXACT('3AC_Data'!$D$8,9),P219,IF(EXACT('3AC_Data'!$D$8,10),Q219,IF(EXACT('3AC_Data'!$D$8,11),R219,IF(EXACT('3AC_Data'!$D$8,12),S219,IF(EXACT('3AC_Data'!$D$8,13),T219,IF(EXACT('3AC_Data'!$D$8,14),U219,IF(EXACT('3AC_Data'!$D$8,15),V219,IF(EXACT('3AC_Data'!$D$8,16),W219,IF(EXACT('3AC_Data'!$D$8,17),X219,IF(EXACT('3AC_Data'!$D$8,18),Y219,IF(EXACT('3AC_Data'!$D$8,19),Z219,IF(EXACT('3AC_Data'!$D$8,20),AA219,IF(EXACT('3AC_Data'!$D$8,21),AB219,IF(EXACT('3AC_Data'!$D$8,22),AC219,IF(EXACT('3AC_Data'!$D$8,23),AD219,IF(EXACT('3AC_Data'!$D$8,24),AE219,IF(EXACT('3AC_Data'!$D$8,25),AF219,IF(EXACT('3AC_Data'!$D$8,26),AG219,IF(EXACT('3AC_Data'!$D$8,27),AH219,IF(EXACT('3AC_Data'!$D$8,28),AI219,IF(EXACT('3AC_Data'!$D$8,29),AJ219,IF(EXACT('3AC_Data'!$D$8,30),AK219))))))))))))))))))))))))))))))</f>
        <v>0</v>
      </c>
      <c r="H219" s="112">
        <v>0</v>
      </c>
      <c r="I219" s="112">
        <v>0</v>
      </c>
      <c r="J219" s="112">
        <v>0</v>
      </c>
      <c r="K219" s="112">
        <v>16.245999999999999</v>
      </c>
      <c r="L219" s="112">
        <v>0</v>
      </c>
      <c r="M219" s="112">
        <v>0</v>
      </c>
      <c r="N219" s="112">
        <v>0</v>
      </c>
      <c r="O219" s="112">
        <v>0</v>
      </c>
      <c r="P219" s="112">
        <v>0</v>
      </c>
      <c r="Q219" s="112">
        <v>0</v>
      </c>
      <c r="R219" s="112">
        <v>0</v>
      </c>
      <c r="S219" s="112">
        <v>0</v>
      </c>
      <c r="T219" s="112">
        <v>0</v>
      </c>
      <c r="U219" s="112">
        <v>0</v>
      </c>
      <c r="V219" s="112">
        <v>1.53287</v>
      </c>
      <c r="W219" s="112">
        <v>0</v>
      </c>
      <c r="X219" s="112">
        <v>0</v>
      </c>
      <c r="Y219" s="112"/>
      <c r="Z219" s="112">
        <v>0</v>
      </c>
      <c r="AA219" s="112">
        <v>0</v>
      </c>
      <c r="AB219" s="112">
        <v>0</v>
      </c>
      <c r="AC219" s="112">
        <v>0</v>
      </c>
      <c r="AD219" s="112">
        <v>2.0804990000000001</v>
      </c>
      <c r="AE219" s="148">
        <v>0</v>
      </c>
      <c r="AF219" s="112">
        <v>0</v>
      </c>
      <c r="AG219" s="112">
        <v>0</v>
      </c>
      <c r="AH219" s="182">
        <v>0</v>
      </c>
      <c r="AI219" s="112">
        <v>0</v>
      </c>
      <c r="AJ219" s="112">
        <v>0</v>
      </c>
      <c r="AK219" s="112">
        <v>0</v>
      </c>
    </row>
    <row r="220" spans="2:37" x14ac:dyDescent="0.25">
      <c r="B220" s="2" t="s">
        <v>901</v>
      </c>
      <c r="C220" s="2" t="s">
        <v>898</v>
      </c>
      <c r="D220" s="36">
        <f t="shared" si="53"/>
        <v>0</v>
      </c>
      <c r="E220" s="4">
        <v>1</v>
      </c>
      <c r="F220" s="3"/>
      <c r="G220" s="15">
        <f>+IF(EXACT('3AC_Data'!$D$8,1),H220,IF(EXACT('3AC_Data'!$D$8,2),I220,IF(EXACT('3AC_Data'!$D$8,3),J220,IF(EXACT('3AC_Data'!$D$8,4),K220,IF(EXACT('3AC_Data'!$D$8,5),L220,IF(EXACT('3AC_Data'!$D$8,6),M220,IF(EXACT('3AC_Data'!$D$8,7),N220,IF(EXACT('3AC_Data'!$D$8,8),O220,IF(EXACT('3AC_Data'!$D$8,9),P220,IF(EXACT('3AC_Data'!$D$8,10),Q220,IF(EXACT('3AC_Data'!$D$8,11),R220,IF(EXACT('3AC_Data'!$D$8,12),S220,IF(EXACT('3AC_Data'!$D$8,13),T220,IF(EXACT('3AC_Data'!$D$8,14),U220,IF(EXACT('3AC_Data'!$D$8,15),V220,IF(EXACT('3AC_Data'!$D$8,16),W220,IF(EXACT('3AC_Data'!$D$8,17),X220,IF(EXACT('3AC_Data'!$D$8,18),Y220,IF(EXACT('3AC_Data'!$D$8,19),Z220,IF(EXACT('3AC_Data'!$D$8,20),AA220,IF(EXACT('3AC_Data'!$D$8,21),AB220,IF(EXACT('3AC_Data'!$D$8,22),AC220,IF(EXACT('3AC_Data'!$D$8,23),AD220,IF(EXACT('3AC_Data'!$D$8,24),AE220,IF(EXACT('3AC_Data'!$D$8,25),AF220,IF(EXACT('3AC_Data'!$D$8,26),AG220,IF(EXACT('3AC_Data'!$D$8,27),AH220,IF(EXACT('3AC_Data'!$D$8,28),AI220,IF(EXACT('3AC_Data'!$D$8,29),AJ220,IF(EXACT('3AC_Data'!$D$8,30),AK220))))))))))))))))))))))))))))))</f>
        <v>0</v>
      </c>
      <c r="H220" s="112">
        <v>0</v>
      </c>
      <c r="I220" s="112">
        <v>0</v>
      </c>
      <c r="J220" s="112">
        <v>0</v>
      </c>
      <c r="K220" s="112">
        <v>12.46</v>
      </c>
      <c r="L220" s="112">
        <v>0</v>
      </c>
      <c r="M220" s="112">
        <v>0</v>
      </c>
      <c r="N220" s="112">
        <v>0</v>
      </c>
      <c r="O220" s="112">
        <v>0</v>
      </c>
      <c r="P220" s="112">
        <v>0</v>
      </c>
      <c r="Q220" s="112">
        <v>0</v>
      </c>
      <c r="R220" s="112">
        <v>0</v>
      </c>
      <c r="S220" s="112">
        <v>0</v>
      </c>
      <c r="T220" s="112">
        <v>0</v>
      </c>
      <c r="U220" s="112">
        <v>0</v>
      </c>
      <c r="V220" s="112">
        <v>1.0411600000000001</v>
      </c>
      <c r="W220" s="112">
        <v>0</v>
      </c>
      <c r="X220" s="112">
        <v>0</v>
      </c>
      <c r="Y220" s="112"/>
      <c r="Z220" s="112">
        <v>0</v>
      </c>
      <c r="AA220" s="112">
        <v>0</v>
      </c>
      <c r="AB220" s="112">
        <v>0</v>
      </c>
      <c r="AC220" s="112">
        <v>0</v>
      </c>
      <c r="AD220" s="112">
        <v>-2.5731329999999999</v>
      </c>
      <c r="AE220" s="148">
        <v>0</v>
      </c>
      <c r="AF220" s="112">
        <v>0</v>
      </c>
      <c r="AG220" s="112">
        <v>0</v>
      </c>
      <c r="AH220" s="182">
        <v>0</v>
      </c>
      <c r="AI220" s="112">
        <v>0</v>
      </c>
      <c r="AJ220" s="112">
        <v>0</v>
      </c>
      <c r="AK220" s="112">
        <v>0</v>
      </c>
    </row>
    <row r="221" spans="2:37" x14ac:dyDescent="0.25">
      <c r="B221" s="2" t="s">
        <v>902</v>
      </c>
      <c r="C221" s="2" t="s">
        <v>899</v>
      </c>
      <c r="D221" s="36">
        <f t="shared" si="53"/>
        <v>0</v>
      </c>
      <c r="E221" s="4">
        <v>1</v>
      </c>
      <c r="F221" s="3"/>
      <c r="G221" s="15">
        <f>+IF(EXACT('3AC_Data'!$D$8,1),H221,IF(EXACT('3AC_Data'!$D$8,2),I221,IF(EXACT('3AC_Data'!$D$8,3),J221,IF(EXACT('3AC_Data'!$D$8,4),K221,IF(EXACT('3AC_Data'!$D$8,5),L221,IF(EXACT('3AC_Data'!$D$8,6),M221,IF(EXACT('3AC_Data'!$D$8,7),N221,IF(EXACT('3AC_Data'!$D$8,8),O221,IF(EXACT('3AC_Data'!$D$8,9),P221,IF(EXACT('3AC_Data'!$D$8,10),Q221,IF(EXACT('3AC_Data'!$D$8,11),R221,IF(EXACT('3AC_Data'!$D$8,12),S221,IF(EXACT('3AC_Data'!$D$8,13),T221,IF(EXACT('3AC_Data'!$D$8,14),U221,IF(EXACT('3AC_Data'!$D$8,15),V221,IF(EXACT('3AC_Data'!$D$8,16),W221,IF(EXACT('3AC_Data'!$D$8,17),X221,IF(EXACT('3AC_Data'!$D$8,18),Y221,IF(EXACT('3AC_Data'!$D$8,19),Z221,IF(EXACT('3AC_Data'!$D$8,20),AA221,IF(EXACT('3AC_Data'!$D$8,21),AB221,IF(EXACT('3AC_Data'!$D$8,22),AC221,IF(EXACT('3AC_Data'!$D$8,23),AD221,IF(EXACT('3AC_Data'!$D$8,24),AE221,IF(EXACT('3AC_Data'!$D$8,25),AF221,IF(EXACT('3AC_Data'!$D$8,26),AG221,IF(EXACT('3AC_Data'!$D$8,27),AH221,IF(EXACT('3AC_Data'!$D$8,28),AI221,IF(EXACT('3AC_Data'!$D$8,29),AJ221,IF(EXACT('3AC_Data'!$D$8,30),AK221))))))))))))))))))))))))))))))</f>
        <v>0</v>
      </c>
      <c r="H221" s="112">
        <v>0</v>
      </c>
      <c r="I221" s="112">
        <v>0</v>
      </c>
      <c r="J221" s="112">
        <v>0</v>
      </c>
      <c r="K221" s="112">
        <v>1.046</v>
      </c>
      <c r="L221" s="112">
        <v>0</v>
      </c>
      <c r="M221" s="112">
        <v>0</v>
      </c>
      <c r="N221" s="112">
        <v>0</v>
      </c>
      <c r="O221" s="112">
        <v>0</v>
      </c>
      <c r="P221" s="112">
        <v>0</v>
      </c>
      <c r="Q221" s="112">
        <v>0</v>
      </c>
      <c r="R221" s="112">
        <v>0</v>
      </c>
      <c r="S221" s="112">
        <v>0</v>
      </c>
      <c r="T221" s="112">
        <v>0</v>
      </c>
      <c r="U221" s="112">
        <v>0</v>
      </c>
      <c r="V221" s="112">
        <v>0.1585</v>
      </c>
      <c r="W221" s="112">
        <v>0</v>
      </c>
      <c r="X221" s="112">
        <v>0</v>
      </c>
      <c r="Y221" s="112"/>
      <c r="Z221" s="112">
        <v>0</v>
      </c>
      <c r="AA221" s="112">
        <v>0</v>
      </c>
      <c r="AB221" s="112">
        <v>0</v>
      </c>
      <c r="AC221" s="112">
        <v>0</v>
      </c>
      <c r="AD221" s="112">
        <v>0.14916199999999999</v>
      </c>
      <c r="AE221" s="148">
        <v>0</v>
      </c>
      <c r="AF221" s="112">
        <v>0</v>
      </c>
      <c r="AG221" s="112">
        <v>0</v>
      </c>
      <c r="AH221" s="182">
        <v>0</v>
      </c>
      <c r="AI221" s="112">
        <v>0</v>
      </c>
      <c r="AJ221" s="112">
        <v>0</v>
      </c>
      <c r="AK221" s="112">
        <v>0</v>
      </c>
    </row>
    <row r="222" spans="2:37" x14ac:dyDescent="0.25">
      <c r="B222" s="2" t="s">
        <v>858</v>
      </c>
      <c r="C222" s="2" t="s">
        <v>857</v>
      </c>
      <c r="D222" s="36">
        <f t="shared" si="53"/>
        <v>0</v>
      </c>
      <c r="E222" s="4">
        <v>1</v>
      </c>
      <c r="F222" s="3"/>
      <c r="G222" s="15">
        <f>+IF(EXACT('3AC_Data'!$D$8,1),H222,IF(EXACT('3AC_Data'!$D$8,2),I222,IF(EXACT('3AC_Data'!$D$8,3),J222,IF(EXACT('3AC_Data'!$D$8,4),K222,IF(EXACT('3AC_Data'!$D$8,5),L222,IF(EXACT('3AC_Data'!$D$8,6),M222,IF(EXACT('3AC_Data'!$D$8,7),N222,IF(EXACT('3AC_Data'!$D$8,8),O222,IF(EXACT('3AC_Data'!$D$8,9),P222,IF(EXACT('3AC_Data'!$D$8,10),Q222,IF(EXACT('3AC_Data'!$D$8,11),R222,IF(EXACT('3AC_Data'!$D$8,12),S222,IF(EXACT('3AC_Data'!$D$8,13),T222,IF(EXACT('3AC_Data'!$D$8,14),U222,IF(EXACT('3AC_Data'!$D$8,15),V222,IF(EXACT('3AC_Data'!$D$8,16),W222,IF(EXACT('3AC_Data'!$D$8,17),X222,IF(EXACT('3AC_Data'!$D$8,18),Y222,IF(EXACT('3AC_Data'!$D$8,19),Z222,IF(EXACT('3AC_Data'!$D$8,20),AA222,IF(EXACT('3AC_Data'!$D$8,21),AB222,IF(EXACT('3AC_Data'!$D$8,22),AC222,IF(EXACT('3AC_Data'!$D$8,23),AD222,IF(EXACT('3AC_Data'!$D$8,24),AE222,IF(EXACT('3AC_Data'!$D$8,25),AF222,IF(EXACT('3AC_Data'!$D$8,26),AG222,IF(EXACT('3AC_Data'!$D$8,27),AH222,IF(EXACT('3AC_Data'!$D$8,28),AI222,IF(EXACT('3AC_Data'!$D$8,29),AJ222,IF(EXACT('3AC_Data'!$D$8,30),AK222))))))))))))))))))))))))))))))</f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6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/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141">
        <v>0</v>
      </c>
      <c r="AF222" s="44">
        <v>0</v>
      </c>
      <c r="AG222" s="44">
        <v>0</v>
      </c>
      <c r="AH222" s="181">
        <v>0</v>
      </c>
      <c r="AI222" s="44">
        <v>0</v>
      </c>
      <c r="AJ222" s="44">
        <v>0</v>
      </c>
      <c r="AK222" s="44">
        <v>0</v>
      </c>
    </row>
    <row r="223" spans="2:37" x14ac:dyDescent="0.25">
      <c r="B223" s="2" t="s">
        <v>904</v>
      </c>
      <c r="C223" s="2" t="s">
        <v>905</v>
      </c>
      <c r="D223" s="36">
        <f t="shared" si="53"/>
        <v>0</v>
      </c>
      <c r="E223" s="4">
        <v>1</v>
      </c>
      <c r="F223" s="3"/>
      <c r="G223" s="15">
        <f>+IF(EXACT('3AC_Data'!$D$8,1),H223,IF(EXACT('3AC_Data'!$D$8,2),I223,IF(EXACT('3AC_Data'!$D$8,3),J223,IF(EXACT('3AC_Data'!$D$8,4),K223,IF(EXACT('3AC_Data'!$D$8,5),L223,IF(EXACT('3AC_Data'!$D$8,6),M223,IF(EXACT('3AC_Data'!$D$8,7),N223,IF(EXACT('3AC_Data'!$D$8,8),O223,IF(EXACT('3AC_Data'!$D$8,9),P223,IF(EXACT('3AC_Data'!$D$8,10),Q223,IF(EXACT('3AC_Data'!$D$8,11),R223,IF(EXACT('3AC_Data'!$D$8,12),S223,IF(EXACT('3AC_Data'!$D$8,13),T223,IF(EXACT('3AC_Data'!$D$8,14),U223,IF(EXACT('3AC_Data'!$D$8,15),V223,IF(EXACT('3AC_Data'!$D$8,16),W223,IF(EXACT('3AC_Data'!$D$8,17),X223,IF(EXACT('3AC_Data'!$D$8,18),Y223,IF(EXACT('3AC_Data'!$D$8,19),Z223,IF(EXACT('3AC_Data'!$D$8,20),AA223,IF(EXACT('3AC_Data'!$D$8,21),AB223,IF(EXACT('3AC_Data'!$D$8,22),AC223,IF(EXACT('3AC_Data'!$D$8,23),AD223,IF(EXACT('3AC_Data'!$D$8,24),AE223,IF(EXACT('3AC_Data'!$D$8,25),AF223,IF(EXACT('3AC_Data'!$D$8,26),AG223,IF(EXACT('3AC_Data'!$D$8,27),AH223,IF(EXACT('3AC_Data'!$D$8,28),AI223,IF(EXACT('3AC_Data'!$D$8,29),AJ223,IF(EXACT('3AC_Data'!$D$8,30),AK223))))))))))))))))))))))))))))))</f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6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/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141">
        <v>0</v>
      </c>
      <c r="AF223" s="44">
        <v>0</v>
      </c>
      <c r="AG223" s="44">
        <v>0</v>
      </c>
      <c r="AH223" s="181">
        <v>0</v>
      </c>
      <c r="AI223" s="44">
        <v>0</v>
      </c>
      <c r="AJ223" s="44">
        <v>0</v>
      </c>
      <c r="AK223" s="44">
        <v>0</v>
      </c>
    </row>
    <row r="224" spans="2:37" x14ac:dyDescent="0.25">
      <c r="B224" s="2" t="s">
        <v>918</v>
      </c>
      <c r="C224" s="2" t="s">
        <v>918</v>
      </c>
      <c r="D224" s="36">
        <f t="shared" si="53"/>
        <v>0</v>
      </c>
      <c r="E224" s="4">
        <v>1</v>
      </c>
      <c r="F224" s="3"/>
      <c r="G224" s="15">
        <f>+IF(EXACT('3AC_Data'!$D$8,1),H224,IF(EXACT('3AC_Data'!$D$8,2),I224,IF(EXACT('3AC_Data'!$D$8,3),J224,IF(EXACT('3AC_Data'!$D$8,4),K224,IF(EXACT('3AC_Data'!$D$8,5),L224,IF(EXACT('3AC_Data'!$D$8,6),M224,IF(EXACT('3AC_Data'!$D$8,7),N224,IF(EXACT('3AC_Data'!$D$8,8),O224,IF(EXACT('3AC_Data'!$D$8,9),P224,IF(EXACT('3AC_Data'!$D$8,10),Q224,IF(EXACT('3AC_Data'!$D$8,11),R224,IF(EXACT('3AC_Data'!$D$8,12),S224,IF(EXACT('3AC_Data'!$D$8,13),T224,IF(EXACT('3AC_Data'!$D$8,14),U224,IF(EXACT('3AC_Data'!$D$8,15),V224,IF(EXACT('3AC_Data'!$D$8,16),W224,IF(EXACT('3AC_Data'!$D$8,17),X224,IF(EXACT('3AC_Data'!$D$8,18),Y224,IF(EXACT('3AC_Data'!$D$8,19),Z224,IF(EXACT('3AC_Data'!$D$8,20),AA224,IF(EXACT('3AC_Data'!$D$8,21),AB224,IF(EXACT('3AC_Data'!$D$8,22),AC224,IF(EXACT('3AC_Data'!$D$8,23),AD224,IF(EXACT('3AC_Data'!$D$8,24),AE224,IF(EXACT('3AC_Data'!$D$8,25),AF224,IF(EXACT('3AC_Data'!$D$8,26),AG224,IF(EXACT('3AC_Data'!$D$8,27),AH224,IF(EXACT('3AC_Data'!$D$8,28),AI224,IF(EXACT('3AC_Data'!$D$8,29),AJ224,IF(EXACT('3AC_Data'!$D$8,30),AK224))))))))))))))))))))))))))))))</f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6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/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141">
        <v>0</v>
      </c>
      <c r="AF224" s="44">
        <v>0</v>
      </c>
      <c r="AG224" s="44">
        <v>0</v>
      </c>
      <c r="AH224" s="181">
        <v>0</v>
      </c>
      <c r="AI224" s="44">
        <v>0</v>
      </c>
      <c r="AJ224" s="44">
        <v>0</v>
      </c>
      <c r="AK224" s="44">
        <v>0</v>
      </c>
    </row>
    <row r="225" spans="2:37" x14ac:dyDescent="0.25">
      <c r="B225" s="2" t="s">
        <v>1213</v>
      </c>
      <c r="C225" s="2" t="s">
        <v>1212</v>
      </c>
      <c r="D225" s="36">
        <f t="shared" si="53"/>
        <v>0</v>
      </c>
      <c r="E225" s="4">
        <v>1</v>
      </c>
      <c r="F225" s="3"/>
      <c r="G225" s="15">
        <f>+IF(EXACT('3AC_Data'!$D$8,1),H225,IF(EXACT('3AC_Data'!$D$8,2),I225,IF(EXACT('3AC_Data'!$D$8,3),J225,IF(EXACT('3AC_Data'!$D$8,4),K225,IF(EXACT('3AC_Data'!$D$8,5),L225,IF(EXACT('3AC_Data'!$D$8,6),M225,IF(EXACT('3AC_Data'!$D$8,7),N225,IF(EXACT('3AC_Data'!$D$8,8),O225,IF(EXACT('3AC_Data'!$D$8,9),P225,IF(EXACT('3AC_Data'!$D$8,10),Q225,IF(EXACT('3AC_Data'!$D$8,11),R225,IF(EXACT('3AC_Data'!$D$8,12),S225,IF(EXACT('3AC_Data'!$D$8,13),T225,IF(EXACT('3AC_Data'!$D$8,14),U225,IF(EXACT('3AC_Data'!$D$8,15),V225,IF(EXACT('3AC_Data'!$D$8,16),W225,IF(EXACT('3AC_Data'!$D$8,17),X225,IF(EXACT('3AC_Data'!$D$8,18),Y225,IF(EXACT('3AC_Data'!$D$8,19),Z225,IF(EXACT('3AC_Data'!$D$8,20),AA225,IF(EXACT('3AC_Data'!$D$8,21),AB225,IF(EXACT('3AC_Data'!$D$8,22),AC225,IF(EXACT('3AC_Data'!$D$8,23),AD225,IF(EXACT('3AC_Data'!$D$8,24),AE225,IF(EXACT('3AC_Data'!$D$8,25),AF225,IF(EXACT('3AC_Data'!$D$8,26),AG225,IF(EXACT('3AC_Data'!$D$8,27),AH225,IF(EXACT('3AC_Data'!$D$8,28),AI225,IF(EXACT('3AC_Data'!$D$8,29),AJ225,IF(EXACT('3AC_Data'!$D$8,30),AK225))))))))))))))))))))))))))))))</f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6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2.3359999999999999</v>
      </c>
      <c r="X225" s="44">
        <v>2.3359999999999999</v>
      </c>
      <c r="Y225" s="44"/>
      <c r="Z225" s="44">
        <v>0</v>
      </c>
      <c r="AA225" s="44">
        <v>0</v>
      </c>
      <c r="AB225" s="44">
        <v>0.56799999999999995</v>
      </c>
      <c r="AC225" s="44">
        <v>0</v>
      </c>
      <c r="AD225" s="44">
        <v>0</v>
      </c>
      <c r="AE225" s="141">
        <v>0</v>
      </c>
      <c r="AF225" s="44">
        <v>0</v>
      </c>
      <c r="AG225" s="44">
        <v>0</v>
      </c>
      <c r="AH225" s="181">
        <v>0</v>
      </c>
      <c r="AI225" s="44">
        <v>0</v>
      </c>
      <c r="AJ225" s="44">
        <v>0</v>
      </c>
      <c r="AK225" s="44">
        <v>0</v>
      </c>
    </row>
    <row r="226" spans="2:37" x14ac:dyDescent="0.25">
      <c r="B226" s="2" t="s">
        <v>1214</v>
      </c>
      <c r="C226" s="2" t="s">
        <v>1215</v>
      </c>
      <c r="D226" s="36">
        <f t="shared" si="53"/>
        <v>0</v>
      </c>
      <c r="E226" s="4">
        <v>1</v>
      </c>
      <c r="F226" s="3"/>
      <c r="G226" s="15">
        <f>+IF(EXACT('3AC_Data'!$D$8,1),H226,IF(EXACT('3AC_Data'!$D$8,2),I226,IF(EXACT('3AC_Data'!$D$8,3),J226,IF(EXACT('3AC_Data'!$D$8,4),K226,IF(EXACT('3AC_Data'!$D$8,5),L226,IF(EXACT('3AC_Data'!$D$8,6),M226,IF(EXACT('3AC_Data'!$D$8,7),N226,IF(EXACT('3AC_Data'!$D$8,8),O226,IF(EXACT('3AC_Data'!$D$8,9),P226,IF(EXACT('3AC_Data'!$D$8,10),Q226,IF(EXACT('3AC_Data'!$D$8,11),R226,IF(EXACT('3AC_Data'!$D$8,12),S226,IF(EXACT('3AC_Data'!$D$8,13),T226,IF(EXACT('3AC_Data'!$D$8,14),U226,IF(EXACT('3AC_Data'!$D$8,15),V226,IF(EXACT('3AC_Data'!$D$8,16),W226,IF(EXACT('3AC_Data'!$D$8,17),X226,IF(EXACT('3AC_Data'!$D$8,18),Y226,IF(EXACT('3AC_Data'!$D$8,19),Z226,IF(EXACT('3AC_Data'!$D$8,20),AA226,IF(EXACT('3AC_Data'!$D$8,21),AB226,IF(EXACT('3AC_Data'!$D$8,22),AC226,IF(EXACT('3AC_Data'!$D$8,23),AD226,IF(EXACT('3AC_Data'!$D$8,24),AE226,IF(EXACT('3AC_Data'!$D$8,25),AF226,IF(EXACT('3AC_Data'!$D$8,26),AG226,IF(EXACT('3AC_Data'!$D$8,27),AH226,IF(EXACT('3AC_Data'!$D$8,28),AI226,IF(EXACT('3AC_Data'!$D$8,29),AJ226,IF(EXACT('3AC_Data'!$D$8,30),AK226))))))))))))))))))))))))))))))</f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0.03</v>
      </c>
      <c r="X226" s="44">
        <v>0.03</v>
      </c>
      <c r="Y226" s="44"/>
      <c r="Z226" s="44">
        <v>0</v>
      </c>
      <c r="AA226" s="44">
        <v>0</v>
      </c>
      <c r="AB226" s="44">
        <v>1.7999999999999999E-2</v>
      </c>
      <c r="AC226" s="44">
        <v>0</v>
      </c>
      <c r="AD226" s="44">
        <v>0</v>
      </c>
      <c r="AE226" s="141">
        <v>0</v>
      </c>
      <c r="AF226" s="44">
        <v>0</v>
      </c>
      <c r="AG226" s="44">
        <v>0</v>
      </c>
      <c r="AH226" s="181">
        <v>0</v>
      </c>
      <c r="AI226" s="44">
        <v>0</v>
      </c>
      <c r="AJ226" s="44">
        <v>0</v>
      </c>
      <c r="AK226" s="44">
        <v>0</v>
      </c>
    </row>
    <row r="227" spans="2:37" x14ac:dyDescent="0.25">
      <c r="B227" s="2" t="s">
        <v>1216</v>
      </c>
      <c r="C227" s="2" t="s">
        <v>1217</v>
      </c>
      <c r="D227" s="36">
        <f t="shared" si="53"/>
        <v>0</v>
      </c>
      <c r="E227" s="4">
        <v>1</v>
      </c>
      <c r="F227" s="3"/>
      <c r="G227" s="15">
        <f>+IF(EXACT('3AC_Data'!$D$8,1),H227,IF(EXACT('3AC_Data'!$D$8,2),I227,IF(EXACT('3AC_Data'!$D$8,3),J227,IF(EXACT('3AC_Data'!$D$8,4),K227,IF(EXACT('3AC_Data'!$D$8,5),L227,IF(EXACT('3AC_Data'!$D$8,6),M227,IF(EXACT('3AC_Data'!$D$8,7),N227,IF(EXACT('3AC_Data'!$D$8,8),O227,IF(EXACT('3AC_Data'!$D$8,9),P227,IF(EXACT('3AC_Data'!$D$8,10),Q227,IF(EXACT('3AC_Data'!$D$8,11),R227,IF(EXACT('3AC_Data'!$D$8,12),S227,IF(EXACT('3AC_Data'!$D$8,13),T227,IF(EXACT('3AC_Data'!$D$8,14),U227,IF(EXACT('3AC_Data'!$D$8,15),V227,IF(EXACT('3AC_Data'!$D$8,16),W227,IF(EXACT('3AC_Data'!$D$8,17),X227,IF(EXACT('3AC_Data'!$D$8,18),Y227,IF(EXACT('3AC_Data'!$D$8,19),Z227,IF(EXACT('3AC_Data'!$D$8,20),AA227,IF(EXACT('3AC_Data'!$D$8,21),AB227,IF(EXACT('3AC_Data'!$D$8,22),AC227,IF(EXACT('3AC_Data'!$D$8,23),AD227,IF(EXACT('3AC_Data'!$D$8,24),AE227,IF(EXACT('3AC_Data'!$D$8,25),AF227,IF(EXACT('3AC_Data'!$D$8,26),AG227,IF(EXACT('3AC_Data'!$D$8,27),AH227,IF(EXACT('3AC_Data'!$D$8,28),AI227,IF(EXACT('3AC_Data'!$D$8,29),AJ227,IF(EXACT('3AC_Data'!$D$8,30),AK227))))))))))))))))))))))))))))))</f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6.5000000000000002E-2</v>
      </c>
      <c r="X227" s="44">
        <v>6.5000000000000002E-2</v>
      </c>
      <c r="Y227" s="44"/>
      <c r="Z227" s="44">
        <v>0</v>
      </c>
      <c r="AA227" s="44">
        <v>0</v>
      </c>
      <c r="AB227" s="44">
        <v>1.7999999999999999E-2</v>
      </c>
      <c r="AC227" s="44">
        <v>0</v>
      </c>
      <c r="AD227" s="44">
        <v>0</v>
      </c>
      <c r="AE227" s="141">
        <v>0</v>
      </c>
      <c r="AF227" s="44">
        <v>0</v>
      </c>
      <c r="AG227" s="44">
        <v>0</v>
      </c>
      <c r="AH227" s="181">
        <v>0</v>
      </c>
      <c r="AI227" s="44">
        <v>0</v>
      </c>
      <c r="AJ227" s="44">
        <v>0</v>
      </c>
      <c r="AK227" s="44">
        <v>0</v>
      </c>
    </row>
    <row r="228" spans="2:37" x14ac:dyDescent="0.25">
      <c r="B228" s="2" t="s">
        <v>1223</v>
      </c>
      <c r="C228" s="2" t="s">
        <v>1226</v>
      </c>
      <c r="D228" s="36">
        <f t="shared" si="53"/>
        <v>0</v>
      </c>
      <c r="E228" s="4">
        <v>1</v>
      </c>
      <c r="F228" s="3"/>
      <c r="G228" s="15">
        <f>+IF(EXACT('3AC_Data'!$D$8,1),H228,IF(EXACT('3AC_Data'!$D$8,2),I228,IF(EXACT('3AC_Data'!$D$8,3),J228,IF(EXACT('3AC_Data'!$D$8,4),K228,IF(EXACT('3AC_Data'!$D$8,5),L228,IF(EXACT('3AC_Data'!$D$8,6),M228,IF(EXACT('3AC_Data'!$D$8,7),N228,IF(EXACT('3AC_Data'!$D$8,8),O228,IF(EXACT('3AC_Data'!$D$8,9),P228,IF(EXACT('3AC_Data'!$D$8,10),Q228,IF(EXACT('3AC_Data'!$D$8,11),R228,IF(EXACT('3AC_Data'!$D$8,12),S228,IF(EXACT('3AC_Data'!$D$8,13),T228,IF(EXACT('3AC_Data'!$D$8,14),U228,IF(EXACT('3AC_Data'!$D$8,15),V228,IF(EXACT('3AC_Data'!$D$8,16),W228,IF(EXACT('3AC_Data'!$D$8,17),X228,IF(EXACT('3AC_Data'!$D$8,18),Y228,IF(EXACT('3AC_Data'!$D$8,19),Z228,IF(EXACT('3AC_Data'!$D$8,20),AA228,IF(EXACT('3AC_Data'!$D$8,21),AB228,IF(EXACT('3AC_Data'!$D$8,22),AC228,IF(EXACT('3AC_Data'!$D$8,23),AD228,IF(EXACT('3AC_Data'!$D$8,24),AE228,IF(EXACT('3AC_Data'!$D$8,25),AF228,IF(EXACT('3AC_Data'!$D$8,26),AG228,IF(EXACT('3AC_Data'!$D$8,27),AH228,IF(EXACT('3AC_Data'!$D$8,28),AI228,IF(EXACT('3AC_Data'!$D$8,29),AJ228,IF(EXACT('3AC_Data'!$D$8,30),AK228))))))))))))))))))))))))))))))</f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0.5</v>
      </c>
      <c r="X228" s="44">
        <v>0.5</v>
      </c>
      <c r="Y228" s="44"/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141">
        <v>0</v>
      </c>
      <c r="AF228" s="44">
        <v>0</v>
      </c>
      <c r="AG228" s="44">
        <v>0</v>
      </c>
      <c r="AH228" s="181">
        <v>0</v>
      </c>
      <c r="AI228" s="44">
        <v>0</v>
      </c>
      <c r="AJ228" s="44">
        <v>0</v>
      </c>
      <c r="AK228" s="44">
        <v>0</v>
      </c>
    </row>
    <row r="229" spans="2:37" x14ac:dyDescent="0.25">
      <c r="B229" s="2" t="s">
        <v>1224</v>
      </c>
      <c r="C229" s="2" t="s">
        <v>1227</v>
      </c>
      <c r="D229" s="36">
        <f t="shared" si="53"/>
        <v>0</v>
      </c>
      <c r="E229" s="4">
        <v>1</v>
      </c>
      <c r="F229" s="3"/>
      <c r="G229" s="15">
        <f>+IF(EXACT('3AC_Data'!$D$8,1),H229,IF(EXACT('3AC_Data'!$D$8,2),I229,IF(EXACT('3AC_Data'!$D$8,3),J229,IF(EXACT('3AC_Data'!$D$8,4),K229,IF(EXACT('3AC_Data'!$D$8,5),L229,IF(EXACT('3AC_Data'!$D$8,6),M229,IF(EXACT('3AC_Data'!$D$8,7),N229,IF(EXACT('3AC_Data'!$D$8,8),O229,IF(EXACT('3AC_Data'!$D$8,9),P229,IF(EXACT('3AC_Data'!$D$8,10),Q229,IF(EXACT('3AC_Data'!$D$8,11),R229,IF(EXACT('3AC_Data'!$D$8,12),S229,IF(EXACT('3AC_Data'!$D$8,13),T229,IF(EXACT('3AC_Data'!$D$8,14),U229,IF(EXACT('3AC_Data'!$D$8,15),V229,IF(EXACT('3AC_Data'!$D$8,16),W229,IF(EXACT('3AC_Data'!$D$8,17),X229,IF(EXACT('3AC_Data'!$D$8,18),Y229,IF(EXACT('3AC_Data'!$D$8,19),Z229,IF(EXACT('3AC_Data'!$D$8,20),AA229,IF(EXACT('3AC_Data'!$D$8,21),AB229,IF(EXACT('3AC_Data'!$D$8,22),AC229,IF(EXACT('3AC_Data'!$D$8,23),AD229,IF(EXACT('3AC_Data'!$D$8,24),AE229,IF(EXACT('3AC_Data'!$D$8,25),AF229,IF(EXACT('3AC_Data'!$D$8,26),AG229,IF(EXACT('3AC_Data'!$D$8,27),AH229,IF(EXACT('3AC_Data'!$D$8,28),AI229,IF(EXACT('3AC_Data'!$D$8,29),AJ229,IF(EXACT('3AC_Data'!$D$8,30),AK229))))))))))))))))))))))))))))))</f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0.15</v>
      </c>
      <c r="X229" s="44">
        <v>0.15</v>
      </c>
      <c r="Y229" s="44"/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141">
        <v>0</v>
      </c>
      <c r="AF229" s="44">
        <v>0</v>
      </c>
      <c r="AG229" s="44">
        <v>0</v>
      </c>
      <c r="AH229" s="181">
        <v>0</v>
      </c>
      <c r="AI229" s="44">
        <v>0</v>
      </c>
      <c r="AJ229" s="44">
        <v>0</v>
      </c>
      <c r="AK229" s="44">
        <v>0</v>
      </c>
    </row>
    <row r="230" spans="2:37" x14ac:dyDescent="0.25">
      <c r="B230" s="2" t="s">
        <v>1225</v>
      </c>
      <c r="C230" s="2" t="s">
        <v>1228</v>
      </c>
      <c r="D230" s="36">
        <f t="shared" si="53"/>
        <v>0</v>
      </c>
      <c r="E230" s="4">
        <v>1</v>
      </c>
      <c r="F230" s="3"/>
      <c r="G230" s="15">
        <f>+IF(EXACT('3AC_Data'!$D$8,1),H230,IF(EXACT('3AC_Data'!$D$8,2),I230,IF(EXACT('3AC_Data'!$D$8,3),J230,IF(EXACT('3AC_Data'!$D$8,4),K230,IF(EXACT('3AC_Data'!$D$8,5),L230,IF(EXACT('3AC_Data'!$D$8,6),M230,IF(EXACT('3AC_Data'!$D$8,7),N230,IF(EXACT('3AC_Data'!$D$8,8),O230,IF(EXACT('3AC_Data'!$D$8,9),P230,IF(EXACT('3AC_Data'!$D$8,10),Q230,IF(EXACT('3AC_Data'!$D$8,11),R230,IF(EXACT('3AC_Data'!$D$8,12),S230,IF(EXACT('3AC_Data'!$D$8,13),T230,IF(EXACT('3AC_Data'!$D$8,14),U230,IF(EXACT('3AC_Data'!$D$8,15),V230,IF(EXACT('3AC_Data'!$D$8,16),W230,IF(EXACT('3AC_Data'!$D$8,17),X230,IF(EXACT('3AC_Data'!$D$8,18),Y230,IF(EXACT('3AC_Data'!$D$8,19),Z230,IF(EXACT('3AC_Data'!$D$8,20),AA230,IF(EXACT('3AC_Data'!$D$8,21),AB230,IF(EXACT('3AC_Data'!$D$8,22),AC230,IF(EXACT('3AC_Data'!$D$8,23),AD230,IF(EXACT('3AC_Data'!$D$8,24),AE230,IF(EXACT('3AC_Data'!$D$8,25),AF230,IF(EXACT('3AC_Data'!$D$8,26),AG230,IF(EXACT('3AC_Data'!$D$8,27),AH230,IF(EXACT('3AC_Data'!$D$8,28),AI230,IF(EXACT('3AC_Data'!$D$8,29),AJ230,IF(EXACT('3AC_Data'!$D$8,30),AK230))))))))))))))))))))))))))))))</f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0.15</v>
      </c>
      <c r="X230" s="44">
        <v>0.15</v>
      </c>
      <c r="Y230" s="44"/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141">
        <v>0</v>
      </c>
      <c r="AF230" s="44">
        <v>0</v>
      </c>
      <c r="AG230" s="44">
        <v>0</v>
      </c>
      <c r="AH230" s="181">
        <v>0</v>
      </c>
      <c r="AI230" s="44">
        <v>0</v>
      </c>
      <c r="AJ230" s="44">
        <v>0</v>
      </c>
      <c r="AK230" s="44">
        <v>0</v>
      </c>
    </row>
    <row r="231" spans="2:37" x14ac:dyDescent="0.25">
      <c r="B231" s="2" t="s">
        <v>1255</v>
      </c>
      <c r="C231" s="2" t="s">
        <v>1382</v>
      </c>
      <c r="D231" s="36">
        <f t="shared" si="53"/>
        <v>1</v>
      </c>
      <c r="E231" s="4">
        <v>1</v>
      </c>
      <c r="F231" s="3"/>
      <c r="G231" s="15">
        <f>+IF(EXACT('3AC_Data'!$D$8,1),H231,IF(EXACT('3AC_Data'!$D$8,2),I231,IF(EXACT('3AC_Data'!$D$8,3),J231,IF(EXACT('3AC_Data'!$D$8,4),K231,IF(EXACT('3AC_Data'!$D$8,5),L231,IF(EXACT('3AC_Data'!$D$8,6),M231,IF(EXACT('3AC_Data'!$D$8,7),N231,IF(EXACT('3AC_Data'!$D$8,8),O231,IF(EXACT('3AC_Data'!$D$8,9),P231,IF(EXACT('3AC_Data'!$D$8,10),Q231,IF(EXACT('3AC_Data'!$D$8,11),R231,IF(EXACT('3AC_Data'!$D$8,12),S231,IF(EXACT('3AC_Data'!$D$8,13),T231,IF(EXACT('3AC_Data'!$D$8,14),U231,IF(EXACT('3AC_Data'!$D$8,15),V231,IF(EXACT('3AC_Data'!$D$8,16),W231,IF(EXACT('3AC_Data'!$D$8,17),X231,IF(EXACT('3AC_Data'!$D$8,18),Y231,IF(EXACT('3AC_Data'!$D$8,19),Z231,IF(EXACT('3AC_Data'!$D$8,20),AA231,IF(EXACT('3AC_Data'!$D$8,21),AB231,IF(EXACT('3AC_Data'!$D$8,22),AC231,IF(EXACT('3AC_Data'!$D$8,23),AD231,IF(EXACT('3AC_Data'!$D$8,24),AE231,IF(EXACT('3AC_Data'!$D$8,25),AF231,IF(EXACT('3AC_Data'!$D$8,26),AG231,IF(EXACT('3AC_Data'!$D$8,27),AH231,IF(EXACT('3AC_Data'!$D$8,28),AI231,IF(EXACT('3AC_Data'!$D$8,29),AJ231,IF(EXACT('3AC_Data'!$D$8,30),AK231))))))))))))))))))))))))))))))</f>
        <v>1</v>
      </c>
      <c r="H231" s="117">
        <v>1</v>
      </c>
      <c r="I231" s="117">
        <v>1</v>
      </c>
      <c r="J231" s="117">
        <v>1</v>
      </c>
      <c r="K231" s="117">
        <v>1</v>
      </c>
      <c r="L231" s="117"/>
      <c r="M231" s="117">
        <v>1</v>
      </c>
      <c r="N231" s="117"/>
      <c r="O231" s="117"/>
      <c r="P231" s="117">
        <v>1</v>
      </c>
      <c r="Q231" s="117">
        <v>1</v>
      </c>
      <c r="R231" s="117">
        <v>1</v>
      </c>
      <c r="S231" s="117">
        <v>1</v>
      </c>
      <c r="T231" s="117">
        <v>1</v>
      </c>
      <c r="U231" s="117">
        <v>1</v>
      </c>
      <c r="V231" s="117">
        <v>1</v>
      </c>
      <c r="W231" s="117">
        <v>1</v>
      </c>
      <c r="X231" s="117">
        <v>1</v>
      </c>
      <c r="Y231" s="117"/>
      <c r="Z231" s="117">
        <v>1</v>
      </c>
      <c r="AA231" s="117">
        <v>1</v>
      </c>
      <c r="AB231" s="117">
        <v>1</v>
      </c>
      <c r="AC231" s="117">
        <v>1</v>
      </c>
      <c r="AD231" s="117">
        <v>1</v>
      </c>
      <c r="AE231" s="150">
        <v>1</v>
      </c>
      <c r="AF231" s="117">
        <v>1</v>
      </c>
      <c r="AG231" s="117">
        <v>1</v>
      </c>
      <c r="AH231" s="183">
        <v>1</v>
      </c>
      <c r="AI231" s="117">
        <v>1</v>
      </c>
      <c r="AJ231" s="117">
        <v>1</v>
      </c>
      <c r="AK231" s="117">
        <v>1</v>
      </c>
    </row>
    <row r="232" spans="2:37" x14ac:dyDescent="0.25">
      <c r="B232" s="2" t="s">
        <v>1254</v>
      </c>
      <c r="C232" s="2" t="s">
        <v>1248</v>
      </c>
      <c r="D232" s="36">
        <f t="shared" si="53"/>
        <v>0</v>
      </c>
      <c r="E232" s="4">
        <v>1</v>
      </c>
      <c r="F232" s="3"/>
      <c r="G232" s="15">
        <f>+IF(EXACT('3AC_Data'!$D$8,1),H232,IF(EXACT('3AC_Data'!$D$8,2),I232,IF(EXACT('3AC_Data'!$D$8,3),J232,IF(EXACT('3AC_Data'!$D$8,4),K232,IF(EXACT('3AC_Data'!$D$8,5),L232,IF(EXACT('3AC_Data'!$D$8,6),M232,IF(EXACT('3AC_Data'!$D$8,7),N232,IF(EXACT('3AC_Data'!$D$8,8),O232,IF(EXACT('3AC_Data'!$D$8,9),P232,IF(EXACT('3AC_Data'!$D$8,10),Q232,IF(EXACT('3AC_Data'!$D$8,11),R232,IF(EXACT('3AC_Data'!$D$8,12),S232,IF(EXACT('3AC_Data'!$D$8,13),T232,IF(EXACT('3AC_Data'!$D$8,14),U232,IF(EXACT('3AC_Data'!$D$8,15),V232,IF(EXACT('3AC_Data'!$D$8,16),W232,IF(EXACT('3AC_Data'!$D$8,17),X232,IF(EXACT('3AC_Data'!$D$8,18),Y232,IF(EXACT('3AC_Data'!$D$8,19),Z232,IF(EXACT('3AC_Data'!$D$8,20),AA232,IF(EXACT('3AC_Data'!$D$8,21),AB232,IF(EXACT('3AC_Data'!$D$8,22),AC232,IF(EXACT('3AC_Data'!$D$8,23),AD232,IF(EXACT('3AC_Data'!$D$8,24),AE232,IF(EXACT('3AC_Data'!$D$8,25),AF232,IF(EXACT('3AC_Data'!$D$8,26),AG232,IF(EXACT('3AC_Data'!$D$8,27),AH232,IF(EXACT('3AC_Data'!$D$8,28),AI232,IF(EXACT('3AC_Data'!$D$8,29),AJ232,IF(EXACT('3AC_Data'!$D$8,30),AK232))))))))))))))))))))))))))))))</f>
        <v>0</v>
      </c>
      <c r="H232" s="117">
        <v>0</v>
      </c>
      <c r="I232" s="117">
        <v>0</v>
      </c>
      <c r="J232" s="117">
        <v>0</v>
      </c>
      <c r="K232" s="117">
        <v>1</v>
      </c>
      <c r="L232" s="117"/>
      <c r="M232" s="117">
        <v>0</v>
      </c>
      <c r="N232" s="117"/>
      <c r="O232" s="117"/>
      <c r="P232" s="117">
        <v>1</v>
      </c>
      <c r="Q232" s="117">
        <v>1</v>
      </c>
      <c r="R232" s="117">
        <v>0</v>
      </c>
      <c r="S232" s="117">
        <v>1</v>
      </c>
      <c r="T232" s="117">
        <v>1</v>
      </c>
      <c r="U232" s="117">
        <v>1</v>
      </c>
      <c r="V232" s="117">
        <v>1</v>
      </c>
      <c r="W232" s="117">
        <v>1</v>
      </c>
      <c r="X232" s="117">
        <v>1</v>
      </c>
      <c r="Y232" s="117"/>
      <c r="Z232" s="117">
        <v>1</v>
      </c>
      <c r="AA232" s="117">
        <v>0</v>
      </c>
      <c r="AB232" s="117">
        <v>1</v>
      </c>
      <c r="AC232" s="117">
        <v>1</v>
      </c>
      <c r="AD232" s="117">
        <v>1</v>
      </c>
      <c r="AE232" s="150">
        <v>0</v>
      </c>
      <c r="AF232" s="117">
        <v>0</v>
      </c>
      <c r="AG232" s="117">
        <v>0</v>
      </c>
      <c r="AH232" s="183">
        <v>0</v>
      </c>
      <c r="AI232" s="117">
        <v>1</v>
      </c>
      <c r="AJ232" s="117">
        <v>1</v>
      </c>
      <c r="AK232" s="117">
        <v>1</v>
      </c>
    </row>
    <row r="233" spans="2:37" x14ac:dyDescent="0.25">
      <c r="B233" s="2" t="s">
        <v>1256</v>
      </c>
      <c r="C233" s="2" t="s">
        <v>1249</v>
      </c>
      <c r="D233" s="36">
        <f t="shared" si="53"/>
        <v>0</v>
      </c>
      <c r="E233" s="4">
        <v>1</v>
      </c>
      <c r="F233" s="3"/>
      <c r="G233" s="15">
        <f>+IF(EXACT('3AC_Data'!$D$8,1),H233,IF(EXACT('3AC_Data'!$D$8,2),I233,IF(EXACT('3AC_Data'!$D$8,3),J233,IF(EXACT('3AC_Data'!$D$8,4),K233,IF(EXACT('3AC_Data'!$D$8,5),L233,IF(EXACT('3AC_Data'!$D$8,6),M233,IF(EXACT('3AC_Data'!$D$8,7),N233,IF(EXACT('3AC_Data'!$D$8,8),O233,IF(EXACT('3AC_Data'!$D$8,9),P233,IF(EXACT('3AC_Data'!$D$8,10),Q233,IF(EXACT('3AC_Data'!$D$8,11),R233,IF(EXACT('3AC_Data'!$D$8,12),S233,IF(EXACT('3AC_Data'!$D$8,13),T233,IF(EXACT('3AC_Data'!$D$8,14),U233,IF(EXACT('3AC_Data'!$D$8,15),V233,IF(EXACT('3AC_Data'!$D$8,16),W233,IF(EXACT('3AC_Data'!$D$8,17),X233,IF(EXACT('3AC_Data'!$D$8,18),Y233,IF(EXACT('3AC_Data'!$D$8,19),Z233,IF(EXACT('3AC_Data'!$D$8,20),AA233,IF(EXACT('3AC_Data'!$D$8,21),AB233,IF(EXACT('3AC_Data'!$D$8,22),AC233,IF(EXACT('3AC_Data'!$D$8,23),AD233,IF(EXACT('3AC_Data'!$D$8,24),AE233,IF(EXACT('3AC_Data'!$D$8,25),AF233,IF(EXACT('3AC_Data'!$D$8,26),AG233,IF(EXACT('3AC_Data'!$D$8,27),AH233,IF(EXACT('3AC_Data'!$D$8,28),AI233,IF(EXACT('3AC_Data'!$D$8,29),AJ233,IF(EXACT('3AC_Data'!$D$8,30),AK233))))))))))))))))))))))))))))))</f>
        <v>0</v>
      </c>
      <c r="H233" s="117">
        <v>0</v>
      </c>
      <c r="I233" s="117">
        <v>0</v>
      </c>
      <c r="J233" s="117">
        <v>0</v>
      </c>
      <c r="K233" s="117">
        <v>0</v>
      </c>
      <c r="L233" s="117"/>
      <c r="M233" s="117">
        <v>0</v>
      </c>
      <c r="N233" s="117"/>
      <c r="O233" s="117"/>
      <c r="P233" s="117">
        <v>0</v>
      </c>
      <c r="Q233" s="117">
        <v>0</v>
      </c>
      <c r="R233" s="117">
        <v>0</v>
      </c>
      <c r="S233" s="117">
        <v>0</v>
      </c>
      <c r="T233" s="117">
        <v>0</v>
      </c>
      <c r="U233" s="117">
        <v>0</v>
      </c>
      <c r="V233" s="117">
        <v>0</v>
      </c>
      <c r="W233" s="117">
        <v>0</v>
      </c>
      <c r="X233" s="117">
        <v>0</v>
      </c>
      <c r="Y233" s="117"/>
      <c r="Z233" s="117">
        <v>0</v>
      </c>
      <c r="AA233" s="117">
        <v>1</v>
      </c>
      <c r="AB233" s="117">
        <v>0</v>
      </c>
      <c r="AC233" s="117">
        <v>0</v>
      </c>
      <c r="AD233" s="117">
        <v>0</v>
      </c>
      <c r="AE233" s="150">
        <v>0</v>
      </c>
      <c r="AF233" s="117">
        <v>0</v>
      </c>
      <c r="AG233" s="117">
        <v>0</v>
      </c>
      <c r="AH233" s="183">
        <v>0</v>
      </c>
      <c r="AI233" s="117">
        <v>0</v>
      </c>
      <c r="AJ233" s="117">
        <v>0</v>
      </c>
      <c r="AK233" s="117">
        <v>0</v>
      </c>
    </row>
    <row r="234" spans="2:37" x14ac:dyDescent="0.25">
      <c r="B234" s="2" t="s">
        <v>1257</v>
      </c>
      <c r="C234" s="2" t="s">
        <v>1250</v>
      </c>
      <c r="D234" s="36">
        <f t="shared" si="53"/>
        <v>0</v>
      </c>
      <c r="E234" s="4">
        <v>1</v>
      </c>
      <c r="F234" s="3"/>
      <c r="G234" s="15">
        <f>+IF(EXACT('3AC_Data'!$D$8,1),H234,IF(EXACT('3AC_Data'!$D$8,2),I234,IF(EXACT('3AC_Data'!$D$8,3),J234,IF(EXACT('3AC_Data'!$D$8,4),K234,IF(EXACT('3AC_Data'!$D$8,5),L234,IF(EXACT('3AC_Data'!$D$8,6),M234,IF(EXACT('3AC_Data'!$D$8,7),N234,IF(EXACT('3AC_Data'!$D$8,8),O234,IF(EXACT('3AC_Data'!$D$8,9),P234,IF(EXACT('3AC_Data'!$D$8,10),Q234,IF(EXACT('3AC_Data'!$D$8,11),R234,IF(EXACT('3AC_Data'!$D$8,12),S234,IF(EXACT('3AC_Data'!$D$8,13),T234,IF(EXACT('3AC_Data'!$D$8,14),U234,IF(EXACT('3AC_Data'!$D$8,15),V234,IF(EXACT('3AC_Data'!$D$8,16),W234,IF(EXACT('3AC_Data'!$D$8,17),X234,IF(EXACT('3AC_Data'!$D$8,18),Y234,IF(EXACT('3AC_Data'!$D$8,19),Z234,IF(EXACT('3AC_Data'!$D$8,20),AA234,IF(EXACT('3AC_Data'!$D$8,21),AB234,IF(EXACT('3AC_Data'!$D$8,22),AC234,IF(EXACT('3AC_Data'!$D$8,23),AD234,IF(EXACT('3AC_Data'!$D$8,24),AE234,IF(EXACT('3AC_Data'!$D$8,25),AF234,IF(EXACT('3AC_Data'!$D$8,26),AG234,IF(EXACT('3AC_Data'!$D$8,27),AH234,IF(EXACT('3AC_Data'!$D$8,28),AI234,IF(EXACT('3AC_Data'!$D$8,29),AJ234,IF(EXACT('3AC_Data'!$D$8,30),AK234))))))))))))))))))))))))))))))</f>
        <v>0</v>
      </c>
      <c r="H234" s="117">
        <v>1</v>
      </c>
      <c r="I234" s="117">
        <v>1</v>
      </c>
      <c r="J234" s="117">
        <v>1</v>
      </c>
      <c r="K234" s="117">
        <v>1</v>
      </c>
      <c r="L234" s="117"/>
      <c r="M234" s="117">
        <v>0</v>
      </c>
      <c r="N234" s="117"/>
      <c r="O234" s="117"/>
      <c r="P234" s="117">
        <v>1</v>
      </c>
      <c r="Q234" s="117">
        <v>1</v>
      </c>
      <c r="R234" s="117">
        <v>1</v>
      </c>
      <c r="S234" s="117">
        <v>1</v>
      </c>
      <c r="T234" s="117">
        <v>1</v>
      </c>
      <c r="U234" s="117">
        <v>1</v>
      </c>
      <c r="V234" s="117">
        <v>1</v>
      </c>
      <c r="W234" s="117">
        <v>1</v>
      </c>
      <c r="X234" s="117">
        <v>1</v>
      </c>
      <c r="Y234" s="117"/>
      <c r="Z234" s="117">
        <v>1</v>
      </c>
      <c r="AA234" s="117">
        <v>0</v>
      </c>
      <c r="AB234" s="117">
        <v>1</v>
      </c>
      <c r="AC234" s="117">
        <v>1</v>
      </c>
      <c r="AD234" s="151">
        <v>1</v>
      </c>
      <c r="AE234" s="150">
        <v>1</v>
      </c>
      <c r="AF234" s="117">
        <v>1</v>
      </c>
      <c r="AG234" s="117">
        <v>1</v>
      </c>
      <c r="AH234" s="183">
        <v>1</v>
      </c>
      <c r="AI234" s="117">
        <v>1</v>
      </c>
      <c r="AJ234" s="117">
        <v>1</v>
      </c>
      <c r="AK234" s="117">
        <v>1</v>
      </c>
    </row>
    <row r="235" spans="2:37" x14ac:dyDescent="0.25">
      <c r="B235" s="2" t="s">
        <v>1258</v>
      </c>
      <c r="C235" s="2" t="s">
        <v>1251</v>
      </c>
      <c r="D235" s="36">
        <f t="shared" si="53"/>
        <v>0</v>
      </c>
      <c r="E235" s="4">
        <v>1</v>
      </c>
      <c r="F235" s="3"/>
      <c r="G235" s="15">
        <f>+IF(EXACT('3AC_Data'!$D$8,1),H235,IF(EXACT('3AC_Data'!$D$8,2),I235,IF(EXACT('3AC_Data'!$D$8,3),J235,IF(EXACT('3AC_Data'!$D$8,4),K235,IF(EXACT('3AC_Data'!$D$8,5),L235,IF(EXACT('3AC_Data'!$D$8,6),M235,IF(EXACT('3AC_Data'!$D$8,7),N235,IF(EXACT('3AC_Data'!$D$8,8),O235,IF(EXACT('3AC_Data'!$D$8,9),P235,IF(EXACT('3AC_Data'!$D$8,10),Q235,IF(EXACT('3AC_Data'!$D$8,11),R235,IF(EXACT('3AC_Data'!$D$8,12),S235,IF(EXACT('3AC_Data'!$D$8,13),T235,IF(EXACT('3AC_Data'!$D$8,14),U235,IF(EXACT('3AC_Data'!$D$8,15),V235,IF(EXACT('3AC_Data'!$D$8,16),W235,IF(EXACT('3AC_Data'!$D$8,17),X235,IF(EXACT('3AC_Data'!$D$8,18),Y235,IF(EXACT('3AC_Data'!$D$8,19),Z235,IF(EXACT('3AC_Data'!$D$8,20),AA235,IF(EXACT('3AC_Data'!$D$8,21),AB235,IF(EXACT('3AC_Data'!$D$8,22),AC235,IF(EXACT('3AC_Data'!$D$8,23),AD235,IF(EXACT('3AC_Data'!$D$8,24),AE235,IF(EXACT('3AC_Data'!$D$8,25),AF235,IF(EXACT('3AC_Data'!$D$8,26),AG235,IF(EXACT('3AC_Data'!$D$8,27),AH235,IF(EXACT('3AC_Data'!$D$8,28),AI235,IF(EXACT('3AC_Data'!$D$8,29),AJ235,IF(EXACT('3AC_Data'!$D$8,30),AK235))))))))))))))))))))))))))))))</f>
        <v>0</v>
      </c>
      <c r="H235" s="117">
        <v>0</v>
      </c>
      <c r="I235" s="117">
        <v>0</v>
      </c>
      <c r="J235" s="117">
        <v>0</v>
      </c>
      <c r="K235" s="117">
        <v>1</v>
      </c>
      <c r="L235" s="117"/>
      <c r="M235" s="117">
        <v>0</v>
      </c>
      <c r="N235" s="117"/>
      <c r="O235" s="117"/>
      <c r="P235" s="117">
        <v>1</v>
      </c>
      <c r="Q235" s="117">
        <v>1</v>
      </c>
      <c r="R235" s="117">
        <v>0</v>
      </c>
      <c r="S235" s="117">
        <v>1</v>
      </c>
      <c r="T235" s="117">
        <v>1</v>
      </c>
      <c r="U235" s="117">
        <v>1</v>
      </c>
      <c r="V235" s="117">
        <v>1</v>
      </c>
      <c r="W235" s="117">
        <v>1</v>
      </c>
      <c r="X235" s="117">
        <v>1</v>
      </c>
      <c r="Y235" s="117"/>
      <c r="Z235" s="117">
        <v>1</v>
      </c>
      <c r="AA235" s="117">
        <v>0</v>
      </c>
      <c r="AB235" s="117">
        <v>1</v>
      </c>
      <c r="AC235" s="117">
        <v>1</v>
      </c>
      <c r="AD235" s="117">
        <v>1</v>
      </c>
      <c r="AE235" s="150">
        <v>0</v>
      </c>
      <c r="AF235" s="117">
        <v>0</v>
      </c>
      <c r="AG235" s="117">
        <v>0</v>
      </c>
      <c r="AH235" s="183">
        <v>0</v>
      </c>
      <c r="AI235" s="117">
        <v>1</v>
      </c>
      <c r="AJ235" s="117">
        <v>1</v>
      </c>
      <c r="AK235" s="117">
        <v>1</v>
      </c>
    </row>
    <row r="236" spans="2:37" x14ac:dyDescent="0.25">
      <c r="B236" s="2" t="s">
        <v>1259</v>
      </c>
      <c r="C236" s="2" t="s">
        <v>1252</v>
      </c>
      <c r="D236" s="36">
        <f t="shared" si="53"/>
        <v>1</v>
      </c>
      <c r="E236" s="4">
        <v>1</v>
      </c>
      <c r="F236" s="3"/>
      <c r="G236" s="15">
        <f>+IF(EXACT('3AC_Data'!$D$8,1),H236,IF(EXACT('3AC_Data'!$D$8,2),I236,IF(EXACT('3AC_Data'!$D$8,3),J236,IF(EXACT('3AC_Data'!$D$8,4),K236,IF(EXACT('3AC_Data'!$D$8,5),L236,IF(EXACT('3AC_Data'!$D$8,6),M236,IF(EXACT('3AC_Data'!$D$8,7),N236,IF(EXACT('3AC_Data'!$D$8,8),O236,IF(EXACT('3AC_Data'!$D$8,9),P236,IF(EXACT('3AC_Data'!$D$8,10),Q236,IF(EXACT('3AC_Data'!$D$8,11),R236,IF(EXACT('3AC_Data'!$D$8,12),S236,IF(EXACT('3AC_Data'!$D$8,13),T236,IF(EXACT('3AC_Data'!$D$8,14),U236,IF(EXACT('3AC_Data'!$D$8,15),V236,IF(EXACT('3AC_Data'!$D$8,16),W236,IF(EXACT('3AC_Data'!$D$8,17),X236,IF(EXACT('3AC_Data'!$D$8,18),Y236,IF(EXACT('3AC_Data'!$D$8,19),Z236,IF(EXACT('3AC_Data'!$D$8,20),AA236,IF(EXACT('3AC_Data'!$D$8,21),AB236,IF(EXACT('3AC_Data'!$D$8,22),AC236,IF(EXACT('3AC_Data'!$D$8,23),AD236,IF(EXACT('3AC_Data'!$D$8,24),AE236,IF(EXACT('3AC_Data'!$D$8,25),AF236,IF(EXACT('3AC_Data'!$D$8,26),AG236,IF(EXACT('3AC_Data'!$D$8,27),AH236,IF(EXACT('3AC_Data'!$D$8,28),AI236,IF(EXACT('3AC_Data'!$D$8,29),AJ236,IF(EXACT('3AC_Data'!$D$8,30),AK236))))))))))))))))))))))))))))))</f>
        <v>1</v>
      </c>
      <c r="H236" s="117">
        <v>1</v>
      </c>
      <c r="I236" s="117">
        <v>1</v>
      </c>
      <c r="J236" s="117">
        <v>1</v>
      </c>
      <c r="K236" s="117">
        <v>0</v>
      </c>
      <c r="L236" s="117"/>
      <c r="M236" s="117">
        <v>1</v>
      </c>
      <c r="N236" s="117"/>
      <c r="O236" s="117"/>
      <c r="P236" s="117">
        <v>0</v>
      </c>
      <c r="Q236" s="117">
        <v>0</v>
      </c>
      <c r="R236" s="117">
        <v>1</v>
      </c>
      <c r="S236" s="117">
        <v>0</v>
      </c>
      <c r="T236" s="117">
        <v>0</v>
      </c>
      <c r="U236" s="117">
        <v>0</v>
      </c>
      <c r="V236" s="117">
        <v>0</v>
      </c>
      <c r="W236" s="117">
        <v>0</v>
      </c>
      <c r="X236" s="117">
        <v>0</v>
      </c>
      <c r="Y236" s="117"/>
      <c r="Z236" s="117">
        <v>0</v>
      </c>
      <c r="AA236" s="117">
        <v>0</v>
      </c>
      <c r="AB236" s="117">
        <v>0</v>
      </c>
      <c r="AC236" s="117">
        <v>0</v>
      </c>
      <c r="AD236" s="117">
        <v>0</v>
      </c>
      <c r="AE236" s="150">
        <v>1</v>
      </c>
      <c r="AF236" s="117">
        <v>1</v>
      </c>
      <c r="AG236" s="117">
        <v>1</v>
      </c>
      <c r="AH236" s="183">
        <v>1</v>
      </c>
      <c r="AI236" s="117">
        <v>0</v>
      </c>
      <c r="AJ236" s="117">
        <v>0</v>
      </c>
      <c r="AK236" s="117">
        <v>0</v>
      </c>
    </row>
    <row r="237" spans="2:37" x14ac:dyDescent="0.25">
      <c r="B237" s="2" t="s">
        <v>1618</v>
      </c>
      <c r="C237" s="2" t="s">
        <v>1617</v>
      </c>
      <c r="D237" s="36">
        <f>+G237*E237</f>
        <v>0</v>
      </c>
      <c r="E237" s="4">
        <v>1</v>
      </c>
      <c r="F237" s="3"/>
      <c r="G237" s="15">
        <f>+IF(EXACT('3AC_Data'!$D$8,1),H237,IF(EXACT('3AC_Data'!$D$8,2),I237,IF(EXACT('3AC_Data'!$D$8,3),J237,IF(EXACT('3AC_Data'!$D$8,4),K237,IF(EXACT('3AC_Data'!$D$8,5),L237,IF(EXACT('3AC_Data'!$D$8,6),M237,IF(EXACT('3AC_Data'!$D$8,7),N237,IF(EXACT('3AC_Data'!$D$8,8),O237,IF(EXACT('3AC_Data'!$D$8,9),P237,IF(EXACT('3AC_Data'!$D$8,10),Q237,IF(EXACT('3AC_Data'!$D$8,11),R237,IF(EXACT('3AC_Data'!$D$8,12),S237,IF(EXACT('3AC_Data'!$D$8,13),T237,IF(EXACT('3AC_Data'!$D$8,14),U237,IF(EXACT('3AC_Data'!$D$8,15),V237,IF(EXACT('3AC_Data'!$D$8,16),W237,IF(EXACT('3AC_Data'!$D$8,17),X237,IF(EXACT('3AC_Data'!$D$8,18),Y237,IF(EXACT('3AC_Data'!$D$8,19),Z237,IF(EXACT('3AC_Data'!$D$8,20),AA237,IF(EXACT('3AC_Data'!$D$8,21),AB237,IF(EXACT('3AC_Data'!$D$8,22),AC237,IF(EXACT('3AC_Data'!$D$8,23),AD237,IF(EXACT('3AC_Data'!$D$8,24),AE237,IF(EXACT('3AC_Data'!$D$8,25),AF237,IF(EXACT('3AC_Data'!$D$8,26),AG237,IF(EXACT('3AC_Data'!$D$8,27),AH237,IF(EXACT('3AC_Data'!$D$8,28),AI237,IF(EXACT('3AC_Data'!$D$8,29),AJ237,IF(EXACT('3AC_Data'!$D$8,30),AK237))))))))))))))))))))))))))))))</f>
        <v>0</v>
      </c>
      <c r="H237" s="117"/>
      <c r="I237" s="117"/>
      <c r="J237" s="117">
        <v>0</v>
      </c>
      <c r="K237" s="117"/>
      <c r="L237" s="117"/>
      <c r="M237" s="117">
        <v>0</v>
      </c>
      <c r="N237" s="117"/>
      <c r="O237" s="117"/>
      <c r="P237" s="117"/>
      <c r="Q237" s="117"/>
      <c r="R237" s="117"/>
      <c r="S237" s="117"/>
      <c r="T237" s="117"/>
      <c r="U237" s="117">
        <v>0</v>
      </c>
      <c r="V237" s="117">
        <v>0</v>
      </c>
      <c r="W237" s="117"/>
      <c r="X237" s="117"/>
      <c r="Y237" s="117"/>
      <c r="Z237" s="117">
        <v>0</v>
      </c>
      <c r="AA237" s="117">
        <v>0</v>
      </c>
      <c r="AB237" s="117">
        <v>0</v>
      </c>
      <c r="AC237" s="117">
        <v>0</v>
      </c>
      <c r="AD237" s="117">
        <v>0</v>
      </c>
      <c r="AE237" s="117">
        <v>1</v>
      </c>
      <c r="AF237" s="117">
        <v>1</v>
      </c>
      <c r="AG237" s="117">
        <v>0</v>
      </c>
      <c r="AH237" s="183">
        <v>0</v>
      </c>
      <c r="AI237" s="117">
        <v>0</v>
      </c>
      <c r="AJ237" s="117">
        <v>0</v>
      </c>
      <c r="AK237" s="117">
        <v>0</v>
      </c>
    </row>
    <row r="238" spans="2:37" x14ac:dyDescent="0.25">
      <c r="B238" s="2" t="s">
        <v>1260</v>
      </c>
      <c r="C238" s="2" t="s">
        <v>1253</v>
      </c>
      <c r="D238" s="36">
        <f t="shared" si="53"/>
        <v>0</v>
      </c>
      <c r="E238" s="4">
        <v>1</v>
      </c>
      <c r="F238" s="3"/>
      <c r="G238" s="15">
        <f>+IF(EXACT('3AC_Data'!$D$8,1),H238,IF(EXACT('3AC_Data'!$D$8,2),I238,IF(EXACT('3AC_Data'!$D$8,3),J238,IF(EXACT('3AC_Data'!$D$8,4),K238,IF(EXACT('3AC_Data'!$D$8,5),L238,IF(EXACT('3AC_Data'!$D$8,6),M238,IF(EXACT('3AC_Data'!$D$8,7),N238,IF(EXACT('3AC_Data'!$D$8,8),O238,IF(EXACT('3AC_Data'!$D$8,9),P238,IF(EXACT('3AC_Data'!$D$8,10),Q238,IF(EXACT('3AC_Data'!$D$8,11),R238,IF(EXACT('3AC_Data'!$D$8,12),S238,IF(EXACT('3AC_Data'!$D$8,13),T238,IF(EXACT('3AC_Data'!$D$8,14),U238,IF(EXACT('3AC_Data'!$D$8,15),V238,IF(EXACT('3AC_Data'!$D$8,16),W238,IF(EXACT('3AC_Data'!$D$8,17),X238,IF(EXACT('3AC_Data'!$D$8,18),Y238,IF(EXACT('3AC_Data'!$D$8,19),Z238,IF(EXACT('3AC_Data'!$D$8,20),AA238,IF(EXACT('3AC_Data'!$D$8,21),AB238,IF(EXACT('3AC_Data'!$D$8,22),AC238,IF(EXACT('3AC_Data'!$D$8,23),AD238,IF(EXACT('3AC_Data'!$D$8,24),AE238,IF(EXACT('3AC_Data'!$D$8,25),AF238,IF(EXACT('3AC_Data'!$D$8,26),AG238,IF(EXACT('3AC_Data'!$D$8,27),AH238,IF(EXACT('3AC_Data'!$D$8,28),AI238,IF(EXACT('3AC_Data'!$D$8,29),AJ238,IF(EXACT('3AC_Data'!$D$8,30),AK238))))))))))))))))))))))))))))))</f>
        <v>0</v>
      </c>
      <c r="H238" s="117">
        <v>0</v>
      </c>
      <c r="I238" s="117">
        <v>0</v>
      </c>
      <c r="J238" s="117">
        <v>0</v>
      </c>
      <c r="K238" s="117">
        <v>0</v>
      </c>
      <c r="L238" s="117"/>
      <c r="M238" s="117">
        <v>0</v>
      </c>
      <c r="N238" s="117"/>
      <c r="O238" s="117"/>
      <c r="P238" s="117">
        <v>0</v>
      </c>
      <c r="Q238" s="117">
        <v>0</v>
      </c>
      <c r="R238" s="117">
        <v>0</v>
      </c>
      <c r="S238" s="117">
        <v>0</v>
      </c>
      <c r="T238" s="117">
        <v>0</v>
      </c>
      <c r="U238" s="117">
        <v>0</v>
      </c>
      <c r="V238" s="117">
        <v>0</v>
      </c>
      <c r="W238" s="117">
        <v>0</v>
      </c>
      <c r="X238" s="117">
        <v>0</v>
      </c>
      <c r="Y238" s="117"/>
      <c r="Z238" s="117">
        <v>0</v>
      </c>
      <c r="AA238" s="117">
        <v>0</v>
      </c>
      <c r="AB238" s="117">
        <v>0</v>
      </c>
      <c r="AC238" s="117">
        <v>0</v>
      </c>
      <c r="AD238" s="117">
        <v>0</v>
      </c>
      <c r="AE238" s="117">
        <v>0</v>
      </c>
      <c r="AF238" s="151">
        <v>0</v>
      </c>
      <c r="AG238" s="117">
        <v>0</v>
      </c>
      <c r="AH238" s="183">
        <v>0</v>
      </c>
      <c r="AI238" s="117">
        <v>0</v>
      </c>
      <c r="AJ238" s="117">
        <v>0</v>
      </c>
      <c r="AK238" s="117">
        <v>0</v>
      </c>
    </row>
    <row r="239" spans="2:37" x14ac:dyDescent="0.25">
      <c r="B239" s="2" t="s">
        <v>1466</v>
      </c>
      <c r="C239" s="2" t="s">
        <v>1459</v>
      </c>
      <c r="D239" s="36">
        <f t="shared" ref="D239:D242" si="58">+G239*E239</f>
        <v>0</v>
      </c>
      <c r="E239" s="4">
        <v>1</v>
      </c>
      <c r="F239" s="3"/>
      <c r="G239" s="15">
        <f>+IF(EXACT('3AC_Data'!$D$8,1),H239,IF(EXACT('3AC_Data'!$D$8,2),I239,IF(EXACT('3AC_Data'!$D$8,3),J239,IF(EXACT('3AC_Data'!$D$8,4),K239,IF(EXACT('3AC_Data'!$D$8,5),L239,IF(EXACT('3AC_Data'!$D$8,6),M239,IF(EXACT('3AC_Data'!$D$8,7),N239,IF(EXACT('3AC_Data'!$D$8,8),O239,IF(EXACT('3AC_Data'!$D$8,9),P239,IF(EXACT('3AC_Data'!$D$8,10),Q239,IF(EXACT('3AC_Data'!$D$8,11),R239,IF(EXACT('3AC_Data'!$D$8,12),S239,IF(EXACT('3AC_Data'!$D$8,13),T239,IF(EXACT('3AC_Data'!$D$8,14),U239,IF(EXACT('3AC_Data'!$D$8,15),V239,IF(EXACT('3AC_Data'!$D$8,16),W239,IF(EXACT('3AC_Data'!$D$8,17),X239,IF(EXACT('3AC_Data'!$D$8,18),Y239,IF(EXACT('3AC_Data'!$D$8,19),Z239,IF(EXACT('3AC_Data'!$D$8,20),AA239,IF(EXACT('3AC_Data'!$D$8,21),AB239,IF(EXACT('3AC_Data'!$D$8,22),AC239,IF(EXACT('3AC_Data'!$D$8,23),AD239,IF(EXACT('3AC_Data'!$D$8,24),AE239,IF(EXACT('3AC_Data'!$D$8,25),AF239,IF(EXACT('3AC_Data'!$D$8,26),AG239,IF(EXACT('3AC_Data'!$D$8,27),AH239,IF(EXACT('3AC_Data'!$D$8,28),AI239,IF(EXACT('3AC_Data'!$D$8,29),AJ239,IF(EXACT('3AC_Data'!$D$8,30),AK239))))))))))))))))))))))))))))))</f>
        <v>0</v>
      </c>
      <c r="H239" s="117">
        <v>0</v>
      </c>
      <c r="I239" s="117">
        <v>0</v>
      </c>
      <c r="J239" s="117">
        <v>0</v>
      </c>
      <c r="K239" s="117">
        <v>0</v>
      </c>
      <c r="L239" s="117"/>
      <c r="M239" s="117">
        <v>0</v>
      </c>
      <c r="N239" s="117"/>
      <c r="O239" s="117"/>
      <c r="P239" s="117">
        <v>0</v>
      </c>
      <c r="Q239" s="117">
        <v>0</v>
      </c>
      <c r="R239" s="117">
        <v>0</v>
      </c>
      <c r="S239" s="117">
        <v>0</v>
      </c>
      <c r="T239" s="117">
        <v>0</v>
      </c>
      <c r="U239" s="117">
        <v>0</v>
      </c>
      <c r="V239" s="117">
        <v>0</v>
      </c>
      <c r="W239" s="117">
        <v>0</v>
      </c>
      <c r="X239" s="117">
        <v>0</v>
      </c>
      <c r="Y239" s="117"/>
      <c r="Z239" s="117">
        <v>0</v>
      </c>
      <c r="AA239" s="117">
        <v>0</v>
      </c>
      <c r="AB239" s="117">
        <v>0</v>
      </c>
      <c r="AC239" s="117">
        <v>1</v>
      </c>
      <c r="AD239" s="117">
        <v>1</v>
      </c>
      <c r="AE239" s="117">
        <v>0</v>
      </c>
      <c r="AF239" s="117">
        <v>0</v>
      </c>
      <c r="AG239" s="117">
        <v>0</v>
      </c>
      <c r="AH239" s="183">
        <v>0</v>
      </c>
      <c r="AI239" s="117">
        <v>0</v>
      </c>
      <c r="AJ239" s="117">
        <v>0</v>
      </c>
      <c r="AK239" s="117">
        <v>0</v>
      </c>
    </row>
    <row r="240" spans="2:37" x14ac:dyDescent="0.25">
      <c r="B240" s="2" t="s">
        <v>1463</v>
      </c>
      <c r="C240" s="2" t="s">
        <v>1460</v>
      </c>
      <c r="D240" s="36">
        <f t="shared" si="58"/>
        <v>0</v>
      </c>
      <c r="E240" s="4">
        <v>1</v>
      </c>
      <c r="F240" s="3"/>
      <c r="G240" s="15">
        <f>+IF(EXACT('3AC_Data'!$D$8,1),H240,IF(EXACT('3AC_Data'!$D$8,2),I240,IF(EXACT('3AC_Data'!$D$8,3),J240,IF(EXACT('3AC_Data'!$D$8,4),K240,IF(EXACT('3AC_Data'!$D$8,5),L240,IF(EXACT('3AC_Data'!$D$8,6),M240,IF(EXACT('3AC_Data'!$D$8,7),N240,IF(EXACT('3AC_Data'!$D$8,8),O240,IF(EXACT('3AC_Data'!$D$8,9),P240,IF(EXACT('3AC_Data'!$D$8,10),Q240,IF(EXACT('3AC_Data'!$D$8,11),R240,IF(EXACT('3AC_Data'!$D$8,12),S240,IF(EXACT('3AC_Data'!$D$8,13),T240,IF(EXACT('3AC_Data'!$D$8,14),U240,IF(EXACT('3AC_Data'!$D$8,15),V240,IF(EXACT('3AC_Data'!$D$8,16),W240,IF(EXACT('3AC_Data'!$D$8,17),X240,IF(EXACT('3AC_Data'!$D$8,18),Y240,IF(EXACT('3AC_Data'!$D$8,19),Z240,IF(EXACT('3AC_Data'!$D$8,20),AA240,IF(EXACT('3AC_Data'!$D$8,21),AB240,IF(EXACT('3AC_Data'!$D$8,22),AC240,IF(EXACT('3AC_Data'!$D$8,23),AD240,IF(EXACT('3AC_Data'!$D$8,24),AE240,IF(EXACT('3AC_Data'!$D$8,25),AF240,IF(EXACT('3AC_Data'!$D$8,26),AG240,IF(EXACT('3AC_Data'!$D$8,27),AH240,IF(EXACT('3AC_Data'!$D$8,28),AI240,IF(EXACT('3AC_Data'!$D$8,29),AJ240,IF(EXACT('3AC_Data'!$D$8,30),AK240))))))))))))))))))))))))))))))</f>
        <v>0</v>
      </c>
      <c r="H240" s="117">
        <v>0</v>
      </c>
      <c r="I240" s="117">
        <v>0</v>
      </c>
      <c r="J240" s="117">
        <v>0</v>
      </c>
      <c r="K240" s="117">
        <v>0</v>
      </c>
      <c r="L240" s="117"/>
      <c r="M240" s="117">
        <v>0</v>
      </c>
      <c r="N240" s="117"/>
      <c r="O240" s="117"/>
      <c r="P240" s="117">
        <v>0</v>
      </c>
      <c r="Q240" s="117">
        <v>0</v>
      </c>
      <c r="R240" s="117">
        <v>0</v>
      </c>
      <c r="S240" s="117">
        <v>0</v>
      </c>
      <c r="T240" s="117">
        <v>0</v>
      </c>
      <c r="U240" s="117">
        <v>0</v>
      </c>
      <c r="V240" s="117">
        <v>0</v>
      </c>
      <c r="W240" s="117">
        <v>0</v>
      </c>
      <c r="X240" s="117">
        <v>0</v>
      </c>
      <c r="Y240" s="117"/>
      <c r="Z240" s="117">
        <v>0</v>
      </c>
      <c r="AA240" s="117">
        <v>0</v>
      </c>
      <c r="AB240" s="117">
        <v>0</v>
      </c>
      <c r="AC240" s="117">
        <v>1</v>
      </c>
      <c r="AD240" s="117">
        <v>1</v>
      </c>
      <c r="AE240" s="117">
        <v>0</v>
      </c>
      <c r="AF240" s="117">
        <v>0</v>
      </c>
      <c r="AG240" s="117">
        <v>0</v>
      </c>
      <c r="AH240" s="183">
        <v>0</v>
      </c>
      <c r="AI240" s="117">
        <v>0</v>
      </c>
      <c r="AJ240" s="117">
        <v>0</v>
      </c>
      <c r="AK240" s="117">
        <v>0</v>
      </c>
    </row>
    <row r="241" spans="2:37" x14ac:dyDescent="0.25">
      <c r="B241" s="2" t="s">
        <v>1464</v>
      </c>
      <c r="C241" s="2" t="s">
        <v>1461</v>
      </c>
      <c r="D241" s="36">
        <f t="shared" si="58"/>
        <v>0</v>
      </c>
      <c r="E241" s="4">
        <v>1</v>
      </c>
      <c r="F241" s="3"/>
      <c r="G241" s="15">
        <f>+IF(EXACT('3AC_Data'!$D$8,1),H241,IF(EXACT('3AC_Data'!$D$8,2),I241,IF(EXACT('3AC_Data'!$D$8,3),J241,IF(EXACT('3AC_Data'!$D$8,4),K241,IF(EXACT('3AC_Data'!$D$8,5),L241,IF(EXACT('3AC_Data'!$D$8,6),M241,IF(EXACT('3AC_Data'!$D$8,7),N241,IF(EXACT('3AC_Data'!$D$8,8),O241,IF(EXACT('3AC_Data'!$D$8,9),P241,IF(EXACT('3AC_Data'!$D$8,10),Q241,IF(EXACT('3AC_Data'!$D$8,11),R241,IF(EXACT('3AC_Data'!$D$8,12),S241,IF(EXACT('3AC_Data'!$D$8,13),T241,IF(EXACT('3AC_Data'!$D$8,14),U241,IF(EXACT('3AC_Data'!$D$8,15),V241,IF(EXACT('3AC_Data'!$D$8,16),W241,IF(EXACT('3AC_Data'!$D$8,17),X241,IF(EXACT('3AC_Data'!$D$8,18),Y241,IF(EXACT('3AC_Data'!$D$8,19),Z241,IF(EXACT('3AC_Data'!$D$8,20),AA241,IF(EXACT('3AC_Data'!$D$8,21),AB241,IF(EXACT('3AC_Data'!$D$8,22),AC241,IF(EXACT('3AC_Data'!$D$8,23),AD241,IF(EXACT('3AC_Data'!$D$8,24),AE241,IF(EXACT('3AC_Data'!$D$8,25),AF241,IF(EXACT('3AC_Data'!$D$8,26),AG241,IF(EXACT('3AC_Data'!$D$8,27),AH241,IF(EXACT('3AC_Data'!$D$8,28),AI241,IF(EXACT('3AC_Data'!$D$8,29),AJ241,IF(EXACT('3AC_Data'!$D$8,30),AK241))))))))))))))))))))))))))))))</f>
        <v>0</v>
      </c>
      <c r="H241" s="117">
        <v>0</v>
      </c>
      <c r="I241" s="117">
        <v>0</v>
      </c>
      <c r="J241" s="117">
        <v>0</v>
      </c>
      <c r="K241" s="117">
        <v>0</v>
      </c>
      <c r="L241" s="117"/>
      <c r="M241" s="117">
        <v>0</v>
      </c>
      <c r="N241" s="117"/>
      <c r="O241" s="117"/>
      <c r="P241" s="117">
        <v>0</v>
      </c>
      <c r="Q241" s="117">
        <v>0</v>
      </c>
      <c r="R241" s="117">
        <v>0</v>
      </c>
      <c r="S241" s="117">
        <v>0</v>
      </c>
      <c r="T241" s="117">
        <v>0</v>
      </c>
      <c r="U241" s="117">
        <v>0</v>
      </c>
      <c r="V241" s="117">
        <v>0</v>
      </c>
      <c r="W241" s="117">
        <v>0</v>
      </c>
      <c r="X241" s="117">
        <v>0</v>
      </c>
      <c r="Y241" s="117"/>
      <c r="Z241" s="117">
        <v>0</v>
      </c>
      <c r="AA241" s="117">
        <v>0</v>
      </c>
      <c r="AB241" s="117">
        <v>0</v>
      </c>
      <c r="AC241" s="117">
        <v>0</v>
      </c>
      <c r="AD241" s="117">
        <v>1</v>
      </c>
      <c r="AE241" s="117">
        <v>0</v>
      </c>
      <c r="AF241" s="117">
        <v>0</v>
      </c>
      <c r="AG241" s="117">
        <v>0</v>
      </c>
      <c r="AH241" s="183">
        <v>0</v>
      </c>
      <c r="AI241" s="117">
        <v>0</v>
      </c>
      <c r="AJ241" s="117">
        <v>0</v>
      </c>
      <c r="AK241" s="117">
        <v>0</v>
      </c>
    </row>
    <row r="242" spans="2:37" x14ac:dyDescent="0.25">
      <c r="B242" s="2" t="s">
        <v>1465</v>
      </c>
      <c r="C242" s="2" t="s">
        <v>1462</v>
      </c>
      <c r="D242" s="36">
        <f t="shared" si="58"/>
        <v>0</v>
      </c>
      <c r="E242" s="4">
        <v>1</v>
      </c>
      <c r="F242" s="3"/>
      <c r="G242" s="15">
        <f>+IF(EXACT('3AC_Data'!$D$8,1),H242,IF(EXACT('3AC_Data'!$D$8,2),I242,IF(EXACT('3AC_Data'!$D$8,3),J242,IF(EXACT('3AC_Data'!$D$8,4),K242,IF(EXACT('3AC_Data'!$D$8,5),L242,IF(EXACT('3AC_Data'!$D$8,6),M242,IF(EXACT('3AC_Data'!$D$8,7),N242,IF(EXACT('3AC_Data'!$D$8,8),O242,IF(EXACT('3AC_Data'!$D$8,9),P242,IF(EXACT('3AC_Data'!$D$8,10),Q242,IF(EXACT('3AC_Data'!$D$8,11),R242,IF(EXACT('3AC_Data'!$D$8,12),S242,IF(EXACT('3AC_Data'!$D$8,13),T242,IF(EXACT('3AC_Data'!$D$8,14),U242,IF(EXACT('3AC_Data'!$D$8,15),V242,IF(EXACT('3AC_Data'!$D$8,16),W242,IF(EXACT('3AC_Data'!$D$8,17),X242,IF(EXACT('3AC_Data'!$D$8,18),Y242,IF(EXACT('3AC_Data'!$D$8,19),Z242,IF(EXACT('3AC_Data'!$D$8,20),AA242,IF(EXACT('3AC_Data'!$D$8,21),AB242,IF(EXACT('3AC_Data'!$D$8,22),AC242,IF(EXACT('3AC_Data'!$D$8,23),AD242,IF(EXACT('3AC_Data'!$D$8,24),AE242,IF(EXACT('3AC_Data'!$D$8,25),AF242,IF(EXACT('3AC_Data'!$D$8,26),AG242,IF(EXACT('3AC_Data'!$D$8,27),AH242,IF(EXACT('3AC_Data'!$D$8,28),AI242,IF(EXACT('3AC_Data'!$D$8,29),AJ242,IF(EXACT('3AC_Data'!$D$8,30),AK242))))))))))))))))))))))))))))))</f>
        <v>0</v>
      </c>
      <c r="H242" s="117">
        <v>0</v>
      </c>
      <c r="I242" s="117">
        <v>0</v>
      </c>
      <c r="J242" s="117">
        <v>0</v>
      </c>
      <c r="K242" s="117">
        <v>0</v>
      </c>
      <c r="L242" s="117"/>
      <c r="M242" s="117">
        <v>0</v>
      </c>
      <c r="N242" s="117"/>
      <c r="O242" s="117"/>
      <c r="P242" s="117">
        <v>0</v>
      </c>
      <c r="Q242" s="117">
        <v>0</v>
      </c>
      <c r="R242" s="117">
        <v>0</v>
      </c>
      <c r="S242" s="117">
        <v>0</v>
      </c>
      <c r="T242" s="117">
        <v>0</v>
      </c>
      <c r="U242" s="117">
        <v>0</v>
      </c>
      <c r="V242" s="117">
        <v>0</v>
      </c>
      <c r="W242" s="117">
        <v>0</v>
      </c>
      <c r="X242" s="117">
        <v>0</v>
      </c>
      <c r="Y242" s="117"/>
      <c r="Z242" s="117">
        <v>0</v>
      </c>
      <c r="AA242" s="117">
        <v>0</v>
      </c>
      <c r="AB242" s="117">
        <v>0</v>
      </c>
      <c r="AC242" s="117">
        <v>1</v>
      </c>
      <c r="AD242" s="117">
        <v>1</v>
      </c>
      <c r="AE242" s="117">
        <v>0</v>
      </c>
      <c r="AF242" s="117">
        <v>0</v>
      </c>
      <c r="AG242" s="117">
        <v>0</v>
      </c>
      <c r="AH242" s="183">
        <v>0</v>
      </c>
      <c r="AI242" s="117">
        <v>0</v>
      </c>
      <c r="AJ242" s="117">
        <v>0</v>
      </c>
      <c r="AK242" s="117">
        <v>0</v>
      </c>
    </row>
    <row r="244" spans="2:37" x14ac:dyDescent="0.25">
      <c r="B244" s="187" t="s">
        <v>2</v>
      </c>
      <c r="C244" s="187"/>
    </row>
    <row r="245" spans="2:37" x14ac:dyDescent="0.25">
      <c r="B245" s="9" t="str">
        <f t="shared" ref="B245:B251" si="59">+B3</f>
        <v>Distance from origin in CATIa to Fuselage (offset value) - x</v>
      </c>
      <c r="C245" s="9" t="s">
        <v>9</v>
      </c>
      <c r="H245" s="5"/>
      <c r="V245" s="43"/>
    </row>
    <row r="246" spans="2:37" x14ac:dyDescent="0.25">
      <c r="B246" s="9" t="str">
        <f t="shared" si="59"/>
        <v>Distance from origin in CATIa to Fuselage (offset value) - z</v>
      </c>
      <c r="C246" s="9" t="s">
        <v>9</v>
      </c>
      <c r="H246" s="5"/>
      <c r="V246" s="43"/>
    </row>
    <row r="247" spans="2:37" x14ac:dyDescent="0.25">
      <c r="B247" s="9" t="str">
        <f t="shared" si="59"/>
        <v>Fuselage geomtry (Units in m) - approx - width</v>
      </c>
      <c r="C247" s="9" t="s">
        <v>9</v>
      </c>
      <c r="H247" s="5"/>
      <c r="V247" s="43"/>
    </row>
    <row r="248" spans="2:37" x14ac:dyDescent="0.25">
      <c r="B248" s="9" t="str">
        <f t="shared" si="59"/>
        <v>Fuselage geomtry (Units in m) - approx - height</v>
      </c>
      <c r="C248" s="9" t="s">
        <v>9</v>
      </c>
    </row>
    <row r="249" spans="2:37" x14ac:dyDescent="0.25">
      <c r="B249" s="9" t="str">
        <f t="shared" si="59"/>
        <v>Fuselage geomtry (Units in m) - approx - length</v>
      </c>
      <c r="C249" s="9" t="s">
        <v>9</v>
      </c>
    </row>
    <row r="250" spans="2:37" x14ac:dyDescent="0.25">
      <c r="B250" s="9" t="str">
        <f t="shared" si="59"/>
        <v>Fuselage geomtry (Units in m) - approx - diameter</v>
      </c>
      <c r="C250" s="9" t="s">
        <v>9</v>
      </c>
    </row>
    <row r="251" spans="2:37" x14ac:dyDescent="0.25">
      <c r="B251" s="9" t="str">
        <f t="shared" si="59"/>
        <v>y loc of wing (w1) root chord LE position (distance from CAD refference point)</v>
      </c>
      <c r="C251" s="9" t="s">
        <v>9</v>
      </c>
    </row>
    <row r="252" spans="2:37" x14ac:dyDescent="0.25">
      <c r="B252" s="9" t="str">
        <f>+B12</f>
        <v>y loc of wing (w1) tip chord LE position (distance from CAD refference point)</v>
      </c>
      <c r="C252" s="9" t="s">
        <v>9</v>
      </c>
    </row>
    <row r="253" spans="2:37" x14ac:dyDescent="0.25">
      <c r="B253" s="9" t="str">
        <f>+B13</f>
        <v>z loc of wing (w1) root chord LE position (distance from CAD refference point)</v>
      </c>
      <c r="C253" s="9" t="s">
        <v>9</v>
      </c>
    </row>
    <row r="254" spans="2:37" x14ac:dyDescent="0.25">
      <c r="B254" s="9" t="str">
        <f>+B14</f>
        <v>x loc of wing (w1) root chord LE position (distance from CAD refference point)</v>
      </c>
      <c r="C254" s="9" t="s">
        <v>9</v>
      </c>
    </row>
    <row r="255" spans="2:37" x14ac:dyDescent="0.25">
      <c r="B255" s="9" t="str">
        <f>+B15</f>
        <v>Sweep of w1 (deg)</v>
      </c>
      <c r="C255" s="9" t="s">
        <v>9</v>
      </c>
    </row>
    <row r="256" spans="2:37" x14ac:dyDescent="0.25">
      <c r="B256" s="9" t="str">
        <f>+B18</f>
        <v>Dihedral of w1 (deg)</v>
      </c>
      <c r="C256" s="9" t="s">
        <v>9</v>
      </c>
    </row>
    <row r="257" spans="2:3" x14ac:dyDescent="0.25">
      <c r="B257" s="9" t="str">
        <f>+B21</f>
        <v>y loc of wing (w2) root chord LE position (distance from CAD refference point)</v>
      </c>
      <c r="C257" s="9" t="s">
        <v>9</v>
      </c>
    </row>
    <row r="258" spans="2:3" x14ac:dyDescent="0.25">
      <c r="B258" s="9" t="str">
        <f>+B24</f>
        <v>y loc of wing (w2) tip chord LE position (distance from CAD refference point)</v>
      </c>
      <c r="C258" s="9" t="s">
        <v>9</v>
      </c>
    </row>
    <row r="259" spans="2:3" x14ac:dyDescent="0.25">
      <c r="B259" s="9" t="str">
        <f>+B25</f>
        <v>z loc of wing (w2) root chord LE position (distance from CAD refference point)</v>
      </c>
      <c r="C259" s="9" t="s">
        <v>9</v>
      </c>
    </row>
    <row r="260" spans="2:3" x14ac:dyDescent="0.25">
      <c r="B260" s="9" t="str">
        <f>+B26</f>
        <v>x loc of wing (w2) root chord LE position (distance from CAD refference point)</v>
      </c>
      <c r="C260" s="9" t="s">
        <v>9</v>
      </c>
    </row>
    <row r="261" spans="2:3" x14ac:dyDescent="0.25">
      <c r="B261" s="9" t="str">
        <f>+B27</f>
        <v>Sweep of w2 (deg)</v>
      </c>
      <c r="C261" s="9" t="s">
        <v>9</v>
      </c>
    </row>
    <row r="262" spans="2:3" x14ac:dyDescent="0.25">
      <c r="B262" s="9" t="str">
        <f>+B30</f>
        <v>Dihedral of w2 (deg)</v>
      </c>
      <c r="C262" s="9" t="s">
        <v>9</v>
      </c>
    </row>
    <row r="263" spans="2:3" x14ac:dyDescent="0.25">
      <c r="B263" s="9" t="str">
        <f>+B33</f>
        <v>y loc of wing (can) root chord LE position (distance from CAD refference point)</v>
      </c>
      <c r="C263" s="9" t="s">
        <v>9</v>
      </c>
    </row>
    <row r="264" spans="2:3" x14ac:dyDescent="0.25">
      <c r="B264" s="9" t="str">
        <f>+B36</f>
        <v>y loc of wing (can) tip chord LE position (distance from CAD refference point)</v>
      </c>
      <c r="C264" s="9" t="s">
        <v>9</v>
      </c>
    </row>
    <row r="265" spans="2:3" x14ac:dyDescent="0.25">
      <c r="B265" s="9" t="str">
        <f>+B37</f>
        <v>z loc of wing (can) root chord LE position (distance from CAD refference point)</v>
      </c>
      <c r="C265" s="9" t="s">
        <v>9</v>
      </c>
    </row>
    <row r="266" spans="2:3" x14ac:dyDescent="0.25">
      <c r="B266" s="9" t="str">
        <f>+B38</f>
        <v>x loc of wing (can) root chord LE position (distance from CAD refference point)</v>
      </c>
      <c r="C266" s="9" t="s">
        <v>9</v>
      </c>
    </row>
    <row r="267" spans="2:3" x14ac:dyDescent="0.25">
      <c r="B267" s="9" t="str">
        <f>+B39</f>
        <v>Sweep of can (deg)</v>
      </c>
      <c r="C267" s="9" t="s">
        <v>9</v>
      </c>
    </row>
    <row r="268" spans="2:3" x14ac:dyDescent="0.25">
      <c r="B268" s="9" t="str">
        <f>+B42</f>
        <v>Dihedral of can (deg)</v>
      </c>
      <c r="C268" s="9" t="s">
        <v>9</v>
      </c>
    </row>
    <row r="269" spans="2:3" x14ac:dyDescent="0.25">
      <c r="B269" s="9" t="str">
        <f>+B45</f>
        <v>y loc of wing (HTP) root chord LE position (distance from CAD refference point)</v>
      </c>
      <c r="C269" s="9" t="s">
        <v>9</v>
      </c>
    </row>
    <row r="270" spans="2:3" x14ac:dyDescent="0.25">
      <c r="B270" s="9" t="str">
        <f>+B48</f>
        <v>y loc of wing (HTP) tip chord LE position (distance from CAD refference point)</v>
      </c>
      <c r="C270" s="9" t="s">
        <v>9</v>
      </c>
    </row>
    <row r="271" spans="2:3" x14ac:dyDescent="0.25">
      <c r="B271" s="9" t="str">
        <f>+B49</f>
        <v>z loc of wing (HTP) root chord LE position (distance from CAD refference point)</v>
      </c>
      <c r="C271" s="9" t="s">
        <v>9</v>
      </c>
    </row>
    <row r="272" spans="2:3" x14ac:dyDescent="0.25">
      <c r="B272" s="9" t="str">
        <f>+B50</f>
        <v>x loc of wing (HTP) root chord LE position (distance from CAD refference point)</v>
      </c>
      <c r="C272" s="9" t="s">
        <v>9</v>
      </c>
    </row>
    <row r="273" spans="2:3" x14ac:dyDescent="0.25">
      <c r="B273" s="9" t="str">
        <f>+B51</f>
        <v>Sweep of HTP (deg)</v>
      </c>
      <c r="C273" s="9" t="s">
        <v>9</v>
      </c>
    </row>
    <row r="274" spans="2:3" x14ac:dyDescent="0.25">
      <c r="B274" s="9" t="str">
        <f>+B54</f>
        <v>Dihedral of HTP (deg)</v>
      </c>
      <c r="C274" s="9" t="s">
        <v>9</v>
      </c>
    </row>
    <row r="275" spans="2:3" x14ac:dyDescent="0.25">
      <c r="B275" s="9" t="str">
        <f>+B57</f>
        <v>relative y loc of  (VTP) root chord LE position (distance from CAD refference point)</v>
      </c>
      <c r="C275" s="9" t="s">
        <v>9</v>
      </c>
    </row>
    <row r="276" spans="2:3" x14ac:dyDescent="0.25">
      <c r="B276" s="9" t="str">
        <f>+B58</f>
        <v>relative z loc of  (VTP) root chord LE position (distance from CAD refference point)</v>
      </c>
      <c r="C276" s="9" t="s">
        <v>9</v>
      </c>
    </row>
    <row r="277" spans="2:3" x14ac:dyDescent="0.25">
      <c r="B277" s="9" t="str">
        <f>+B61</f>
        <v>z loc of wing (VTP) tip chord LE position (distance from CAD refference point)</v>
      </c>
      <c r="C277" s="9" t="s">
        <v>9</v>
      </c>
    </row>
    <row r="278" spans="2:3" x14ac:dyDescent="0.25">
      <c r="B278" s="9" t="str">
        <f>+B62</f>
        <v>x loc of wing (VTP) root chord LE position (distance from CAD refference point)</v>
      </c>
      <c r="C278" s="9" t="s">
        <v>9</v>
      </c>
    </row>
    <row r="279" spans="2:3" x14ac:dyDescent="0.25">
      <c r="B279" s="9" t="str">
        <f>+B63</f>
        <v>Sweep of VTP (deg)</v>
      </c>
      <c r="C279" s="9" t="s">
        <v>9</v>
      </c>
    </row>
    <row r="280" spans="2:3" x14ac:dyDescent="0.25">
      <c r="B280" s="9" t="str">
        <f>+B66</f>
        <v>Dihedral of VTP (deg)</v>
      </c>
      <c r="C280" s="9" t="s">
        <v>9</v>
      </c>
    </row>
    <row r="281" spans="2:3" x14ac:dyDescent="0.25">
      <c r="B281" s="9" t="str">
        <f>+B69</f>
        <v>y loc of wing (vee) root chord LE position (distance from CAD refference point)</v>
      </c>
      <c r="C281" s="9" t="s">
        <v>9</v>
      </c>
    </row>
    <row r="282" spans="2:3" x14ac:dyDescent="0.25">
      <c r="B282" s="9" t="str">
        <f>+B72</f>
        <v>y loc of wing (vee) tip chord LE position (distance from CAD refference point)</v>
      </c>
      <c r="C282" s="9" t="s">
        <v>9</v>
      </c>
    </row>
    <row r="283" spans="2:3" x14ac:dyDescent="0.25">
      <c r="B283" s="9" t="str">
        <f>+B73</f>
        <v>z loc of wing (vee) root chord LE position (distance from CAD refference point)</v>
      </c>
      <c r="C283" s="9" t="s">
        <v>9</v>
      </c>
    </row>
    <row r="284" spans="2:3" x14ac:dyDescent="0.25">
      <c r="B284" s="9" t="str">
        <f>+B74</f>
        <v>x loc of wing (vee) root chord LE position (distance from CAD refference point)</v>
      </c>
      <c r="C284" s="9" t="s">
        <v>9</v>
      </c>
    </row>
    <row r="285" spans="2:3" x14ac:dyDescent="0.25">
      <c r="B285" s="9" t="str">
        <f>+B75</f>
        <v>Sweep of vee (deg)</v>
      </c>
      <c r="C285" s="9" t="s">
        <v>9</v>
      </c>
    </row>
    <row r="286" spans="2:3" x14ac:dyDescent="0.25">
      <c r="B286" s="9" t="str">
        <f>+B78</f>
        <v>Dihedral of vee (deg)</v>
      </c>
      <c r="C286" s="9" t="s">
        <v>9</v>
      </c>
    </row>
    <row r="287" spans="2:3" x14ac:dyDescent="0.25">
      <c r="B287" s="9" t="str">
        <f>+B93</f>
        <v>y loc of wing (2VTP) root chord LE position (distance from CAD refference point)</v>
      </c>
      <c r="C287" s="9" t="s">
        <v>9</v>
      </c>
    </row>
    <row r="288" spans="2:3" x14ac:dyDescent="0.25">
      <c r="B288" s="9" t="str">
        <f>+B94</f>
        <v>z loc of wing (2VTP) root chord LE position (distance from CAD refference point)</v>
      </c>
      <c r="C288" s="9" t="s">
        <v>9</v>
      </c>
    </row>
    <row r="289" spans="2:3" x14ac:dyDescent="0.25">
      <c r="B289" s="9" t="str">
        <f>+B97</f>
        <v>z loc of wing (2VTP) tip chord LE position (distance from CAD refference point)</v>
      </c>
      <c r="C289" s="9" t="s">
        <v>9</v>
      </c>
    </row>
    <row r="290" spans="2:3" x14ac:dyDescent="0.25">
      <c r="B290" s="9" t="str">
        <f>+B98</f>
        <v>x loc of wing (2VTP) root chord LE position (distance from CAD refference point)</v>
      </c>
      <c r="C290" s="9" t="s">
        <v>9</v>
      </c>
    </row>
    <row r="291" spans="2:3" x14ac:dyDescent="0.25">
      <c r="B291" s="9" t="str">
        <f>+B99</f>
        <v>Sweep of 2VTP (deg)</v>
      </c>
      <c r="C291" s="9" t="s">
        <v>9</v>
      </c>
    </row>
    <row r="292" spans="2:3" x14ac:dyDescent="0.25">
      <c r="B292" s="9" t="str">
        <f>+B102</f>
        <v>Dihedral of 2VTP (deg)</v>
      </c>
      <c r="C292" s="9" t="s">
        <v>9</v>
      </c>
    </row>
    <row r="293" spans="2:3" x14ac:dyDescent="0.25">
      <c r="B293" s="9" t="str">
        <f>+B105</f>
        <v>Root Chord w1</v>
      </c>
      <c r="C293" s="9" t="s">
        <v>9</v>
      </c>
    </row>
    <row r="294" spans="2:3" x14ac:dyDescent="0.25">
      <c r="B294" s="9" t="str">
        <f>+B108</f>
        <v>Tip Chord w1</v>
      </c>
      <c r="C294" s="9" t="s">
        <v>9</v>
      </c>
    </row>
    <row r="295" spans="2:3" x14ac:dyDescent="0.25">
      <c r="B295" s="9" t="str">
        <f>+B109</f>
        <v>Root Chord w2</v>
      </c>
      <c r="C295" s="9" t="s">
        <v>9</v>
      </c>
    </row>
    <row r="296" spans="2:3" x14ac:dyDescent="0.25">
      <c r="B296" s="9" t="str">
        <f>+B112</f>
        <v>Tip Chord w2</v>
      </c>
      <c r="C296" s="9" t="s">
        <v>9</v>
      </c>
    </row>
    <row r="297" spans="2:3" x14ac:dyDescent="0.25">
      <c r="B297" s="9" t="str">
        <f>+B113</f>
        <v>Root Chord canard</v>
      </c>
      <c r="C297" s="9" t="s">
        <v>9</v>
      </c>
    </row>
    <row r="298" spans="2:3" x14ac:dyDescent="0.25">
      <c r="B298" s="9" t="str">
        <f>+B116</f>
        <v>Tip Chord canard</v>
      </c>
      <c r="C298" s="9" t="s">
        <v>9</v>
      </c>
    </row>
    <row r="299" spans="2:3" x14ac:dyDescent="0.25">
      <c r="B299" s="9" t="str">
        <f>+B117</f>
        <v>Root Chord HTP</v>
      </c>
      <c r="C299" s="9" t="s">
        <v>9</v>
      </c>
    </row>
    <row r="300" spans="2:3" x14ac:dyDescent="0.25">
      <c r="B300" s="9" t="str">
        <f>+B120</f>
        <v>Tip Chord HTP</v>
      </c>
      <c r="C300" s="9" t="s">
        <v>9</v>
      </c>
    </row>
    <row r="301" spans="2:3" x14ac:dyDescent="0.25">
      <c r="B301" s="9" t="str">
        <f>+B121</f>
        <v>Root Chord VTP</v>
      </c>
      <c r="C301" s="9" t="s">
        <v>9</v>
      </c>
    </row>
    <row r="302" spans="2:3" x14ac:dyDescent="0.25">
      <c r="B302" s="9" t="str">
        <f>+B124</f>
        <v>Tip Chord VTP</v>
      </c>
      <c r="C302" s="9" t="s">
        <v>9</v>
      </c>
    </row>
    <row r="303" spans="2:3" x14ac:dyDescent="0.25">
      <c r="B303" s="9" t="str">
        <f>+B125</f>
        <v>Root Chord vee</v>
      </c>
      <c r="C303" s="9" t="s">
        <v>9</v>
      </c>
    </row>
    <row r="304" spans="2:3" x14ac:dyDescent="0.25">
      <c r="B304" s="9" t="str">
        <f>+B128</f>
        <v>Tip Chord vee</v>
      </c>
      <c r="C304" s="9" t="s">
        <v>9</v>
      </c>
    </row>
    <row r="305" spans="2:3" x14ac:dyDescent="0.25">
      <c r="B305" s="9" t="str">
        <f>+B133</f>
        <v>Root Chord Twin VTP</v>
      </c>
      <c r="C305" s="9" t="s">
        <v>9</v>
      </c>
    </row>
    <row r="306" spans="2:3" x14ac:dyDescent="0.25">
      <c r="B306" s="9" t="str">
        <f t="shared" ref="B306:B318" si="60">+B136</f>
        <v>Tip Chord Twin 2VTP</v>
      </c>
      <c r="C306" s="9" t="s">
        <v>9</v>
      </c>
    </row>
    <row r="307" spans="2:3" x14ac:dyDescent="0.25">
      <c r="B307" s="9" t="str">
        <f t="shared" si="60"/>
        <v>% of aileron from effective wing surface - inner position</v>
      </c>
      <c r="C307" s="9" t="s">
        <v>9</v>
      </c>
    </row>
    <row r="308" spans="2:3" x14ac:dyDescent="0.25">
      <c r="B308" s="9" t="str">
        <f t="shared" si="60"/>
        <v>% of aileron from effective wing surface - outter position</v>
      </c>
      <c r="C308" s="9" t="s">
        <v>9</v>
      </c>
    </row>
    <row r="309" spans="2:3" x14ac:dyDescent="0.25">
      <c r="B309" s="9" t="str">
        <f t="shared" si="60"/>
        <v>% of elevator from effective HTP surface - inner position</v>
      </c>
      <c r="C309" s="9" t="s">
        <v>9</v>
      </c>
    </row>
    <row r="310" spans="2:3" x14ac:dyDescent="0.25">
      <c r="B310" s="9" t="str">
        <f t="shared" si="60"/>
        <v>% of elevator from effective HTP surface  - outter position</v>
      </c>
      <c r="C310" s="9" t="s">
        <v>9</v>
      </c>
    </row>
    <row r="311" spans="2:3" x14ac:dyDescent="0.25">
      <c r="B311" s="9" t="str">
        <f t="shared" si="60"/>
        <v>% of elevon from effective wing surface - inner position</v>
      </c>
      <c r="C311" s="9" t="s">
        <v>9</v>
      </c>
    </row>
    <row r="312" spans="2:3" x14ac:dyDescent="0.25">
      <c r="B312" s="9" t="str">
        <f t="shared" si="60"/>
        <v>% of elevon from effective wing surface - outter position</v>
      </c>
      <c r="C312" s="9" t="s">
        <v>9</v>
      </c>
    </row>
    <row r="313" spans="2:3" x14ac:dyDescent="0.25">
      <c r="B313" s="9" t="str">
        <f t="shared" si="60"/>
        <v>% of flap from effective wing surface - inner position</v>
      </c>
      <c r="C313" s="9" t="s">
        <v>9</v>
      </c>
    </row>
    <row r="314" spans="2:3" x14ac:dyDescent="0.25">
      <c r="B314" s="9" t="str">
        <f t="shared" si="60"/>
        <v>% of flap from effective wing surface - outter position</v>
      </c>
      <c r="C314" s="9" t="s">
        <v>9</v>
      </c>
    </row>
    <row r="315" spans="2:3" x14ac:dyDescent="0.25">
      <c r="B315" s="9" t="str">
        <f t="shared" si="60"/>
        <v>% of rudder from effective VTP surface - inner position</v>
      </c>
      <c r="C315" s="9" t="s">
        <v>9</v>
      </c>
    </row>
    <row r="316" spans="2:3" x14ac:dyDescent="0.25">
      <c r="B316" s="9" t="str">
        <f t="shared" si="60"/>
        <v>% of rudder from effective VTP surface  - outter position</v>
      </c>
      <c r="C316" s="9" t="s">
        <v>9</v>
      </c>
    </row>
    <row r="317" spans="2:3" x14ac:dyDescent="0.25">
      <c r="B317" s="9" t="str">
        <f t="shared" si="60"/>
        <v>% of ruddervator from effective V-tail surface - inner position</v>
      </c>
      <c r="C317" s="9" t="s">
        <v>9</v>
      </c>
    </row>
    <row r="318" spans="2:3" x14ac:dyDescent="0.25">
      <c r="B318" s="9" t="str">
        <f t="shared" si="60"/>
        <v>% of ruddervator from effective V-tail surface  - outter position</v>
      </c>
      <c r="C318" s="9" t="s">
        <v>9</v>
      </c>
    </row>
    <row r="319" spans="2:3" x14ac:dyDescent="0.25">
      <c r="B319" s="9" t="str">
        <f>+B151</f>
        <v>% of canard control surface from effective canard surface - inner position</v>
      </c>
      <c r="C319" s="9" t="s">
        <v>9</v>
      </c>
    </row>
    <row r="320" spans="2:3" x14ac:dyDescent="0.25">
      <c r="B320" s="9" t="str">
        <f>+B152</f>
        <v>% of canard control surface from effective canard surface - outter position</v>
      </c>
      <c r="C320" s="9" t="s">
        <v>9</v>
      </c>
    </row>
    <row r="321" spans="2:3" x14ac:dyDescent="0.25">
      <c r="B321" s="9" t="str">
        <f t="shared" ref="B321:B334" si="61">+B161</f>
        <v>Minimum aileron deflection</v>
      </c>
      <c r="C321" s="9" t="s">
        <v>9</v>
      </c>
    </row>
    <row r="322" spans="2:3" x14ac:dyDescent="0.25">
      <c r="B322" s="9" t="str">
        <f t="shared" si="61"/>
        <v>Maximum aileron deflection</v>
      </c>
      <c r="C322" s="9" t="s">
        <v>9</v>
      </c>
    </row>
    <row r="323" spans="2:3" x14ac:dyDescent="0.25">
      <c r="B323" s="9" t="str">
        <f t="shared" si="61"/>
        <v>Minimum elevator deflection</v>
      </c>
      <c r="C323" s="9" t="s">
        <v>9</v>
      </c>
    </row>
    <row r="324" spans="2:3" x14ac:dyDescent="0.25">
      <c r="B324" s="9" t="str">
        <f t="shared" si="61"/>
        <v>Maximum elevator deflection</v>
      </c>
      <c r="C324" s="9" t="s">
        <v>9</v>
      </c>
    </row>
    <row r="325" spans="2:3" x14ac:dyDescent="0.25">
      <c r="B325" s="9" t="str">
        <f t="shared" si="61"/>
        <v>Minimum elevon deflection</v>
      </c>
      <c r="C325" s="9" t="s">
        <v>9</v>
      </c>
    </row>
    <row r="326" spans="2:3" x14ac:dyDescent="0.25">
      <c r="B326" s="9" t="str">
        <f t="shared" si="61"/>
        <v>Maximum elevon deflection</v>
      </c>
      <c r="C326" s="9" t="s">
        <v>9</v>
      </c>
    </row>
    <row r="327" spans="2:3" x14ac:dyDescent="0.25">
      <c r="B327" s="9" t="str">
        <f t="shared" si="61"/>
        <v>Minimum flap deflection</v>
      </c>
      <c r="C327" s="9" t="s">
        <v>9</v>
      </c>
    </row>
    <row r="328" spans="2:3" x14ac:dyDescent="0.25">
      <c r="B328" s="9" t="str">
        <f t="shared" si="61"/>
        <v>Maximum flap deflection</v>
      </c>
      <c r="C328" s="9" t="s">
        <v>9</v>
      </c>
    </row>
    <row r="329" spans="2:3" x14ac:dyDescent="0.25">
      <c r="B329" s="9" t="str">
        <f t="shared" si="61"/>
        <v>Minimum rudder deflection</v>
      </c>
      <c r="C329" s="9" t="s">
        <v>9</v>
      </c>
    </row>
    <row r="330" spans="2:3" x14ac:dyDescent="0.25">
      <c r="B330" s="9" t="str">
        <f t="shared" si="61"/>
        <v>Maximum rudder deflection</v>
      </c>
      <c r="C330" s="9" t="s">
        <v>9</v>
      </c>
    </row>
    <row r="331" spans="2:3" x14ac:dyDescent="0.25">
      <c r="B331" s="9" t="str">
        <f t="shared" si="61"/>
        <v>Minimum ruddervator deflection</v>
      </c>
      <c r="C331" s="9" t="s">
        <v>9</v>
      </c>
    </row>
    <row r="332" spans="2:3" x14ac:dyDescent="0.25">
      <c r="B332" s="9" t="str">
        <f t="shared" si="61"/>
        <v>Maximum ruddervator deflection</v>
      </c>
      <c r="C332" s="9" t="s">
        <v>9</v>
      </c>
    </row>
    <row r="333" spans="2:3" x14ac:dyDescent="0.25">
      <c r="B333" s="9" t="str">
        <f t="shared" si="61"/>
        <v>Minimum canard deflection</v>
      </c>
      <c r="C333" s="9" t="s">
        <v>9</v>
      </c>
    </row>
    <row r="334" spans="2:3" x14ac:dyDescent="0.25">
      <c r="B334" s="9" t="str">
        <f t="shared" si="61"/>
        <v>Maximum canard deflection</v>
      </c>
      <c r="C334" s="9" t="s">
        <v>9</v>
      </c>
    </row>
    <row r="335" spans="2:3" x14ac:dyDescent="0.25">
      <c r="B335" s="9" t="str">
        <f t="shared" ref="B335:B346" si="62">+B183</f>
        <v>%  of control surface aileron (chrodwise)</v>
      </c>
      <c r="C335" s="9" t="s">
        <v>9</v>
      </c>
    </row>
    <row r="336" spans="2:3" x14ac:dyDescent="0.25">
      <c r="B336" s="9" t="str">
        <f t="shared" si="62"/>
        <v>Thinckness 2 chord ratio associated to the airfoil - aileron</v>
      </c>
      <c r="C336" s="9" t="s">
        <v>9</v>
      </c>
    </row>
    <row r="337" spans="2:3" x14ac:dyDescent="0.25">
      <c r="B337" s="9" t="str">
        <f t="shared" si="62"/>
        <v>%  of control surface elevator (chrodwise)</v>
      </c>
      <c r="C337" s="9" t="s">
        <v>9</v>
      </c>
    </row>
    <row r="338" spans="2:3" x14ac:dyDescent="0.25">
      <c r="B338" s="9" t="str">
        <f t="shared" si="62"/>
        <v>Thinckness 2 chord ratio associated to the airfoil - elevator</v>
      </c>
      <c r="C338" s="9" t="s">
        <v>9</v>
      </c>
    </row>
    <row r="339" spans="2:3" x14ac:dyDescent="0.25">
      <c r="B339" s="9" t="str">
        <f t="shared" si="62"/>
        <v>%  of control surface elevon (chrodwise)</v>
      </c>
      <c r="C339" s="9" t="s">
        <v>9</v>
      </c>
    </row>
    <row r="340" spans="2:3" x14ac:dyDescent="0.25">
      <c r="B340" s="9" t="str">
        <f t="shared" si="62"/>
        <v>Thinckness 2 chord ratio associated to the airfoil - elevon</v>
      </c>
      <c r="C340" s="9" t="s">
        <v>9</v>
      </c>
    </row>
    <row r="341" spans="2:3" x14ac:dyDescent="0.25">
      <c r="B341" s="9" t="str">
        <f t="shared" si="62"/>
        <v>%  of control surface flap (chrodwise)</v>
      </c>
      <c r="C341" s="9" t="s">
        <v>9</v>
      </c>
    </row>
    <row r="342" spans="2:3" x14ac:dyDescent="0.25">
      <c r="B342" s="9" t="str">
        <f t="shared" si="62"/>
        <v>Thinckness 2 chord ratio associated to the airfoil - flap</v>
      </c>
      <c r="C342" s="9" t="s">
        <v>9</v>
      </c>
    </row>
    <row r="343" spans="2:3" x14ac:dyDescent="0.25">
      <c r="B343" s="9" t="str">
        <f t="shared" si="62"/>
        <v>%  of control surface rudder (chrodwise)</v>
      </c>
      <c r="C343" s="9" t="s">
        <v>9</v>
      </c>
    </row>
    <row r="344" spans="2:3" x14ac:dyDescent="0.25">
      <c r="B344" s="9" t="str">
        <f t="shared" si="62"/>
        <v>Thinckness 2 chord ratio associated to the airfoil - rudder</v>
      </c>
      <c r="C344" s="9" t="s">
        <v>9</v>
      </c>
    </row>
    <row r="345" spans="2:3" x14ac:dyDescent="0.25">
      <c r="B345" s="9" t="str">
        <f t="shared" si="62"/>
        <v>%  of control surface ruddervator (chrodwise)</v>
      </c>
      <c r="C345" s="9" t="s">
        <v>9</v>
      </c>
    </row>
    <row r="346" spans="2:3" x14ac:dyDescent="0.25">
      <c r="B346" s="9" t="str">
        <f t="shared" si="62"/>
        <v>Thinckness 2 chord ratio associated to the airfoil - ruddervator</v>
      </c>
      <c r="C346" s="9" t="s">
        <v>9</v>
      </c>
    </row>
    <row r="347" spans="2:3" x14ac:dyDescent="0.25">
      <c r="B347" s="9" t="str">
        <f t="shared" ref="B347:B348" si="63">+B197</f>
        <v>%  of control surface canard (chrodwise)</v>
      </c>
      <c r="C347" s="9" t="s">
        <v>9</v>
      </c>
    </row>
    <row r="348" spans="2:3" x14ac:dyDescent="0.25">
      <c r="B348" s="9" t="str">
        <f t="shared" si="63"/>
        <v>Thinckness 2 chord ratio associated to the airfoil - canard</v>
      </c>
      <c r="C348" s="9" t="s">
        <v>9</v>
      </c>
    </row>
    <row r="349" spans="2:3" x14ac:dyDescent="0.25">
      <c r="B349" s="9" t="str">
        <f t="shared" ref="B349:B351" si="64">+B207</f>
        <v>Initial estimation of center of gravity - x coordinate</v>
      </c>
      <c r="C349" s="9" t="s">
        <v>9</v>
      </c>
    </row>
    <row r="350" spans="2:3" x14ac:dyDescent="0.25">
      <c r="B350" s="9" t="str">
        <f t="shared" si="64"/>
        <v>Initial estimation of center of gravity - y coordinate</v>
      </c>
      <c r="C350" s="9" t="s">
        <v>9</v>
      </c>
    </row>
    <row r="351" spans="2:3" x14ac:dyDescent="0.25">
      <c r="B351" s="9" t="str">
        <f t="shared" si="64"/>
        <v>Initial estimation of center of gravity - z coordinate</v>
      </c>
      <c r="C351" s="9" t="s">
        <v>9</v>
      </c>
    </row>
  </sheetData>
  <mergeCells count="1">
    <mergeCell ref="B244:C244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DF5D-82D2-4743-95A4-255ABF5A6741}">
  <sheetPr codeName="Sheet12"/>
  <dimension ref="A2:Q100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3" customWidth="1"/>
    <col min="2" max="2" width="66" customWidth="1"/>
    <col min="3" max="3" width="25.5703125" bestFit="1" customWidth="1"/>
    <col min="4" max="4" width="23" customWidth="1"/>
    <col min="5" max="5" width="9.28515625" customWidth="1"/>
    <col min="6" max="6" width="22.5703125" bestFit="1" customWidth="1"/>
    <col min="7" max="7" width="31.7109375" bestFit="1" customWidth="1"/>
    <col min="8" max="8" width="20" bestFit="1" customWidth="1"/>
    <col min="9" max="9" width="33.28515625" bestFit="1" customWidth="1"/>
  </cols>
  <sheetData>
    <row r="2" spans="1:5" x14ac:dyDescent="0.25">
      <c r="C2" s="2" t="s">
        <v>17</v>
      </c>
      <c r="D2" s="34" t="s">
        <v>8</v>
      </c>
      <c r="E2" s="1"/>
    </row>
    <row r="3" spans="1:5" x14ac:dyDescent="0.25">
      <c r="A3">
        <v>1</v>
      </c>
      <c r="B3" s="2" t="s">
        <v>59</v>
      </c>
      <c r="C3" s="2" t="s">
        <v>71</v>
      </c>
      <c r="D3" s="36">
        <v>0</v>
      </c>
      <c r="E3" s="5"/>
    </row>
    <row r="4" spans="1:5" x14ac:dyDescent="0.25">
      <c r="A4">
        <v>2</v>
      </c>
      <c r="B4" s="2" t="s">
        <v>60</v>
      </c>
      <c r="C4" s="2" t="s">
        <v>71</v>
      </c>
      <c r="D4" s="36">
        <v>0</v>
      </c>
      <c r="E4" s="5"/>
    </row>
    <row r="5" spans="1:5" x14ac:dyDescent="0.25">
      <c r="A5">
        <v>3</v>
      </c>
      <c r="B5" s="2" t="s">
        <v>673</v>
      </c>
      <c r="C5" s="2" t="s">
        <v>71</v>
      </c>
      <c r="D5" s="36">
        <v>0</v>
      </c>
      <c r="E5" s="5"/>
    </row>
    <row r="6" spans="1:5" x14ac:dyDescent="0.25">
      <c r="A6">
        <v>4</v>
      </c>
      <c r="B6" s="2" t="s">
        <v>61</v>
      </c>
      <c r="C6" s="2" t="s">
        <v>71</v>
      </c>
      <c r="D6" s="36">
        <v>0</v>
      </c>
    </row>
    <row r="7" spans="1:5" x14ac:dyDescent="0.25">
      <c r="A7">
        <v>5</v>
      </c>
      <c r="B7" s="2" t="s">
        <v>62</v>
      </c>
      <c r="C7" s="2" t="s">
        <v>71</v>
      </c>
      <c r="D7" s="36">
        <v>0</v>
      </c>
    </row>
    <row r="8" spans="1:5" x14ac:dyDescent="0.25">
      <c r="A8">
        <v>6</v>
      </c>
      <c r="B8" s="2" t="s">
        <v>63</v>
      </c>
      <c r="C8" s="2" t="s">
        <v>71</v>
      </c>
      <c r="D8" s="36">
        <v>0</v>
      </c>
    </row>
    <row r="9" spans="1:5" x14ac:dyDescent="0.25">
      <c r="A9">
        <v>7</v>
      </c>
      <c r="B9" s="2" t="s">
        <v>64</v>
      </c>
      <c r="C9" s="2" t="s">
        <v>71</v>
      </c>
      <c r="D9" s="36">
        <v>0</v>
      </c>
    </row>
    <row r="10" spans="1:5" x14ac:dyDescent="0.25">
      <c r="A10">
        <v>8</v>
      </c>
      <c r="B10" s="2" t="s">
        <v>65</v>
      </c>
      <c r="C10" s="2" t="s">
        <v>71</v>
      </c>
      <c r="D10" s="36">
        <v>1</v>
      </c>
    </row>
    <row r="11" spans="1:5" x14ac:dyDescent="0.25">
      <c r="A11">
        <v>9</v>
      </c>
      <c r="B11" s="2" t="s">
        <v>66</v>
      </c>
      <c r="C11" s="2" t="s">
        <v>71</v>
      </c>
      <c r="D11" s="36">
        <v>0</v>
      </c>
    </row>
    <row r="12" spans="1:5" x14ac:dyDescent="0.25">
      <c r="A12">
        <v>10</v>
      </c>
      <c r="B12" s="2" t="s">
        <v>1342</v>
      </c>
      <c r="C12" s="2" t="s">
        <v>71</v>
      </c>
      <c r="D12" s="36">
        <v>0</v>
      </c>
    </row>
    <row r="13" spans="1:5" x14ac:dyDescent="0.25">
      <c r="A13">
        <v>11</v>
      </c>
      <c r="B13" s="2" t="s">
        <v>1343</v>
      </c>
      <c r="C13" s="2" t="s">
        <v>71</v>
      </c>
      <c r="D13" s="36">
        <v>0</v>
      </c>
    </row>
    <row r="14" spans="1:5" x14ac:dyDescent="0.25">
      <c r="A14">
        <v>12</v>
      </c>
      <c r="B14" s="2" t="s">
        <v>1485</v>
      </c>
      <c r="C14" s="2" t="s">
        <v>71</v>
      </c>
      <c r="D14" s="36">
        <v>0</v>
      </c>
    </row>
    <row r="15" spans="1:5" x14ac:dyDescent="0.25">
      <c r="A15">
        <v>13</v>
      </c>
      <c r="B15" s="2" t="s">
        <v>67</v>
      </c>
      <c r="C15" s="2" t="s">
        <v>71</v>
      </c>
      <c r="D15" s="36">
        <v>0</v>
      </c>
    </row>
    <row r="16" spans="1:5" x14ac:dyDescent="0.25">
      <c r="A16">
        <v>14</v>
      </c>
      <c r="B16" s="2" t="s">
        <v>68</v>
      </c>
      <c r="C16" s="2" t="s">
        <v>71</v>
      </c>
      <c r="D16" s="36">
        <v>0</v>
      </c>
    </row>
    <row r="17" spans="1:6" x14ac:dyDescent="0.25">
      <c r="A17">
        <v>15</v>
      </c>
      <c r="B17" s="2" t="s">
        <v>69</v>
      </c>
      <c r="C17" s="2" t="s">
        <v>71</v>
      </c>
      <c r="D17" s="36">
        <v>0</v>
      </c>
    </row>
    <row r="18" spans="1:6" x14ac:dyDescent="0.25">
      <c r="A18">
        <v>16</v>
      </c>
      <c r="B18" s="2" t="s">
        <v>770</v>
      </c>
      <c r="C18" s="2" t="s">
        <v>71</v>
      </c>
      <c r="D18" s="36">
        <v>0</v>
      </c>
    </row>
    <row r="19" spans="1:6" x14ac:dyDescent="0.25">
      <c r="A19">
        <v>17</v>
      </c>
      <c r="B19" s="2" t="s">
        <v>70</v>
      </c>
      <c r="C19" s="2" t="s">
        <v>71</v>
      </c>
      <c r="D19" s="36">
        <v>0</v>
      </c>
    </row>
    <row r="20" spans="1:6" x14ac:dyDescent="0.25">
      <c r="A20">
        <v>18</v>
      </c>
      <c r="B20" s="2" t="s">
        <v>1233</v>
      </c>
      <c r="C20" s="2" t="s">
        <v>71</v>
      </c>
      <c r="D20" s="36">
        <v>0</v>
      </c>
    </row>
    <row r="21" spans="1:6" x14ac:dyDescent="0.25">
      <c r="A21">
        <v>19</v>
      </c>
      <c r="B21" s="2" t="s">
        <v>1728</v>
      </c>
      <c r="C21" s="2" t="s">
        <v>71</v>
      </c>
      <c r="D21" s="36">
        <v>0</v>
      </c>
    </row>
    <row r="22" spans="1:6" x14ac:dyDescent="0.25">
      <c r="A22">
        <v>20</v>
      </c>
      <c r="B22" s="2" t="s">
        <v>1727</v>
      </c>
      <c r="C22" s="2" t="s">
        <v>71</v>
      </c>
      <c r="D22" s="36">
        <v>0</v>
      </c>
    </row>
    <row r="23" spans="1:6" x14ac:dyDescent="0.25">
      <c r="A23">
        <v>21</v>
      </c>
      <c r="B23" s="2" t="s">
        <v>1721</v>
      </c>
      <c r="C23" s="2" t="s">
        <v>71</v>
      </c>
      <c r="D23" s="36">
        <v>0</v>
      </c>
      <c r="F23" s="2"/>
    </row>
    <row r="24" spans="1:6" x14ac:dyDescent="0.25">
      <c r="A24">
        <v>22</v>
      </c>
      <c r="B24" s="2" t="s">
        <v>1723</v>
      </c>
      <c r="C24" s="2" t="s">
        <v>71</v>
      </c>
      <c r="D24" s="36">
        <v>0</v>
      </c>
    </row>
    <row r="25" spans="1:6" x14ac:dyDescent="0.25">
      <c r="B25" s="2" t="s">
        <v>74</v>
      </c>
      <c r="C25" s="2" t="s">
        <v>73</v>
      </c>
      <c r="D25" s="34" t="str">
        <f>+IF(EXACT('3AC_Data'!$D$8,1),B40,IF(EXACT('3AC_Data'!$D$8,2),B41,IF(EXACT('3AC_Data'!$D$8,3),B42,IF(EXACT('3AC_Data'!$D$8,4),B43,IF(EXACT('3AC_Data'!$D$8,5),B44,IF(EXACT('3AC_Data'!$D$8,6),B45,IF(EXACT('3AC_Data'!$D$8,7),B46,IF(EXACT('3AC_Data'!$D$8,8),B47,IF(EXACT('3AC_Data'!$D$8,9),B48,IF(EXACT('3AC_Data'!$D$8,10),B49,IF(EXACT('3AC_Data'!$D$8,11),B50,IF(EXACT('3AC_Data'!$D$8,12),B51,IF(EXACT('3AC_Data'!$D$8,13),B52,IF(EXACT('3AC_Data'!$D$8,14),B53,IF(EXACT('3AC_Data'!$D$8,15),B54,IF(EXACT('3AC_Data'!$D$8,16),B55,IF(EXACT('3AC_Data'!$D$8,17),B56,IF(EXACT('3AC_Data'!$D$8,18),B57,IF(EXACT('3AC_Data'!$D$8,19),B58,IF(EXACT('3AC_Data'!$D$8,20),B59,IF(EXACT('3AC_Data'!$D$8,21),B60,IF(EXACT('3AC_Data'!$D$8,22),B61,IF(EXACT('3AC_Data'!$D$8,23),B62,IF(EXACT('3AC_Data'!$D$8,24),B63,IF(EXACT('3AC_Data'!$D$8,25),B64,IF(EXACT('3AC_Data'!$D$8,26),B65,IF(EXACT('3AC_Data'!$D$8,27),B66,IF(EXACT('3AC_Data'!$D$8,28),B67,IF(EXACT('3AC_Data'!$D$8,29),B68,IF(EXACT('3AC_Data'!$D$8,30),B68))))))))))))))))))))))))))))))</f>
        <v>06_MILVUS_</v>
      </c>
    </row>
    <row r="26" spans="1:6" x14ac:dyDescent="0.25">
      <c r="B26" s="2" t="s">
        <v>863</v>
      </c>
      <c r="C26" s="2" t="s">
        <v>864</v>
      </c>
      <c r="D26" s="36">
        <v>0</v>
      </c>
    </row>
    <row r="27" spans="1:6" x14ac:dyDescent="0.25">
      <c r="B27" s="2" t="s">
        <v>1192</v>
      </c>
      <c r="C27" s="2" t="s">
        <v>1191</v>
      </c>
      <c r="D27" s="36" t="str">
        <f>+IF(EXACT('3AC_Data'!$D$8,1),B71,IF(EXACT('3AC_Data'!$D$8,2),B72,IF(EXACT('3AC_Data'!$D$8,3),B73,IF(EXACT('3AC_Data'!$D$8,4),B74,IF(EXACT('3AC_Data'!$D$8,5),B75,IF(EXACT('3AC_Data'!$D$8,6),B76,IF(EXACT('3AC_Data'!$D$8,7),B77,IF(EXACT('3AC_Data'!$D$8,8),B78,IF(EXACT('3AC_Data'!$D$8,9),B79,IF(EXACT('3AC_Data'!$D$8,10),B80,IF(EXACT('3AC_Data'!$D$8,11),B81,IF(EXACT('3AC_Data'!$D$8,12),B82,IF(EXACT('3AC_Data'!$D$8,13),B83,IF(EXACT('3AC_Data'!$D$8,14),B84,IF(EXACT('3AC_Data'!$D$8,15),B85,IF(EXACT('3AC_Data'!$D$8,16),B86,IF(EXACT('3AC_Data'!$D$8,17),B87,IF(EXACT('3AC_Data'!$D$8,18),B88,IF(EXACT('3AC_Data'!$D$8,19),B89,IF(EXACT('3AC_Data'!$D$8,20),B90,IF(EXACT('3AC_Data'!$D$8,21),B91,IF(EXACT('3AC_Data'!$D$8,22),B92,IF(EXACT('3AC_Data'!$D$8,23),B93,IF(EXACT('3AC_Data'!$D$8,24),B94,IF(EXACT('3AC_Data'!$D$8,25),B95,IF(EXACT('3AC_Data'!$D$8,26),B96,IF(EXACT('3AC_Data'!$D$8,27),B97,IF(EXACT('3AC_Data'!$D$8,28),B98,IF(EXACT('3AC_Data'!$D$8,29),B99,IF(EXACT('3AC_Data'!$D$8,30),B100))))))))))))))))))))))))))))))</f>
        <v>..\Results\06_MILVUS</v>
      </c>
    </row>
    <row r="28" spans="1:6" x14ac:dyDescent="0.25">
      <c r="B28" s="2" t="s">
        <v>1194</v>
      </c>
      <c r="C28" s="2" t="s">
        <v>1199</v>
      </c>
      <c r="D28" s="36">
        <v>2</v>
      </c>
    </row>
    <row r="29" spans="1:6" x14ac:dyDescent="0.25">
      <c r="B29" s="2" t="s">
        <v>1195</v>
      </c>
      <c r="C29" s="2" t="s">
        <v>1200</v>
      </c>
      <c r="D29" s="36">
        <v>12</v>
      </c>
    </row>
    <row r="30" spans="1:6" x14ac:dyDescent="0.25">
      <c r="B30" s="2" t="s">
        <v>1196</v>
      </c>
      <c r="C30" s="2" t="s">
        <v>1201</v>
      </c>
      <c r="D30" s="36">
        <v>8</v>
      </c>
    </row>
    <row r="31" spans="1:6" x14ac:dyDescent="0.25">
      <c r="B31" s="2" t="s">
        <v>1197</v>
      </c>
      <c r="C31" s="2" t="s">
        <v>1202</v>
      </c>
      <c r="D31" s="36">
        <v>0</v>
      </c>
    </row>
    <row r="32" spans="1:6" x14ac:dyDescent="0.25">
      <c r="B32" s="2" t="s">
        <v>1198</v>
      </c>
      <c r="C32" s="2" t="s">
        <v>1203</v>
      </c>
      <c r="D32" s="36">
        <v>1</v>
      </c>
    </row>
    <row r="33" spans="2:5" x14ac:dyDescent="0.25">
      <c r="D33" s="5"/>
    </row>
    <row r="35" spans="2:5" x14ac:dyDescent="0.25">
      <c r="B35" s="187" t="s">
        <v>2</v>
      </c>
      <c r="C35" s="187"/>
    </row>
    <row r="36" spans="2:5" x14ac:dyDescent="0.25">
      <c r="B36" s="9" t="s">
        <v>1193</v>
      </c>
      <c r="C36" s="9" t="s">
        <v>9</v>
      </c>
    </row>
    <row r="37" spans="2:5" x14ac:dyDescent="0.25">
      <c r="B37" s="4">
        <v>0</v>
      </c>
      <c r="C37" s="2" t="s">
        <v>72</v>
      </c>
    </row>
    <row r="38" spans="2:5" x14ac:dyDescent="0.25">
      <c r="B38" s="4">
        <v>1</v>
      </c>
      <c r="C38" s="2" t="s">
        <v>71</v>
      </c>
    </row>
    <row r="39" spans="2:5" x14ac:dyDescent="0.25">
      <c r="B39" s="16" t="s">
        <v>74</v>
      </c>
      <c r="C39" s="9" t="s">
        <v>9</v>
      </c>
    </row>
    <row r="40" spans="2:5" x14ac:dyDescent="0.25">
      <c r="B40" s="3" t="s">
        <v>1652</v>
      </c>
      <c r="C40" s="3" t="s">
        <v>75</v>
      </c>
      <c r="D40" s="3">
        <v>1</v>
      </c>
      <c r="E40" s="1"/>
    </row>
    <row r="41" spans="2:5" x14ac:dyDescent="0.25">
      <c r="B41" s="3" t="s">
        <v>1653</v>
      </c>
      <c r="C41" s="3" t="s">
        <v>534</v>
      </c>
      <c r="D41" s="3">
        <v>2</v>
      </c>
      <c r="E41" s="1"/>
    </row>
    <row r="42" spans="2:5" x14ac:dyDescent="0.25">
      <c r="B42" s="3" t="s">
        <v>1654</v>
      </c>
      <c r="C42" s="3" t="s">
        <v>78</v>
      </c>
      <c r="D42" s="3">
        <v>3</v>
      </c>
      <c r="E42" s="1"/>
    </row>
    <row r="43" spans="2:5" x14ac:dyDescent="0.25">
      <c r="B43" s="3" t="s">
        <v>1655</v>
      </c>
      <c r="C43" s="3" t="s">
        <v>1261</v>
      </c>
      <c r="D43" s="3">
        <v>4</v>
      </c>
      <c r="E43" s="1"/>
    </row>
    <row r="44" spans="2:5" x14ac:dyDescent="0.25">
      <c r="B44" s="3" t="s">
        <v>1656</v>
      </c>
      <c r="C44" s="3" t="s">
        <v>77</v>
      </c>
      <c r="D44" s="3">
        <v>5</v>
      </c>
      <c r="E44" s="1"/>
    </row>
    <row r="45" spans="2:5" x14ac:dyDescent="0.25">
      <c r="B45" s="3" t="s">
        <v>1657</v>
      </c>
      <c r="C45" s="3" t="s">
        <v>76</v>
      </c>
      <c r="D45" s="3">
        <v>6</v>
      </c>
      <c r="E45" s="1"/>
    </row>
    <row r="46" spans="2:5" x14ac:dyDescent="0.25">
      <c r="B46" s="3" t="s">
        <v>1658</v>
      </c>
      <c r="C46" s="3" t="s">
        <v>521</v>
      </c>
      <c r="D46" s="3">
        <v>7</v>
      </c>
      <c r="E46" s="1"/>
    </row>
    <row r="47" spans="2:5" x14ac:dyDescent="0.25">
      <c r="B47" s="3" t="s">
        <v>1659</v>
      </c>
      <c r="C47" s="3" t="s">
        <v>522</v>
      </c>
      <c r="D47" s="3">
        <v>8</v>
      </c>
      <c r="E47" s="1"/>
    </row>
    <row r="48" spans="2:5" x14ac:dyDescent="0.25">
      <c r="B48" s="3" t="s">
        <v>1660</v>
      </c>
      <c r="C48" s="3" t="s">
        <v>669</v>
      </c>
      <c r="D48" s="3">
        <v>9</v>
      </c>
    </row>
    <row r="49" spans="2:17" x14ac:dyDescent="0.25">
      <c r="B49" s="3" t="s">
        <v>1661</v>
      </c>
      <c r="C49" s="3" t="s">
        <v>670</v>
      </c>
      <c r="D49" s="3">
        <v>10</v>
      </c>
    </row>
    <row r="50" spans="2:17" x14ac:dyDescent="0.25">
      <c r="B50" s="3" t="s">
        <v>1662</v>
      </c>
      <c r="C50" s="3" t="s">
        <v>665</v>
      </c>
      <c r="D50" s="3">
        <v>11</v>
      </c>
      <c r="E50" s="1"/>
    </row>
    <row r="51" spans="2:17" x14ac:dyDescent="0.25">
      <c r="B51" s="3" t="s">
        <v>1663</v>
      </c>
      <c r="C51" s="3" t="s">
        <v>667</v>
      </c>
      <c r="D51" s="3">
        <v>12</v>
      </c>
      <c r="E51" s="1"/>
    </row>
    <row r="52" spans="2:17" x14ac:dyDescent="0.25">
      <c r="B52" s="3" t="s">
        <v>1664</v>
      </c>
      <c r="C52" s="3" t="s">
        <v>732</v>
      </c>
      <c r="D52" s="3">
        <v>13</v>
      </c>
      <c r="E52" s="1"/>
      <c r="F52" s="31"/>
      <c r="G52" s="31"/>
      <c r="H52" s="31"/>
      <c r="I52" s="31"/>
      <c r="J52" s="31"/>
      <c r="K52" s="31"/>
      <c r="L52" s="31"/>
      <c r="M52" s="32"/>
      <c r="N52" s="32"/>
      <c r="O52" s="32"/>
      <c r="P52" s="32"/>
      <c r="Q52" s="32"/>
    </row>
    <row r="53" spans="2:17" x14ac:dyDescent="0.25">
      <c r="B53" s="3" t="s">
        <v>1665</v>
      </c>
      <c r="C53" s="3" t="s">
        <v>847</v>
      </c>
      <c r="D53" s="3">
        <v>14</v>
      </c>
    </row>
    <row r="54" spans="2:17" x14ac:dyDescent="0.25">
      <c r="B54" s="3" t="s">
        <v>1666</v>
      </c>
      <c r="C54" s="3" t="s">
        <v>844</v>
      </c>
      <c r="D54" s="3">
        <v>15</v>
      </c>
    </row>
    <row r="55" spans="2:17" x14ac:dyDescent="0.25">
      <c r="B55" s="3" t="s">
        <v>1667</v>
      </c>
      <c r="C55" s="3" t="s">
        <v>845</v>
      </c>
      <c r="D55" s="3">
        <v>16</v>
      </c>
    </row>
    <row r="56" spans="2:17" x14ac:dyDescent="0.25">
      <c r="B56" s="3" t="s">
        <v>1668</v>
      </c>
      <c r="C56" s="3" t="s">
        <v>846</v>
      </c>
      <c r="D56" s="3">
        <v>17</v>
      </c>
    </row>
    <row r="57" spans="2:17" x14ac:dyDescent="0.25">
      <c r="B57" s="3" t="s">
        <v>1669</v>
      </c>
      <c r="C57" s="3" t="s">
        <v>1359</v>
      </c>
      <c r="D57" s="3">
        <v>18</v>
      </c>
    </row>
    <row r="58" spans="2:17" x14ac:dyDescent="0.25">
      <c r="B58" s="3" t="s">
        <v>1670</v>
      </c>
      <c r="C58" s="3" t="s">
        <v>1351</v>
      </c>
      <c r="D58" s="3">
        <v>19</v>
      </c>
    </row>
    <row r="59" spans="2:17" x14ac:dyDescent="0.25">
      <c r="B59" s="3" t="s">
        <v>1671</v>
      </c>
      <c r="C59" s="3" t="s">
        <v>1360</v>
      </c>
      <c r="D59" s="3">
        <v>20</v>
      </c>
    </row>
    <row r="60" spans="2:17" x14ac:dyDescent="0.25">
      <c r="B60" s="3" t="s">
        <v>1672</v>
      </c>
      <c r="C60" s="3" t="s">
        <v>1474</v>
      </c>
      <c r="D60" s="3">
        <v>21</v>
      </c>
    </row>
    <row r="61" spans="2:17" x14ac:dyDescent="0.25">
      <c r="B61" s="3" t="s">
        <v>1673</v>
      </c>
      <c r="C61" s="3" t="s">
        <v>1408</v>
      </c>
      <c r="D61" s="3">
        <v>22</v>
      </c>
    </row>
    <row r="62" spans="2:17" x14ac:dyDescent="0.25">
      <c r="B62" s="3" t="s">
        <v>1674</v>
      </c>
      <c r="C62" s="3" t="s">
        <v>1409</v>
      </c>
      <c r="D62" s="3">
        <v>23</v>
      </c>
    </row>
    <row r="63" spans="2:17" x14ac:dyDescent="0.25">
      <c r="B63" s="3" t="s">
        <v>1675</v>
      </c>
      <c r="C63" s="3" t="s">
        <v>1616</v>
      </c>
      <c r="D63" s="3">
        <v>24</v>
      </c>
    </row>
    <row r="64" spans="2:17" x14ac:dyDescent="0.25">
      <c r="B64" s="3" t="s">
        <v>1676</v>
      </c>
      <c r="C64" s="3" t="s">
        <v>1621</v>
      </c>
      <c r="D64" s="3">
        <v>25</v>
      </c>
    </row>
    <row r="65" spans="2:6" x14ac:dyDescent="0.25">
      <c r="B65" s="3" t="s">
        <v>1677</v>
      </c>
      <c r="C65" s="3" t="s">
        <v>1647</v>
      </c>
      <c r="D65" s="3">
        <v>26</v>
      </c>
    </row>
    <row r="66" spans="2:6" x14ac:dyDescent="0.25">
      <c r="B66" s="3" t="s">
        <v>1678</v>
      </c>
      <c r="C66" s="3" t="s">
        <v>1648</v>
      </c>
      <c r="D66" s="3">
        <v>27</v>
      </c>
    </row>
    <row r="67" spans="2:6" x14ac:dyDescent="0.25">
      <c r="B67" s="3" t="s">
        <v>1410</v>
      </c>
      <c r="C67" s="3" t="s">
        <v>1410</v>
      </c>
      <c r="D67" s="3">
        <v>28</v>
      </c>
    </row>
    <row r="68" spans="2:6" x14ac:dyDescent="0.25">
      <c r="B68" s="3" t="s">
        <v>1411</v>
      </c>
      <c r="C68" s="3" t="s">
        <v>1411</v>
      </c>
      <c r="D68" s="3">
        <v>29</v>
      </c>
    </row>
    <row r="69" spans="2:6" x14ac:dyDescent="0.25">
      <c r="B69" s="3" t="s">
        <v>1412</v>
      </c>
      <c r="C69" s="3" t="s">
        <v>1412</v>
      </c>
      <c r="D69" s="3">
        <v>30</v>
      </c>
    </row>
    <row r="70" spans="2:6" x14ac:dyDescent="0.25">
      <c r="B70" s="16" t="s">
        <v>1205</v>
      </c>
      <c r="C70" s="9" t="s">
        <v>9</v>
      </c>
    </row>
    <row r="71" spans="2:6" x14ac:dyDescent="0.25">
      <c r="B71" s="3" t="s">
        <v>1679</v>
      </c>
      <c r="C71" s="3" t="s">
        <v>75</v>
      </c>
      <c r="D71" s="3">
        <v>1</v>
      </c>
      <c r="F71" s="1"/>
    </row>
    <row r="72" spans="2:6" x14ac:dyDescent="0.25">
      <c r="B72" s="3" t="s">
        <v>1679</v>
      </c>
      <c r="C72" s="3" t="s">
        <v>534</v>
      </c>
      <c r="D72" s="3">
        <v>2</v>
      </c>
      <c r="F72" s="1"/>
    </row>
    <row r="73" spans="2:6" x14ac:dyDescent="0.25">
      <c r="B73" s="3" t="s">
        <v>1680</v>
      </c>
      <c r="C73" s="3" t="s">
        <v>78</v>
      </c>
      <c r="D73" s="3">
        <v>3</v>
      </c>
      <c r="F73" s="1"/>
    </row>
    <row r="74" spans="2:6" x14ac:dyDescent="0.25">
      <c r="B74" s="3" t="s">
        <v>1681</v>
      </c>
      <c r="C74" s="3" t="s">
        <v>1324</v>
      </c>
      <c r="D74" s="3">
        <v>4</v>
      </c>
      <c r="F74" s="1"/>
    </row>
    <row r="75" spans="2:6" x14ac:dyDescent="0.25">
      <c r="B75" s="3" t="s">
        <v>1682</v>
      </c>
      <c r="C75" s="3" t="s">
        <v>1329</v>
      </c>
      <c r="D75" s="3">
        <v>5</v>
      </c>
      <c r="F75" s="1"/>
    </row>
    <row r="76" spans="2:6" x14ac:dyDescent="0.25">
      <c r="B76" s="3" t="s">
        <v>1683</v>
      </c>
      <c r="C76" s="3" t="s">
        <v>1246</v>
      </c>
      <c r="D76" s="3">
        <v>6</v>
      </c>
      <c r="F76" s="1"/>
    </row>
    <row r="77" spans="2:6" x14ac:dyDescent="0.25">
      <c r="B77" s="3" t="s">
        <v>1682</v>
      </c>
      <c r="C77" s="3" t="s">
        <v>1330</v>
      </c>
      <c r="D77" s="3">
        <v>7</v>
      </c>
      <c r="F77" s="1"/>
    </row>
    <row r="78" spans="2:6" x14ac:dyDescent="0.25">
      <c r="B78" s="3" t="s">
        <v>1684</v>
      </c>
      <c r="C78" s="3" t="s">
        <v>522</v>
      </c>
      <c r="D78" s="3">
        <v>8</v>
      </c>
      <c r="F78" s="1"/>
    </row>
    <row r="79" spans="2:6" x14ac:dyDescent="0.25">
      <c r="B79" s="3" t="s">
        <v>1685</v>
      </c>
      <c r="C79" s="3" t="s">
        <v>669</v>
      </c>
      <c r="D79" s="3">
        <v>9</v>
      </c>
      <c r="F79" s="1"/>
    </row>
    <row r="80" spans="2:6" x14ac:dyDescent="0.25">
      <c r="B80" s="3" t="s">
        <v>1686</v>
      </c>
      <c r="C80" s="3" t="s">
        <v>670</v>
      </c>
      <c r="D80" s="3">
        <v>10</v>
      </c>
      <c r="F80" s="1"/>
    </row>
    <row r="81" spans="2:6" x14ac:dyDescent="0.25">
      <c r="B81" s="3" t="s">
        <v>1687</v>
      </c>
      <c r="C81" s="3" t="s">
        <v>665</v>
      </c>
      <c r="D81" s="3">
        <v>11</v>
      </c>
      <c r="F81" s="1"/>
    </row>
    <row r="82" spans="2:6" x14ac:dyDescent="0.25">
      <c r="B82" s="3" t="s">
        <v>1688</v>
      </c>
      <c r="C82" s="3" t="s">
        <v>667</v>
      </c>
      <c r="D82" s="3">
        <v>12</v>
      </c>
      <c r="F82" s="1"/>
    </row>
    <row r="83" spans="2:6" x14ac:dyDescent="0.25">
      <c r="B83" s="3" t="s">
        <v>1689</v>
      </c>
      <c r="C83" s="3" t="s">
        <v>732</v>
      </c>
      <c r="D83" s="3">
        <v>13</v>
      </c>
      <c r="F83" s="1"/>
    </row>
    <row r="84" spans="2:6" x14ac:dyDescent="0.25">
      <c r="B84" s="3" t="s">
        <v>1690</v>
      </c>
      <c r="C84" s="3" t="s">
        <v>1204</v>
      </c>
      <c r="D84" s="3">
        <v>14</v>
      </c>
      <c r="F84" s="1"/>
    </row>
    <row r="85" spans="2:6" x14ac:dyDescent="0.25">
      <c r="B85" s="3" t="s">
        <v>1691</v>
      </c>
      <c r="C85" s="3" t="s">
        <v>844</v>
      </c>
      <c r="D85" s="3">
        <v>15</v>
      </c>
      <c r="F85" s="1"/>
    </row>
    <row r="86" spans="2:6" x14ac:dyDescent="0.25">
      <c r="B86" s="3" t="s">
        <v>1692</v>
      </c>
      <c r="C86" s="3" t="s">
        <v>845</v>
      </c>
      <c r="D86" s="3">
        <v>16</v>
      </c>
      <c r="F86" s="1"/>
    </row>
    <row r="87" spans="2:6" x14ac:dyDescent="0.25">
      <c r="B87" s="3" t="s">
        <v>1693</v>
      </c>
      <c r="C87" s="3" t="s">
        <v>846</v>
      </c>
      <c r="D87" s="3">
        <v>17</v>
      </c>
      <c r="F87" s="1"/>
    </row>
    <row r="88" spans="2:6" x14ac:dyDescent="0.25">
      <c r="B88" s="3" t="s">
        <v>1694</v>
      </c>
      <c r="C88" s="3" t="s">
        <v>1359</v>
      </c>
      <c r="D88" s="3">
        <v>18</v>
      </c>
      <c r="F88" s="31"/>
    </row>
    <row r="89" spans="2:6" x14ac:dyDescent="0.25">
      <c r="B89" s="3" t="s">
        <v>1695</v>
      </c>
      <c r="C89" s="3" t="s">
        <v>1351</v>
      </c>
      <c r="D89" s="3">
        <v>19</v>
      </c>
      <c r="F89" s="1"/>
    </row>
    <row r="90" spans="2:6" x14ac:dyDescent="0.25">
      <c r="B90" s="3" t="s">
        <v>1696</v>
      </c>
      <c r="C90" s="3" t="s">
        <v>1360</v>
      </c>
      <c r="D90" s="3">
        <v>20</v>
      </c>
      <c r="F90" s="1"/>
    </row>
    <row r="91" spans="2:6" x14ac:dyDescent="0.25">
      <c r="B91" s="3" t="s">
        <v>1697</v>
      </c>
      <c r="C91" s="3" t="s">
        <v>1389</v>
      </c>
      <c r="D91" s="3">
        <v>21</v>
      </c>
      <c r="F91" s="1"/>
    </row>
    <row r="92" spans="2:6" x14ac:dyDescent="0.25">
      <c r="B92" s="3" t="s">
        <v>1698</v>
      </c>
      <c r="C92" s="3" t="s">
        <v>1408</v>
      </c>
      <c r="D92" s="3">
        <v>22</v>
      </c>
      <c r="F92" s="1"/>
    </row>
    <row r="93" spans="2:6" x14ac:dyDescent="0.25">
      <c r="B93" s="3" t="s">
        <v>1699</v>
      </c>
      <c r="C93" s="3" t="s">
        <v>1409</v>
      </c>
      <c r="D93" s="3">
        <v>23</v>
      </c>
      <c r="F93" s="1"/>
    </row>
    <row r="94" spans="2:6" x14ac:dyDescent="0.25">
      <c r="B94" s="3" t="s">
        <v>1700</v>
      </c>
      <c r="C94" s="3" t="s">
        <v>1616</v>
      </c>
      <c r="D94" s="3">
        <v>24</v>
      </c>
      <c r="F94" s="1"/>
    </row>
    <row r="95" spans="2:6" x14ac:dyDescent="0.25">
      <c r="B95" s="3" t="s">
        <v>1701</v>
      </c>
      <c r="C95" s="3" t="s">
        <v>1621</v>
      </c>
      <c r="D95" s="3">
        <v>25</v>
      </c>
      <c r="F95" s="1"/>
    </row>
    <row r="96" spans="2:6" x14ac:dyDescent="0.25">
      <c r="B96" s="3" t="s">
        <v>1702</v>
      </c>
      <c r="C96" s="3" t="s">
        <v>1647</v>
      </c>
      <c r="D96" s="3">
        <v>26</v>
      </c>
      <c r="F96" s="1"/>
    </row>
    <row r="97" spans="2:6" x14ac:dyDescent="0.25">
      <c r="B97" s="3" t="s">
        <v>1703</v>
      </c>
      <c r="C97" s="3" t="s">
        <v>1648</v>
      </c>
      <c r="D97" s="3">
        <v>27</v>
      </c>
      <c r="F97" s="1"/>
    </row>
    <row r="98" spans="2:6" x14ac:dyDescent="0.25">
      <c r="B98" s="3" t="s">
        <v>1704</v>
      </c>
      <c r="C98" s="3" t="s">
        <v>1410</v>
      </c>
      <c r="D98" s="3">
        <v>28</v>
      </c>
      <c r="F98" s="1"/>
    </row>
    <row r="99" spans="2:6" x14ac:dyDescent="0.25">
      <c r="B99" s="3" t="s">
        <v>1705</v>
      </c>
      <c r="C99" s="3" t="s">
        <v>1411</v>
      </c>
      <c r="D99" s="3">
        <v>29</v>
      </c>
      <c r="F99" s="1"/>
    </row>
    <row r="100" spans="2:6" x14ac:dyDescent="0.25">
      <c r="B100" s="3" t="s">
        <v>1706</v>
      </c>
      <c r="C100" s="3" t="s">
        <v>1412</v>
      </c>
      <c r="D100" s="3">
        <v>30</v>
      </c>
      <c r="F100" s="1"/>
    </row>
  </sheetData>
  <mergeCells count="1">
    <mergeCell ref="B35:C35"/>
  </mergeCells>
  <phoneticPr fontId="3" type="noConversion"/>
  <dataValidations count="3">
    <dataValidation type="list" allowBlank="1" showInputMessage="1" showErrorMessage="1" sqref="D3:E3 D4:D24" xr:uid="{9CE57E63-8525-4994-9058-D6995B9C7FE3}">
      <formula1>$B$37:$B$38</formula1>
    </dataValidation>
    <dataValidation type="list" allowBlank="1" showInputMessage="1" showErrorMessage="1" sqref="E4" xr:uid="{D5C143D7-0325-4BE0-AC00-89ACADC872FC}">
      <formula1>$B$40:$B$41</formula1>
    </dataValidation>
    <dataValidation type="list" allowBlank="1" showInputMessage="1" showErrorMessage="1" sqref="E5" xr:uid="{54D79043-A9B3-4A4B-819A-C56526CB22F2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527E-9E54-4C29-B415-E250D59E442F}">
  <sheetPr codeName="Sheet13"/>
  <dimension ref="A1:AB122"/>
  <sheetViews>
    <sheetView topLeftCell="A49" workbookViewId="0">
      <selection activeCell="K73" sqref="K73"/>
    </sheetView>
  </sheetViews>
  <sheetFormatPr baseColWidth="10" defaultColWidth="11.42578125" defaultRowHeight="15" x14ac:dyDescent="0.25"/>
  <cols>
    <col min="1" max="1" width="4.28515625" customWidth="1"/>
    <col min="2" max="2" width="56.140625" bestFit="1" customWidth="1"/>
    <col min="3" max="3" width="20.140625" bestFit="1" customWidth="1"/>
    <col min="4" max="4" width="12.42578125" customWidth="1"/>
    <col min="5" max="5" width="7.28515625" style="1" customWidth="1"/>
    <col min="6" max="6" width="6.28515625" style="1" customWidth="1"/>
    <col min="7" max="7" width="13.5703125" bestFit="1" customWidth="1"/>
    <col min="8" max="9" width="9.5703125" bestFit="1" customWidth="1"/>
    <col min="10" max="10" width="9.28515625" customWidth="1"/>
    <col min="11" max="11" width="9.5703125" bestFit="1" customWidth="1"/>
    <col min="12" max="12" width="9.5703125" customWidth="1"/>
    <col min="13" max="14" width="9.5703125" bestFit="1" customWidth="1"/>
    <col min="15" max="15" width="11.5703125" bestFit="1" customWidth="1"/>
  </cols>
  <sheetData>
    <row r="1" spans="1:28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</row>
    <row r="2" spans="1:28" x14ac:dyDescent="0.25">
      <c r="B2" s="2"/>
      <c r="C2" s="2" t="s">
        <v>17</v>
      </c>
      <c r="D2" s="34" t="s">
        <v>8</v>
      </c>
      <c r="E2" s="3" t="s">
        <v>298</v>
      </c>
      <c r="F2" s="3" t="s">
        <v>299</v>
      </c>
      <c r="G2" s="21" t="s">
        <v>377</v>
      </c>
      <c r="H2" s="18" t="str">
        <f>+'3AC_Data'!H2</f>
        <v>CASE1</v>
      </c>
      <c r="I2" s="18" t="str">
        <f>+'3AC_Data'!I2</f>
        <v>CASE 2</v>
      </c>
      <c r="J2" s="18" t="str">
        <f>+'3AC_Data'!J2</f>
        <v>CASE 3</v>
      </c>
      <c r="K2" s="18" t="str">
        <f>+'3AC_Data'!K2</f>
        <v>CASE 4</v>
      </c>
      <c r="L2" s="18" t="str">
        <f>+'3AC_Data'!L2</f>
        <v>CASE 5</v>
      </c>
      <c r="M2" s="18" t="str">
        <f>+'3AC_Data'!M2</f>
        <v>CASE 6</v>
      </c>
      <c r="N2" s="18" t="str">
        <f>+'3AC_Data'!N2</f>
        <v>CASE 7</v>
      </c>
      <c r="O2" s="18" t="str">
        <f>+'3AC_Data'!O2</f>
        <v>CASE 8</v>
      </c>
      <c r="P2" s="18" t="str">
        <f>+'3AC_Data'!P2</f>
        <v>CASE9</v>
      </c>
      <c r="Q2" s="18" t="str">
        <f>+'3AC_Data'!Q2</f>
        <v>CASE10</v>
      </c>
      <c r="R2" s="18" t="str">
        <f>+'3AC_Data'!R2</f>
        <v>CASE11</v>
      </c>
      <c r="S2" s="18" t="str">
        <f>+'3AC_Data'!S2</f>
        <v>CASE12</v>
      </c>
      <c r="T2" s="18" t="str">
        <f>+'3AC_Data'!T2</f>
        <v>CASE13</v>
      </c>
      <c r="U2" s="18" t="str">
        <f>+'3AC_Data'!U2</f>
        <v>CASE14</v>
      </c>
      <c r="V2" s="18" t="str">
        <f>+'3AC_Data'!V2</f>
        <v>CASE15</v>
      </c>
      <c r="W2" s="18" t="str">
        <f>+'3AC_Data'!W2</f>
        <v>CASE16</v>
      </c>
      <c r="X2" s="18" t="str">
        <f>+'3AC_Data'!X2</f>
        <v>CASE17</v>
      </c>
      <c r="Y2" s="18" t="str">
        <f>+'3AC_Data'!Y2</f>
        <v>CASE18</v>
      </c>
      <c r="Z2" s="18" t="str">
        <f>+'3AC_Data'!Z2</f>
        <v>CASE19</v>
      </c>
      <c r="AA2" s="18" t="str">
        <f>+'3AC_Data'!AA2</f>
        <v>CASE20</v>
      </c>
      <c r="AB2" s="18" t="str">
        <f>+'3AC_Data'!AB2</f>
        <v>CASE21</v>
      </c>
    </row>
    <row r="3" spans="1:28" x14ac:dyDescent="0.25">
      <c r="A3" s="85">
        <v>1</v>
      </c>
      <c r="B3" s="82" t="s">
        <v>1146</v>
      </c>
      <c r="C3" s="82" t="s">
        <v>1145</v>
      </c>
      <c r="D3" s="36">
        <f t="shared" ref="D3:D34" si="0">+G3*E3</f>
        <v>15</v>
      </c>
      <c r="E3" s="84">
        <v>1</v>
      </c>
      <c r="F3" s="83" t="s">
        <v>1024</v>
      </c>
      <c r="G3" s="21">
        <f>+IF(EXACT('3AC_Data'!$D$8,1),'13InputPerforInitial'!H3,IF(EXACT('3AC_Data'!$D$8,2),'13InputPerforInitial'!I3,IF(EXACT('3AC_Data'!$D$8,3),'13InputPerforInitial'!J3,IF(EXACT('3AC_Data'!$D$8,4),'13InputPerforInitial'!K3,IF(EXACT('3AC_Data'!$D$8,5),'13InputPerforInitial'!L3,IF(EXACT('3AC_Data'!$D$8,6),'13InputPerforInitial'!M3,IF(EXACT('3AC_Data'!$D$8,7),'13InputPerforInitial'!N3,IF(EXACT('3AC_Data'!$D$8,8),'13InputPerforInitial'!O3,IF(EXACT('3AC_Data'!$D$8,9),'13InputPerforInitial'!P3,IF(EXACT('3AC_Data'!$D$8,10),'13InputPerforInitial'!Q3,IF(EXACT('3AC_Data'!$D$8,11),'13InputPerforInitial'!R3,IF(EXACT('3AC_Data'!$D$8,12),'13InputPerforInitial'!S3,IF(EXACT('3AC_Data'!$D$8,13),'13InputPerforInitial'!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15</v>
      </c>
      <c r="H3" s="82">
        <v>15</v>
      </c>
      <c r="I3" s="82">
        <v>15</v>
      </c>
      <c r="J3" s="82">
        <v>15</v>
      </c>
      <c r="K3" s="82">
        <v>15</v>
      </c>
      <c r="L3" s="82">
        <v>15</v>
      </c>
      <c r="M3" s="82">
        <v>15</v>
      </c>
      <c r="N3" s="82">
        <v>15</v>
      </c>
      <c r="O3" s="82">
        <v>15</v>
      </c>
      <c r="P3" s="82">
        <v>15</v>
      </c>
      <c r="Q3" s="82">
        <v>15</v>
      </c>
      <c r="R3" s="82">
        <v>15</v>
      </c>
      <c r="S3" s="82">
        <v>15</v>
      </c>
      <c r="T3" s="82">
        <v>15</v>
      </c>
      <c r="U3" s="82">
        <v>15</v>
      </c>
      <c r="V3" s="82">
        <v>15</v>
      </c>
      <c r="W3" s="82">
        <v>15</v>
      </c>
      <c r="X3" s="82">
        <v>15</v>
      </c>
      <c r="Y3" s="82">
        <v>15</v>
      </c>
      <c r="Z3" s="82">
        <v>15</v>
      </c>
      <c r="AA3" s="82">
        <v>15</v>
      </c>
      <c r="AB3" s="82">
        <v>15</v>
      </c>
    </row>
    <row r="4" spans="1:28" x14ac:dyDescent="0.25">
      <c r="A4" s="85">
        <v>2</v>
      </c>
      <c r="B4" s="82" t="s">
        <v>1144</v>
      </c>
      <c r="C4" s="82" t="s">
        <v>1143</v>
      </c>
      <c r="D4" s="36">
        <f t="shared" si="0"/>
        <v>0</v>
      </c>
      <c r="E4" s="84">
        <v>1</v>
      </c>
      <c r="F4" s="83" t="s">
        <v>1021</v>
      </c>
      <c r="G4" s="21">
        <f>+IF(EXACT('3AC_Data'!$D$8,1),'13InputPerforInitial'!H4,IF(EXACT('3AC_Data'!$D$8,2),'13InputPerforInitial'!I4,IF(EXACT('3AC_Data'!$D$8,3),'13InputPerforInitial'!J4,IF(EXACT('3AC_Data'!$D$8,4),'13InputPerforInitial'!K4,IF(EXACT('3AC_Data'!$D$8,5),'13InputPerforInitial'!L4,IF(EXACT('3AC_Data'!$D$8,6),'13InputPerforInitial'!M4,IF(EXACT('3AC_Data'!$D$8,7),'13InputPerforInitial'!N4,IF(EXACT('3AC_Data'!$D$8,8),'13InputPerforInitial'!O4,IF(EXACT('3AC_Data'!$D$8,9),'13InputPerforInitial'!P4,IF(EXACT('3AC_Data'!$D$8,10),'13InputPerforInitial'!Q4,IF(EXACT('3AC_Data'!$D$8,11),'13InputPerforInitial'!R4,IF(EXACT('3AC_Data'!$D$8,12),'13InputPerforInitial'!S4,IF(EXACT('3AC_Data'!$D$8,13),'13InputPerforInitial'!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  <c r="Y4" s="82">
        <v>0</v>
      </c>
      <c r="Z4" s="82">
        <v>0</v>
      </c>
      <c r="AA4" s="82">
        <v>0</v>
      </c>
      <c r="AB4" s="82">
        <v>0</v>
      </c>
    </row>
    <row r="5" spans="1:28" x14ac:dyDescent="0.25">
      <c r="A5" s="85">
        <v>3</v>
      </c>
      <c r="B5" s="82" t="s">
        <v>1142</v>
      </c>
      <c r="C5" s="82" t="s">
        <v>1141</v>
      </c>
      <c r="D5" s="36">
        <f t="shared" si="0"/>
        <v>101326.80930750001</v>
      </c>
      <c r="E5" s="84">
        <v>1</v>
      </c>
      <c r="F5" s="83" t="s">
        <v>1018</v>
      </c>
      <c r="G5" s="21">
        <f>+IF(EXACT('3AC_Data'!$D$8,1),'13InputPerforInitial'!H5,IF(EXACT('3AC_Data'!$D$8,2),'13InputPerforInitial'!I5,IF(EXACT('3AC_Data'!$D$8,3),'13InputPerforInitial'!J5,IF(EXACT('3AC_Data'!$D$8,4),'13InputPerforInitial'!K5,IF(EXACT('3AC_Data'!$D$8,5),'13InputPerforInitial'!L5,IF(EXACT('3AC_Data'!$D$8,6),'13InputPerforInitial'!M5,IF(EXACT('3AC_Data'!$D$8,7),'13InputPerforInitial'!N5,IF(EXACT('3AC_Data'!$D$8,8),'13InputPerforInitial'!O5,IF(EXACT('3AC_Data'!$D$8,9),'13InputPerforInitial'!P5,IF(EXACT('3AC_Data'!$D$8,10),'13InputPerforInitial'!Q5,IF(EXACT('3AC_Data'!$D$8,11),'13InputPerforInitial'!R5,IF(EXACT('3AC_Data'!$D$8,12),'13InputPerforInitial'!S5,IF(EXACT('3AC_Data'!$D$8,13),'13InputPerforInitial'!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101326.80930750001</v>
      </c>
      <c r="H5" s="87">
        <v>101326.80930750001</v>
      </c>
      <c r="I5" s="87">
        <v>101326.80930750001</v>
      </c>
      <c r="J5" s="87">
        <v>101326.80930750001</v>
      </c>
      <c r="K5" s="87">
        <v>101326.80930750001</v>
      </c>
      <c r="L5" s="87">
        <v>101326.80930750001</v>
      </c>
      <c r="M5" s="87">
        <v>101326.80930750001</v>
      </c>
      <c r="N5" s="87">
        <v>101326.80930750001</v>
      </c>
      <c r="O5" s="87">
        <v>101326.80930750001</v>
      </c>
      <c r="P5" s="87">
        <v>101326.80930750001</v>
      </c>
      <c r="Q5" s="87">
        <v>101326.80930750001</v>
      </c>
      <c r="R5" s="87">
        <v>101326.80930750001</v>
      </c>
      <c r="S5" s="87">
        <v>101326.80930750001</v>
      </c>
      <c r="T5" s="87">
        <v>101326.80930750001</v>
      </c>
      <c r="U5" s="87">
        <v>101326.80930750001</v>
      </c>
      <c r="V5" s="87">
        <v>101326.80930750001</v>
      </c>
      <c r="W5" s="87">
        <v>101326.80930750001</v>
      </c>
      <c r="X5" s="87">
        <v>101326.80930750001</v>
      </c>
      <c r="Y5" s="87">
        <v>101326.80930750001</v>
      </c>
      <c r="Z5" s="87">
        <v>101326.80930750001</v>
      </c>
      <c r="AA5" s="87">
        <v>101326.80930750001</v>
      </c>
      <c r="AB5" s="87">
        <v>101326.80930750001</v>
      </c>
    </row>
    <row r="6" spans="1:28" x14ac:dyDescent="0.25">
      <c r="A6" s="85">
        <v>4</v>
      </c>
      <c r="B6" s="82" t="s">
        <v>1140</v>
      </c>
      <c r="C6" s="82" t="s">
        <v>1139</v>
      </c>
      <c r="D6" s="36">
        <f t="shared" si="0"/>
        <v>0.05</v>
      </c>
      <c r="E6" s="84">
        <v>1</v>
      </c>
      <c r="F6" s="83"/>
      <c r="G6" s="21">
        <f>+IF(EXACT('3AC_Data'!$D$8,1),'13InputPerforInitial'!H6,IF(EXACT('3AC_Data'!$D$8,2),'13InputPerforInitial'!I6,IF(EXACT('3AC_Data'!$D$8,3),'13InputPerforInitial'!J6,IF(EXACT('3AC_Data'!$D$8,4),'13InputPerforInitial'!K6,IF(EXACT('3AC_Data'!$D$8,5),'13InputPerforInitial'!L6,IF(EXACT('3AC_Data'!$D$8,6),'13InputPerforInitial'!M6,IF(EXACT('3AC_Data'!$D$8,7),'13InputPerforInitial'!N6,IF(EXACT('3AC_Data'!$D$8,8),'13InputPerforInitial'!O6,IF(EXACT('3AC_Data'!$D$8,9),'13InputPerforInitial'!P6,IF(EXACT('3AC_Data'!$D$8,10),'13InputPerforInitial'!Q6,IF(EXACT('3AC_Data'!$D$8,11),'13InputPerforInitial'!R6,IF(EXACT('3AC_Data'!$D$8,12),'13InputPerforInitial'!S6,IF(EXACT('3AC_Data'!$D$8,13),'13InputPerforInitial'!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0.05</v>
      </c>
      <c r="H6" s="82">
        <v>0.05</v>
      </c>
      <c r="I6" s="82">
        <v>0.05</v>
      </c>
      <c r="J6" s="82">
        <v>0.05</v>
      </c>
      <c r="K6" s="82">
        <v>0.05</v>
      </c>
      <c r="L6" s="82">
        <v>0.05</v>
      </c>
      <c r="M6" s="82">
        <v>0.05</v>
      </c>
      <c r="N6" s="82">
        <v>0.05</v>
      </c>
      <c r="O6" s="82">
        <v>0.05</v>
      </c>
      <c r="P6" s="82">
        <v>0.05</v>
      </c>
      <c r="Q6" s="82">
        <v>0.05</v>
      </c>
      <c r="R6" s="82">
        <v>0.05</v>
      </c>
      <c r="S6" s="82">
        <v>0.05</v>
      </c>
      <c r="T6" s="82">
        <v>0.05</v>
      </c>
      <c r="U6" s="82">
        <v>0.05</v>
      </c>
      <c r="V6" s="82">
        <v>0.05</v>
      </c>
      <c r="W6" s="82">
        <v>0.05</v>
      </c>
      <c r="X6" s="82">
        <v>0.05</v>
      </c>
      <c r="Y6" s="82">
        <v>0.05</v>
      </c>
      <c r="Z6" s="82">
        <v>0.05</v>
      </c>
      <c r="AA6" s="82">
        <v>0.05</v>
      </c>
      <c r="AB6" s="82">
        <v>0.05</v>
      </c>
    </row>
    <row r="7" spans="1:28" x14ac:dyDescent="0.25">
      <c r="A7" s="85">
        <v>5</v>
      </c>
      <c r="B7" s="86" t="s">
        <v>1138</v>
      </c>
      <c r="C7" s="82" t="s">
        <v>1137</v>
      </c>
      <c r="D7" s="36">
        <f t="shared" si="0"/>
        <v>10</v>
      </c>
      <c r="E7" s="84">
        <v>1</v>
      </c>
      <c r="F7" s="83" t="s">
        <v>1055</v>
      </c>
      <c r="G7" s="21">
        <f>+IF(EXACT('3AC_Data'!$D$8,1),'13InputPerforInitial'!H7,IF(EXACT('3AC_Data'!$D$8,2),'13InputPerforInitial'!I7,IF(EXACT('3AC_Data'!$D$8,3),'13InputPerforInitial'!J7,IF(EXACT('3AC_Data'!$D$8,4),'13InputPerforInitial'!K7,IF(EXACT('3AC_Data'!$D$8,5),'13InputPerforInitial'!L7,IF(EXACT('3AC_Data'!$D$8,6),'13InputPerforInitial'!M7,IF(EXACT('3AC_Data'!$D$8,7),'13InputPerforInitial'!N7,IF(EXACT('3AC_Data'!$D$8,8),'13InputPerforInitial'!O7,IF(EXACT('3AC_Data'!$D$8,9),'13InputPerforInitial'!P7,IF(EXACT('3AC_Data'!$D$8,10),'13InputPerforInitial'!Q7,IF(EXACT('3AC_Data'!$D$8,11),'13InputPerforInitial'!R7,IF(EXACT('3AC_Data'!$D$8,12),'13InputPerforInitial'!S7,IF(EXACT('3AC_Data'!$D$8,13),'13InputPerforInitial'!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10</v>
      </c>
      <c r="H7" s="82">
        <v>5</v>
      </c>
      <c r="I7" s="82">
        <v>10</v>
      </c>
      <c r="J7" s="82">
        <v>10</v>
      </c>
      <c r="K7" s="82">
        <v>10</v>
      </c>
      <c r="L7" s="82">
        <v>10</v>
      </c>
      <c r="M7" s="82">
        <v>10</v>
      </c>
      <c r="N7" s="82">
        <v>10</v>
      </c>
      <c r="O7" s="82">
        <v>10</v>
      </c>
      <c r="P7" s="82">
        <v>5</v>
      </c>
      <c r="Q7" s="82">
        <v>5</v>
      </c>
      <c r="R7" s="82">
        <v>5</v>
      </c>
      <c r="S7" s="82">
        <v>5</v>
      </c>
      <c r="T7" s="82">
        <v>5</v>
      </c>
      <c r="U7" s="82">
        <v>5</v>
      </c>
      <c r="V7" s="82">
        <v>5</v>
      </c>
      <c r="W7" s="82">
        <v>5</v>
      </c>
      <c r="X7" s="82">
        <v>5</v>
      </c>
      <c r="Y7" s="82">
        <v>5</v>
      </c>
      <c r="Z7" s="82">
        <v>5</v>
      </c>
      <c r="AA7" s="82">
        <v>5</v>
      </c>
      <c r="AB7" s="82">
        <v>5</v>
      </c>
    </row>
    <row r="8" spans="1:28" x14ac:dyDescent="0.25">
      <c r="A8" s="85">
        <v>6</v>
      </c>
      <c r="B8" s="82" t="s">
        <v>1136</v>
      </c>
      <c r="C8" s="82" t="s">
        <v>1135</v>
      </c>
      <c r="D8" s="36">
        <f t="shared" si="0"/>
        <v>300</v>
      </c>
      <c r="E8" s="84">
        <v>60</v>
      </c>
      <c r="F8" s="83" t="s">
        <v>1040</v>
      </c>
      <c r="G8" s="21">
        <f>+IF(EXACT('3AC_Data'!$D$8,1),'13InputPerforInitial'!H8,IF(EXACT('3AC_Data'!$D$8,2),'13InputPerforInitial'!I8,IF(EXACT('3AC_Data'!$D$8,3),'13InputPerforInitial'!J8,IF(EXACT('3AC_Data'!$D$8,4),'13InputPerforInitial'!K8,IF(EXACT('3AC_Data'!$D$8,5),'13InputPerforInitial'!L8,IF(EXACT('3AC_Data'!$D$8,6),'13InputPerforInitial'!M8,IF(EXACT('3AC_Data'!$D$8,7),'13InputPerforInitial'!N8,IF(EXACT('3AC_Data'!$D$8,8),'13InputPerforInitial'!O8,IF(EXACT('3AC_Data'!$D$8,9),'13InputPerforInitial'!P8,IF(EXACT('3AC_Data'!$D$8,10),'13InputPerforInitial'!Q8,IF(EXACT('3AC_Data'!$D$8,11),'13InputPerforInitial'!R8,IF(EXACT('3AC_Data'!$D$8,12),'13InputPerforInitial'!S8,IF(EXACT('3AC_Data'!$D$8,13),'13InputPerforInitial'!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5</v>
      </c>
      <c r="H8" s="82">
        <v>5</v>
      </c>
      <c r="I8" s="82">
        <v>5</v>
      </c>
      <c r="J8" s="82">
        <v>5</v>
      </c>
      <c r="K8" s="82">
        <v>5</v>
      </c>
      <c r="L8" s="82">
        <v>5</v>
      </c>
      <c r="M8" s="82">
        <v>5</v>
      </c>
      <c r="N8" s="82">
        <v>5</v>
      </c>
      <c r="O8" s="82">
        <v>5</v>
      </c>
      <c r="P8" s="82">
        <v>5</v>
      </c>
      <c r="Q8" s="82">
        <v>5</v>
      </c>
      <c r="R8" s="82">
        <v>5</v>
      </c>
      <c r="S8" s="82">
        <v>5</v>
      </c>
      <c r="T8" s="82">
        <v>5</v>
      </c>
      <c r="U8" s="82">
        <v>5</v>
      </c>
      <c r="V8" s="82">
        <v>5</v>
      </c>
      <c r="W8" s="82">
        <v>5</v>
      </c>
      <c r="X8" s="82">
        <v>5</v>
      </c>
      <c r="Y8" s="82">
        <v>5</v>
      </c>
      <c r="Z8" s="82">
        <v>5</v>
      </c>
      <c r="AA8" s="82">
        <v>5</v>
      </c>
      <c r="AB8" s="82">
        <v>5</v>
      </c>
    </row>
    <row r="9" spans="1:28" x14ac:dyDescent="0.25">
      <c r="A9" s="80">
        <v>1</v>
      </c>
      <c r="B9" s="77" t="s">
        <v>1134</v>
      </c>
      <c r="C9" s="77" t="s">
        <v>1133</v>
      </c>
      <c r="D9" s="36">
        <f t="shared" si="0"/>
        <v>15</v>
      </c>
      <c r="E9" s="79">
        <v>1</v>
      </c>
      <c r="F9" s="78" t="s">
        <v>1024</v>
      </c>
      <c r="G9" s="21">
        <f>+IF(EXACT('3AC_Data'!$D$8,1),'13InputPerforInitial'!H9,IF(EXACT('3AC_Data'!$D$8,2),'13InputPerforInitial'!I9,IF(EXACT('3AC_Data'!$D$8,3),'13InputPerforInitial'!J9,IF(EXACT('3AC_Data'!$D$8,4),'13InputPerforInitial'!K9,IF(EXACT('3AC_Data'!$D$8,5),'13InputPerforInitial'!L9,IF(EXACT('3AC_Data'!$D$8,6),'13InputPerforInitial'!M9,IF(EXACT('3AC_Data'!$D$8,7),'13InputPerforInitial'!N9,IF(EXACT('3AC_Data'!$D$8,8),'13InputPerforInitial'!O9,IF(EXACT('3AC_Data'!$D$8,9),'13InputPerforInitial'!P9,IF(EXACT('3AC_Data'!$D$8,10),'13InputPerforInitial'!Q9,IF(EXACT('3AC_Data'!$D$8,11),'13InputPerforInitial'!R9,IF(EXACT('3AC_Data'!$D$8,12),'13InputPerforInitial'!S9,IF(EXACT('3AC_Data'!$D$8,13),'13InputPerforInitial'!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15</v>
      </c>
      <c r="H9" s="77">
        <v>15</v>
      </c>
      <c r="I9" s="77">
        <v>15</v>
      </c>
      <c r="J9" s="77">
        <v>15</v>
      </c>
      <c r="K9" s="77">
        <v>15</v>
      </c>
      <c r="L9" s="77">
        <v>15</v>
      </c>
      <c r="M9" s="77">
        <v>15</v>
      </c>
      <c r="N9" s="77">
        <v>15</v>
      </c>
      <c r="O9" s="77">
        <v>15</v>
      </c>
      <c r="P9" s="77">
        <v>15</v>
      </c>
      <c r="Q9" s="77">
        <v>15</v>
      </c>
      <c r="R9" s="77">
        <v>15</v>
      </c>
      <c r="S9" s="77">
        <v>15</v>
      </c>
      <c r="T9" s="77">
        <v>15</v>
      </c>
      <c r="U9" s="77">
        <v>15</v>
      </c>
      <c r="V9" s="77">
        <v>15</v>
      </c>
      <c r="W9" s="77">
        <v>15</v>
      </c>
      <c r="X9" s="77">
        <v>15</v>
      </c>
      <c r="Y9" s="77">
        <v>15</v>
      </c>
      <c r="Z9" s="77">
        <v>15</v>
      </c>
      <c r="AA9" s="77">
        <v>15</v>
      </c>
      <c r="AB9" s="77">
        <v>15</v>
      </c>
    </row>
    <row r="10" spans="1:28" x14ac:dyDescent="0.25">
      <c r="A10" s="80">
        <v>2</v>
      </c>
      <c r="B10" s="77" t="s">
        <v>1132</v>
      </c>
      <c r="C10" s="77" t="s">
        <v>1131</v>
      </c>
      <c r="D10" s="36">
        <f t="shared" si="0"/>
        <v>0</v>
      </c>
      <c r="E10" s="79">
        <v>1</v>
      </c>
      <c r="F10" s="78" t="s">
        <v>1021</v>
      </c>
      <c r="G10" s="21">
        <f>+IF(EXACT('3AC_Data'!$D$8,1),'13InputPerforInitial'!H10,IF(EXACT('3AC_Data'!$D$8,2),'13InputPerforInitial'!I10,IF(EXACT('3AC_Data'!$D$8,3),'13InputPerforInitial'!J10,IF(EXACT('3AC_Data'!$D$8,4),'13InputPerforInitial'!K10,IF(EXACT('3AC_Data'!$D$8,5),'13InputPerforInitial'!L10,IF(EXACT('3AC_Data'!$D$8,6),'13InputPerforInitial'!M10,IF(EXACT('3AC_Data'!$D$8,7),'13InputPerforInitial'!N10,IF(EXACT('3AC_Data'!$D$8,8),'13InputPerforInitial'!O10,IF(EXACT('3AC_Data'!$D$8,9),'13InputPerforInitial'!P10,IF(EXACT('3AC_Data'!$D$8,10),'13InputPerforInitial'!Q10,IF(EXACT('3AC_Data'!$D$8,11),'13InputPerforInitial'!R10,IF(EXACT('3AC_Data'!$D$8,12),'13InputPerforInitial'!S10,IF(EXACT('3AC_Data'!$D$8,13),'13InputPerforInitial'!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  <c r="AB10" s="77">
        <v>0</v>
      </c>
    </row>
    <row r="11" spans="1:28" x14ac:dyDescent="0.25">
      <c r="A11" s="80">
        <v>3</v>
      </c>
      <c r="B11" s="77" t="s">
        <v>1130</v>
      </c>
      <c r="C11" s="77" t="s">
        <v>1129</v>
      </c>
      <c r="D11" s="36">
        <f t="shared" si="0"/>
        <v>101326.80930750001</v>
      </c>
      <c r="E11" s="79">
        <v>1</v>
      </c>
      <c r="F11" s="78" t="s">
        <v>1018</v>
      </c>
      <c r="G11" s="21">
        <f>+IF(EXACT('3AC_Data'!$D$8,1),'13InputPerforInitial'!H11,IF(EXACT('3AC_Data'!$D$8,2),'13InputPerforInitial'!I11,IF(EXACT('3AC_Data'!$D$8,3),'13InputPerforInitial'!J11,IF(EXACT('3AC_Data'!$D$8,4),'13InputPerforInitial'!K11,IF(EXACT('3AC_Data'!$D$8,5),'13InputPerforInitial'!L11,IF(EXACT('3AC_Data'!$D$8,6),'13InputPerforInitial'!M11,IF(EXACT('3AC_Data'!$D$8,7),'13InputPerforInitial'!N11,IF(EXACT('3AC_Data'!$D$8,8),'13InputPerforInitial'!O11,IF(EXACT('3AC_Data'!$D$8,9),'13InputPerforInitial'!P11,IF(EXACT('3AC_Data'!$D$8,10),'13InputPerforInitial'!Q11,IF(EXACT('3AC_Data'!$D$8,11),'13InputPerforInitial'!R11,IF(EXACT('3AC_Data'!$D$8,12),'13InputPerforInitial'!S11,IF(EXACT('3AC_Data'!$D$8,13),'13InputPerforInitial'!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101326.80930750001</v>
      </c>
      <c r="H11" s="81">
        <v>101326.80930750001</v>
      </c>
      <c r="I11" s="81">
        <v>101326.80930750001</v>
      </c>
      <c r="J11" s="81">
        <v>101326.80930750001</v>
      </c>
      <c r="K11" s="81">
        <v>101326.80930750001</v>
      </c>
      <c r="L11" s="81">
        <v>101326.80930750001</v>
      </c>
      <c r="M11" s="81">
        <v>101326.80930750001</v>
      </c>
      <c r="N11" s="81">
        <v>101326.80930750001</v>
      </c>
      <c r="O11" s="81">
        <v>101326.80930750001</v>
      </c>
      <c r="P11" s="81">
        <v>101326.80930750001</v>
      </c>
      <c r="Q11" s="81">
        <v>101326.80930750001</v>
      </c>
      <c r="R11" s="81">
        <v>101326.80930750001</v>
      </c>
      <c r="S11" s="81">
        <v>101326.80930750001</v>
      </c>
      <c r="T11" s="81">
        <v>101326.80930750001</v>
      </c>
      <c r="U11" s="81">
        <v>101326.80930750001</v>
      </c>
      <c r="V11" s="81">
        <v>101326.80930750001</v>
      </c>
      <c r="W11" s="81">
        <v>101326.80930750001</v>
      </c>
      <c r="X11" s="81">
        <v>101326.80930750001</v>
      </c>
      <c r="Y11" s="81">
        <v>101326.80930750001</v>
      </c>
      <c r="Z11" s="81">
        <v>101326.80930750001</v>
      </c>
      <c r="AA11" s="81">
        <v>101326.80930750001</v>
      </c>
      <c r="AB11" s="81">
        <v>101326.80930750001</v>
      </c>
    </row>
    <row r="12" spans="1:28" x14ac:dyDescent="0.25">
      <c r="A12" s="80">
        <v>4</v>
      </c>
      <c r="B12" s="77" t="s">
        <v>1128</v>
      </c>
      <c r="C12" s="77" t="s">
        <v>1127</v>
      </c>
      <c r="D12" s="36">
        <f t="shared" si="0"/>
        <v>0.02</v>
      </c>
      <c r="E12" s="79">
        <v>1</v>
      </c>
      <c r="F12" s="78"/>
      <c r="G12" s="21">
        <f>+IF(EXACT('3AC_Data'!$D$8,1),'13InputPerforInitial'!H12,IF(EXACT('3AC_Data'!$D$8,2),'13InputPerforInitial'!I12,IF(EXACT('3AC_Data'!$D$8,3),'13InputPerforInitial'!J12,IF(EXACT('3AC_Data'!$D$8,4),'13InputPerforInitial'!K12,IF(EXACT('3AC_Data'!$D$8,5),'13InputPerforInitial'!L12,IF(EXACT('3AC_Data'!$D$8,6),'13InputPerforInitial'!M12,IF(EXACT('3AC_Data'!$D$8,7),'13InputPerforInitial'!N12,IF(EXACT('3AC_Data'!$D$8,8),'13InputPerforInitial'!O12,IF(EXACT('3AC_Data'!$D$8,9),'13InputPerforInitial'!P12,IF(EXACT('3AC_Data'!$D$8,10),'13InputPerforInitial'!Q12,IF(EXACT('3AC_Data'!$D$8,11),'13InputPerforInitial'!R12,IF(EXACT('3AC_Data'!$D$8,12),'13InputPerforInitial'!S12,IF(EXACT('3AC_Data'!$D$8,13),'13InputPerforInitial'!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0.02</v>
      </c>
      <c r="H12" s="77">
        <v>0.02</v>
      </c>
      <c r="I12" s="77">
        <v>0.02</v>
      </c>
      <c r="J12" s="77">
        <v>0.02</v>
      </c>
      <c r="K12" s="77">
        <v>0.02</v>
      </c>
      <c r="L12" s="77">
        <v>0.02</v>
      </c>
      <c r="M12" s="77">
        <v>0.02</v>
      </c>
      <c r="N12" s="77">
        <v>0.02</v>
      </c>
      <c r="O12" s="77">
        <v>0.02</v>
      </c>
      <c r="P12" s="77">
        <v>0.02</v>
      </c>
      <c r="Q12" s="77">
        <v>0.02</v>
      </c>
      <c r="R12" s="77">
        <v>0.02</v>
      </c>
      <c r="S12" s="77">
        <v>0.02</v>
      </c>
      <c r="T12" s="77">
        <v>0.02</v>
      </c>
      <c r="U12" s="77">
        <v>0.02</v>
      </c>
      <c r="V12" s="77">
        <v>0.02</v>
      </c>
      <c r="W12" s="77">
        <v>0.02</v>
      </c>
      <c r="X12" s="77">
        <v>0.02</v>
      </c>
      <c r="Y12" s="77">
        <v>0.02</v>
      </c>
      <c r="Z12" s="77">
        <v>0.02</v>
      </c>
      <c r="AA12" s="77">
        <v>0.02</v>
      </c>
      <c r="AB12" s="77">
        <v>0.02</v>
      </c>
    </row>
    <row r="13" spans="1:28" x14ac:dyDescent="0.25">
      <c r="A13" s="80">
        <v>5</v>
      </c>
      <c r="B13" s="77" t="s">
        <v>1126</v>
      </c>
      <c r="C13" s="77" t="s">
        <v>1125</v>
      </c>
      <c r="D13" s="36">
        <f t="shared" si="0"/>
        <v>10</v>
      </c>
      <c r="E13" s="79">
        <v>1</v>
      </c>
      <c r="F13" s="78" t="s">
        <v>1021</v>
      </c>
      <c r="G13" s="21">
        <f>+IF(EXACT('3AC_Data'!$D$8,1),'13InputPerforInitial'!H13,IF(EXACT('3AC_Data'!$D$8,2),'13InputPerforInitial'!I13,IF(EXACT('3AC_Data'!$D$8,3),'13InputPerforInitial'!J13,IF(EXACT('3AC_Data'!$D$8,4),'13InputPerforInitial'!K13,IF(EXACT('3AC_Data'!$D$8,5),'13InputPerforInitial'!L13,IF(EXACT('3AC_Data'!$D$8,6),'13InputPerforInitial'!M13,IF(EXACT('3AC_Data'!$D$8,7),'13InputPerforInitial'!N13,IF(EXACT('3AC_Data'!$D$8,8),'13InputPerforInitial'!O13,IF(EXACT('3AC_Data'!$D$8,9),'13InputPerforInitial'!P13,IF(EXACT('3AC_Data'!$D$8,10),'13InputPerforInitial'!Q13,IF(EXACT('3AC_Data'!$D$8,11),'13InputPerforInitial'!R13,IF(EXACT('3AC_Data'!$D$8,12),'13InputPerforInitial'!S13,IF(EXACT('3AC_Data'!$D$8,13),'13InputPerforInitial'!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10</v>
      </c>
      <c r="H13" s="77">
        <v>10</v>
      </c>
      <c r="I13" s="77">
        <v>10</v>
      </c>
      <c r="J13" s="77">
        <v>10</v>
      </c>
      <c r="K13" s="77">
        <v>10</v>
      </c>
      <c r="L13" s="77">
        <v>10</v>
      </c>
      <c r="M13" s="77">
        <v>10</v>
      </c>
      <c r="N13" s="77">
        <v>10</v>
      </c>
      <c r="O13" s="77">
        <v>10</v>
      </c>
      <c r="P13" s="77">
        <v>10</v>
      </c>
      <c r="Q13" s="77">
        <v>10</v>
      </c>
      <c r="R13" s="77">
        <v>10</v>
      </c>
      <c r="S13" s="77">
        <v>10</v>
      </c>
      <c r="T13" s="77">
        <v>10</v>
      </c>
      <c r="U13" s="77">
        <v>10</v>
      </c>
      <c r="V13" s="77">
        <v>10</v>
      </c>
      <c r="W13" s="77">
        <v>10</v>
      </c>
      <c r="X13" s="77">
        <v>10</v>
      </c>
      <c r="Y13" s="77">
        <v>10</v>
      </c>
      <c r="Z13" s="77">
        <v>10</v>
      </c>
      <c r="AA13" s="77">
        <v>10</v>
      </c>
      <c r="AB13" s="77">
        <v>10</v>
      </c>
    </row>
    <row r="14" spans="1:28" x14ac:dyDescent="0.25">
      <c r="A14" s="80">
        <v>6</v>
      </c>
      <c r="B14" s="77" t="s">
        <v>1124</v>
      </c>
      <c r="C14" s="77" t="s">
        <v>1123</v>
      </c>
      <c r="D14" s="36">
        <f t="shared" si="0"/>
        <v>3.4906585039886591E-2</v>
      </c>
      <c r="E14" s="79">
        <f>+PI()/180</f>
        <v>1.7453292519943295E-2</v>
      </c>
      <c r="F14" s="78" t="s">
        <v>488</v>
      </c>
      <c r="G14" s="21">
        <f>+IF(EXACT('3AC_Data'!$D$8,1),'13InputPerforInitial'!H14,IF(EXACT('3AC_Data'!$D$8,2),'13InputPerforInitial'!I14,IF(EXACT('3AC_Data'!$D$8,3),'13InputPerforInitial'!J14,IF(EXACT('3AC_Data'!$D$8,4),'13InputPerforInitial'!K14,IF(EXACT('3AC_Data'!$D$8,5),'13InputPerforInitial'!L14,IF(EXACT('3AC_Data'!$D$8,6),'13InputPerforInitial'!M14,IF(EXACT('3AC_Data'!$D$8,7),'13InputPerforInitial'!N14,IF(EXACT('3AC_Data'!$D$8,8),'13InputPerforInitial'!O14,IF(EXACT('3AC_Data'!$D$8,9),'13InputPerforInitial'!P14,IF(EXACT('3AC_Data'!$D$8,10),'13InputPerforInitial'!Q14,IF(EXACT('3AC_Data'!$D$8,11),'13InputPerforInitial'!R14,IF(EXACT('3AC_Data'!$D$8,12),'13InputPerforInitial'!S14,IF(EXACT('3AC_Data'!$D$8,13),'13InputPerforInitial'!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2</v>
      </c>
      <c r="H14" s="77">
        <v>2</v>
      </c>
      <c r="I14" s="77">
        <v>2</v>
      </c>
      <c r="J14" s="77">
        <v>2</v>
      </c>
      <c r="K14" s="77">
        <v>2</v>
      </c>
      <c r="L14" s="77">
        <v>2</v>
      </c>
      <c r="M14" s="77">
        <v>2</v>
      </c>
      <c r="N14" s="77">
        <v>2</v>
      </c>
      <c r="O14" s="77">
        <v>2</v>
      </c>
      <c r="P14" s="77">
        <v>2</v>
      </c>
      <c r="Q14" s="77">
        <v>2</v>
      </c>
      <c r="R14" s="77">
        <v>2</v>
      </c>
      <c r="S14" s="77">
        <v>2</v>
      </c>
      <c r="T14" s="77">
        <v>2</v>
      </c>
      <c r="U14" s="77">
        <v>2</v>
      </c>
      <c r="V14" s="77">
        <v>2</v>
      </c>
      <c r="W14" s="77">
        <v>2</v>
      </c>
      <c r="X14" s="77">
        <v>2</v>
      </c>
      <c r="Y14" s="77">
        <v>2</v>
      </c>
      <c r="Z14" s="77">
        <v>2</v>
      </c>
      <c r="AA14" s="77">
        <v>2</v>
      </c>
      <c r="AB14" s="77">
        <v>2</v>
      </c>
    </row>
    <row r="15" spans="1:28" x14ac:dyDescent="0.25">
      <c r="A15" s="80">
        <v>7</v>
      </c>
      <c r="B15" s="77" t="s">
        <v>1122</v>
      </c>
      <c r="C15" s="77" t="s">
        <v>1121</v>
      </c>
      <c r="D15" s="36">
        <f t="shared" si="0"/>
        <v>1</v>
      </c>
      <c r="E15" s="79">
        <v>1</v>
      </c>
      <c r="F15" s="78"/>
      <c r="G15" s="21">
        <f>+IF(EXACT('3AC_Data'!$D$8,1),'13InputPerforInitial'!H15,IF(EXACT('3AC_Data'!$D$8,2),'13InputPerforInitial'!I15,IF(EXACT('3AC_Data'!$D$8,3),'13InputPerforInitial'!J15,IF(EXACT('3AC_Data'!$D$8,4),'13InputPerforInitial'!K15,IF(EXACT('3AC_Data'!$D$8,5),'13InputPerforInitial'!L15,IF(EXACT('3AC_Data'!$D$8,6),'13InputPerforInitial'!M15,IF(EXACT('3AC_Data'!$D$8,7),'13InputPerforInitial'!N15,IF(EXACT('3AC_Data'!$D$8,8),'13InputPerforInitial'!O15,IF(EXACT('3AC_Data'!$D$8,9),'13InputPerforInitial'!P15,IF(EXACT('3AC_Data'!$D$8,10),'13InputPerforInitial'!Q15,IF(EXACT('3AC_Data'!$D$8,11),'13InputPerforInitial'!R15,IF(EXACT('3AC_Data'!$D$8,12),'13InputPerforInitial'!S15,IF(EXACT('3AC_Data'!$D$8,13),'13InputPerforInitial'!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1</v>
      </c>
      <c r="H15" s="77">
        <v>1</v>
      </c>
      <c r="I15" s="77">
        <v>1</v>
      </c>
      <c r="J15" s="77">
        <v>1</v>
      </c>
      <c r="K15" s="77">
        <v>1</v>
      </c>
      <c r="L15" s="77">
        <v>1</v>
      </c>
      <c r="M15" s="77">
        <v>1</v>
      </c>
      <c r="N15" s="77">
        <v>1</v>
      </c>
      <c r="O15" s="77">
        <v>1</v>
      </c>
      <c r="P15" s="77">
        <v>1</v>
      </c>
      <c r="Q15" s="77">
        <v>1</v>
      </c>
      <c r="R15" s="77">
        <v>1</v>
      </c>
      <c r="S15" s="77">
        <v>1</v>
      </c>
      <c r="T15" s="77">
        <v>1</v>
      </c>
      <c r="U15" s="77">
        <v>1</v>
      </c>
      <c r="V15" s="77">
        <v>1</v>
      </c>
      <c r="W15" s="77">
        <v>1</v>
      </c>
      <c r="X15" s="77">
        <v>1</v>
      </c>
      <c r="Y15" s="77">
        <v>1</v>
      </c>
      <c r="Z15" s="77">
        <v>1</v>
      </c>
      <c r="AA15" s="77">
        <v>1</v>
      </c>
      <c r="AB15" s="77">
        <v>1</v>
      </c>
    </row>
    <row r="16" spans="1:28" ht="15" customHeight="1" x14ac:dyDescent="0.25">
      <c r="A16" s="76">
        <v>1</v>
      </c>
      <c r="B16" s="73" t="s">
        <v>1120</v>
      </c>
      <c r="C16" s="73" t="s">
        <v>1119</v>
      </c>
      <c r="D16" s="36">
        <f t="shared" si="0"/>
        <v>0</v>
      </c>
      <c r="E16" s="75">
        <v>1</v>
      </c>
      <c r="F16" s="74" t="s">
        <v>1055</v>
      </c>
      <c r="G16" s="21">
        <f>+IF(EXACT('3AC_Data'!$D$8,1),'13InputPerforInitial'!H16,IF(EXACT('3AC_Data'!$D$8,2),'13InputPerforInitial'!I16,IF(EXACT('3AC_Data'!$D$8,3),'13InputPerforInitial'!J16,IF(EXACT('3AC_Data'!$D$8,4),'13InputPerforInitial'!K16,IF(EXACT('3AC_Data'!$D$8,5),'13InputPerforInitial'!L16,IF(EXACT('3AC_Data'!$D$8,6),'13InputPerforInitial'!M16,IF(EXACT('3AC_Data'!$D$8,7),'13InputPerforInitial'!N16,IF(EXACT('3AC_Data'!$D$8,8),'13InputPerforInitial'!O16,IF(EXACT('3AC_Data'!$D$8,9),'13InputPerforInitial'!P16,IF(EXACT('3AC_Data'!$D$8,10),'13InputPerforInitial'!Q16,IF(EXACT('3AC_Data'!$D$8,11),'13InputPerforInitial'!R16,IF(EXACT('3AC_Data'!$D$8,12),'13InputPerforInitial'!S16,IF(EXACT('3AC_Data'!$D$8,13),'13InputPerforInitial'!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</row>
    <row r="17" spans="1:28" x14ac:dyDescent="0.25">
      <c r="A17" s="76">
        <v>2</v>
      </c>
      <c r="B17" s="73" t="s">
        <v>1118</v>
      </c>
      <c r="C17" s="73" t="s">
        <v>1117</v>
      </c>
      <c r="D17" s="36">
        <f t="shared" si="0"/>
        <v>5</v>
      </c>
      <c r="E17" s="75">
        <v>1</v>
      </c>
      <c r="F17" s="74" t="s">
        <v>1055</v>
      </c>
      <c r="G17" s="21">
        <f>+IF(EXACT('3AC_Data'!$D$8,1),'13InputPerforInitial'!H17,IF(EXACT('3AC_Data'!$D$8,2),'13InputPerforInitial'!I17,IF(EXACT('3AC_Data'!$D$8,3),'13InputPerforInitial'!J17,IF(EXACT('3AC_Data'!$D$8,4),'13InputPerforInitial'!K17,IF(EXACT('3AC_Data'!$D$8,5),'13InputPerforInitial'!L17,IF(EXACT('3AC_Data'!$D$8,6),'13InputPerforInitial'!M17,IF(EXACT('3AC_Data'!$D$8,7),'13InputPerforInitial'!N17,IF(EXACT('3AC_Data'!$D$8,8),'13InputPerforInitial'!O17,IF(EXACT('3AC_Data'!$D$8,9),'13InputPerforInitial'!P17,IF(EXACT('3AC_Data'!$D$8,10),'13InputPerforInitial'!Q17,IF(EXACT('3AC_Data'!$D$8,11),'13InputPerforInitial'!R17,IF(EXACT('3AC_Data'!$D$8,12),'13InputPerforInitial'!S17,IF(EXACT('3AC_Data'!$D$8,13),'13InputPerforInitial'!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5</v>
      </c>
      <c r="H17" s="73">
        <v>5</v>
      </c>
      <c r="I17" s="73">
        <v>5</v>
      </c>
      <c r="J17" s="73">
        <v>3000</v>
      </c>
      <c r="K17" s="73">
        <v>3000</v>
      </c>
      <c r="L17" s="73">
        <v>5</v>
      </c>
      <c r="M17" s="73">
        <v>5</v>
      </c>
      <c r="N17" s="73">
        <v>5</v>
      </c>
      <c r="O17" s="73">
        <v>5</v>
      </c>
      <c r="P17" s="73">
        <v>5</v>
      </c>
      <c r="Q17" s="73">
        <v>5</v>
      </c>
      <c r="R17" s="73">
        <v>5</v>
      </c>
      <c r="S17" s="73">
        <v>5</v>
      </c>
      <c r="T17" s="73">
        <v>5</v>
      </c>
      <c r="U17" s="73">
        <v>5</v>
      </c>
      <c r="V17" s="73">
        <v>5</v>
      </c>
      <c r="W17" s="73">
        <v>5</v>
      </c>
      <c r="X17" s="73">
        <v>5</v>
      </c>
      <c r="Y17" s="73">
        <v>5</v>
      </c>
      <c r="Z17" s="73">
        <v>5</v>
      </c>
      <c r="AA17" s="73">
        <v>5</v>
      </c>
      <c r="AB17" s="73">
        <v>5</v>
      </c>
    </row>
    <row r="18" spans="1:28" x14ac:dyDescent="0.25">
      <c r="A18" s="76">
        <v>3</v>
      </c>
      <c r="B18" s="73" t="s">
        <v>1116</v>
      </c>
      <c r="C18" s="73" t="s">
        <v>1115</v>
      </c>
      <c r="D18" s="36">
        <f t="shared" si="0"/>
        <v>5.235987755982989E-2</v>
      </c>
      <c r="E18" s="79">
        <f>+PI()/180</f>
        <v>1.7453292519943295E-2</v>
      </c>
      <c r="F18" s="74" t="s">
        <v>488</v>
      </c>
      <c r="G18" s="21">
        <f>+IF(EXACT('3AC_Data'!$D$8,1),'13InputPerforInitial'!H18,IF(EXACT('3AC_Data'!$D$8,2),'13InputPerforInitial'!I18,IF(EXACT('3AC_Data'!$D$8,3),'13InputPerforInitial'!J18,IF(EXACT('3AC_Data'!$D$8,4),'13InputPerforInitial'!K18,IF(EXACT('3AC_Data'!$D$8,5),'13InputPerforInitial'!L18,IF(EXACT('3AC_Data'!$D$8,6),'13InputPerforInitial'!M18,IF(EXACT('3AC_Data'!$D$8,7),'13InputPerforInitial'!N18,IF(EXACT('3AC_Data'!$D$8,8),'13InputPerforInitial'!O18,IF(EXACT('3AC_Data'!$D$8,9),'13InputPerforInitial'!P18,IF(EXACT('3AC_Data'!$D$8,10),'13InputPerforInitial'!Q18,IF(EXACT('3AC_Data'!$D$8,11),'13InputPerforInitial'!R18,IF(EXACT('3AC_Data'!$D$8,12),'13InputPerforInitial'!S18,IF(EXACT('3AC_Data'!$D$8,13),'13InputPerforInitial'!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3</v>
      </c>
      <c r="H18" s="73">
        <v>3</v>
      </c>
      <c r="I18" s="73">
        <v>3</v>
      </c>
      <c r="J18" s="73">
        <v>3</v>
      </c>
      <c r="K18" s="73">
        <v>3</v>
      </c>
      <c r="L18" s="73">
        <v>3</v>
      </c>
      <c r="M18" s="73">
        <v>3</v>
      </c>
      <c r="N18" s="73">
        <v>3</v>
      </c>
      <c r="O18" s="73">
        <v>3</v>
      </c>
      <c r="P18" s="73">
        <v>3</v>
      </c>
      <c r="Q18" s="73">
        <v>3</v>
      </c>
      <c r="R18" s="73">
        <v>3</v>
      </c>
      <c r="S18" s="73">
        <v>3</v>
      </c>
      <c r="T18" s="73">
        <v>3</v>
      </c>
      <c r="U18" s="73">
        <v>3</v>
      </c>
      <c r="V18" s="73">
        <v>3</v>
      </c>
      <c r="W18" s="73">
        <v>3</v>
      </c>
      <c r="X18" s="73">
        <v>3</v>
      </c>
      <c r="Y18" s="73">
        <v>3</v>
      </c>
      <c r="Z18" s="73">
        <v>3</v>
      </c>
      <c r="AA18" s="73">
        <v>3</v>
      </c>
      <c r="AB18" s="73">
        <v>3</v>
      </c>
    </row>
    <row r="19" spans="1:28" x14ac:dyDescent="0.25">
      <c r="A19" s="76">
        <v>4</v>
      </c>
      <c r="B19" s="73" t="s">
        <v>1114</v>
      </c>
      <c r="C19" s="73" t="s">
        <v>1113</v>
      </c>
      <c r="D19" s="36">
        <f t="shared" si="0"/>
        <v>0.14000000000000001</v>
      </c>
      <c r="E19" s="75">
        <v>1</v>
      </c>
      <c r="F19" s="74" t="s">
        <v>1112</v>
      </c>
      <c r="G19" s="21">
        <f>+IF(EXACT('3AC_Data'!$D$8,1),'13InputPerforInitial'!H19,IF(EXACT('3AC_Data'!$D$8,2),'13InputPerforInitial'!I19,IF(EXACT('3AC_Data'!$D$8,3),'13InputPerforInitial'!J19,IF(EXACT('3AC_Data'!$D$8,4),'13InputPerforInitial'!K19,IF(EXACT('3AC_Data'!$D$8,5),'13InputPerforInitial'!L19,IF(EXACT('3AC_Data'!$D$8,6),'13InputPerforInitial'!M19,IF(EXACT('3AC_Data'!$D$8,7),'13InputPerforInitial'!N19,IF(EXACT('3AC_Data'!$D$8,8),'13InputPerforInitial'!O19,IF(EXACT('3AC_Data'!$D$8,9),'13InputPerforInitial'!P19,IF(EXACT('3AC_Data'!$D$8,10),'13InputPerforInitial'!Q19,IF(EXACT('3AC_Data'!$D$8,11),'13InputPerforInitial'!R19,IF(EXACT('3AC_Data'!$D$8,12),'13InputPerforInitial'!S19,IF(EXACT('3AC_Data'!$D$8,13),'13InputPerforInitial'!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0.14000000000000001</v>
      </c>
      <c r="H19" s="73">
        <v>0.14000000000000001</v>
      </c>
      <c r="I19" s="73">
        <v>0.14000000000000001</v>
      </c>
      <c r="J19" s="73">
        <v>0.17</v>
      </c>
      <c r="K19" s="73">
        <v>0.17</v>
      </c>
      <c r="L19" s="73">
        <v>0.14000000000000001</v>
      </c>
      <c r="M19" s="73">
        <v>0.14000000000000001</v>
      </c>
      <c r="N19" s="73">
        <v>0.14000000000000001</v>
      </c>
      <c r="O19" s="73">
        <v>0.14000000000000001</v>
      </c>
      <c r="P19" s="73">
        <v>0.14000000000000001</v>
      </c>
      <c r="Q19" s="73">
        <v>0.14000000000000001</v>
      </c>
      <c r="R19" s="73">
        <v>0.14000000000000001</v>
      </c>
      <c r="S19" s="73">
        <v>0.14000000000000001</v>
      </c>
      <c r="T19" s="73">
        <v>0.14000000000000001</v>
      </c>
      <c r="U19" s="73">
        <v>0.14000000000000001</v>
      </c>
      <c r="V19" s="73">
        <v>0.14000000000000001</v>
      </c>
      <c r="W19" s="73">
        <v>0.14000000000000001</v>
      </c>
      <c r="X19" s="73">
        <v>0.14000000000000001</v>
      </c>
      <c r="Y19" s="73">
        <v>0.14000000000000001</v>
      </c>
      <c r="Z19" s="73">
        <v>0.14000000000000001</v>
      </c>
      <c r="AA19" s="73">
        <v>0.14000000000000001</v>
      </c>
      <c r="AB19" s="73">
        <v>0.14000000000000001</v>
      </c>
    </row>
    <row r="20" spans="1:28" x14ac:dyDescent="0.25">
      <c r="A20" s="76">
        <v>5</v>
      </c>
      <c r="B20" s="73" t="s">
        <v>1111</v>
      </c>
      <c r="C20" s="73" t="s">
        <v>1110</v>
      </c>
      <c r="D20" s="36">
        <f t="shared" si="0"/>
        <v>20</v>
      </c>
      <c r="E20" s="75">
        <v>1</v>
      </c>
      <c r="F20" s="74" t="s">
        <v>1055</v>
      </c>
      <c r="G20" s="21">
        <f>+IF(EXACT('3AC_Data'!$D$8,1),'13InputPerforInitial'!H20,IF(EXACT('3AC_Data'!$D$8,2),'13InputPerforInitial'!I20,IF(EXACT('3AC_Data'!$D$8,3),'13InputPerforInitial'!J20,IF(EXACT('3AC_Data'!$D$8,4),'13InputPerforInitial'!K20,IF(EXACT('3AC_Data'!$D$8,5),'13InputPerforInitial'!L20,IF(EXACT('3AC_Data'!$D$8,6),'13InputPerforInitial'!M20,IF(EXACT('3AC_Data'!$D$8,7),'13InputPerforInitial'!N20,IF(EXACT('3AC_Data'!$D$8,8),'13InputPerforInitial'!O20,IF(EXACT('3AC_Data'!$D$8,9),'13InputPerforInitial'!P20,IF(EXACT('3AC_Data'!$D$8,10),'13InputPerforInitial'!Q20,IF(EXACT('3AC_Data'!$D$8,11),'13InputPerforInitial'!R20,IF(EXACT('3AC_Data'!$D$8,12),'13InputPerforInitial'!S20,IF(EXACT('3AC_Data'!$D$8,13),'13InputPerforInitial'!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20</v>
      </c>
      <c r="H20" s="73">
        <v>20</v>
      </c>
      <c r="I20" s="73">
        <v>20</v>
      </c>
      <c r="J20" s="73">
        <v>70</v>
      </c>
      <c r="K20" s="73">
        <v>70</v>
      </c>
      <c r="L20" s="73">
        <v>60</v>
      </c>
      <c r="M20" s="73">
        <v>20</v>
      </c>
      <c r="N20" s="73">
        <v>20</v>
      </c>
      <c r="O20" s="73">
        <v>20</v>
      </c>
      <c r="P20" s="73">
        <v>20</v>
      </c>
      <c r="Q20" s="73">
        <v>20</v>
      </c>
      <c r="R20" s="73">
        <v>20</v>
      </c>
      <c r="S20" s="73">
        <v>20</v>
      </c>
      <c r="T20" s="73">
        <v>20</v>
      </c>
      <c r="U20" s="73">
        <v>20</v>
      </c>
      <c r="V20" s="73">
        <v>20</v>
      </c>
      <c r="W20" s="73">
        <v>20</v>
      </c>
      <c r="X20" s="73">
        <v>20</v>
      </c>
      <c r="Y20" s="73">
        <v>20</v>
      </c>
      <c r="Z20" s="73">
        <v>20</v>
      </c>
      <c r="AA20" s="73">
        <v>20</v>
      </c>
      <c r="AB20" s="73">
        <v>20</v>
      </c>
    </row>
    <row r="21" spans="1:28" x14ac:dyDescent="0.25">
      <c r="A21" s="76">
        <v>6</v>
      </c>
      <c r="B21" s="73" t="s">
        <v>1109</v>
      </c>
      <c r="C21" s="73" t="s">
        <v>1108</v>
      </c>
      <c r="D21" s="36">
        <f t="shared" si="0"/>
        <v>20</v>
      </c>
      <c r="E21" s="75">
        <v>1</v>
      </c>
      <c r="F21" s="74" t="s">
        <v>1055</v>
      </c>
      <c r="G21" s="21">
        <f>+IF(EXACT('3AC_Data'!$D$8,1),'13InputPerforInitial'!H21,IF(EXACT('3AC_Data'!$D$8,2),'13InputPerforInitial'!I21,IF(EXACT('3AC_Data'!$D$8,3),'13InputPerforInitial'!J21,IF(EXACT('3AC_Data'!$D$8,4),'13InputPerforInitial'!K21,IF(EXACT('3AC_Data'!$D$8,5),'13InputPerforInitial'!L21,IF(EXACT('3AC_Data'!$D$8,6),'13InputPerforInitial'!M21,IF(EXACT('3AC_Data'!$D$8,7),'13InputPerforInitial'!N21,IF(EXACT('3AC_Data'!$D$8,8),'13InputPerforInitial'!O21,IF(EXACT('3AC_Data'!$D$8,9),'13InputPerforInitial'!P21,IF(EXACT('3AC_Data'!$D$8,10),'13InputPerforInitial'!Q21,IF(EXACT('3AC_Data'!$D$8,11),'13InputPerforInitial'!R21,IF(EXACT('3AC_Data'!$D$8,12),'13InputPerforInitial'!S21,IF(EXACT('3AC_Data'!$D$8,13),'13InputPerforInitial'!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20</v>
      </c>
      <c r="H21" s="73">
        <v>20</v>
      </c>
      <c r="I21" s="73">
        <v>20</v>
      </c>
      <c r="J21" s="73">
        <v>70</v>
      </c>
      <c r="K21" s="73">
        <v>70</v>
      </c>
      <c r="L21" s="73">
        <v>80</v>
      </c>
      <c r="M21" s="73">
        <v>20</v>
      </c>
      <c r="N21" s="73">
        <v>20</v>
      </c>
      <c r="O21" s="73">
        <v>20</v>
      </c>
      <c r="P21" s="73">
        <v>20</v>
      </c>
      <c r="Q21" s="73">
        <v>20</v>
      </c>
      <c r="R21" s="73">
        <v>20</v>
      </c>
      <c r="S21" s="73">
        <v>20</v>
      </c>
      <c r="T21" s="73">
        <v>20</v>
      </c>
      <c r="U21" s="73">
        <v>20</v>
      </c>
      <c r="V21" s="73">
        <v>20</v>
      </c>
      <c r="W21" s="73">
        <v>20</v>
      </c>
      <c r="X21" s="73">
        <v>20</v>
      </c>
      <c r="Y21" s="73">
        <v>20</v>
      </c>
      <c r="Z21" s="73">
        <v>20</v>
      </c>
      <c r="AA21" s="73">
        <v>20</v>
      </c>
      <c r="AB21" s="73">
        <v>20</v>
      </c>
    </row>
    <row r="22" spans="1:28" x14ac:dyDescent="0.25">
      <c r="A22" s="76">
        <v>7</v>
      </c>
      <c r="B22" s="73" t="s">
        <v>1107</v>
      </c>
      <c r="C22" s="73" t="s">
        <v>1106</v>
      </c>
      <c r="D22" s="36">
        <f t="shared" si="0"/>
        <v>0.95</v>
      </c>
      <c r="E22" s="75">
        <v>1</v>
      </c>
      <c r="F22" s="74"/>
      <c r="G22" s="21">
        <f>+IF(EXACT('3AC_Data'!$D$8,1),'13InputPerforInitial'!H22,IF(EXACT('3AC_Data'!$D$8,2),'13InputPerforInitial'!I22,IF(EXACT('3AC_Data'!$D$8,3),'13InputPerforInitial'!J22,IF(EXACT('3AC_Data'!$D$8,4),'13InputPerforInitial'!K22,IF(EXACT('3AC_Data'!$D$8,5),'13InputPerforInitial'!L22,IF(EXACT('3AC_Data'!$D$8,6),'13InputPerforInitial'!M22,IF(EXACT('3AC_Data'!$D$8,7),'13InputPerforInitial'!N22,IF(EXACT('3AC_Data'!$D$8,8),'13InputPerforInitial'!O22,IF(EXACT('3AC_Data'!$D$8,9),'13InputPerforInitial'!P22,IF(EXACT('3AC_Data'!$D$8,10),'13InputPerforInitial'!Q22,IF(EXACT('3AC_Data'!$D$8,11),'13InputPerforInitial'!R22,IF(EXACT('3AC_Data'!$D$8,12),'13InputPerforInitial'!S22,IF(EXACT('3AC_Data'!$D$8,13),'13InputPerforInitial'!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0.95</v>
      </c>
      <c r="H22" s="73">
        <v>0.95</v>
      </c>
      <c r="I22" s="73">
        <v>0.95</v>
      </c>
      <c r="J22" s="73">
        <v>0.95</v>
      </c>
      <c r="K22" s="73">
        <v>0.95</v>
      </c>
      <c r="L22" s="73">
        <v>0.95</v>
      </c>
      <c r="M22" s="73">
        <v>0.95</v>
      </c>
      <c r="N22" s="73">
        <v>0.95</v>
      </c>
      <c r="O22" s="73">
        <v>0.95</v>
      </c>
      <c r="P22" s="73">
        <v>0.95</v>
      </c>
      <c r="Q22" s="73">
        <v>0.95</v>
      </c>
      <c r="R22" s="73">
        <v>0.95</v>
      </c>
      <c r="S22" s="73">
        <v>0.95</v>
      </c>
      <c r="T22" s="73">
        <v>0.95</v>
      </c>
      <c r="U22" s="73">
        <v>0.95</v>
      </c>
      <c r="V22" s="73">
        <v>0.95</v>
      </c>
      <c r="W22" s="73">
        <v>0.95</v>
      </c>
      <c r="X22" s="73">
        <v>0.95</v>
      </c>
      <c r="Y22" s="73">
        <v>0.95</v>
      </c>
      <c r="Z22" s="73">
        <v>0.95</v>
      </c>
      <c r="AA22" s="73">
        <v>0.95</v>
      </c>
      <c r="AB22" s="73">
        <v>0.95</v>
      </c>
    </row>
    <row r="23" spans="1:28" x14ac:dyDescent="0.25">
      <c r="A23" s="76">
        <v>8</v>
      </c>
      <c r="B23" s="73" t="s">
        <v>1105</v>
      </c>
      <c r="C23" s="73" t="s">
        <v>1104</v>
      </c>
      <c r="D23" s="36">
        <f t="shared" si="0"/>
        <v>20</v>
      </c>
      <c r="E23" s="75">
        <v>1</v>
      </c>
      <c r="F23" s="74" t="s">
        <v>1055</v>
      </c>
      <c r="G23" s="21">
        <f>+IF(EXACT('3AC_Data'!$D$8,1),'13InputPerforInitial'!H23,IF(EXACT('3AC_Data'!$D$8,2),'13InputPerforInitial'!I23,IF(EXACT('3AC_Data'!$D$8,3),'13InputPerforInitial'!J23,IF(EXACT('3AC_Data'!$D$8,4),'13InputPerforInitial'!K23,IF(EXACT('3AC_Data'!$D$8,5),'13InputPerforInitial'!L23,IF(EXACT('3AC_Data'!$D$8,6),'13InputPerforInitial'!M23,IF(EXACT('3AC_Data'!$D$8,7),'13InputPerforInitial'!N23,IF(EXACT('3AC_Data'!$D$8,8),'13InputPerforInitial'!O23,IF(EXACT('3AC_Data'!$D$8,9),'13InputPerforInitial'!P23,IF(EXACT('3AC_Data'!$D$8,10),'13InputPerforInitial'!Q23,IF(EXACT('3AC_Data'!$D$8,11),'13InputPerforInitial'!R23,IF(EXACT('3AC_Data'!$D$8,12),'13InputPerforInitial'!S23,IF(EXACT('3AC_Data'!$D$8,13),'13InputPerforInitial'!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20</v>
      </c>
      <c r="H23" s="73">
        <v>20</v>
      </c>
      <c r="I23" s="73">
        <v>20</v>
      </c>
      <c r="J23" s="73">
        <v>70</v>
      </c>
      <c r="K23" s="73">
        <v>70</v>
      </c>
      <c r="L23" s="73">
        <v>125</v>
      </c>
      <c r="M23" s="73">
        <v>20</v>
      </c>
      <c r="N23" s="73">
        <v>20</v>
      </c>
      <c r="O23" s="73">
        <v>20</v>
      </c>
      <c r="P23" s="73">
        <v>20</v>
      </c>
      <c r="Q23" s="73">
        <v>20</v>
      </c>
      <c r="R23" s="73">
        <v>20</v>
      </c>
      <c r="S23" s="73">
        <v>20</v>
      </c>
      <c r="T23" s="73">
        <v>20</v>
      </c>
      <c r="U23" s="73">
        <v>20</v>
      </c>
      <c r="V23" s="73">
        <v>20</v>
      </c>
      <c r="W23" s="73">
        <v>20</v>
      </c>
      <c r="X23" s="73">
        <v>20</v>
      </c>
      <c r="Y23" s="73">
        <v>20</v>
      </c>
      <c r="Z23" s="73">
        <v>20</v>
      </c>
      <c r="AA23" s="73">
        <v>20</v>
      </c>
      <c r="AB23" s="73">
        <v>20</v>
      </c>
    </row>
    <row r="24" spans="1:28" x14ac:dyDescent="0.25">
      <c r="A24" s="76">
        <v>9</v>
      </c>
      <c r="B24" s="73" t="s">
        <v>1103</v>
      </c>
      <c r="C24" s="73" t="s">
        <v>1102</v>
      </c>
      <c r="D24" s="36">
        <f t="shared" si="0"/>
        <v>20</v>
      </c>
      <c r="E24" s="75">
        <v>1</v>
      </c>
      <c r="F24" s="74" t="s">
        <v>1055</v>
      </c>
      <c r="G24" s="21">
        <f>+IF(EXACT('3AC_Data'!$D$8,1),'13InputPerforInitial'!H24,IF(EXACT('3AC_Data'!$D$8,2),'13InputPerforInitial'!I24,IF(EXACT('3AC_Data'!$D$8,3),'13InputPerforInitial'!J24,IF(EXACT('3AC_Data'!$D$8,4),'13InputPerforInitial'!K24,IF(EXACT('3AC_Data'!$D$8,5),'13InputPerforInitial'!L24,IF(EXACT('3AC_Data'!$D$8,6),'13InputPerforInitial'!M24,IF(EXACT('3AC_Data'!$D$8,7),'13InputPerforInitial'!N24,IF(EXACT('3AC_Data'!$D$8,8),'13InputPerforInitial'!O24,IF(EXACT('3AC_Data'!$D$8,9),'13InputPerforInitial'!P24,IF(EXACT('3AC_Data'!$D$8,10),'13InputPerforInitial'!Q24,IF(EXACT('3AC_Data'!$D$8,11),'13InputPerforInitial'!R24,IF(EXACT('3AC_Data'!$D$8,12),'13InputPerforInitial'!S24,IF(EXACT('3AC_Data'!$D$8,13),'13InputPerforInitial'!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20</v>
      </c>
      <c r="H24" s="73">
        <v>20</v>
      </c>
      <c r="I24" s="73">
        <v>20</v>
      </c>
      <c r="J24" s="73">
        <v>70</v>
      </c>
      <c r="K24" s="73">
        <v>70</v>
      </c>
      <c r="L24" s="73">
        <v>125</v>
      </c>
      <c r="M24" s="73">
        <v>20</v>
      </c>
      <c r="N24" s="73">
        <v>20</v>
      </c>
      <c r="O24" s="73">
        <v>20</v>
      </c>
      <c r="P24" s="73">
        <v>20</v>
      </c>
      <c r="Q24" s="73">
        <v>20</v>
      </c>
      <c r="R24" s="73">
        <v>20</v>
      </c>
      <c r="S24" s="73">
        <v>20</v>
      </c>
      <c r="T24" s="73">
        <v>20</v>
      </c>
      <c r="U24" s="73">
        <v>20</v>
      </c>
      <c r="V24" s="73">
        <v>20</v>
      </c>
      <c r="W24" s="73">
        <v>20</v>
      </c>
      <c r="X24" s="73">
        <v>20</v>
      </c>
      <c r="Y24" s="73">
        <v>20</v>
      </c>
      <c r="Z24" s="73">
        <v>20</v>
      </c>
      <c r="AA24" s="73">
        <v>20</v>
      </c>
      <c r="AB24" s="73">
        <v>20</v>
      </c>
    </row>
    <row r="25" spans="1:28" x14ac:dyDescent="0.25">
      <c r="A25" s="72">
        <v>1</v>
      </c>
      <c r="B25" s="69" t="s">
        <v>1101</v>
      </c>
      <c r="C25" s="69" t="s">
        <v>1100</v>
      </c>
      <c r="D25" s="36">
        <f t="shared" si="0"/>
        <v>100</v>
      </c>
      <c r="E25" s="71">
        <v>1</v>
      </c>
      <c r="F25" s="70" t="s">
        <v>1021</v>
      </c>
      <c r="G25" s="21">
        <f>+IF(EXACT('3AC_Data'!$D$8,1),'13InputPerforInitial'!H25,IF(EXACT('3AC_Data'!$D$8,2),'13InputPerforInitial'!I25,IF(EXACT('3AC_Data'!$D$8,3),'13InputPerforInitial'!J25,IF(EXACT('3AC_Data'!$D$8,4),'13InputPerforInitial'!K25,IF(EXACT('3AC_Data'!$D$8,5),'13InputPerforInitial'!L25,IF(EXACT('3AC_Data'!$D$8,6),'13InputPerforInitial'!M25,IF(EXACT('3AC_Data'!$D$8,7),'13InputPerforInitial'!N25,IF(EXACT('3AC_Data'!$D$8,8),'13InputPerforInitial'!O25,IF(EXACT('3AC_Data'!$D$8,9),'13InputPerforInitial'!P25,IF(EXACT('3AC_Data'!$D$8,10),'13InputPerforInitial'!Q25,IF(EXACT('3AC_Data'!$D$8,11),'13InputPerforInitial'!R25,IF(EXACT('3AC_Data'!$D$8,12),'13InputPerforInitial'!S25,IF(EXACT('3AC_Data'!$D$8,13),'13InputPerforInitial'!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100</v>
      </c>
      <c r="H25" s="69">
        <v>100</v>
      </c>
      <c r="I25" s="69">
        <v>100</v>
      </c>
      <c r="J25" s="69">
        <v>3000</v>
      </c>
      <c r="K25" s="69">
        <v>3000</v>
      </c>
      <c r="L25" s="69">
        <v>5</v>
      </c>
      <c r="M25" s="69">
        <v>100</v>
      </c>
      <c r="N25" s="69">
        <v>100</v>
      </c>
      <c r="O25" s="69">
        <v>100</v>
      </c>
      <c r="P25" s="69">
        <v>100</v>
      </c>
      <c r="Q25" s="69">
        <v>100</v>
      </c>
      <c r="R25" s="69">
        <v>100</v>
      </c>
      <c r="S25" s="69">
        <v>100</v>
      </c>
      <c r="T25" s="69">
        <v>100</v>
      </c>
      <c r="U25" s="69">
        <v>100</v>
      </c>
      <c r="V25" s="69">
        <v>100</v>
      </c>
      <c r="W25" s="69">
        <v>100</v>
      </c>
      <c r="X25" s="69">
        <v>100</v>
      </c>
      <c r="Y25" s="69">
        <v>100</v>
      </c>
      <c r="Z25" s="69">
        <v>100</v>
      </c>
      <c r="AA25" s="69">
        <v>100</v>
      </c>
      <c r="AB25" s="69">
        <v>100</v>
      </c>
    </row>
    <row r="26" spans="1:28" x14ac:dyDescent="0.25">
      <c r="A26" s="72">
        <v>2</v>
      </c>
      <c r="B26" s="69" t="s">
        <v>1099</v>
      </c>
      <c r="C26" s="69" t="s">
        <v>1098</v>
      </c>
      <c r="D26" s="36">
        <f t="shared" si="0"/>
        <v>20000</v>
      </c>
      <c r="E26" s="71">
        <v>1000</v>
      </c>
      <c r="F26" s="70" t="s">
        <v>1097</v>
      </c>
      <c r="G26" s="21">
        <f>+IF(EXACT('3AC_Data'!$D$8,1),'13InputPerforInitial'!H26,IF(EXACT('3AC_Data'!$D$8,2),'13InputPerforInitial'!I26,IF(EXACT('3AC_Data'!$D$8,3),'13InputPerforInitial'!J26,IF(EXACT('3AC_Data'!$D$8,4),'13InputPerforInitial'!K26,IF(EXACT('3AC_Data'!$D$8,5),'13InputPerforInitial'!L26,IF(EXACT('3AC_Data'!$D$8,6),'13InputPerforInitial'!M26,IF(EXACT('3AC_Data'!$D$8,7),'13InputPerforInitial'!N26,IF(EXACT('3AC_Data'!$D$8,8),'13InputPerforInitial'!O26,IF(EXACT('3AC_Data'!$D$8,9),'13InputPerforInitial'!P26,IF(EXACT('3AC_Data'!$D$8,10),'13InputPerforInitial'!Q26,IF(EXACT('3AC_Data'!$D$8,11),'13InputPerforInitial'!R26,IF(EXACT('3AC_Data'!$D$8,12),'13InputPerforInitial'!S26,IF(EXACT('3AC_Data'!$D$8,13),'13InputPerforInitial'!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20</v>
      </c>
      <c r="H26" s="69">
        <v>20</v>
      </c>
      <c r="I26" s="69">
        <v>20</v>
      </c>
      <c r="J26" s="69">
        <v>200</v>
      </c>
      <c r="K26" s="69">
        <v>200</v>
      </c>
      <c r="L26" s="69">
        <v>2000</v>
      </c>
      <c r="M26" s="69">
        <v>20</v>
      </c>
      <c r="N26" s="69">
        <v>20</v>
      </c>
      <c r="O26" s="69">
        <v>20</v>
      </c>
      <c r="P26" s="69">
        <v>20</v>
      </c>
      <c r="Q26" s="69">
        <v>20</v>
      </c>
      <c r="R26" s="69">
        <v>20</v>
      </c>
      <c r="S26" s="69">
        <v>20</v>
      </c>
      <c r="T26" s="69">
        <v>20</v>
      </c>
      <c r="U26" s="69">
        <v>20</v>
      </c>
      <c r="V26" s="69">
        <v>20</v>
      </c>
      <c r="W26" s="69">
        <v>20</v>
      </c>
      <c r="X26" s="69">
        <v>20</v>
      </c>
      <c r="Y26" s="69">
        <v>20</v>
      </c>
      <c r="Z26" s="69">
        <v>20</v>
      </c>
      <c r="AA26" s="69">
        <v>20</v>
      </c>
      <c r="AB26" s="69">
        <v>20</v>
      </c>
    </row>
    <row r="27" spans="1:28" x14ac:dyDescent="0.25">
      <c r="A27" s="72">
        <v>3</v>
      </c>
      <c r="B27" s="69" t="s">
        <v>1096</v>
      </c>
      <c r="C27" s="69" t="s">
        <v>1095</v>
      </c>
      <c r="D27" s="36">
        <f t="shared" si="0"/>
        <v>25</v>
      </c>
      <c r="E27" s="71">
        <v>1</v>
      </c>
      <c r="F27" s="70" t="s">
        <v>1055</v>
      </c>
      <c r="G27" s="21">
        <f>+IF(EXACT('3AC_Data'!$D$8,1),'13InputPerforInitial'!H27,IF(EXACT('3AC_Data'!$D$8,2),'13InputPerforInitial'!I27,IF(EXACT('3AC_Data'!$D$8,3),'13InputPerforInitial'!J27,IF(EXACT('3AC_Data'!$D$8,4),'13InputPerforInitial'!K27,IF(EXACT('3AC_Data'!$D$8,5),'13InputPerforInitial'!L27,IF(EXACT('3AC_Data'!$D$8,6),'13InputPerforInitial'!M27,IF(EXACT('3AC_Data'!$D$8,7),'13InputPerforInitial'!N27,IF(EXACT('3AC_Data'!$D$8,8),'13InputPerforInitial'!O27,IF(EXACT('3AC_Data'!$D$8,9),'13InputPerforInitial'!P27,IF(EXACT('3AC_Data'!$D$8,10),'13InputPerforInitial'!Q27,IF(EXACT('3AC_Data'!$D$8,11),'13InputPerforInitial'!R27,IF(EXACT('3AC_Data'!$D$8,12),'13InputPerforInitial'!S27,IF(EXACT('3AC_Data'!$D$8,13),'13InputPerforInitial'!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25</v>
      </c>
      <c r="H27" s="69">
        <v>25</v>
      </c>
      <c r="I27" s="69">
        <v>25</v>
      </c>
      <c r="J27" s="69">
        <v>80</v>
      </c>
      <c r="K27" s="69">
        <v>80</v>
      </c>
      <c r="L27" s="69">
        <v>90</v>
      </c>
      <c r="M27" s="69">
        <v>25</v>
      </c>
      <c r="N27" s="69">
        <v>25</v>
      </c>
      <c r="O27" s="69">
        <v>25</v>
      </c>
      <c r="P27" s="69">
        <v>25</v>
      </c>
      <c r="Q27" s="69">
        <v>25</v>
      </c>
      <c r="R27" s="69">
        <v>25</v>
      </c>
      <c r="S27" s="69">
        <v>25</v>
      </c>
      <c r="T27" s="69">
        <v>25</v>
      </c>
      <c r="U27" s="69">
        <v>25</v>
      </c>
      <c r="V27" s="69">
        <v>25</v>
      </c>
      <c r="W27" s="69">
        <v>25</v>
      </c>
      <c r="X27" s="69">
        <v>25</v>
      </c>
      <c r="Y27" s="69">
        <v>25</v>
      </c>
      <c r="Z27" s="69">
        <v>25</v>
      </c>
      <c r="AA27" s="69">
        <v>25</v>
      </c>
      <c r="AB27" s="69">
        <v>25</v>
      </c>
    </row>
    <row r="28" spans="1:28" x14ac:dyDescent="0.25">
      <c r="A28" s="72">
        <v>6</v>
      </c>
      <c r="B28" s="69" t="s">
        <v>1094</v>
      </c>
      <c r="C28" s="69" t="s">
        <v>1093</v>
      </c>
      <c r="D28" s="36">
        <f t="shared" si="0"/>
        <v>0.9</v>
      </c>
      <c r="E28" s="71">
        <v>1</v>
      </c>
      <c r="F28" s="70"/>
      <c r="G28" s="21">
        <f>+IF(EXACT('3AC_Data'!$D$8,1),'13InputPerforInitial'!H28,IF(EXACT('3AC_Data'!$D$8,2),'13InputPerforInitial'!I28,IF(EXACT('3AC_Data'!$D$8,3),'13InputPerforInitial'!J28,IF(EXACT('3AC_Data'!$D$8,4),'13InputPerforInitial'!K28,IF(EXACT('3AC_Data'!$D$8,5),'13InputPerforInitial'!L28,IF(EXACT('3AC_Data'!$D$8,6),'13InputPerforInitial'!M28,IF(EXACT('3AC_Data'!$D$8,7),'13InputPerforInitial'!N28,IF(EXACT('3AC_Data'!$D$8,8),'13InputPerforInitial'!O28,IF(EXACT('3AC_Data'!$D$8,9),'13InputPerforInitial'!P28,IF(EXACT('3AC_Data'!$D$8,10),'13InputPerforInitial'!Q28,IF(EXACT('3AC_Data'!$D$8,11),'13InputPerforInitial'!R28,IF(EXACT('3AC_Data'!$D$8,12),'13InputPerforInitial'!S28,IF(EXACT('3AC_Data'!$D$8,13),'13InputPerforInitial'!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0.9</v>
      </c>
      <c r="H28" s="69">
        <v>0.9</v>
      </c>
      <c r="I28" s="69">
        <v>0.9</v>
      </c>
      <c r="J28" s="69">
        <v>0.9</v>
      </c>
      <c r="K28" s="69">
        <v>0.9</v>
      </c>
      <c r="L28" s="69">
        <v>0.9</v>
      </c>
      <c r="M28" s="69">
        <v>0.9</v>
      </c>
      <c r="N28" s="69">
        <v>0.9</v>
      </c>
      <c r="O28" s="69">
        <v>0.9</v>
      </c>
      <c r="P28" s="69">
        <v>0.9</v>
      </c>
      <c r="Q28" s="69">
        <v>0.9</v>
      </c>
      <c r="R28" s="69">
        <v>0.9</v>
      </c>
      <c r="S28" s="69">
        <v>0.9</v>
      </c>
      <c r="T28" s="69">
        <v>0.9</v>
      </c>
      <c r="U28" s="69">
        <v>0.9</v>
      </c>
      <c r="V28" s="69">
        <v>0.9</v>
      </c>
      <c r="W28" s="69">
        <v>0.9</v>
      </c>
      <c r="X28" s="69">
        <v>0.9</v>
      </c>
      <c r="Y28" s="69">
        <v>0.9</v>
      </c>
      <c r="Z28" s="69">
        <v>0.9</v>
      </c>
      <c r="AA28" s="69">
        <v>0.9</v>
      </c>
      <c r="AB28" s="69">
        <v>0.9</v>
      </c>
    </row>
    <row r="29" spans="1:28" x14ac:dyDescent="0.25">
      <c r="A29" s="72">
        <v>7</v>
      </c>
      <c r="B29" s="69" t="s">
        <v>1092</v>
      </c>
      <c r="C29" s="69" t="s">
        <v>1091</v>
      </c>
      <c r="D29" s="36">
        <f t="shared" si="0"/>
        <v>25</v>
      </c>
      <c r="E29" s="71">
        <v>1</v>
      </c>
      <c r="F29" s="70" t="s">
        <v>1055</v>
      </c>
      <c r="G29" s="21">
        <f>+IF(EXACT('3AC_Data'!$D$8,1),'13InputPerforInitial'!H29,IF(EXACT('3AC_Data'!$D$8,2),'13InputPerforInitial'!I29,IF(EXACT('3AC_Data'!$D$8,3),'13InputPerforInitial'!J29,IF(EXACT('3AC_Data'!$D$8,4),'13InputPerforInitial'!K29,IF(EXACT('3AC_Data'!$D$8,5),'13InputPerforInitial'!L29,IF(EXACT('3AC_Data'!$D$8,6),'13InputPerforInitial'!M29,IF(EXACT('3AC_Data'!$D$8,7),'13InputPerforInitial'!N29,IF(EXACT('3AC_Data'!$D$8,8),'13InputPerforInitial'!O29,IF(EXACT('3AC_Data'!$D$8,9),'13InputPerforInitial'!P29,IF(EXACT('3AC_Data'!$D$8,10),'13InputPerforInitial'!Q29,IF(EXACT('3AC_Data'!$D$8,11),'13InputPerforInitial'!R29,IF(EXACT('3AC_Data'!$D$8,12),'13InputPerforInitial'!S29,IF(EXACT('3AC_Data'!$D$8,13),'13InputPerforInitial'!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25</v>
      </c>
      <c r="H29" s="69">
        <v>25</v>
      </c>
      <c r="I29" s="69">
        <v>25</v>
      </c>
      <c r="J29" s="69">
        <v>80</v>
      </c>
      <c r="K29" s="69">
        <v>80</v>
      </c>
      <c r="L29" s="69">
        <v>90</v>
      </c>
      <c r="M29" s="69">
        <v>25</v>
      </c>
      <c r="N29" s="69">
        <v>25</v>
      </c>
      <c r="O29" s="69">
        <v>25</v>
      </c>
      <c r="P29" s="69">
        <v>25</v>
      </c>
      <c r="Q29" s="69">
        <v>25</v>
      </c>
      <c r="R29" s="69">
        <v>25</v>
      </c>
      <c r="S29" s="69">
        <v>25</v>
      </c>
      <c r="T29" s="69">
        <v>25</v>
      </c>
      <c r="U29" s="69">
        <v>25</v>
      </c>
      <c r="V29" s="69">
        <v>25</v>
      </c>
      <c r="W29" s="69">
        <v>25</v>
      </c>
      <c r="X29" s="69">
        <v>25</v>
      </c>
      <c r="Y29" s="69">
        <v>25</v>
      </c>
      <c r="Z29" s="69">
        <v>25</v>
      </c>
      <c r="AA29" s="69">
        <v>25</v>
      </c>
      <c r="AB29" s="69">
        <v>25</v>
      </c>
    </row>
    <row r="30" spans="1:28" x14ac:dyDescent="0.25">
      <c r="A30" s="72">
        <v>8</v>
      </c>
      <c r="B30" s="69" t="s">
        <v>1090</v>
      </c>
      <c r="C30" s="69" t="s">
        <v>1089</v>
      </c>
      <c r="D30" s="36">
        <f t="shared" si="0"/>
        <v>30</v>
      </c>
      <c r="E30" s="71">
        <v>1</v>
      </c>
      <c r="F30" s="70" t="s">
        <v>1055</v>
      </c>
      <c r="G30" s="21">
        <f>+IF(EXACT('3AC_Data'!$D$8,1),'13InputPerforInitial'!H30,IF(EXACT('3AC_Data'!$D$8,2),'13InputPerforInitial'!I30,IF(EXACT('3AC_Data'!$D$8,3),'13InputPerforInitial'!J30,IF(EXACT('3AC_Data'!$D$8,4),'13InputPerforInitial'!K30,IF(EXACT('3AC_Data'!$D$8,5),'13InputPerforInitial'!L30,IF(EXACT('3AC_Data'!$D$8,6),'13InputPerforInitial'!M30,IF(EXACT('3AC_Data'!$D$8,7),'13InputPerforInitial'!N30,IF(EXACT('3AC_Data'!$D$8,8),'13InputPerforInitial'!O30,IF(EXACT('3AC_Data'!$D$8,9),'13InputPerforInitial'!P30,IF(EXACT('3AC_Data'!$D$8,10),'13InputPerforInitial'!Q30,IF(EXACT('3AC_Data'!$D$8,11),'13InputPerforInitial'!R30,IF(EXACT('3AC_Data'!$D$8,12),'13InputPerforInitial'!S30,IF(EXACT('3AC_Data'!$D$8,13),'13InputPerforInitial'!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30</v>
      </c>
      <c r="H30" s="69">
        <v>30</v>
      </c>
      <c r="I30" s="69">
        <v>30</v>
      </c>
      <c r="J30" s="69">
        <v>80</v>
      </c>
      <c r="K30" s="69">
        <v>80</v>
      </c>
      <c r="L30" s="69">
        <v>125</v>
      </c>
      <c r="M30" s="69">
        <v>30</v>
      </c>
      <c r="N30" s="69">
        <v>30</v>
      </c>
      <c r="O30" s="69">
        <v>30</v>
      </c>
      <c r="P30" s="69">
        <v>30</v>
      </c>
      <c r="Q30" s="69">
        <v>30</v>
      </c>
      <c r="R30" s="69">
        <v>30</v>
      </c>
      <c r="S30" s="69">
        <v>30</v>
      </c>
      <c r="T30" s="69">
        <v>30</v>
      </c>
      <c r="U30" s="69">
        <v>30</v>
      </c>
      <c r="V30" s="69">
        <v>30</v>
      </c>
      <c r="W30" s="69">
        <v>30</v>
      </c>
      <c r="X30" s="69">
        <v>30</v>
      </c>
      <c r="Y30" s="69">
        <v>30</v>
      </c>
      <c r="Z30" s="69">
        <v>30</v>
      </c>
      <c r="AA30" s="69">
        <v>30</v>
      </c>
      <c r="AB30" s="69">
        <v>30</v>
      </c>
    </row>
    <row r="31" spans="1:28" x14ac:dyDescent="0.25">
      <c r="A31" s="72">
        <v>9</v>
      </c>
      <c r="B31" s="69" t="s">
        <v>1088</v>
      </c>
      <c r="C31" s="69" t="s">
        <v>1087</v>
      </c>
      <c r="D31" s="36">
        <f t="shared" si="0"/>
        <v>0</v>
      </c>
      <c r="E31" s="71">
        <v>1</v>
      </c>
      <c r="F31" s="70" t="s">
        <v>1055</v>
      </c>
      <c r="G31" s="21">
        <f>+IF(EXACT('3AC_Data'!$D$8,1),'13InputPerforInitial'!H31,IF(EXACT('3AC_Data'!$D$8,2),'13InputPerforInitial'!I31,IF(EXACT('3AC_Data'!$D$8,3),'13InputPerforInitial'!J31,IF(EXACT('3AC_Data'!$D$8,4),'13InputPerforInitial'!K31,IF(EXACT('3AC_Data'!$D$8,5),'13InputPerforInitial'!L31,IF(EXACT('3AC_Data'!$D$8,6),'13InputPerforInitial'!M31,IF(EXACT('3AC_Data'!$D$8,7),'13InputPerforInitial'!N31,IF(EXACT('3AC_Data'!$D$8,8),'13InputPerforInitial'!O31,IF(EXACT('3AC_Data'!$D$8,9),'13InputPerforInitial'!P31,IF(EXACT('3AC_Data'!$D$8,10),'13InputPerforInitial'!Q31,IF(EXACT('3AC_Data'!$D$8,11),'13InputPerforInitial'!R31,IF(EXACT('3AC_Data'!$D$8,12),'13InputPerforInitial'!S31,IF(EXACT('3AC_Data'!$D$8,13),'13InputPerforInitial'!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0</v>
      </c>
      <c r="H31" s="69">
        <v>0</v>
      </c>
      <c r="I31" s="69">
        <v>0</v>
      </c>
      <c r="J31" s="69">
        <v>25</v>
      </c>
      <c r="K31" s="69">
        <v>13500</v>
      </c>
      <c r="L31" s="69"/>
      <c r="M31" s="69"/>
      <c r="N31" s="69"/>
      <c r="O31" s="69"/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</row>
    <row r="32" spans="1:28" x14ac:dyDescent="0.25">
      <c r="A32" s="72">
        <v>10</v>
      </c>
      <c r="B32" s="69" t="s">
        <v>1086</v>
      </c>
      <c r="C32" s="69" t="s">
        <v>1085</v>
      </c>
      <c r="D32" s="36">
        <f t="shared" si="0"/>
        <v>-1</v>
      </c>
      <c r="E32" s="71">
        <v>1</v>
      </c>
      <c r="F32" s="70" t="s">
        <v>1055</v>
      </c>
      <c r="G32" s="21">
        <f>+IF(EXACT('3AC_Data'!$D$8,1),'13InputPerforInitial'!H32,IF(EXACT('3AC_Data'!$D$8,2),'13InputPerforInitial'!I32,IF(EXACT('3AC_Data'!$D$8,3),'13InputPerforInitial'!J32,IF(EXACT('3AC_Data'!$D$8,4),'13InputPerforInitial'!K32,IF(EXACT('3AC_Data'!$D$8,5),'13InputPerforInitial'!L32,IF(EXACT('3AC_Data'!$D$8,6),'13InputPerforInitial'!M32,IF(EXACT('3AC_Data'!$D$8,7),'13InputPerforInitial'!N32,IF(EXACT('3AC_Data'!$D$8,8),'13InputPerforInitial'!O32,IF(EXACT('3AC_Data'!$D$8,9),'13InputPerforInitial'!P32,IF(EXACT('3AC_Data'!$D$8,10),'13InputPerforInitial'!Q32,IF(EXACT('3AC_Data'!$D$8,11),'13InputPerforInitial'!R32,IF(EXACT('3AC_Data'!$D$8,12),'13InputPerforInitial'!S32,IF(EXACT('3AC_Data'!$D$8,13),'13InputPerforInitial'!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-1</v>
      </c>
      <c r="H32" s="69">
        <v>-1</v>
      </c>
      <c r="I32" s="69">
        <v>-1</v>
      </c>
      <c r="J32" s="69">
        <v>-1</v>
      </c>
      <c r="K32" s="69">
        <v>-1</v>
      </c>
      <c r="L32" s="69">
        <v>-1</v>
      </c>
      <c r="M32" s="69">
        <v>-1</v>
      </c>
      <c r="N32" s="69">
        <v>-1</v>
      </c>
      <c r="O32" s="69">
        <v>-1</v>
      </c>
      <c r="P32" s="69">
        <v>-1</v>
      </c>
      <c r="Q32" s="69">
        <v>-1</v>
      </c>
      <c r="R32" s="69">
        <v>-1</v>
      </c>
      <c r="S32" s="69">
        <v>-1</v>
      </c>
      <c r="T32" s="69">
        <v>-1</v>
      </c>
      <c r="U32" s="69">
        <v>-1</v>
      </c>
      <c r="V32" s="69">
        <v>-1</v>
      </c>
      <c r="W32" s="69">
        <v>-1</v>
      </c>
      <c r="X32" s="69">
        <v>-1</v>
      </c>
      <c r="Y32" s="69">
        <v>-1</v>
      </c>
      <c r="Z32" s="69">
        <v>-1</v>
      </c>
      <c r="AA32" s="69">
        <v>-1</v>
      </c>
      <c r="AB32" s="69">
        <v>-1</v>
      </c>
    </row>
    <row r="33" spans="1:28" x14ac:dyDescent="0.25">
      <c r="A33" s="72">
        <v>11</v>
      </c>
      <c r="B33" s="69" t="s">
        <v>1084</v>
      </c>
      <c r="C33" s="69" t="s">
        <v>1083</v>
      </c>
      <c r="D33" s="36">
        <f t="shared" si="0"/>
        <v>-1</v>
      </c>
      <c r="E33" s="71">
        <v>1</v>
      </c>
      <c r="F33" s="70" t="s">
        <v>1055</v>
      </c>
      <c r="G33" s="21">
        <f>+IF(EXACT('3AC_Data'!$D$8,1),'13InputPerforInitial'!H33,IF(EXACT('3AC_Data'!$D$8,2),'13InputPerforInitial'!I33,IF(EXACT('3AC_Data'!$D$8,3),'13InputPerforInitial'!J33,IF(EXACT('3AC_Data'!$D$8,4),'13InputPerforInitial'!K33,IF(EXACT('3AC_Data'!$D$8,5),'13InputPerforInitial'!L33,IF(EXACT('3AC_Data'!$D$8,6),'13InputPerforInitial'!M33,IF(EXACT('3AC_Data'!$D$8,7),'13InputPerforInitial'!N33,IF(EXACT('3AC_Data'!$D$8,8),'13InputPerforInitial'!O33,IF(EXACT('3AC_Data'!$D$8,9),'13InputPerforInitial'!P33,IF(EXACT('3AC_Data'!$D$8,10),'13InputPerforInitial'!Q33,IF(EXACT('3AC_Data'!$D$8,11),'13InputPerforInitial'!R33,IF(EXACT('3AC_Data'!$D$8,12),'13InputPerforInitial'!S33,IF(EXACT('3AC_Data'!$D$8,13),'13InputPerforInitial'!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-1</v>
      </c>
      <c r="H33" s="69">
        <v>-1</v>
      </c>
      <c r="I33" s="69">
        <v>-1</v>
      </c>
      <c r="J33" s="69">
        <v>-1</v>
      </c>
      <c r="K33" s="69">
        <v>-1</v>
      </c>
      <c r="L33" s="69">
        <v>-1</v>
      </c>
      <c r="M33" s="69">
        <v>-1</v>
      </c>
      <c r="N33" s="69">
        <v>-1</v>
      </c>
      <c r="O33" s="69">
        <v>-1</v>
      </c>
      <c r="P33" s="69">
        <v>-1</v>
      </c>
      <c r="Q33" s="69">
        <v>-1</v>
      </c>
      <c r="R33" s="69">
        <v>-1</v>
      </c>
      <c r="S33" s="69">
        <v>-1</v>
      </c>
      <c r="T33" s="69">
        <v>-1</v>
      </c>
      <c r="U33" s="69">
        <v>-1</v>
      </c>
      <c r="V33" s="69">
        <v>-1</v>
      </c>
      <c r="W33" s="69">
        <v>-1</v>
      </c>
      <c r="X33" s="69">
        <v>-1</v>
      </c>
      <c r="Y33" s="69">
        <v>-1</v>
      </c>
      <c r="Z33" s="69">
        <v>-1</v>
      </c>
      <c r="AA33" s="69">
        <v>-1</v>
      </c>
      <c r="AB33" s="69">
        <v>-1</v>
      </c>
    </row>
    <row r="34" spans="1:28" x14ac:dyDescent="0.25">
      <c r="A34" s="72">
        <v>12</v>
      </c>
      <c r="B34" s="69" t="s">
        <v>1082</v>
      </c>
      <c r="C34" s="69" t="s">
        <v>1081</v>
      </c>
      <c r="D34" s="36">
        <f t="shared" si="0"/>
        <v>-1</v>
      </c>
      <c r="E34" s="71">
        <v>1</v>
      </c>
      <c r="F34" s="70" t="s">
        <v>1055</v>
      </c>
      <c r="G34" s="21">
        <f>+IF(EXACT('3AC_Data'!$D$8,1),'13InputPerforInitial'!H34,IF(EXACT('3AC_Data'!$D$8,2),'13InputPerforInitial'!I34,IF(EXACT('3AC_Data'!$D$8,3),'13InputPerforInitial'!J34,IF(EXACT('3AC_Data'!$D$8,4),'13InputPerforInitial'!K34,IF(EXACT('3AC_Data'!$D$8,5),'13InputPerforInitial'!L34,IF(EXACT('3AC_Data'!$D$8,6),'13InputPerforInitial'!M34,IF(EXACT('3AC_Data'!$D$8,7),'13InputPerforInitial'!N34,IF(EXACT('3AC_Data'!$D$8,8),'13InputPerforInitial'!O34,IF(EXACT('3AC_Data'!$D$8,9),'13InputPerforInitial'!P34,IF(EXACT('3AC_Data'!$D$8,10),'13InputPerforInitial'!Q34,IF(EXACT('3AC_Data'!$D$8,11),'13InputPerforInitial'!R34,IF(EXACT('3AC_Data'!$D$8,12),'13InputPerforInitial'!S34,IF(EXACT('3AC_Data'!$D$8,13),'13InputPerforInitial'!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-1</v>
      </c>
      <c r="H34" s="69">
        <v>-1</v>
      </c>
      <c r="I34" s="69">
        <v>-1</v>
      </c>
      <c r="J34" s="69">
        <v>-1</v>
      </c>
      <c r="K34" s="69">
        <v>-1</v>
      </c>
      <c r="L34" s="69">
        <v>-1</v>
      </c>
      <c r="M34" s="69">
        <v>-1</v>
      </c>
      <c r="N34" s="69">
        <v>-1</v>
      </c>
      <c r="O34" s="69">
        <v>-1</v>
      </c>
      <c r="P34" s="69">
        <v>-1</v>
      </c>
      <c r="Q34" s="69">
        <v>-1</v>
      </c>
      <c r="R34" s="69">
        <v>-1</v>
      </c>
      <c r="S34" s="69">
        <v>-1</v>
      </c>
      <c r="T34" s="69">
        <v>-1</v>
      </c>
      <c r="U34" s="69">
        <v>-1</v>
      </c>
      <c r="V34" s="69">
        <v>-1</v>
      </c>
      <c r="W34" s="69">
        <v>-1</v>
      </c>
      <c r="X34" s="69">
        <v>-1</v>
      </c>
      <c r="Y34" s="69">
        <v>-1</v>
      </c>
      <c r="Z34" s="69">
        <v>-1</v>
      </c>
      <c r="AA34" s="69">
        <v>-1</v>
      </c>
      <c r="AB34" s="69">
        <v>-1</v>
      </c>
    </row>
    <row r="35" spans="1:28" x14ac:dyDescent="0.25">
      <c r="A35" s="68">
        <v>1</v>
      </c>
      <c r="B35" s="65" t="s">
        <v>1080</v>
      </c>
      <c r="C35" s="65" t="s">
        <v>1079</v>
      </c>
      <c r="D35" s="36">
        <f t="shared" ref="D35:D66" si="1">+G35*E35</f>
        <v>10</v>
      </c>
      <c r="E35" s="67">
        <v>1</v>
      </c>
      <c r="F35" s="66" t="s">
        <v>1021</v>
      </c>
      <c r="G35" s="21">
        <f>+IF(EXACT('3AC_Data'!$D$8,1),'13InputPerforInitial'!H35,IF(EXACT('3AC_Data'!$D$8,2),'13InputPerforInitial'!I35,IF(EXACT('3AC_Data'!$D$8,3),'13InputPerforInitial'!J35,IF(EXACT('3AC_Data'!$D$8,4),'13InputPerforInitial'!K35,IF(EXACT('3AC_Data'!$D$8,5),'13InputPerforInitial'!L35,IF(EXACT('3AC_Data'!$D$8,6),'13InputPerforInitial'!M35,IF(EXACT('3AC_Data'!$D$8,7),'13InputPerforInitial'!N35,IF(EXACT('3AC_Data'!$D$8,8),'13InputPerforInitial'!O35,IF(EXACT('3AC_Data'!$D$8,9),'13InputPerforInitial'!P35,IF(EXACT('3AC_Data'!$D$8,10),'13InputPerforInitial'!Q35,IF(EXACT('3AC_Data'!$D$8,11),'13InputPerforInitial'!R35,IF(EXACT('3AC_Data'!$D$8,12),'13InputPerforInitial'!S35,IF(EXACT('3AC_Data'!$D$8,13),'13InputPerforInitial'!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10</v>
      </c>
      <c r="H35" s="65">
        <v>10</v>
      </c>
      <c r="I35" s="65">
        <v>10</v>
      </c>
      <c r="J35" s="65">
        <v>3000</v>
      </c>
      <c r="K35" s="65">
        <v>5</v>
      </c>
      <c r="L35" s="65">
        <v>10</v>
      </c>
      <c r="M35" s="65">
        <v>10</v>
      </c>
      <c r="N35" s="65">
        <v>10</v>
      </c>
      <c r="O35" s="65">
        <v>10</v>
      </c>
      <c r="P35" s="65">
        <v>10</v>
      </c>
      <c r="Q35" s="65">
        <v>10</v>
      </c>
      <c r="R35" s="65">
        <v>10</v>
      </c>
      <c r="S35" s="65">
        <v>10</v>
      </c>
      <c r="T35" s="65">
        <v>10</v>
      </c>
      <c r="U35" s="65">
        <v>10</v>
      </c>
      <c r="V35" s="65">
        <v>10</v>
      </c>
      <c r="W35" s="65">
        <v>10</v>
      </c>
      <c r="X35" s="65">
        <v>10</v>
      </c>
      <c r="Y35" s="65">
        <v>10</v>
      </c>
      <c r="Z35" s="65">
        <v>10</v>
      </c>
      <c r="AA35" s="65">
        <v>10</v>
      </c>
      <c r="AB35" s="65">
        <v>10</v>
      </c>
    </row>
    <row r="36" spans="1:28" x14ac:dyDescent="0.25">
      <c r="A36" s="68">
        <v>2</v>
      </c>
      <c r="B36" s="65" t="s">
        <v>1078</v>
      </c>
      <c r="C36" s="65" t="s">
        <v>1077</v>
      </c>
      <c r="D36" s="36">
        <f t="shared" si="1"/>
        <v>2700</v>
      </c>
      <c r="E36" s="67">
        <v>60</v>
      </c>
      <c r="F36" s="66" t="s">
        <v>1040</v>
      </c>
      <c r="G36" s="21">
        <f>+IF(EXACT('3AC_Data'!$D$8,1),'13InputPerforInitial'!H36,IF(EXACT('3AC_Data'!$D$8,2),'13InputPerforInitial'!I36,IF(EXACT('3AC_Data'!$D$8,3),'13InputPerforInitial'!J36,IF(EXACT('3AC_Data'!$D$8,4),'13InputPerforInitial'!K36,IF(EXACT('3AC_Data'!$D$8,5),'13InputPerforInitial'!L36,IF(EXACT('3AC_Data'!$D$8,6),'13InputPerforInitial'!M36,IF(EXACT('3AC_Data'!$D$8,7),'13InputPerforInitial'!N36,IF(EXACT('3AC_Data'!$D$8,8),'13InputPerforInitial'!O36,IF(EXACT('3AC_Data'!$D$8,9),'13InputPerforInitial'!P36,IF(EXACT('3AC_Data'!$D$8,10),'13InputPerforInitial'!Q36,IF(EXACT('3AC_Data'!$D$8,11),'13InputPerforInitial'!R36,IF(EXACT('3AC_Data'!$D$8,12),'13InputPerforInitial'!S36,IF(EXACT('3AC_Data'!$D$8,13),'13InputPerforInitial'!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45</v>
      </c>
      <c r="H36" s="65">
        <v>45</v>
      </c>
      <c r="I36" s="65">
        <v>45</v>
      </c>
      <c r="J36" s="65">
        <v>45</v>
      </c>
      <c r="K36" s="65">
        <v>45</v>
      </c>
      <c r="L36" s="65">
        <v>45</v>
      </c>
      <c r="M36" s="65">
        <v>45</v>
      </c>
      <c r="N36" s="65">
        <v>45</v>
      </c>
      <c r="O36" s="65">
        <v>45</v>
      </c>
      <c r="P36" s="65">
        <v>45</v>
      </c>
      <c r="Q36" s="65">
        <v>45</v>
      </c>
      <c r="R36" s="65">
        <v>45</v>
      </c>
      <c r="S36" s="65">
        <v>45</v>
      </c>
      <c r="T36" s="65">
        <v>45</v>
      </c>
      <c r="U36" s="65">
        <v>45</v>
      </c>
      <c r="V36" s="65">
        <v>45</v>
      </c>
      <c r="W36" s="65">
        <v>45</v>
      </c>
      <c r="X36" s="65">
        <v>45</v>
      </c>
      <c r="Y36" s="65">
        <v>45</v>
      </c>
      <c r="Z36" s="65">
        <v>45</v>
      </c>
      <c r="AA36" s="65">
        <v>45</v>
      </c>
      <c r="AB36" s="65">
        <v>45</v>
      </c>
    </row>
    <row r="37" spans="1:28" x14ac:dyDescent="0.25">
      <c r="A37" s="65">
        <v>3</v>
      </c>
      <c r="B37" s="65" t="s">
        <v>1076</v>
      </c>
      <c r="C37" s="65" t="s">
        <v>1075</v>
      </c>
      <c r="D37" s="36">
        <f t="shared" si="1"/>
        <v>30</v>
      </c>
      <c r="E37" s="67">
        <v>1</v>
      </c>
      <c r="F37" s="66" t="s">
        <v>1055</v>
      </c>
      <c r="G37" s="21">
        <f>+IF(EXACT('3AC_Data'!$D$8,1),'13InputPerforInitial'!H37,IF(EXACT('3AC_Data'!$D$8,2),'13InputPerforInitial'!I37,IF(EXACT('3AC_Data'!$D$8,3),'13InputPerforInitial'!J37,IF(EXACT('3AC_Data'!$D$8,4),'13InputPerforInitial'!K37,IF(EXACT('3AC_Data'!$D$8,5),'13InputPerforInitial'!L37,IF(EXACT('3AC_Data'!$D$8,6),'13InputPerforInitial'!M37,IF(EXACT('3AC_Data'!$D$8,7),'13InputPerforInitial'!N37,IF(EXACT('3AC_Data'!$D$8,8),'13InputPerforInitial'!O37,IF(EXACT('3AC_Data'!$D$8,9),'13InputPerforInitial'!P37,IF(EXACT('3AC_Data'!$D$8,10),'13InputPerforInitial'!Q37,IF(EXACT('3AC_Data'!$D$8,11),'13InputPerforInitial'!R37,IF(EXACT('3AC_Data'!$D$8,12),'13InputPerforInitial'!S37,IF(EXACT('3AC_Data'!$D$8,13),'13InputPerforInitial'!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30</v>
      </c>
      <c r="H37" s="65">
        <v>30</v>
      </c>
      <c r="I37" s="65">
        <v>30</v>
      </c>
      <c r="J37" s="65">
        <v>70</v>
      </c>
      <c r="K37" s="65">
        <v>90</v>
      </c>
      <c r="L37" s="65">
        <v>30</v>
      </c>
      <c r="M37" s="65">
        <v>30</v>
      </c>
      <c r="N37" s="65">
        <v>30</v>
      </c>
      <c r="O37" s="65">
        <v>30</v>
      </c>
      <c r="P37" s="65">
        <v>30</v>
      </c>
      <c r="Q37" s="65">
        <v>30</v>
      </c>
      <c r="R37" s="65">
        <v>30</v>
      </c>
      <c r="S37" s="65">
        <v>30</v>
      </c>
      <c r="T37" s="65">
        <v>30</v>
      </c>
      <c r="U37" s="65">
        <v>30</v>
      </c>
      <c r="V37" s="65">
        <v>30</v>
      </c>
      <c r="W37" s="65">
        <v>30</v>
      </c>
      <c r="X37" s="65">
        <v>30</v>
      </c>
      <c r="Y37" s="65">
        <v>30</v>
      </c>
      <c r="Z37" s="65">
        <v>30</v>
      </c>
      <c r="AA37" s="65">
        <v>30</v>
      </c>
      <c r="AB37" s="65">
        <v>30</v>
      </c>
    </row>
    <row r="38" spans="1:28" x14ac:dyDescent="0.25">
      <c r="A38" s="65">
        <v>4</v>
      </c>
      <c r="B38" s="65" t="s">
        <v>1074</v>
      </c>
      <c r="C38" s="65" t="s">
        <v>1073</v>
      </c>
      <c r="D38" s="36">
        <f t="shared" si="1"/>
        <v>1</v>
      </c>
      <c r="E38" s="67">
        <v>1</v>
      </c>
      <c r="F38" s="66" t="s">
        <v>1055</v>
      </c>
      <c r="G38" s="21">
        <f>+IF(EXACT('3AC_Data'!$D$8,1),'13InputPerforInitial'!H38,IF(EXACT('3AC_Data'!$D$8,2),'13InputPerforInitial'!I38,IF(EXACT('3AC_Data'!$D$8,3),'13InputPerforInitial'!J38,IF(EXACT('3AC_Data'!$D$8,4),'13InputPerforInitial'!K38,IF(EXACT('3AC_Data'!$D$8,5),'13InputPerforInitial'!L38,IF(EXACT('3AC_Data'!$D$8,6),'13InputPerforInitial'!M38,IF(EXACT('3AC_Data'!$D$8,7),'13InputPerforInitial'!N38,IF(EXACT('3AC_Data'!$D$8,8),'13InputPerforInitial'!O38,IF(EXACT('3AC_Data'!$D$8,9),'13InputPerforInitial'!P38,IF(EXACT('3AC_Data'!$D$8,10),'13InputPerforInitial'!Q38,IF(EXACT('3AC_Data'!$D$8,11),'13InputPerforInitial'!R38,IF(EXACT('3AC_Data'!$D$8,12),'13InputPerforInitial'!S38,IF(EXACT('3AC_Data'!$D$8,13),'13InputPerforInitial'!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  <c r="P38" s="65">
        <v>1</v>
      </c>
      <c r="Q38" s="65">
        <v>1</v>
      </c>
      <c r="R38" s="65">
        <v>1</v>
      </c>
      <c r="S38" s="65">
        <v>1</v>
      </c>
      <c r="T38" s="65">
        <v>1</v>
      </c>
      <c r="U38" s="65">
        <v>1</v>
      </c>
      <c r="V38" s="65">
        <v>1</v>
      </c>
      <c r="W38" s="65">
        <v>1</v>
      </c>
      <c r="X38" s="65">
        <v>1</v>
      </c>
      <c r="Y38" s="65">
        <v>1</v>
      </c>
      <c r="Z38" s="65">
        <v>1</v>
      </c>
      <c r="AA38" s="65">
        <v>1</v>
      </c>
      <c r="AB38" s="65">
        <v>1</v>
      </c>
    </row>
    <row r="39" spans="1:28" x14ac:dyDescent="0.25">
      <c r="A39" s="65">
        <v>5</v>
      </c>
      <c r="B39" s="65" t="s">
        <v>1072</v>
      </c>
      <c r="C39" s="65" t="s">
        <v>1071</v>
      </c>
      <c r="D39" s="36">
        <f t="shared" si="1"/>
        <v>0.43633231299858238</v>
      </c>
      <c r="E39" s="67">
        <f>+PI()/180</f>
        <v>1.7453292519943295E-2</v>
      </c>
      <c r="F39" s="66" t="s">
        <v>488</v>
      </c>
      <c r="G39" s="21">
        <f>+IF(EXACT('3AC_Data'!$D$8,1),'13InputPerforInitial'!H39,IF(EXACT('3AC_Data'!$D$8,2),'13InputPerforInitial'!I39,IF(EXACT('3AC_Data'!$D$8,3),'13InputPerforInitial'!J39,IF(EXACT('3AC_Data'!$D$8,4),'13InputPerforInitial'!K39,IF(EXACT('3AC_Data'!$D$8,5),'13InputPerforInitial'!L39,IF(EXACT('3AC_Data'!$D$8,6),'13InputPerforInitial'!M39,IF(EXACT('3AC_Data'!$D$8,7),'13InputPerforInitial'!N39,IF(EXACT('3AC_Data'!$D$8,8),'13InputPerforInitial'!O39,IF(EXACT('3AC_Data'!$D$8,9),'13InputPerforInitial'!P39,IF(EXACT('3AC_Data'!$D$8,10),'13InputPerforInitial'!Q39,IF(EXACT('3AC_Data'!$D$8,11),'13InputPerforInitial'!R39,IF(EXACT('3AC_Data'!$D$8,12),'13InputPerforInitial'!S39,IF(EXACT('3AC_Data'!$D$8,13),'13InputPerforInitial'!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25</v>
      </c>
      <c r="H39" s="65">
        <v>25</v>
      </c>
      <c r="I39" s="65">
        <v>25</v>
      </c>
      <c r="J39" s="65">
        <v>30</v>
      </c>
      <c r="K39" s="65">
        <v>30</v>
      </c>
      <c r="L39" s="65">
        <v>25</v>
      </c>
      <c r="M39" s="65">
        <v>25</v>
      </c>
      <c r="N39" s="65">
        <v>25</v>
      </c>
      <c r="O39" s="65">
        <v>25</v>
      </c>
      <c r="P39" s="65">
        <v>25</v>
      </c>
      <c r="Q39" s="65">
        <v>25</v>
      </c>
      <c r="R39" s="65">
        <v>25</v>
      </c>
      <c r="S39" s="65">
        <v>25</v>
      </c>
      <c r="T39" s="65">
        <v>25</v>
      </c>
      <c r="U39" s="65">
        <v>25</v>
      </c>
      <c r="V39" s="65">
        <v>25</v>
      </c>
      <c r="W39" s="65">
        <v>25</v>
      </c>
      <c r="X39" s="65">
        <v>25</v>
      </c>
      <c r="Y39" s="65">
        <v>25</v>
      </c>
      <c r="Z39" s="65">
        <v>25</v>
      </c>
      <c r="AA39" s="65">
        <v>25</v>
      </c>
      <c r="AB39" s="65">
        <v>25</v>
      </c>
    </row>
    <row r="40" spans="1:28" x14ac:dyDescent="0.25">
      <c r="A40" s="65">
        <v>6</v>
      </c>
      <c r="B40" s="65" t="s">
        <v>1070</v>
      </c>
      <c r="C40" s="65" t="s">
        <v>1069</v>
      </c>
      <c r="D40" s="36">
        <f t="shared" si="1"/>
        <v>0.17453292519943295</v>
      </c>
      <c r="E40" s="67">
        <f>+PI()/180</f>
        <v>1.7453292519943295E-2</v>
      </c>
      <c r="F40" s="66" t="s">
        <v>1068</v>
      </c>
      <c r="G40" s="21">
        <f>+IF(EXACT('3AC_Data'!$D$8,1),'13InputPerforInitial'!H40,IF(EXACT('3AC_Data'!$D$8,2),'13InputPerforInitial'!I40,IF(EXACT('3AC_Data'!$D$8,3),'13InputPerforInitial'!J40,IF(EXACT('3AC_Data'!$D$8,4),'13InputPerforInitial'!K40,IF(EXACT('3AC_Data'!$D$8,5),'13InputPerforInitial'!L40,IF(EXACT('3AC_Data'!$D$8,6),'13InputPerforInitial'!M40,IF(EXACT('3AC_Data'!$D$8,7),'13InputPerforInitial'!N40,IF(EXACT('3AC_Data'!$D$8,8),'13InputPerforInitial'!O40,IF(EXACT('3AC_Data'!$D$8,9),'13InputPerforInitial'!P40,IF(EXACT('3AC_Data'!$D$8,10),'13InputPerforInitial'!Q40,IF(EXACT('3AC_Data'!$D$8,11),'13InputPerforInitial'!R40,IF(EXACT('3AC_Data'!$D$8,12),'13InputPerforInitial'!S40,IF(EXACT('3AC_Data'!$D$8,13),'13InputPerforInitial'!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10</v>
      </c>
      <c r="H40" s="65">
        <v>10</v>
      </c>
      <c r="I40" s="65">
        <v>10</v>
      </c>
      <c r="J40" s="65">
        <v>10</v>
      </c>
      <c r="K40" s="65">
        <v>10</v>
      </c>
      <c r="L40" s="65">
        <v>10</v>
      </c>
      <c r="M40" s="65">
        <v>10</v>
      </c>
      <c r="N40" s="65">
        <v>10</v>
      </c>
      <c r="O40" s="65">
        <v>10</v>
      </c>
      <c r="P40" s="65">
        <v>10</v>
      </c>
      <c r="Q40" s="65">
        <v>10</v>
      </c>
      <c r="R40" s="65">
        <v>10</v>
      </c>
      <c r="S40" s="65">
        <v>10</v>
      </c>
      <c r="T40" s="65">
        <v>10</v>
      </c>
      <c r="U40" s="65">
        <v>10</v>
      </c>
      <c r="V40" s="65">
        <v>10</v>
      </c>
      <c r="W40" s="65">
        <v>10</v>
      </c>
      <c r="X40" s="65">
        <v>10</v>
      </c>
      <c r="Y40" s="65">
        <v>10</v>
      </c>
      <c r="Z40" s="65">
        <v>10</v>
      </c>
      <c r="AA40" s="65">
        <v>10</v>
      </c>
      <c r="AB40" s="65">
        <v>10</v>
      </c>
    </row>
    <row r="41" spans="1:28" x14ac:dyDescent="0.25">
      <c r="A41" s="65">
        <v>7</v>
      </c>
      <c r="B41" s="65" t="s">
        <v>1067</v>
      </c>
      <c r="C41" s="65" t="s">
        <v>1066</v>
      </c>
      <c r="D41" s="36">
        <f t="shared" si="1"/>
        <v>1.05</v>
      </c>
      <c r="E41" s="67">
        <v>1</v>
      </c>
      <c r="F41" s="66" t="s">
        <v>1055</v>
      </c>
      <c r="G41" s="21">
        <f>+IF(EXACT('3AC_Data'!$D$8,1),'13InputPerforInitial'!H41,IF(EXACT('3AC_Data'!$D$8,2),'13InputPerforInitial'!I41,IF(EXACT('3AC_Data'!$D$8,3),'13InputPerforInitial'!J41,IF(EXACT('3AC_Data'!$D$8,4),'13InputPerforInitial'!K41,IF(EXACT('3AC_Data'!$D$8,5),'13InputPerforInitial'!L41,IF(EXACT('3AC_Data'!$D$8,6),'13InputPerforInitial'!M41,IF(EXACT('3AC_Data'!$D$8,7),'13InputPerforInitial'!N41,IF(EXACT('3AC_Data'!$D$8,8),'13InputPerforInitial'!O41,IF(EXACT('3AC_Data'!$D$8,9),'13InputPerforInitial'!P41,IF(EXACT('3AC_Data'!$D$8,10),'13InputPerforInitial'!Q41,IF(EXACT('3AC_Data'!$D$8,11),'13InputPerforInitial'!R41,IF(EXACT('3AC_Data'!$D$8,12),'13InputPerforInitial'!S41,IF(EXACT('3AC_Data'!$D$8,13),'13InputPerforInitial'!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1.05</v>
      </c>
      <c r="H41" s="65">
        <v>1.05</v>
      </c>
      <c r="I41" s="65">
        <v>1.05</v>
      </c>
      <c r="J41" s="65">
        <v>1.05</v>
      </c>
      <c r="K41" s="65">
        <v>1.05</v>
      </c>
      <c r="L41" s="65">
        <v>1.05</v>
      </c>
      <c r="M41" s="65">
        <v>1.05</v>
      </c>
      <c r="N41" s="65">
        <v>1.05</v>
      </c>
      <c r="O41" s="65">
        <v>1.05</v>
      </c>
      <c r="P41" s="65">
        <v>1.05</v>
      </c>
      <c r="Q41" s="65">
        <v>1.05</v>
      </c>
      <c r="R41" s="65">
        <v>1.05</v>
      </c>
      <c r="S41" s="65">
        <v>1.05</v>
      </c>
      <c r="T41" s="65">
        <v>1.05</v>
      </c>
      <c r="U41" s="65">
        <v>1.05</v>
      </c>
      <c r="V41" s="65">
        <v>1.05</v>
      </c>
      <c r="W41" s="65">
        <v>1.05</v>
      </c>
      <c r="X41" s="65">
        <v>1.05</v>
      </c>
      <c r="Y41" s="65">
        <v>1.05</v>
      </c>
      <c r="Z41" s="65">
        <v>1.05</v>
      </c>
      <c r="AA41" s="65">
        <v>1.05</v>
      </c>
      <c r="AB41" s="65">
        <v>1.05</v>
      </c>
    </row>
    <row r="42" spans="1:28" x14ac:dyDescent="0.25">
      <c r="A42" s="65">
        <v>8</v>
      </c>
      <c r="B42" s="65" t="s">
        <v>1065</v>
      </c>
      <c r="C42" s="65" t="s">
        <v>1064</v>
      </c>
      <c r="D42" s="36">
        <f t="shared" si="1"/>
        <v>300</v>
      </c>
      <c r="E42" s="67">
        <v>1</v>
      </c>
      <c r="F42" s="66" t="s">
        <v>1055</v>
      </c>
      <c r="G42" s="21">
        <f>+IF(EXACT('3AC_Data'!$D$8,1),'13InputPerforInitial'!H42,IF(EXACT('3AC_Data'!$D$8,2),'13InputPerforInitial'!I42,IF(EXACT('3AC_Data'!$D$8,3),'13InputPerforInitial'!J42,IF(EXACT('3AC_Data'!$D$8,4),'13InputPerforInitial'!K42,IF(EXACT('3AC_Data'!$D$8,5),'13InputPerforInitial'!L42,IF(EXACT('3AC_Data'!$D$8,6),'13InputPerforInitial'!M42,IF(EXACT('3AC_Data'!$D$8,7),'13InputPerforInitial'!N42,IF(EXACT('3AC_Data'!$D$8,8),'13InputPerforInitial'!O42,IF(EXACT('3AC_Data'!$D$8,9),'13InputPerforInitial'!P42,IF(EXACT('3AC_Data'!$D$8,10),'13InputPerforInitial'!Q42,IF(EXACT('3AC_Data'!$D$8,11),'13InputPerforInitial'!R42,IF(EXACT('3AC_Data'!$D$8,12),'13InputPerforInitial'!S42,IF(EXACT('3AC_Data'!$D$8,13),'13InputPerforInitial'!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300</v>
      </c>
      <c r="H42" s="65">
        <v>300</v>
      </c>
      <c r="I42" s="65">
        <v>300</v>
      </c>
      <c r="J42" s="65">
        <v>300</v>
      </c>
      <c r="K42" s="65">
        <v>300</v>
      </c>
      <c r="L42" s="65">
        <v>300</v>
      </c>
      <c r="M42" s="65">
        <v>300</v>
      </c>
      <c r="N42" s="65">
        <v>300</v>
      </c>
      <c r="O42" s="65">
        <v>300</v>
      </c>
      <c r="P42" s="65">
        <v>300</v>
      </c>
      <c r="Q42" s="65">
        <v>300</v>
      </c>
      <c r="R42" s="65">
        <v>300</v>
      </c>
      <c r="S42" s="65">
        <v>300</v>
      </c>
      <c r="T42" s="65">
        <v>300</v>
      </c>
      <c r="U42" s="65">
        <v>300</v>
      </c>
      <c r="V42" s="65">
        <v>300</v>
      </c>
      <c r="W42" s="65">
        <v>300</v>
      </c>
      <c r="X42" s="65">
        <v>300</v>
      </c>
      <c r="Y42" s="65">
        <v>300</v>
      </c>
      <c r="Z42" s="65">
        <v>300</v>
      </c>
      <c r="AA42" s="65">
        <v>300</v>
      </c>
      <c r="AB42" s="65">
        <v>300</v>
      </c>
    </row>
    <row r="43" spans="1:28" x14ac:dyDescent="0.25">
      <c r="A43" s="62">
        <v>1</v>
      </c>
      <c r="B43" s="62" t="s">
        <v>1063</v>
      </c>
      <c r="C43" s="62" t="s">
        <v>1062</v>
      </c>
      <c r="D43" s="36">
        <f t="shared" si="1"/>
        <v>10</v>
      </c>
      <c r="E43" s="64">
        <v>1</v>
      </c>
      <c r="F43" s="63" t="s">
        <v>1021</v>
      </c>
      <c r="G43" s="21">
        <f>+IF(EXACT('3AC_Data'!$D$8,1),'13InputPerforInitial'!H43,IF(EXACT('3AC_Data'!$D$8,2),'13InputPerforInitial'!I43,IF(EXACT('3AC_Data'!$D$8,3),'13InputPerforInitial'!J43,IF(EXACT('3AC_Data'!$D$8,4),'13InputPerforInitial'!K43,IF(EXACT('3AC_Data'!$D$8,5),'13InputPerforInitial'!L43,IF(EXACT('3AC_Data'!$D$8,6),'13InputPerforInitial'!M43,IF(EXACT('3AC_Data'!$D$8,7),'13InputPerforInitial'!N43,IF(EXACT('3AC_Data'!$D$8,8),'13InputPerforInitial'!O43,IF(EXACT('3AC_Data'!$D$8,9),'13InputPerforInitial'!P43,IF(EXACT('3AC_Data'!$D$8,10),'13InputPerforInitial'!Q43,IF(EXACT('3AC_Data'!$D$8,11),'13InputPerforInitial'!R43,IF(EXACT('3AC_Data'!$D$8,12),'13InputPerforInitial'!S43,IF(EXACT('3AC_Data'!$D$8,13),'13InputPerforInitial'!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10</v>
      </c>
      <c r="H43" s="62">
        <v>10</v>
      </c>
      <c r="I43" s="62">
        <v>10</v>
      </c>
      <c r="J43" s="62">
        <v>3000</v>
      </c>
      <c r="K43" s="62">
        <v>10</v>
      </c>
      <c r="L43" s="62">
        <v>10</v>
      </c>
      <c r="M43" s="62">
        <v>10</v>
      </c>
      <c r="N43" s="62">
        <v>10</v>
      </c>
      <c r="O43" s="62">
        <v>10</v>
      </c>
      <c r="P43" s="62">
        <v>10</v>
      </c>
      <c r="Q43" s="62">
        <v>10</v>
      </c>
      <c r="R43" s="62">
        <v>10</v>
      </c>
      <c r="S43" s="62">
        <v>10</v>
      </c>
      <c r="T43" s="62">
        <v>10</v>
      </c>
      <c r="U43" s="62">
        <v>10</v>
      </c>
      <c r="V43" s="62">
        <v>10</v>
      </c>
      <c r="W43" s="62">
        <v>10</v>
      </c>
      <c r="X43" s="62">
        <v>10</v>
      </c>
      <c r="Y43" s="62">
        <v>10</v>
      </c>
      <c r="Z43" s="62">
        <v>10</v>
      </c>
      <c r="AA43" s="62">
        <v>10</v>
      </c>
      <c r="AB43" s="62">
        <v>10</v>
      </c>
    </row>
    <row r="44" spans="1:28" x14ac:dyDescent="0.25">
      <c r="A44" s="62">
        <v>2</v>
      </c>
      <c r="B44" s="62" t="s">
        <v>1061</v>
      </c>
      <c r="C44" s="62" t="s">
        <v>1060</v>
      </c>
      <c r="D44" s="36">
        <f t="shared" si="1"/>
        <v>0</v>
      </c>
      <c r="E44" s="64">
        <v>1</v>
      </c>
      <c r="F44" s="63" t="s">
        <v>1021</v>
      </c>
      <c r="G44" s="21">
        <f>+IF(EXACT('3AC_Data'!$D$8,1),'13InputPerforInitial'!H44,IF(EXACT('3AC_Data'!$D$8,2),'13InputPerforInitial'!I44,IF(EXACT('3AC_Data'!$D$8,3),'13InputPerforInitial'!J44,IF(EXACT('3AC_Data'!$D$8,4),'13InputPerforInitial'!K44,IF(EXACT('3AC_Data'!$D$8,5),'13InputPerforInitial'!L44,IF(EXACT('3AC_Data'!$D$8,6),'13InputPerforInitial'!M44,IF(EXACT('3AC_Data'!$D$8,7),'13InputPerforInitial'!N44,IF(EXACT('3AC_Data'!$D$8,8),'13InputPerforInitial'!O44,IF(EXACT('3AC_Data'!$D$8,9),'13InputPerforInitial'!P44,IF(EXACT('3AC_Data'!$D$8,10),'13InputPerforInitial'!Q44,IF(EXACT('3AC_Data'!$D$8,11),'13InputPerforInitial'!R44,IF(EXACT('3AC_Data'!$D$8,12),'13InputPerforInitial'!S44,IF(EXACT('3AC_Data'!$D$8,13),'13InputPerforInitial'!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</row>
    <row r="45" spans="1:28" x14ac:dyDescent="0.25">
      <c r="A45" s="62">
        <v>3</v>
      </c>
      <c r="B45" s="62" t="s">
        <v>1059</v>
      </c>
      <c r="C45" s="62" t="s">
        <v>1058</v>
      </c>
      <c r="D45" s="36">
        <f t="shared" si="1"/>
        <v>5.235987755982989E-2</v>
      </c>
      <c r="E45" s="64">
        <f>+PI()/180</f>
        <v>1.7453292519943295E-2</v>
      </c>
      <c r="F45" s="63" t="s">
        <v>488</v>
      </c>
      <c r="G45" s="21">
        <f>+IF(EXACT('3AC_Data'!$D$8,1),'13InputPerforInitial'!H45,IF(EXACT('3AC_Data'!$D$8,2),'13InputPerforInitial'!I45,IF(EXACT('3AC_Data'!$D$8,3),'13InputPerforInitial'!J45,IF(EXACT('3AC_Data'!$D$8,4),'13InputPerforInitial'!K45,IF(EXACT('3AC_Data'!$D$8,5),'13InputPerforInitial'!L45,IF(EXACT('3AC_Data'!$D$8,6),'13InputPerforInitial'!M45,IF(EXACT('3AC_Data'!$D$8,7),'13InputPerforInitial'!N45,IF(EXACT('3AC_Data'!$D$8,8),'13InputPerforInitial'!O45,IF(EXACT('3AC_Data'!$D$8,9),'13InputPerforInitial'!P45,IF(EXACT('3AC_Data'!$D$8,10),'13InputPerforInitial'!Q45,IF(EXACT('3AC_Data'!$D$8,11),'13InputPerforInitial'!R45,IF(EXACT('3AC_Data'!$D$8,12),'13InputPerforInitial'!S45,IF(EXACT('3AC_Data'!$D$8,13),'13InputPerforInitial'!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3</v>
      </c>
      <c r="H45" s="62">
        <v>3</v>
      </c>
      <c r="I45" s="62">
        <v>3</v>
      </c>
      <c r="J45" s="62">
        <v>3</v>
      </c>
      <c r="K45" s="62">
        <v>3</v>
      </c>
      <c r="L45" s="62">
        <v>3</v>
      </c>
      <c r="M45" s="62">
        <v>3</v>
      </c>
      <c r="N45" s="62">
        <v>3</v>
      </c>
      <c r="O45" s="62">
        <v>3</v>
      </c>
      <c r="P45" s="62">
        <v>3</v>
      </c>
      <c r="Q45" s="62">
        <v>3</v>
      </c>
      <c r="R45" s="62">
        <v>3</v>
      </c>
      <c r="S45" s="62">
        <v>3</v>
      </c>
      <c r="T45" s="62">
        <v>3</v>
      </c>
      <c r="U45" s="62">
        <v>3</v>
      </c>
      <c r="V45" s="62">
        <v>3</v>
      </c>
      <c r="W45" s="62">
        <v>3</v>
      </c>
      <c r="X45" s="62">
        <v>3</v>
      </c>
      <c r="Y45" s="62">
        <v>3</v>
      </c>
      <c r="Z45" s="62">
        <v>3</v>
      </c>
      <c r="AA45" s="62">
        <v>3</v>
      </c>
      <c r="AB45" s="62">
        <v>3</v>
      </c>
    </row>
    <row r="46" spans="1:28" x14ac:dyDescent="0.25">
      <c r="A46" s="62">
        <v>4</v>
      </c>
      <c r="B46" s="62" t="s">
        <v>1057</v>
      </c>
      <c r="C46" s="62" t="s">
        <v>1056</v>
      </c>
      <c r="D46" s="36">
        <f t="shared" si="1"/>
        <v>120</v>
      </c>
      <c r="E46" s="64">
        <v>1</v>
      </c>
      <c r="F46" s="63" t="s">
        <v>1055</v>
      </c>
      <c r="G46" s="21">
        <f>+IF(EXACT('3AC_Data'!$D$8,1),'13InputPerforInitial'!H46,IF(EXACT('3AC_Data'!$D$8,2),'13InputPerforInitial'!I46,IF(EXACT('3AC_Data'!$D$8,3),'13InputPerforInitial'!J46,IF(EXACT('3AC_Data'!$D$8,4),'13InputPerforInitial'!K46,IF(EXACT('3AC_Data'!$D$8,5),'13InputPerforInitial'!L46,IF(EXACT('3AC_Data'!$D$8,6),'13InputPerforInitial'!M46,IF(EXACT('3AC_Data'!$D$8,7),'13InputPerforInitial'!N46,IF(EXACT('3AC_Data'!$D$8,8),'13InputPerforInitial'!O46,IF(EXACT('3AC_Data'!$D$8,9),'13InputPerforInitial'!P46,IF(EXACT('3AC_Data'!$D$8,10),'13InputPerforInitial'!Q46,IF(EXACT('3AC_Data'!$D$8,11),'13InputPerforInitial'!R46,IF(EXACT('3AC_Data'!$D$8,12),'13InputPerforInitial'!S46,IF(EXACT('3AC_Data'!$D$8,13),'13InputPerforInitial'!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120</v>
      </c>
      <c r="H46" s="62">
        <v>120</v>
      </c>
      <c r="I46" s="62">
        <v>120</v>
      </c>
      <c r="J46" s="62">
        <v>60</v>
      </c>
      <c r="K46" s="62">
        <v>90</v>
      </c>
      <c r="L46" s="62">
        <v>120</v>
      </c>
      <c r="M46" s="62">
        <v>120</v>
      </c>
      <c r="N46" s="62">
        <v>120</v>
      </c>
      <c r="O46" s="62">
        <v>120</v>
      </c>
      <c r="P46" s="62">
        <v>120</v>
      </c>
      <c r="Q46" s="62">
        <v>120</v>
      </c>
      <c r="R46" s="62">
        <v>120</v>
      </c>
      <c r="S46" s="62">
        <v>120</v>
      </c>
      <c r="T46" s="62">
        <v>120</v>
      </c>
      <c r="U46" s="62">
        <v>120</v>
      </c>
      <c r="V46" s="62">
        <v>120</v>
      </c>
      <c r="W46" s="62">
        <v>120</v>
      </c>
      <c r="X46" s="62">
        <v>120</v>
      </c>
      <c r="Y46" s="62">
        <v>120</v>
      </c>
      <c r="Z46" s="62">
        <v>120</v>
      </c>
      <c r="AA46" s="62">
        <v>120</v>
      </c>
      <c r="AB46" s="62">
        <v>120</v>
      </c>
    </row>
    <row r="47" spans="1:28" x14ac:dyDescent="0.25">
      <c r="A47" s="62">
        <v>5</v>
      </c>
      <c r="B47" s="62" t="s">
        <v>1054</v>
      </c>
      <c r="C47" s="62" t="s">
        <v>1053</v>
      </c>
      <c r="D47" s="36">
        <f t="shared" si="1"/>
        <v>15</v>
      </c>
      <c r="E47" s="64">
        <v>1</v>
      </c>
      <c r="F47" s="63"/>
      <c r="G47" s="21">
        <f>+IF(EXACT('3AC_Data'!$D$8,1),'13InputPerforInitial'!H47,IF(EXACT('3AC_Data'!$D$8,2),'13InputPerforInitial'!I47,IF(EXACT('3AC_Data'!$D$8,3),'13InputPerforInitial'!J47,IF(EXACT('3AC_Data'!$D$8,4),'13InputPerforInitial'!K47,IF(EXACT('3AC_Data'!$D$8,5),'13InputPerforInitial'!L47,IF(EXACT('3AC_Data'!$D$8,6),'13InputPerforInitial'!M47,IF(EXACT('3AC_Data'!$D$8,7),'13InputPerforInitial'!N47,IF(EXACT('3AC_Data'!$D$8,8),'13InputPerforInitial'!O47,IF(EXACT('3AC_Data'!$D$8,9),'13InputPerforInitial'!P47,IF(EXACT('3AC_Data'!$D$8,10),'13InputPerforInitial'!Q47,IF(EXACT('3AC_Data'!$D$8,11),'13InputPerforInitial'!R47,IF(EXACT('3AC_Data'!$D$8,12),'13InputPerforInitial'!S47,IF(EXACT('3AC_Data'!$D$8,13),'13InputPerforInitial'!T47,IF(EXACT('3AC_Data'!$D$8,14),U47,IF(EXACT('3AC_Data'!$D$8,15),V47,IF(EXACT('3AC_Data'!$D$8,16),W47,IF(EXACT('3AC_Data'!$D$8,17),X47,IF(EXACT('3AC_Data'!$D$8,18),Y47,IF(EXACT('3AC_Data'!$D$8,19),Z47,IF(EXACT('3AC_Data'!$D$8,20),AA47,IF(EXACT('3AC_Data'!$D$8,21),AB47,IF(EXACT('3AC_Data'!$D$8,22),AC47,IF(EXACT('3AC_Data'!$D$8,23),AD47,IF(EXACT('3AC_Data'!$D$8,24),AE47,IF(EXACT('3AC_Data'!$D$8,25),AF47,IF(EXACT('3AC_Data'!$D$8,26),AG47,IF(EXACT('3AC_Data'!$D$8,27),AH47,IF(EXACT('3AC_Data'!$D$8,28),AI47,IF(EXACT('3AC_Data'!$D$8,29),AJ47,IF(EXACT('3AC_Data'!$D$8,30),AK47))))))))))))))))))))))))))))))</f>
        <v>15</v>
      </c>
      <c r="H47" s="62">
        <v>15</v>
      </c>
      <c r="I47" s="62">
        <v>15</v>
      </c>
      <c r="J47" s="62">
        <v>60</v>
      </c>
      <c r="K47" s="62">
        <v>90</v>
      </c>
      <c r="L47" s="62">
        <v>15</v>
      </c>
      <c r="M47" s="62">
        <v>15</v>
      </c>
      <c r="N47" s="62">
        <v>15</v>
      </c>
      <c r="O47" s="62">
        <v>15</v>
      </c>
      <c r="P47" s="62">
        <v>15</v>
      </c>
      <c r="Q47" s="62">
        <v>15</v>
      </c>
      <c r="R47" s="62">
        <v>15</v>
      </c>
      <c r="S47" s="62">
        <v>15</v>
      </c>
      <c r="T47" s="62">
        <v>15</v>
      </c>
      <c r="U47" s="62">
        <v>15</v>
      </c>
      <c r="V47" s="62">
        <v>15</v>
      </c>
      <c r="W47" s="62">
        <v>15</v>
      </c>
      <c r="X47" s="62">
        <v>15</v>
      </c>
      <c r="Y47" s="62">
        <v>15</v>
      </c>
      <c r="Z47" s="62">
        <v>15</v>
      </c>
      <c r="AA47" s="62">
        <v>15</v>
      </c>
      <c r="AB47" s="62">
        <v>15</v>
      </c>
    </row>
    <row r="48" spans="1:28" x14ac:dyDescent="0.25">
      <c r="A48" s="62">
        <v>6</v>
      </c>
      <c r="B48" s="62" t="s">
        <v>1052</v>
      </c>
      <c r="C48" s="62" t="s">
        <v>1051</v>
      </c>
      <c r="D48" s="36">
        <f t="shared" si="1"/>
        <v>15</v>
      </c>
      <c r="E48" s="64">
        <v>1</v>
      </c>
      <c r="F48" s="63"/>
      <c r="G48" s="21">
        <f>+IF(EXACT('3AC_Data'!$D$8,1),'13InputPerforInitial'!H48,IF(EXACT('3AC_Data'!$D$8,2),'13InputPerforInitial'!I48,IF(EXACT('3AC_Data'!$D$8,3),'13InputPerforInitial'!J48,IF(EXACT('3AC_Data'!$D$8,4),'13InputPerforInitial'!K48,IF(EXACT('3AC_Data'!$D$8,5),'13InputPerforInitial'!L48,IF(EXACT('3AC_Data'!$D$8,6),'13InputPerforInitial'!M48,IF(EXACT('3AC_Data'!$D$8,7),'13InputPerforInitial'!N48,IF(EXACT('3AC_Data'!$D$8,8),'13InputPerforInitial'!O48,IF(EXACT('3AC_Data'!$D$8,9),'13InputPerforInitial'!P48,IF(EXACT('3AC_Data'!$D$8,10),'13InputPerforInitial'!Q48,IF(EXACT('3AC_Data'!$D$8,11),'13InputPerforInitial'!R48,IF(EXACT('3AC_Data'!$D$8,12),'13InputPerforInitial'!S48,IF(EXACT('3AC_Data'!$D$8,13),'13InputPerforInitial'!T48,IF(EXACT('3AC_Data'!$D$8,14),U48,IF(EXACT('3AC_Data'!$D$8,15),V48,IF(EXACT('3AC_Data'!$D$8,16),W48,IF(EXACT('3AC_Data'!$D$8,17),X48,IF(EXACT('3AC_Data'!$D$8,18),Y48,IF(EXACT('3AC_Data'!$D$8,19),Z48,IF(EXACT('3AC_Data'!$D$8,20),AA48,IF(EXACT('3AC_Data'!$D$8,21),AB48,IF(EXACT('3AC_Data'!$D$8,22),AC48,IF(EXACT('3AC_Data'!$D$8,23),AD48,IF(EXACT('3AC_Data'!$D$8,24),AE48,IF(EXACT('3AC_Data'!$D$8,25),AF48,IF(EXACT('3AC_Data'!$D$8,26),AG48,IF(EXACT('3AC_Data'!$D$8,27),AH48,IF(EXACT('3AC_Data'!$D$8,28),AI48,IF(EXACT('3AC_Data'!$D$8,29),AJ48,IF(EXACT('3AC_Data'!$D$8,30),AK48))))))))))))))))))))))))))))))</f>
        <v>15</v>
      </c>
      <c r="H48" s="62">
        <v>15</v>
      </c>
      <c r="I48" s="62">
        <v>15</v>
      </c>
      <c r="J48" s="62">
        <v>60</v>
      </c>
      <c r="K48" s="62">
        <v>90</v>
      </c>
      <c r="L48" s="62">
        <v>15</v>
      </c>
      <c r="M48" s="62">
        <v>15</v>
      </c>
      <c r="N48" s="62">
        <v>15</v>
      </c>
      <c r="O48" s="62">
        <v>15</v>
      </c>
      <c r="P48" s="62">
        <v>15</v>
      </c>
      <c r="Q48" s="62">
        <v>15</v>
      </c>
      <c r="R48" s="62">
        <v>15</v>
      </c>
      <c r="S48" s="62">
        <v>15</v>
      </c>
      <c r="T48" s="62">
        <v>15</v>
      </c>
      <c r="U48" s="62">
        <v>15</v>
      </c>
      <c r="V48" s="62">
        <v>15</v>
      </c>
      <c r="W48" s="62">
        <v>15</v>
      </c>
      <c r="X48" s="62">
        <v>15</v>
      </c>
      <c r="Y48" s="62">
        <v>15</v>
      </c>
      <c r="Z48" s="62">
        <v>15</v>
      </c>
      <c r="AA48" s="62">
        <v>15</v>
      </c>
      <c r="AB48" s="62">
        <v>15</v>
      </c>
    </row>
    <row r="49" spans="1:28" x14ac:dyDescent="0.25">
      <c r="A49" s="62">
        <v>7</v>
      </c>
      <c r="B49" s="62" t="s">
        <v>1050</v>
      </c>
      <c r="C49" s="62" t="s">
        <v>1049</v>
      </c>
      <c r="D49" s="36">
        <f t="shared" si="1"/>
        <v>0.1</v>
      </c>
      <c r="E49" s="63">
        <v>1</v>
      </c>
      <c r="F49" s="63"/>
      <c r="G49" s="21">
        <f>+IF(EXACT('3AC_Data'!$D$8,1),'13InputPerforInitial'!H49,IF(EXACT('3AC_Data'!$D$8,2),'13InputPerforInitial'!I49,IF(EXACT('3AC_Data'!$D$8,3),'13InputPerforInitial'!J49,IF(EXACT('3AC_Data'!$D$8,4),'13InputPerforInitial'!K49,IF(EXACT('3AC_Data'!$D$8,5),'13InputPerforInitial'!L49,IF(EXACT('3AC_Data'!$D$8,6),'13InputPerforInitial'!M49,IF(EXACT('3AC_Data'!$D$8,7),'13InputPerforInitial'!N49,IF(EXACT('3AC_Data'!$D$8,8),'13InputPerforInitial'!O49,IF(EXACT('3AC_Data'!$D$8,9),'13InputPerforInitial'!P49,IF(EXACT('3AC_Data'!$D$8,10),'13InputPerforInitial'!Q49,IF(EXACT('3AC_Data'!$D$8,11),'13InputPerforInitial'!R49,IF(EXACT('3AC_Data'!$D$8,12),'13InputPerforInitial'!S49,IF(EXACT('3AC_Data'!$D$8,13),'13InputPerforInitial'!T49,IF(EXACT('3AC_Data'!$D$8,14),U49,IF(EXACT('3AC_Data'!$D$8,15),V49,IF(EXACT('3AC_Data'!$D$8,16),W49,IF(EXACT('3AC_Data'!$D$8,17),X49,IF(EXACT('3AC_Data'!$D$8,18),Y49,IF(EXACT('3AC_Data'!$D$8,19),Z49,IF(EXACT('3AC_Data'!$D$8,20),AA49,IF(EXACT('3AC_Data'!$D$8,21),AB49,IF(EXACT('3AC_Data'!$D$8,22),AC49,IF(EXACT('3AC_Data'!$D$8,23),AD49,IF(EXACT('3AC_Data'!$D$8,24),AE49,IF(EXACT('3AC_Data'!$D$8,25),AF49,IF(EXACT('3AC_Data'!$D$8,26),AG49,IF(EXACT('3AC_Data'!$D$8,27),AH49,IF(EXACT('3AC_Data'!$D$8,28),AI49,IF(EXACT('3AC_Data'!$D$8,29),AJ49,IF(EXACT('3AC_Data'!$D$8,30),AK49))))))))))))))))))))))))))))))</f>
        <v>0.1</v>
      </c>
      <c r="H49" s="62">
        <v>0.1</v>
      </c>
      <c r="I49" s="62">
        <v>0.1</v>
      </c>
      <c r="J49" s="62">
        <v>0.1</v>
      </c>
      <c r="K49" s="62">
        <v>0.1</v>
      </c>
      <c r="L49" s="62">
        <v>0.1</v>
      </c>
      <c r="M49" s="62">
        <v>0.1</v>
      </c>
      <c r="N49" s="62">
        <v>0.1</v>
      </c>
      <c r="O49" s="62">
        <v>0.1</v>
      </c>
      <c r="P49" s="62">
        <v>0.1</v>
      </c>
      <c r="Q49" s="62">
        <v>0.1</v>
      </c>
      <c r="R49" s="62">
        <v>0.1</v>
      </c>
      <c r="S49" s="62">
        <v>0.1</v>
      </c>
      <c r="T49" s="62">
        <v>0.1</v>
      </c>
      <c r="U49" s="62">
        <v>0.1</v>
      </c>
      <c r="V49" s="62">
        <v>0.1</v>
      </c>
      <c r="W49" s="62">
        <v>0.1</v>
      </c>
      <c r="X49" s="62">
        <v>0.1</v>
      </c>
      <c r="Y49" s="62">
        <v>0.1</v>
      </c>
      <c r="Z49" s="62">
        <v>0.1</v>
      </c>
      <c r="AA49" s="62">
        <v>0.1</v>
      </c>
      <c r="AB49" s="62">
        <v>0.1</v>
      </c>
    </row>
    <row r="50" spans="1:28" x14ac:dyDescent="0.25">
      <c r="A50" s="62">
        <v>8</v>
      </c>
      <c r="B50" s="62" t="s">
        <v>1048</v>
      </c>
      <c r="C50" s="62" t="s">
        <v>1047</v>
      </c>
      <c r="D50" s="36">
        <f t="shared" si="1"/>
        <v>15</v>
      </c>
      <c r="E50" s="64">
        <v>1</v>
      </c>
      <c r="F50" s="63"/>
      <c r="G50" s="21">
        <f>+IF(EXACT('3AC_Data'!$D$8,1),'13InputPerforInitial'!H50,IF(EXACT('3AC_Data'!$D$8,2),'13InputPerforInitial'!I50,IF(EXACT('3AC_Data'!$D$8,3),'13InputPerforInitial'!J50,IF(EXACT('3AC_Data'!$D$8,4),'13InputPerforInitial'!K50,IF(EXACT('3AC_Data'!$D$8,5),'13InputPerforInitial'!L50,IF(EXACT('3AC_Data'!$D$8,6),'13InputPerforInitial'!M50,IF(EXACT('3AC_Data'!$D$8,7),'13InputPerforInitial'!N50,IF(EXACT('3AC_Data'!$D$8,8),'13InputPerforInitial'!O50,IF(EXACT('3AC_Data'!$D$8,9),'13InputPerforInitial'!P50,IF(EXACT('3AC_Data'!$D$8,10),'13InputPerforInitial'!Q50,IF(EXACT('3AC_Data'!$D$8,11),'13InputPerforInitial'!R50,IF(EXACT('3AC_Data'!$D$8,12),'13InputPerforInitial'!S50,IF(EXACT('3AC_Data'!$D$8,13),'13InputPerforInitial'!T50,IF(EXACT('3AC_Data'!$D$8,14),U50,IF(EXACT('3AC_Data'!$D$8,15),V50,IF(EXACT('3AC_Data'!$D$8,16),W50,IF(EXACT('3AC_Data'!$D$8,17),X50,IF(EXACT('3AC_Data'!$D$8,18),Y50,IF(EXACT('3AC_Data'!$D$8,19),Z50,IF(EXACT('3AC_Data'!$D$8,20),AA50,IF(EXACT('3AC_Data'!$D$8,21),AB50,IF(EXACT('3AC_Data'!$D$8,22),AC50,IF(EXACT('3AC_Data'!$D$8,23),AD50,IF(EXACT('3AC_Data'!$D$8,24),AE50,IF(EXACT('3AC_Data'!$D$8,25),AF50,IF(EXACT('3AC_Data'!$D$8,26),AG50,IF(EXACT('3AC_Data'!$D$8,27),AH50,IF(EXACT('3AC_Data'!$D$8,28),AI50,IF(EXACT('3AC_Data'!$D$8,29),AJ50,IF(EXACT('3AC_Data'!$D$8,30),AK50))))))))))))))))))))))))))))))</f>
        <v>15</v>
      </c>
      <c r="H50" s="62">
        <v>15</v>
      </c>
      <c r="I50" s="62">
        <v>15</v>
      </c>
      <c r="J50" s="62">
        <v>60</v>
      </c>
      <c r="K50" s="62">
        <v>90</v>
      </c>
      <c r="L50" s="62">
        <v>15</v>
      </c>
      <c r="M50" s="62">
        <v>15</v>
      </c>
      <c r="N50" s="62">
        <v>15</v>
      </c>
      <c r="O50" s="62">
        <v>15</v>
      </c>
      <c r="P50" s="62">
        <v>15</v>
      </c>
      <c r="Q50" s="62">
        <v>15</v>
      </c>
      <c r="R50" s="62">
        <v>15</v>
      </c>
      <c r="S50" s="62">
        <v>15</v>
      </c>
      <c r="T50" s="62">
        <v>15</v>
      </c>
      <c r="U50" s="62">
        <v>15</v>
      </c>
      <c r="V50" s="62">
        <v>15</v>
      </c>
      <c r="W50" s="62">
        <v>15</v>
      </c>
      <c r="X50" s="62">
        <v>15</v>
      </c>
      <c r="Y50" s="62">
        <v>15</v>
      </c>
      <c r="Z50" s="62">
        <v>15</v>
      </c>
      <c r="AA50" s="62">
        <v>15</v>
      </c>
      <c r="AB50" s="62">
        <v>15</v>
      </c>
    </row>
    <row r="51" spans="1:28" x14ac:dyDescent="0.25">
      <c r="A51" s="62">
        <v>9</v>
      </c>
      <c r="B51" s="62" t="s">
        <v>1046</v>
      </c>
      <c r="C51" s="62" t="s">
        <v>1045</v>
      </c>
      <c r="D51" s="36">
        <f t="shared" si="1"/>
        <v>15</v>
      </c>
      <c r="E51" s="64">
        <v>1</v>
      </c>
      <c r="F51" s="63"/>
      <c r="G51" s="21">
        <f>+IF(EXACT('3AC_Data'!$D$8,1),'13InputPerforInitial'!H51,IF(EXACT('3AC_Data'!$D$8,2),'13InputPerforInitial'!I51,IF(EXACT('3AC_Data'!$D$8,3),'13InputPerforInitial'!J51,IF(EXACT('3AC_Data'!$D$8,4),'13InputPerforInitial'!K51,IF(EXACT('3AC_Data'!$D$8,5),'13InputPerforInitial'!L51,IF(EXACT('3AC_Data'!$D$8,6),'13InputPerforInitial'!M51,IF(EXACT('3AC_Data'!$D$8,7),'13InputPerforInitial'!N51,IF(EXACT('3AC_Data'!$D$8,8),'13InputPerforInitial'!O51,IF(EXACT('3AC_Data'!$D$8,9),'13InputPerforInitial'!P51,IF(EXACT('3AC_Data'!$D$8,10),'13InputPerforInitial'!Q51,IF(EXACT('3AC_Data'!$D$8,11),'13InputPerforInitial'!R51,IF(EXACT('3AC_Data'!$D$8,12),'13InputPerforInitial'!S51,IF(EXACT('3AC_Data'!$D$8,13),'13InputPerforInitial'!T51,IF(EXACT('3AC_Data'!$D$8,14),U51,IF(EXACT('3AC_Data'!$D$8,15),V51,IF(EXACT('3AC_Data'!$D$8,16),W51,IF(EXACT('3AC_Data'!$D$8,17),X51,IF(EXACT('3AC_Data'!$D$8,18),Y51,IF(EXACT('3AC_Data'!$D$8,19),Z51,IF(EXACT('3AC_Data'!$D$8,20),AA51,IF(EXACT('3AC_Data'!$D$8,21),AB51,IF(EXACT('3AC_Data'!$D$8,22),AC51,IF(EXACT('3AC_Data'!$D$8,23),AD51,IF(EXACT('3AC_Data'!$D$8,24),AE51,IF(EXACT('3AC_Data'!$D$8,25),AF51,IF(EXACT('3AC_Data'!$D$8,26),AG51,IF(EXACT('3AC_Data'!$D$8,27),AH51,IF(EXACT('3AC_Data'!$D$8,28),AI51,IF(EXACT('3AC_Data'!$D$8,29),AJ51,IF(EXACT('3AC_Data'!$D$8,30),AK51))))))))))))))))))))))))))))))</f>
        <v>15</v>
      </c>
      <c r="H51" s="62">
        <v>15</v>
      </c>
      <c r="I51" s="62">
        <v>15</v>
      </c>
      <c r="J51" s="62">
        <v>60</v>
      </c>
      <c r="K51" s="62">
        <v>90</v>
      </c>
      <c r="L51" s="62">
        <v>15</v>
      </c>
      <c r="M51" s="62">
        <v>15</v>
      </c>
      <c r="N51" s="62">
        <v>15</v>
      </c>
      <c r="O51" s="62">
        <v>15</v>
      </c>
      <c r="P51" s="62">
        <v>15</v>
      </c>
      <c r="Q51" s="62">
        <v>15</v>
      </c>
      <c r="R51" s="62">
        <v>15</v>
      </c>
      <c r="S51" s="62">
        <v>15</v>
      </c>
      <c r="T51" s="62">
        <v>15</v>
      </c>
      <c r="U51" s="62">
        <v>15</v>
      </c>
      <c r="V51" s="62">
        <v>15</v>
      </c>
      <c r="W51" s="62">
        <v>15</v>
      </c>
      <c r="X51" s="62">
        <v>15</v>
      </c>
      <c r="Y51" s="62">
        <v>15</v>
      </c>
      <c r="Z51" s="62">
        <v>15</v>
      </c>
      <c r="AA51" s="62">
        <v>15</v>
      </c>
      <c r="AB51" s="62">
        <v>15</v>
      </c>
    </row>
    <row r="52" spans="1:28" x14ac:dyDescent="0.25">
      <c r="A52" s="59">
        <v>1</v>
      </c>
      <c r="B52" s="59" t="s">
        <v>1044</v>
      </c>
      <c r="C52" s="59" t="s">
        <v>1043</v>
      </c>
      <c r="D52" s="36">
        <f t="shared" si="1"/>
        <v>6.0960000000000001</v>
      </c>
      <c r="E52" s="61">
        <v>0.30480000000000002</v>
      </c>
      <c r="F52" s="60"/>
      <c r="G52" s="21">
        <f>+IF(EXACT('3AC_Data'!$D$8,1),'13InputPerforInitial'!H52,IF(EXACT('3AC_Data'!$D$8,2),'13InputPerforInitial'!I52,IF(EXACT('3AC_Data'!$D$8,3),'13InputPerforInitial'!J52,IF(EXACT('3AC_Data'!$D$8,4),'13InputPerforInitial'!K52,IF(EXACT('3AC_Data'!$D$8,5),'13InputPerforInitial'!L52,IF(EXACT('3AC_Data'!$D$8,6),'13InputPerforInitial'!M52,IF(EXACT('3AC_Data'!$D$8,7),'13InputPerforInitial'!N52,IF(EXACT('3AC_Data'!$D$8,8),'13InputPerforInitial'!O52,IF(EXACT('3AC_Data'!$D$8,9),'13InputPerforInitial'!P52,IF(EXACT('3AC_Data'!$D$8,10),'13InputPerforInitial'!Q52,IF(EXACT('3AC_Data'!$D$8,11),'13InputPerforInitial'!R52,IF(EXACT('3AC_Data'!$D$8,12),'13InputPerforInitial'!S52,IF(EXACT('3AC_Data'!$D$8,13),'13InputPerforInitial'!T52,IF(EXACT('3AC_Data'!$D$8,14),U52,IF(EXACT('3AC_Data'!$D$8,15),V52,IF(EXACT('3AC_Data'!$D$8,16),W52,IF(EXACT('3AC_Data'!$D$8,17),X52,IF(EXACT('3AC_Data'!$D$8,18),Y52,IF(EXACT('3AC_Data'!$D$8,19),Z52,IF(EXACT('3AC_Data'!$D$8,20),AA52,IF(EXACT('3AC_Data'!$D$8,21),AB52,IF(EXACT('3AC_Data'!$D$8,22),AC52,IF(EXACT('3AC_Data'!$D$8,23),AD52,IF(EXACT('3AC_Data'!$D$8,24),AE52,IF(EXACT('3AC_Data'!$D$8,25),AF52,IF(EXACT('3AC_Data'!$D$8,26),AG52,IF(EXACT('3AC_Data'!$D$8,27),AH52,IF(EXACT('3AC_Data'!$D$8,28),AI52,IF(EXACT('3AC_Data'!$D$8,29),AJ52,IF(EXACT('3AC_Data'!$D$8,30),AK52))))))))))))))))))))))))))))))</f>
        <v>20</v>
      </c>
      <c r="H52" s="59">
        <v>10</v>
      </c>
      <c r="I52" s="59">
        <v>15</v>
      </c>
      <c r="J52" s="59">
        <v>1500</v>
      </c>
      <c r="K52" s="59">
        <v>20</v>
      </c>
      <c r="L52" s="59">
        <v>20</v>
      </c>
      <c r="M52" s="59">
        <v>20</v>
      </c>
      <c r="N52" s="59">
        <v>20</v>
      </c>
      <c r="O52" s="59">
        <v>20</v>
      </c>
      <c r="P52" s="59">
        <v>10</v>
      </c>
      <c r="Q52" s="59">
        <v>10</v>
      </c>
      <c r="R52" s="59">
        <v>10</v>
      </c>
      <c r="S52" s="59">
        <v>10</v>
      </c>
      <c r="T52" s="59">
        <v>10</v>
      </c>
      <c r="U52" s="59">
        <v>10</v>
      </c>
      <c r="V52" s="59">
        <v>10</v>
      </c>
      <c r="W52" s="59">
        <v>10</v>
      </c>
      <c r="X52" s="59">
        <v>10</v>
      </c>
      <c r="Y52" s="59">
        <v>10</v>
      </c>
      <c r="Z52" s="59">
        <v>10</v>
      </c>
      <c r="AA52" s="59">
        <v>10</v>
      </c>
      <c r="AB52" s="59">
        <v>10</v>
      </c>
    </row>
    <row r="53" spans="1:28" x14ac:dyDescent="0.25">
      <c r="A53" s="59">
        <v>2</v>
      </c>
      <c r="B53" s="59" t="s">
        <v>1042</v>
      </c>
      <c r="C53" s="59" t="s">
        <v>1041</v>
      </c>
      <c r="D53" s="36">
        <f t="shared" si="1"/>
        <v>2700</v>
      </c>
      <c r="E53" s="61">
        <v>60</v>
      </c>
      <c r="F53" s="60" t="s">
        <v>1040</v>
      </c>
      <c r="G53" s="21">
        <f>+IF(EXACT('3AC_Data'!$D$8,1),'13InputPerforInitial'!H53,IF(EXACT('3AC_Data'!$D$8,2),'13InputPerforInitial'!I53,IF(EXACT('3AC_Data'!$D$8,3),'13InputPerforInitial'!J53,IF(EXACT('3AC_Data'!$D$8,4),'13InputPerforInitial'!K53,IF(EXACT('3AC_Data'!$D$8,5),'13InputPerforInitial'!L53,IF(EXACT('3AC_Data'!$D$8,6),'13InputPerforInitial'!M53,IF(EXACT('3AC_Data'!$D$8,7),'13InputPerforInitial'!N53,IF(EXACT('3AC_Data'!$D$8,8),'13InputPerforInitial'!O53,IF(EXACT('3AC_Data'!$D$8,9),'13InputPerforInitial'!P53,IF(EXACT('3AC_Data'!$D$8,10),'13InputPerforInitial'!Q53,IF(EXACT('3AC_Data'!$D$8,11),'13InputPerforInitial'!R53,IF(EXACT('3AC_Data'!$D$8,12),'13InputPerforInitial'!S53,IF(EXACT('3AC_Data'!$D$8,13),'13InputPerforInitial'!T53,IF(EXACT('3AC_Data'!$D$8,14),U53,IF(EXACT('3AC_Data'!$D$8,15),V53,IF(EXACT('3AC_Data'!$D$8,16),W53,IF(EXACT('3AC_Data'!$D$8,17),X53,IF(EXACT('3AC_Data'!$D$8,18),Y53,IF(EXACT('3AC_Data'!$D$8,19),Z53,IF(EXACT('3AC_Data'!$D$8,20),AA53,IF(EXACT('3AC_Data'!$D$8,21),AB53,IF(EXACT('3AC_Data'!$D$8,22),AC53,IF(EXACT('3AC_Data'!$D$8,23),AD53,IF(EXACT('3AC_Data'!$D$8,24),AE53,IF(EXACT('3AC_Data'!$D$8,25),AF53,IF(EXACT('3AC_Data'!$D$8,26),AG53,IF(EXACT('3AC_Data'!$D$8,27),AH53,IF(EXACT('3AC_Data'!$D$8,28),AI53,IF(EXACT('3AC_Data'!$D$8,29),AJ53,IF(EXACT('3AC_Data'!$D$8,30),AK53))))))))))))))))))))))))))))))</f>
        <v>45</v>
      </c>
      <c r="H53" s="59">
        <v>45</v>
      </c>
      <c r="I53" s="59">
        <v>15</v>
      </c>
      <c r="J53" s="59">
        <v>20</v>
      </c>
      <c r="K53" s="59">
        <v>45</v>
      </c>
      <c r="L53" s="59">
        <v>45</v>
      </c>
      <c r="M53" s="59">
        <v>45</v>
      </c>
      <c r="N53" s="59">
        <v>45</v>
      </c>
      <c r="O53" s="59">
        <v>45</v>
      </c>
      <c r="P53" s="59">
        <v>45</v>
      </c>
      <c r="Q53" s="59">
        <v>45</v>
      </c>
      <c r="R53" s="59">
        <v>45</v>
      </c>
      <c r="S53" s="59">
        <v>45</v>
      </c>
      <c r="T53" s="59">
        <v>45</v>
      </c>
      <c r="U53" s="59">
        <v>45</v>
      </c>
      <c r="V53" s="59">
        <v>45</v>
      </c>
      <c r="W53" s="59">
        <v>45</v>
      </c>
      <c r="X53" s="59">
        <v>45</v>
      </c>
      <c r="Y53" s="59">
        <v>45</v>
      </c>
      <c r="Z53" s="59">
        <v>45</v>
      </c>
      <c r="AA53" s="59">
        <v>45</v>
      </c>
      <c r="AB53" s="59">
        <v>45</v>
      </c>
    </row>
    <row r="54" spans="1:28" x14ac:dyDescent="0.25">
      <c r="A54" s="59">
        <v>3</v>
      </c>
      <c r="B54" s="59" t="s">
        <v>1039</v>
      </c>
      <c r="C54" s="59" t="s">
        <v>1038</v>
      </c>
      <c r="D54" s="36">
        <f t="shared" si="1"/>
        <v>90</v>
      </c>
      <c r="E54" s="61">
        <v>1</v>
      </c>
      <c r="F54" s="60"/>
      <c r="G54" s="21">
        <f>+IF(EXACT('3AC_Data'!$D$8,1),'13InputPerforInitial'!H54,IF(EXACT('3AC_Data'!$D$8,2),'13InputPerforInitial'!I54,IF(EXACT('3AC_Data'!$D$8,3),'13InputPerforInitial'!J54,IF(EXACT('3AC_Data'!$D$8,4),'13InputPerforInitial'!K54,IF(EXACT('3AC_Data'!$D$8,5),'13InputPerforInitial'!L54,IF(EXACT('3AC_Data'!$D$8,6),'13InputPerforInitial'!M54,IF(EXACT('3AC_Data'!$D$8,7),'13InputPerforInitial'!N54,IF(EXACT('3AC_Data'!$D$8,8),'13InputPerforInitial'!O54,IF(EXACT('3AC_Data'!$D$8,9),'13InputPerforInitial'!P54,IF(EXACT('3AC_Data'!$D$8,10),'13InputPerforInitial'!Q54,IF(EXACT('3AC_Data'!$D$8,11),'13InputPerforInitial'!R54,IF(EXACT('3AC_Data'!$D$8,12),'13InputPerforInitial'!S54,IF(EXACT('3AC_Data'!$D$8,13),'13InputPerforInitial'!T54,IF(EXACT('3AC_Data'!$D$8,14),U54,IF(EXACT('3AC_Data'!$D$8,15),V54,IF(EXACT('3AC_Data'!$D$8,16),W54,IF(EXACT('3AC_Data'!$D$8,17),X54,IF(EXACT('3AC_Data'!$D$8,18),Y54,IF(EXACT('3AC_Data'!$D$8,19),Z54,IF(EXACT('3AC_Data'!$D$8,20),AA54,IF(EXACT('3AC_Data'!$D$8,21),AB54,IF(EXACT('3AC_Data'!$D$8,22),AC54,IF(EXACT('3AC_Data'!$D$8,23),AD54,IF(EXACT('3AC_Data'!$D$8,24),AE54,IF(EXACT('3AC_Data'!$D$8,25),AF54,IF(EXACT('3AC_Data'!$D$8,26),AG54,IF(EXACT('3AC_Data'!$D$8,27),AH54,IF(EXACT('3AC_Data'!$D$8,28),AI54,IF(EXACT('3AC_Data'!$D$8,29),AJ54,IF(EXACT('3AC_Data'!$D$8,30),AK54))))))))))))))))))))))))))))))</f>
        <v>90</v>
      </c>
      <c r="H54" s="59">
        <v>90</v>
      </c>
      <c r="I54" s="59">
        <v>15</v>
      </c>
      <c r="J54" s="59">
        <v>60</v>
      </c>
      <c r="K54" s="59">
        <v>90</v>
      </c>
      <c r="L54" s="59">
        <v>90</v>
      </c>
      <c r="M54" s="59">
        <v>90</v>
      </c>
      <c r="N54" s="59">
        <v>90</v>
      </c>
      <c r="O54" s="59">
        <v>90</v>
      </c>
      <c r="P54" s="59">
        <v>90</v>
      </c>
      <c r="Q54" s="59">
        <v>90</v>
      </c>
      <c r="R54" s="59">
        <v>90</v>
      </c>
      <c r="S54" s="59">
        <v>90</v>
      </c>
      <c r="T54" s="59">
        <v>90</v>
      </c>
      <c r="U54" s="59">
        <v>90</v>
      </c>
      <c r="V54" s="59">
        <v>90</v>
      </c>
      <c r="W54" s="59">
        <v>90</v>
      </c>
      <c r="X54" s="59">
        <v>90</v>
      </c>
      <c r="Y54" s="59">
        <v>90</v>
      </c>
      <c r="Z54" s="59">
        <v>90</v>
      </c>
      <c r="AA54" s="59">
        <v>90</v>
      </c>
      <c r="AB54" s="59">
        <v>90</v>
      </c>
    </row>
    <row r="55" spans="1:28" x14ac:dyDescent="0.25">
      <c r="A55" s="59">
        <v>4</v>
      </c>
      <c r="B55" s="59" t="s">
        <v>1037</v>
      </c>
      <c r="C55" s="59" t="s">
        <v>1036</v>
      </c>
      <c r="D55" s="36">
        <f t="shared" si="1"/>
        <v>0.8</v>
      </c>
      <c r="E55" s="61">
        <v>1</v>
      </c>
      <c r="F55" s="60"/>
      <c r="G55" s="21">
        <f>+IF(EXACT('3AC_Data'!$D$8,1),'13InputPerforInitial'!H55,IF(EXACT('3AC_Data'!$D$8,2),'13InputPerforInitial'!I55,IF(EXACT('3AC_Data'!$D$8,3),'13InputPerforInitial'!J55,IF(EXACT('3AC_Data'!$D$8,4),'13InputPerforInitial'!K55,IF(EXACT('3AC_Data'!$D$8,5),'13InputPerforInitial'!L55,IF(EXACT('3AC_Data'!$D$8,6),'13InputPerforInitial'!M55,IF(EXACT('3AC_Data'!$D$8,7),'13InputPerforInitial'!N55,IF(EXACT('3AC_Data'!$D$8,8),'13InputPerforInitial'!O55,IF(EXACT('3AC_Data'!$D$8,9),'13InputPerforInitial'!P55,IF(EXACT('3AC_Data'!$D$8,10),'13InputPerforInitial'!Q55,IF(EXACT('3AC_Data'!$D$8,11),'13InputPerforInitial'!R55,IF(EXACT('3AC_Data'!$D$8,12),'13InputPerforInitial'!S55,IF(EXACT('3AC_Data'!$D$8,13),'13InputPerforInitial'!T55,IF(EXACT('3AC_Data'!$D$8,14),U55,IF(EXACT('3AC_Data'!$D$8,15),V55,IF(EXACT('3AC_Data'!$D$8,16),W55,IF(EXACT('3AC_Data'!$D$8,17),X55,IF(EXACT('3AC_Data'!$D$8,18),Y55,IF(EXACT('3AC_Data'!$D$8,19),Z55,IF(EXACT('3AC_Data'!$D$8,20),AA55,IF(EXACT('3AC_Data'!$D$8,21),AB55,IF(EXACT('3AC_Data'!$D$8,22),AC55,IF(EXACT('3AC_Data'!$D$8,23),AD55,IF(EXACT('3AC_Data'!$D$8,24),AE55,IF(EXACT('3AC_Data'!$D$8,25),AF55,IF(EXACT('3AC_Data'!$D$8,26),AG55,IF(EXACT('3AC_Data'!$D$8,27),AH55,IF(EXACT('3AC_Data'!$D$8,28),AI55,IF(EXACT('3AC_Data'!$D$8,29),AJ55,IF(EXACT('3AC_Data'!$D$8,30),AK55))))))))))))))))))))))))))))))</f>
        <v>0.8</v>
      </c>
      <c r="H55" s="59">
        <v>0.8</v>
      </c>
      <c r="I55" s="59">
        <v>0.8</v>
      </c>
      <c r="J55" s="59">
        <v>0.8</v>
      </c>
      <c r="K55" s="59">
        <v>0.8</v>
      </c>
      <c r="L55" s="59">
        <v>0.8</v>
      </c>
      <c r="M55" s="59">
        <v>0.8</v>
      </c>
      <c r="N55" s="59">
        <v>0.8</v>
      </c>
      <c r="O55" s="59">
        <v>0.8</v>
      </c>
      <c r="P55" s="59">
        <v>0.8</v>
      </c>
      <c r="Q55" s="59">
        <v>0.8</v>
      </c>
      <c r="R55" s="59">
        <v>0.8</v>
      </c>
      <c r="S55" s="59">
        <v>0.8</v>
      </c>
      <c r="T55" s="59">
        <v>0.8</v>
      </c>
      <c r="U55" s="59">
        <v>0.8</v>
      </c>
      <c r="V55" s="59">
        <v>0.8</v>
      </c>
      <c r="W55" s="59">
        <v>0.8</v>
      </c>
      <c r="X55" s="59">
        <v>0.8</v>
      </c>
      <c r="Y55" s="59">
        <v>0.8</v>
      </c>
      <c r="Z55" s="59">
        <v>0.8</v>
      </c>
      <c r="AA55" s="59">
        <v>0.8</v>
      </c>
      <c r="AB55" s="59">
        <v>0.8</v>
      </c>
    </row>
    <row r="56" spans="1:28" x14ac:dyDescent="0.25">
      <c r="A56" s="59">
        <v>5</v>
      </c>
      <c r="B56" s="59" t="s">
        <v>1035</v>
      </c>
      <c r="C56" s="59" t="s">
        <v>1034</v>
      </c>
      <c r="D56" s="36">
        <f t="shared" si="1"/>
        <v>0.17453292519943295</v>
      </c>
      <c r="E56" s="61">
        <f>+PI()/180</f>
        <v>1.7453292519943295E-2</v>
      </c>
      <c r="F56" s="60" t="s">
        <v>488</v>
      </c>
      <c r="G56" s="21">
        <f>+IF(EXACT('3AC_Data'!$D$8,1),'13InputPerforInitial'!H56,IF(EXACT('3AC_Data'!$D$8,2),'13InputPerforInitial'!I56,IF(EXACT('3AC_Data'!$D$8,3),'13InputPerforInitial'!J56,IF(EXACT('3AC_Data'!$D$8,4),'13InputPerforInitial'!K56,IF(EXACT('3AC_Data'!$D$8,5),'13InputPerforInitial'!L56,IF(EXACT('3AC_Data'!$D$8,6),'13InputPerforInitial'!M56,IF(EXACT('3AC_Data'!$D$8,7),'13InputPerforInitial'!N56,IF(EXACT('3AC_Data'!$D$8,8),'13InputPerforInitial'!O56,IF(EXACT('3AC_Data'!$D$8,9),'13InputPerforInitial'!P56,IF(EXACT('3AC_Data'!$D$8,10),'13InputPerforInitial'!Q56,IF(EXACT('3AC_Data'!$D$8,11),'13InputPerforInitial'!R56,IF(EXACT('3AC_Data'!$D$8,12),'13InputPerforInitial'!S56,IF(EXACT('3AC_Data'!$D$8,13),'13InputPerforInitial'!T56,IF(EXACT('3AC_Data'!$D$8,14),U56,IF(EXACT('3AC_Data'!$D$8,15),V56,IF(EXACT('3AC_Data'!$D$8,16),W56,IF(EXACT('3AC_Data'!$D$8,17),X56,IF(EXACT('3AC_Data'!$D$8,18),Y56,IF(EXACT('3AC_Data'!$D$8,19),Z56,IF(EXACT('3AC_Data'!$D$8,20),AA56,IF(EXACT('3AC_Data'!$D$8,21),AB56,IF(EXACT('3AC_Data'!$D$8,22),AC56,IF(EXACT('3AC_Data'!$D$8,23),AD56,IF(EXACT('3AC_Data'!$D$8,24),AE56,IF(EXACT('3AC_Data'!$D$8,25),AF56,IF(EXACT('3AC_Data'!$D$8,26),AG56,IF(EXACT('3AC_Data'!$D$8,27),AH56,IF(EXACT('3AC_Data'!$D$8,28),AI56,IF(EXACT('3AC_Data'!$D$8,29),AJ56,IF(EXACT('3AC_Data'!$D$8,30),AK56))))))))))))))))))))))))))))))</f>
        <v>10</v>
      </c>
      <c r="H56" s="59">
        <v>10</v>
      </c>
      <c r="I56" s="59">
        <v>10</v>
      </c>
      <c r="J56" s="59">
        <v>10</v>
      </c>
      <c r="K56" s="59">
        <v>10</v>
      </c>
      <c r="L56" s="59">
        <v>10</v>
      </c>
      <c r="M56" s="59">
        <v>10</v>
      </c>
      <c r="N56" s="59">
        <v>10</v>
      </c>
      <c r="O56" s="59">
        <v>10</v>
      </c>
      <c r="P56" s="59">
        <v>10</v>
      </c>
      <c r="Q56" s="59">
        <v>10</v>
      </c>
      <c r="R56" s="59">
        <v>10</v>
      </c>
      <c r="S56" s="59">
        <v>10</v>
      </c>
      <c r="T56" s="59">
        <v>10</v>
      </c>
      <c r="U56" s="59">
        <v>10</v>
      </c>
      <c r="V56" s="59">
        <v>10</v>
      </c>
      <c r="W56" s="59">
        <v>10</v>
      </c>
      <c r="X56" s="59">
        <v>10</v>
      </c>
      <c r="Y56" s="59">
        <v>10</v>
      </c>
      <c r="Z56" s="59">
        <v>10</v>
      </c>
      <c r="AA56" s="59">
        <v>10</v>
      </c>
      <c r="AB56" s="59">
        <v>10</v>
      </c>
    </row>
    <row r="57" spans="1:28" x14ac:dyDescent="0.25">
      <c r="A57" s="59">
        <v>6</v>
      </c>
      <c r="B57" s="59" t="s">
        <v>1033</v>
      </c>
      <c r="C57" s="59" t="s">
        <v>1032</v>
      </c>
      <c r="D57" s="36">
        <f t="shared" si="1"/>
        <v>0.3490658503988659</v>
      </c>
      <c r="E57" s="61">
        <f>+PI()/180</f>
        <v>1.7453292519943295E-2</v>
      </c>
      <c r="F57" s="60" t="s">
        <v>1031</v>
      </c>
      <c r="G57" s="21">
        <f>+IF(EXACT('3AC_Data'!$D$8,1),'13InputPerforInitial'!H57,IF(EXACT('3AC_Data'!$D$8,2),'13InputPerforInitial'!I57,IF(EXACT('3AC_Data'!$D$8,3),'13InputPerforInitial'!J57,IF(EXACT('3AC_Data'!$D$8,4),'13InputPerforInitial'!K57,IF(EXACT('3AC_Data'!$D$8,5),'13InputPerforInitial'!L57,IF(EXACT('3AC_Data'!$D$8,6),'13InputPerforInitial'!M57,IF(EXACT('3AC_Data'!$D$8,7),'13InputPerforInitial'!N57,IF(EXACT('3AC_Data'!$D$8,8),'13InputPerforInitial'!O57,IF(EXACT('3AC_Data'!$D$8,9),'13InputPerforInitial'!P57,IF(EXACT('3AC_Data'!$D$8,10),'13InputPerforInitial'!Q57,IF(EXACT('3AC_Data'!$D$8,11),'13InputPerforInitial'!R57,IF(EXACT('3AC_Data'!$D$8,12),'13InputPerforInitial'!S57,IF(EXACT('3AC_Data'!$D$8,13),'13InputPerforInitial'!T57,IF(EXACT('3AC_Data'!$D$8,14),U57,IF(EXACT('3AC_Data'!$D$8,15),V57,IF(EXACT('3AC_Data'!$D$8,16),W57,IF(EXACT('3AC_Data'!$D$8,17),X57,IF(EXACT('3AC_Data'!$D$8,18),Y57,IF(EXACT('3AC_Data'!$D$8,19),Z57,IF(EXACT('3AC_Data'!$D$8,20),AA57,IF(EXACT('3AC_Data'!$D$8,21),AB57,IF(EXACT('3AC_Data'!$D$8,22),AC57,IF(EXACT('3AC_Data'!$D$8,23),AD57,IF(EXACT('3AC_Data'!$D$8,24),AE57,IF(EXACT('3AC_Data'!$D$8,25),AF57,IF(EXACT('3AC_Data'!$D$8,26),AG57,IF(EXACT('3AC_Data'!$D$8,27),AH57,IF(EXACT('3AC_Data'!$D$8,28),AI57,IF(EXACT('3AC_Data'!$D$8,29),AJ57,IF(EXACT('3AC_Data'!$D$8,30),AK57))))))))))))))))))))))))))))))</f>
        <v>20</v>
      </c>
      <c r="H57" s="59">
        <v>10</v>
      </c>
      <c r="I57" s="59">
        <v>10</v>
      </c>
      <c r="J57" s="59">
        <v>20</v>
      </c>
      <c r="K57" s="59">
        <v>20</v>
      </c>
      <c r="L57" s="59">
        <v>20</v>
      </c>
      <c r="M57" s="59">
        <v>20</v>
      </c>
      <c r="N57" s="59">
        <v>20</v>
      </c>
      <c r="O57" s="59">
        <v>20</v>
      </c>
      <c r="P57" s="59">
        <v>10</v>
      </c>
      <c r="Q57" s="59">
        <v>10</v>
      </c>
      <c r="R57" s="59">
        <v>10</v>
      </c>
      <c r="S57" s="59">
        <v>10</v>
      </c>
      <c r="T57" s="59">
        <v>10</v>
      </c>
      <c r="U57" s="59">
        <v>10</v>
      </c>
      <c r="V57" s="59">
        <v>10</v>
      </c>
      <c r="W57" s="59">
        <v>10</v>
      </c>
      <c r="X57" s="59">
        <v>10</v>
      </c>
      <c r="Y57" s="59">
        <v>10</v>
      </c>
      <c r="Z57" s="59">
        <v>10</v>
      </c>
      <c r="AA57" s="59">
        <v>10</v>
      </c>
      <c r="AB57" s="59">
        <v>10</v>
      </c>
    </row>
    <row r="58" spans="1:28" x14ac:dyDescent="0.25">
      <c r="A58" s="59">
        <v>7</v>
      </c>
      <c r="B58" s="59" t="s">
        <v>1030</v>
      </c>
      <c r="C58" s="59" t="s">
        <v>1029</v>
      </c>
      <c r="D58" s="36">
        <f t="shared" si="1"/>
        <v>1.05</v>
      </c>
      <c r="E58" s="61">
        <v>1</v>
      </c>
      <c r="F58" s="60"/>
      <c r="G58" s="21">
        <f>+IF(EXACT('3AC_Data'!$D$8,1),'13InputPerforInitial'!H58,IF(EXACT('3AC_Data'!$D$8,2),'13InputPerforInitial'!I58,IF(EXACT('3AC_Data'!$D$8,3),'13InputPerforInitial'!J58,IF(EXACT('3AC_Data'!$D$8,4),'13InputPerforInitial'!K58,IF(EXACT('3AC_Data'!$D$8,5),'13InputPerforInitial'!L58,IF(EXACT('3AC_Data'!$D$8,6),'13InputPerforInitial'!M58,IF(EXACT('3AC_Data'!$D$8,7),'13InputPerforInitial'!N58,IF(EXACT('3AC_Data'!$D$8,8),'13InputPerforInitial'!O58,IF(EXACT('3AC_Data'!$D$8,9),'13InputPerforInitial'!P58,IF(EXACT('3AC_Data'!$D$8,10),'13InputPerforInitial'!Q58,IF(EXACT('3AC_Data'!$D$8,11),'13InputPerforInitial'!R58,IF(EXACT('3AC_Data'!$D$8,12),'13InputPerforInitial'!S58,IF(EXACT('3AC_Data'!$D$8,13),'13InputPerforInitial'!T58,IF(EXACT('3AC_Data'!$D$8,14),U58,IF(EXACT('3AC_Data'!$D$8,15),V58,IF(EXACT('3AC_Data'!$D$8,16),W58,IF(EXACT('3AC_Data'!$D$8,17),X58,IF(EXACT('3AC_Data'!$D$8,18),Y58,IF(EXACT('3AC_Data'!$D$8,19),Z58,IF(EXACT('3AC_Data'!$D$8,20),AA58,IF(EXACT('3AC_Data'!$D$8,21),AB58,IF(EXACT('3AC_Data'!$D$8,22),AC58,IF(EXACT('3AC_Data'!$D$8,23),AD58,IF(EXACT('3AC_Data'!$D$8,24),AE58,IF(EXACT('3AC_Data'!$D$8,25),AF58,IF(EXACT('3AC_Data'!$D$8,26),AG58,IF(EXACT('3AC_Data'!$D$8,27),AH58,IF(EXACT('3AC_Data'!$D$8,28),AI58,IF(EXACT('3AC_Data'!$D$8,29),AJ58,IF(EXACT('3AC_Data'!$D$8,30),AK58))))))))))))))))))))))))))))))</f>
        <v>1.05</v>
      </c>
      <c r="H58" s="59">
        <v>1.05</v>
      </c>
      <c r="I58" s="59">
        <v>1.05</v>
      </c>
      <c r="J58" s="59">
        <v>1.05</v>
      </c>
      <c r="K58" s="59">
        <v>1.05</v>
      </c>
      <c r="L58" s="59">
        <v>1.05</v>
      </c>
      <c r="M58" s="59">
        <v>1.05</v>
      </c>
      <c r="N58" s="59">
        <v>1.05</v>
      </c>
      <c r="O58" s="59">
        <v>1.05</v>
      </c>
      <c r="P58" s="59">
        <v>1.05</v>
      </c>
      <c r="Q58" s="59">
        <v>1.05</v>
      </c>
      <c r="R58" s="59">
        <v>1.05</v>
      </c>
      <c r="S58" s="59">
        <v>1.05</v>
      </c>
      <c r="T58" s="59">
        <v>1.05</v>
      </c>
      <c r="U58" s="59">
        <v>1.05</v>
      </c>
      <c r="V58" s="59">
        <v>1.05</v>
      </c>
      <c r="W58" s="59">
        <v>1.05</v>
      </c>
      <c r="X58" s="59">
        <v>1.05</v>
      </c>
      <c r="Y58" s="59">
        <v>1.05</v>
      </c>
      <c r="Z58" s="59">
        <v>1.05</v>
      </c>
      <c r="AA58" s="59">
        <v>1.05</v>
      </c>
      <c r="AB58" s="59">
        <v>1.05</v>
      </c>
    </row>
    <row r="59" spans="1:28" x14ac:dyDescent="0.25">
      <c r="A59" s="59">
        <v>8</v>
      </c>
      <c r="B59" s="59" t="s">
        <v>1028</v>
      </c>
      <c r="C59" s="59" t="s">
        <v>1027</v>
      </c>
      <c r="D59" s="37">
        <f t="shared" si="1"/>
        <v>300</v>
      </c>
      <c r="E59" s="58">
        <v>1</v>
      </c>
      <c r="F59" s="57"/>
      <c r="G59" s="21">
        <f>+IF(EXACT('3AC_Data'!$D$8,1),'13InputPerforInitial'!H59,IF(EXACT('3AC_Data'!$D$8,2),'13InputPerforInitial'!I59,IF(EXACT('3AC_Data'!$D$8,3),'13InputPerforInitial'!J59,IF(EXACT('3AC_Data'!$D$8,4),'13InputPerforInitial'!K59,IF(EXACT('3AC_Data'!$D$8,5),'13InputPerforInitial'!L59,IF(EXACT('3AC_Data'!$D$8,6),'13InputPerforInitial'!M59,IF(EXACT('3AC_Data'!$D$8,7),'13InputPerforInitial'!N59,IF(EXACT('3AC_Data'!$D$8,8),'13InputPerforInitial'!O59,IF(EXACT('3AC_Data'!$D$8,9),'13InputPerforInitial'!P59,IF(EXACT('3AC_Data'!$D$8,10),'13InputPerforInitial'!Q59,IF(EXACT('3AC_Data'!$D$8,11),'13InputPerforInitial'!R59,IF(EXACT('3AC_Data'!$D$8,12),'13InputPerforInitial'!S59,IF(EXACT('3AC_Data'!$D$8,13),'13InputPerforInitial'!T59,IF(EXACT('3AC_Data'!$D$8,14),U59,IF(EXACT('3AC_Data'!$D$8,15),V59,IF(EXACT('3AC_Data'!$D$8,16),W59,IF(EXACT('3AC_Data'!$D$8,17),X59,IF(EXACT('3AC_Data'!$D$8,18),Y59,IF(EXACT('3AC_Data'!$D$8,19),Z59,IF(EXACT('3AC_Data'!$D$8,20),AA59,IF(EXACT('3AC_Data'!$D$8,21),AB59,IF(EXACT('3AC_Data'!$D$8,22),AC59,IF(EXACT('3AC_Data'!$D$8,23),AD59,IF(EXACT('3AC_Data'!$D$8,24),AE59,IF(EXACT('3AC_Data'!$D$8,25),AF59,IF(EXACT('3AC_Data'!$D$8,26),AG59,IF(EXACT('3AC_Data'!$D$8,27),AH59,IF(EXACT('3AC_Data'!$D$8,28),AI59,IF(EXACT('3AC_Data'!$D$8,29),AJ59,IF(EXACT('3AC_Data'!$D$8,30),AK59))))))))))))))))))))))))))))))</f>
        <v>300</v>
      </c>
      <c r="H59" s="55">
        <v>300</v>
      </c>
      <c r="I59" s="56">
        <v>300</v>
      </c>
      <c r="J59" s="56">
        <v>300</v>
      </c>
      <c r="K59" s="56">
        <v>300</v>
      </c>
      <c r="L59" s="56">
        <v>300</v>
      </c>
      <c r="M59" s="56">
        <v>300</v>
      </c>
      <c r="N59" s="56">
        <v>300</v>
      </c>
      <c r="O59" s="56">
        <v>300</v>
      </c>
      <c r="P59" s="55">
        <v>300</v>
      </c>
      <c r="Q59" s="55">
        <v>300</v>
      </c>
      <c r="R59" s="55">
        <v>300</v>
      </c>
      <c r="S59" s="55">
        <v>300</v>
      </c>
      <c r="T59" s="55">
        <v>300</v>
      </c>
      <c r="U59" s="55">
        <v>300</v>
      </c>
      <c r="V59" s="55">
        <v>300</v>
      </c>
      <c r="W59" s="55">
        <v>300</v>
      </c>
      <c r="X59" s="55">
        <v>300</v>
      </c>
      <c r="Y59" s="55">
        <v>300</v>
      </c>
      <c r="Z59" s="55">
        <v>300</v>
      </c>
      <c r="AA59" s="55">
        <v>300</v>
      </c>
      <c r="AB59" s="55">
        <v>300</v>
      </c>
    </row>
    <row r="60" spans="1:28" x14ac:dyDescent="0.25">
      <c r="A60" s="52">
        <v>1</v>
      </c>
      <c r="B60" s="52" t="s">
        <v>1026</v>
      </c>
      <c r="C60" s="52" t="s">
        <v>1025</v>
      </c>
      <c r="D60" s="34">
        <f t="shared" si="1"/>
        <v>15</v>
      </c>
      <c r="E60" s="53">
        <v>1</v>
      </c>
      <c r="F60" s="53" t="s">
        <v>1024</v>
      </c>
      <c r="G60" s="21">
        <f>+IF(EXACT('3AC_Data'!$D$8,1),'13InputPerforInitial'!H60,IF(EXACT('3AC_Data'!$D$8,2),'13InputPerforInitial'!I60,IF(EXACT('3AC_Data'!$D$8,3),'13InputPerforInitial'!J60,IF(EXACT('3AC_Data'!$D$8,4),'13InputPerforInitial'!K60,IF(EXACT('3AC_Data'!$D$8,5),'13InputPerforInitial'!L60,IF(EXACT('3AC_Data'!$D$8,6),'13InputPerforInitial'!M60,IF(EXACT('3AC_Data'!$D$8,7),'13InputPerforInitial'!N60,IF(EXACT('3AC_Data'!$D$8,8),'13InputPerforInitial'!O60,IF(EXACT('3AC_Data'!$D$8,9),'13InputPerforInitial'!P60,IF(EXACT('3AC_Data'!$D$8,10),'13InputPerforInitial'!Q60,IF(EXACT('3AC_Data'!$D$8,11),'13InputPerforInitial'!R60,IF(EXACT('3AC_Data'!$D$8,12),'13InputPerforInitial'!S60,IF(EXACT('3AC_Data'!$D$8,13),'13InputPerforInitial'!T60,IF(EXACT('3AC_Data'!$D$8,14),U60,IF(EXACT('3AC_Data'!$D$8,15),V60,IF(EXACT('3AC_Data'!$D$8,16),W60,IF(EXACT('3AC_Data'!$D$8,17),X60,IF(EXACT('3AC_Data'!$D$8,18),Y60,IF(EXACT('3AC_Data'!$D$8,19),Z60,IF(EXACT('3AC_Data'!$D$8,20),AA60,IF(EXACT('3AC_Data'!$D$8,21),AB60,IF(EXACT('3AC_Data'!$D$8,22),AC60,IF(EXACT('3AC_Data'!$D$8,23),AD60,IF(EXACT('3AC_Data'!$D$8,24),AE60,IF(EXACT('3AC_Data'!$D$8,25),AF60,IF(EXACT('3AC_Data'!$D$8,26),AG60,IF(EXACT('3AC_Data'!$D$8,27),AH60,IF(EXACT('3AC_Data'!$D$8,28),AI60,IF(EXACT('3AC_Data'!$D$8,29),AJ60,IF(EXACT('3AC_Data'!$D$8,30),AK60))))))))))))))))))))))))))))))</f>
        <v>15</v>
      </c>
      <c r="H60" s="52">
        <v>15</v>
      </c>
      <c r="I60" s="52">
        <v>15</v>
      </c>
      <c r="J60" s="52">
        <v>15</v>
      </c>
      <c r="K60" s="52">
        <v>15</v>
      </c>
      <c r="L60" s="52">
        <v>15</v>
      </c>
      <c r="M60" s="52">
        <v>15</v>
      </c>
      <c r="N60" s="52">
        <v>15</v>
      </c>
      <c r="O60" s="52">
        <v>15</v>
      </c>
      <c r="P60" s="52">
        <v>15</v>
      </c>
      <c r="Q60" s="52">
        <v>15</v>
      </c>
      <c r="R60" s="52">
        <v>15</v>
      </c>
      <c r="S60" s="52">
        <v>15</v>
      </c>
      <c r="T60" s="52">
        <v>15</v>
      </c>
      <c r="U60" s="52">
        <v>15</v>
      </c>
      <c r="V60" s="52">
        <v>15</v>
      </c>
      <c r="W60" s="52">
        <v>15</v>
      </c>
      <c r="X60" s="52">
        <v>15</v>
      </c>
      <c r="Y60" s="52">
        <v>15</v>
      </c>
      <c r="Z60" s="52">
        <v>15</v>
      </c>
      <c r="AA60" s="52">
        <v>15</v>
      </c>
      <c r="AB60" s="52">
        <v>15</v>
      </c>
    </row>
    <row r="61" spans="1:28" x14ac:dyDescent="0.25">
      <c r="A61" s="52">
        <v>2</v>
      </c>
      <c r="B61" s="52" t="s">
        <v>1023</v>
      </c>
      <c r="C61" s="52" t="s">
        <v>1022</v>
      </c>
      <c r="D61" s="34">
        <f t="shared" si="1"/>
        <v>0</v>
      </c>
      <c r="E61" s="53">
        <v>1</v>
      </c>
      <c r="F61" s="53" t="s">
        <v>1021</v>
      </c>
      <c r="G61" s="21">
        <f>+IF(EXACT('3AC_Data'!$D$8,1),'13InputPerforInitial'!H61,IF(EXACT('3AC_Data'!$D$8,2),'13InputPerforInitial'!I61,IF(EXACT('3AC_Data'!$D$8,3),'13InputPerforInitial'!J61,IF(EXACT('3AC_Data'!$D$8,4),'13InputPerforInitial'!K61,IF(EXACT('3AC_Data'!$D$8,5),'13InputPerforInitial'!L61,IF(EXACT('3AC_Data'!$D$8,6),'13InputPerforInitial'!M61,IF(EXACT('3AC_Data'!$D$8,7),'13InputPerforInitial'!N61,IF(EXACT('3AC_Data'!$D$8,8),'13InputPerforInitial'!O61,IF(EXACT('3AC_Data'!$D$8,9),'13InputPerforInitial'!P61,IF(EXACT('3AC_Data'!$D$8,10),'13InputPerforInitial'!Q61,IF(EXACT('3AC_Data'!$D$8,11),'13InputPerforInitial'!R61,IF(EXACT('3AC_Data'!$D$8,12),'13InputPerforInitial'!S61,IF(EXACT('3AC_Data'!$D$8,13),'13InputPerforInitial'!T61,IF(EXACT('3AC_Data'!$D$8,14),U61,IF(EXACT('3AC_Data'!$D$8,15),V61,IF(EXACT('3AC_Data'!$D$8,16),W61,IF(EXACT('3AC_Data'!$D$8,17),X61,IF(EXACT('3AC_Data'!$D$8,18),Y61,IF(EXACT('3AC_Data'!$D$8,19),Z61,IF(EXACT('3AC_Data'!$D$8,20),AA61,IF(EXACT('3AC_Data'!$D$8,21),AB61,IF(EXACT('3AC_Data'!$D$8,22),AC61,IF(EXACT('3AC_Data'!$D$8,23),AD61,IF(EXACT('3AC_Data'!$D$8,24),AE61,IF(EXACT('3AC_Data'!$D$8,25),AF61,IF(EXACT('3AC_Data'!$D$8,26),AG61,IF(EXACT('3AC_Data'!$D$8,27),AH61,IF(EXACT('3AC_Data'!$D$8,28),AI61,IF(EXACT('3AC_Data'!$D$8,29),AJ61,IF(EXACT('3AC_Data'!$D$8,30),AK61))))))))))))))))))))))))))))))</f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</row>
    <row r="62" spans="1:28" x14ac:dyDescent="0.25">
      <c r="A62" s="52">
        <v>3</v>
      </c>
      <c r="B62" s="52" t="s">
        <v>1020</v>
      </c>
      <c r="C62" s="52" t="s">
        <v>1019</v>
      </c>
      <c r="D62" s="34">
        <f t="shared" si="1"/>
        <v>101326.80930750001</v>
      </c>
      <c r="E62" s="53">
        <v>1</v>
      </c>
      <c r="F62" s="53" t="s">
        <v>1018</v>
      </c>
      <c r="G62" s="21">
        <f>+IF(EXACT('3AC_Data'!$D$8,1),'13InputPerforInitial'!H62,IF(EXACT('3AC_Data'!$D$8,2),'13InputPerforInitial'!I62,IF(EXACT('3AC_Data'!$D$8,3),'13InputPerforInitial'!J62,IF(EXACT('3AC_Data'!$D$8,4),'13InputPerforInitial'!K62,IF(EXACT('3AC_Data'!$D$8,5),'13InputPerforInitial'!L62,IF(EXACT('3AC_Data'!$D$8,6),'13InputPerforInitial'!M62,IF(EXACT('3AC_Data'!$D$8,7),'13InputPerforInitial'!N62,IF(EXACT('3AC_Data'!$D$8,8),'13InputPerforInitial'!O62,IF(EXACT('3AC_Data'!$D$8,9),'13InputPerforInitial'!P62,IF(EXACT('3AC_Data'!$D$8,10),'13InputPerforInitial'!Q62,IF(EXACT('3AC_Data'!$D$8,11),'13InputPerforInitial'!R62,IF(EXACT('3AC_Data'!$D$8,12),'13InputPerforInitial'!S62,IF(EXACT('3AC_Data'!$D$8,13),'13InputPerforInitial'!T62,IF(EXACT('3AC_Data'!$D$8,14),U62,IF(EXACT('3AC_Data'!$D$8,15),V62,IF(EXACT('3AC_Data'!$D$8,16),W62,IF(EXACT('3AC_Data'!$D$8,17),X62,IF(EXACT('3AC_Data'!$D$8,18),Y62,IF(EXACT('3AC_Data'!$D$8,19),Z62,IF(EXACT('3AC_Data'!$D$8,20),AA62,IF(EXACT('3AC_Data'!$D$8,21),AB62,IF(EXACT('3AC_Data'!$D$8,22),AC62,IF(EXACT('3AC_Data'!$D$8,23),AD62,IF(EXACT('3AC_Data'!$D$8,24),AE62,IF(EXACT('3AC_Data'!$D$8,25),AF62,IF(EXACT('3AC_Data'!$D$8,26),AG62,IF(EXACT('3AC_Data'!$D$8,27),AH62,IF(EXACT('3AC_Data'!$D$8,28),AI62,IF(EXACT('3AC_Data'!$D$8,29),AJ62,IF(EXACT('3AC_Data'!$D$8,30),AK62))))))))))))))))))))))))))))))</f>
        <v>101326.80930750001</v>
      </c>
      <c r="H62" s="54">
        <v>101326.80930750001</v>
      </c>
      <c r="I62" s="54">
        <v>101326.80930750001</v>
      </c>
      <c r="J62" s="54">
        <v>101326.80930750001</v>
      </c>
      <c r="K62" s="54">
        <v>101326.80930750001</v>
      </c>
      <c r="L62" s="54">
        <v>101326.80930750001</v>
      </c>
      <c r="M62" s="54">
        <v>101326.80930750001</v>
      </c>
      <c r="N62" s="54">
        <v>101326.80930750001</v>
      </c>
      <c r="O62" s="54">
        <v>101326.80930750001</v>
      </c>
      <c r="P62" s="54">
        <v>101326.80930750001</v>
      </c>
      <c r="Q62" s="54">
        <v>101326.80930750001</v>
      </c>
      <c r="R62" s="54">
        <v>101326.80930750001</v>
      </c>
      <c r="S62" s="54">
        <v>101326.80930750001</v>
      </c>
      <c r="T62" s="54">
        <v>101326.80930750001</v>
      </c>
      <c r="U62" s="54">
        <v>101326.80930750001</v>
      </c>
      <c r="V62" s="54">
        <v>101326.80930750001</v>
      </c>
      <c r="W62" s="54">
        <v>101326.80930750001</v>
      </c>
      <c r="X62" s="54">
        <v>101326.80930750001</v>
      </c>
      <c r="Y62" s="54">
        <v>101326.80930750001</v>
      </c>
      <c r="Z62" s="54">
        <v>101326.80930750001</v>
      </c>
      <c r="AA62" s="54">
        <v>101326.80930750001</v>
      </c>
      <c r="AB62" s="54">
        <v>101326.80930750001</v>
      </c>
    </row>
    <row r="63" spans="1:28" x14ac:dyDescent="0.25">
      <c r="A63" s="52">
        <v>4</v>
      </c>
      <c r="B63" s="52" t="s">
        <v>1017</v>
      </c>
      <c r="C63" s="52" t="s">
        <v>1016</v>
      </c>
      <c r="D63" s="34">
        <f t="shared" si="1"/>
        <v>0.2</v>
      </c>
      <c r="E63" s="53">
        <v>1</v>
      </c>
      <c r="F63" s="53"/>
      <c r="G63" s="21">
        <f>+IF(EXACT('3AC_Data'!$D$8,1),'13InputPerforInitial'!H63,IF(EXACT('3AC_Data'!$D$8,2),'13InputPerforInitial'!I63,IF(EXACT('3AC_Data'!$D$8,3),'13InputPerforInitial'!J63,IF(EXACT('3AC_Data'!$D$8,4),'13InputPerforInitial'!K63,IF(EXACT('3AC_Data'!$D$8,5),'13InputPerforInitial'!L63,IF(EXACT('3AC_Data'!$D$8,6),'13InputPerforInitial'!M63,IF(EXACT('3AC_Data'!$D$8,7),'13InputPerforInitial'!N63,IF(EXACT('3AC_Data'!$D$8,8),'13InputPerforInitial'!O63,IF(EXACT('3AC_Data'!$D$8,9),'13InputPerforInitial'!P63,IF(EXACT('3AC_Data'!$D$8,10),'13InputPerforInitial'!Q63,IF(EXACT('3AC_Data'!$D$8,11),'13InputPerforInitial'!R63,IF(EXACT('3AC_Data'!$D$8,12),'13InputPerforInitial'!S63,IF(EXACT('3AC_Data'!$D$8,13),'13InputPerforInitial'!T63,IF(EXACT('3AC_Data'!$D$8,14),U63,IF(EXACT('3AC_Data'!$D$8,15),V63,IF(EXACT('3AC_Data'!$D$8,16),W63,IF(EXACT('3AC_Data'!$D$8,17),X63,IF(EXACT('3AC_Data'!$D$8,18),Y63,IF(EXACT('3AC_Data'!$D$8,19),Z63,IF(EXACT('3AC_Data'!$D$8,20),AA63,IF(EXACT('3AC_Data'!$D$8,21),AB63,IF(EXACT('3AC_Data'!$D$8,22),AC63,IF(EXACT('3AC_Data'!$D$8,23),AD63,IF(EXACT('3AC_Data'!$D$8,24),AE63,IF(EXACT('3AC_Data'!$D$8,25),AF63,IF(EXACT('3AC_Data'!$D$8,26),AG63,IF(EXACT('3AC_Data'!$D$8,27),AH63,IF(EXACT('3AC_Data'!$D$8,28),AI63,IF(EXACT('3AC_Data'!$D$8,29),AJ63,IF(EXACT('3AC_Data'!$D$8,30),AK63))))))))))))))))))))))))))))))</f>
        <v>0.2</v>
      </c>
      <c r="H63" s="52">
        <v>0.2</v>
      </c>
      <c r="I63" s="52">
        <v>0.2</v>
      </c>
      <c r="J63" s="52">
        <v>0.2</v>
      </c>
      <c r="K63" s="52">
        <v>0.2</v>
      </c>
      <c r="L63" s="52">
        <v>0.2</v>
      </c>
      <c r="M63" s="52">
        <v>0.2</v>
      </c>
      <c r="N63" s="52">
        <v>0.2</v>
      </c>
      <c r="O63" s="52">
        <v>0.2</v>
      </c>
      <c r="P63" s="52">
        <v>0.2</v>
      </c>
      <c r="Q63" s="52">
        <v>0.2</v>
      </c>
      <c r="R63" s="52">
        <v>0.2</v>
      </c>
      <c r="S63" s="52">
        <v>0.2</v>
      </c>
      <c r="T63" s="52">
        <v>0.2</v>
      </c>
      <c r="U63" s="52">
        <v>0.2</v>
      </c>
      <c r="V63" s="52">
        <v>0.2</v>
      </c>
      <c r="W63" s="52">
        <v>0.2</v>
      </c>
      <c r="X63" s="52">
        <v>0.2</v>
      </c>
      <c r="Y63" s="52">
        <v>0.2</v>
      </c>
      <c r="Z63" s="52">
        <v>0.2</v>
      </c>
      <c r="AA63" s="52">
        <v>0.2</v>
      </c>
      <c r="AB63" s="52">
        <v>0.2</v>
      </c>
    </row>
    <row r="64" spans="1:28" x14ac:dyDescent="0.25">
      <c r="A64" s="52">
        <v>5</v>
      </c>
      <c r="B64" s="52" t="s">
        <v>1015</v>
      </c>
      <c r="C64" s="52" t="s">
        <v>1014</v>
      </c>
      <c r="D64" s="34">
        <f t="shared" si="1"/>
        <v>0.5</v>
      </c>
      <c r="E64" s="53">
        <v>1</v>
      </c>
      <c r="F64" s="53"/>
      <c r="G64" s="21">
        <f>+IF(EXACT('3AC_Data'!$D$8,1),'13InputPerforInitial'!H64,IF(EXACT('3AC_Data'!$D$8,2),'13InputPerforInitial'!I64,IF(EXACT('3AC_Data'!$D$8,3),'13InputPerforInitial'!J64,IF(EXACT('3AC_Data'!$D$8,4),'13InputPerforInitial'!K64,IF(EXACT('3AC_Data'!$D$8,5),'13InputPerforInitial'!L64,IF(EXACT('3AC_Data'!$D$8,6),'13InputPerforInitial'!M64,IF(EXACT('3AC_Data'!$D$8,7),'13InputPerforInitial'!N64,IF(EXACT('3AC_Data'!$D$8,8),'13InputPerforInitial'!O64,IF(EXACT('3AC_Data'!$D$8,9),'13InputPerforInitial'!P64,IF(EXACT('3AC_Data'!$D$8,10),'13InputPerforInitial'!Q64,IF(EXACT('3AC_Data'!$D$8,11),'13InputPerforInitial'!R64,IF(EXACT('3AC_Data'!$D$8,12),'13InputPerforInitial'!S64,IF(EXACT('3AC_Data'!$D$8,13),'13InputPerforInitial'!T64,IF(EXACT('3AC_Data'!$D$8,14),U64,IF(EXACT('3AC_Data'!$D$8,15),V64,IF(EXACT('3AC_Data'!$D$8,16),W64,IF(EXACT('3AC_Data'!$D$8,17),X64,IF(EXACT('3AC_Data'!$D$8,18),Y64,IF(EXACT('3AC_Data'!$D$8,19),Z64,IF(EXACT('3AC_Data'!$D$8,20),AA64,IF(EXACT('3AC_Data'!$D$8,21),AB64,IF(EXACT('3AC_Data'!$D$8,22),AC64,IF(EXACT('3AC_Data'!$D$8,23),AD64,IF(EXACT('3AC_Data'!$D$8,24),AE64,IF(EXACT('3AC_Data'!$D$8,25),AF64,IF(EXACT('3AC_Data'!$D$8,26),AG64,IF(EXACT('3AC_Data'!$D$8,27),AH64,IF(EXACT('3AC_Data'!$D$8,28),AI64,IF(EXACT('3AC_Data'!$D$8,29),AJ64,IF(EXACT('3AC_Data'!$D$8,30),AK64))))))))))))))))))))))))))))))</f>
        <v>0.5</v>
      </c>
      <c r="H64" s="52">
        <v>0.5</v>
      </c>
      <c r="I64" s="52">
        <v>0.5</v>
      </c>
      <c r="J64" s="52">
        <v>0.5</v>
      </c>
      <c r="K64" s="52">
        <v>0.5</v>
      </c>
      <c r="L64" s="52">
        <v>0.5</v>
      </c>
      <c r="M64" s="52">
        <v>0.5</v>
      </c>
      <c r="N64" s="52">
        <v>0.5</v>
      </c>
      <c r="O64" s="52">
        <v>0.5</v>
      </c>
      <c r="P64" s="52">
        <v>0.5</v>
      </c>
      <c r="Q64" s="52">
        <v>0.5</v>
      </c>
      <c r="R64" s="52">
        <v>0.5</v>
      </c>
      <c r="S64" s="52">
        <v>0.5</v>
      </c>
      <c r="T64" s="52">
        <v>0.5</v>
      </c>
      <c r="U64" s="52">
        <v>0.5</v>
      </c>
      <c r="V64" s="52">
        <v>0.5</v>
      </c>
      <c r="W64" s="52">
        <v>0.5</v>
      </c>
      <c r="X64" s="52">
        <v>0.5</v>
      </c>
      <c r="Y64" s="52">
        <v>0.5</v>
      </c>
      <c r="Z64" s="52">
        <v>0.5</v>
      </c>
      <c r="AA64" s="52">
        <v>0.5</v>
      </c>
      <c r="AB64" s="52">
        <v>0.5</v>
      </c>
    </row>
    <row r="65" spans="1:28" x14ac:dyDescent="0.25">
      <c r="A65" s="52">
        <v>6</v>
      </c>
      <c r="B65" s="52" t="s">
        <v>1013</v>
      </c>
      <c r="C65" s="52" t="s">
        <v>1012</v>
      </c>
      <c r="D65" s="34">
        <f t="shared" si="1"/>
        <v>4</v>
      </c>
      <c r="E65" s="53">
        <v>1</v>
      </c>
      <c r="F65" s="53" t="s">
        <v>1011</v>
      </c>
      <c r="G65" s="21">
        <f>+IF(EXACT('3AC_Data'!$D$8,1),'13InputPerforInitial'!H65,IF(EXACT('3AC_Data'!$D$8,2),'13InputPerforInitial'!I65,IF(EXACT('3AC_Data'!$D$8,3),'13InputPerforInitial'!J65,IF(EXACT('3AC_Data'!$D$8,4),'13InputPerforInitial'!K65,IF(EXACT('3AC_Data'!$D$8,5),'13InputPerforInitial'!L65,IF(EXACT('3AC_Data'!$D$8,6),'13InputPerforInitial'!M65,IF(EXACT('3AC_Data'!$D$8,7),'13InputPerforInitial'!N65,IF(EXACT('3AC_Data'!$D$8,8),'13InputPerforInitial'!O65,IF(EXACT('3AC_Data'!$D$8,9),'13InputPerforInitial'!P65,IF(EXACT('3AC_Data'!$D$8,10),'13InputPerforInitial'!Q65,IF(EXACT('3AC_Data'!$D$8,11),'13InputPerforInitial'!R65,IF(EXACT('3AC_Data'!$D$8,12),'13InputPerforInitial'!S65,IF(EXACT('3AC_Data'!$D$8,13),'13InputPerforInitial'!T65,IF(EXACT('3AC_Data'!$D$8,14),U65,IF(EXACT('3AC_Data'!$D$8,15),V65,IF(EXACT('3AC_Data'!$D$8,16),W65,IF(EXACT('3AC_Data'!$D$8,17),X65,IF(EXACT('3AC_Data'!$D$8,18),Y65,IF(EXACT('3AC_Data'!$D$8,19),Z65,IF(EXACT('3AC_Data'!$D$8,20),AA65,IF(EXACT('3AC_Data'!$D$8,21),AB65,IF(EXACT('3AC_Data'!$D$8,22),AC65,IF(EXACT('3AC_Data'!$D$8,23),AD65,IF(EXACT('3AC_Data'!$D$8,24),AE65,IF(EXACT('3AC_Data'!$D$8,25),AF65,IF(EXACT('3AC_Data'!$D$8,26),AG65,IF(EXACT('3AC_Data'!$D$8,27),AH65,IF(EXACT('3AC_Data'!$D$8,28),AI65,IF(EXACT('3AC_Data'!$D$8,29),AJ65,IF(EXACT('3AC_Data'!$D$8,30),AK65))))))))))))))))))))))))))))))</f>
        <v>4</v>
      </c>
      <c r="H65" s="52">
        <v>4</v>
      </c>
      <c r="I65" s="52">
        <v>4</v>
      </c>
      <c r="J65" s="52">
        <v>4</v>
      </c>
      <c r="K65" s="52">
        <v>4</v>
      </c>
      <c r="L65" s="52">
        <v>4</v>
      </c>
      <c r="M65" s="52">
        <v>4</v>
      </c>
      <c r="N65" s="52">
        <v>4</v>
      </c>
      <c r="O65" s="52">
        <v>4</v>
      </c>
      <c r="P65" s="52">
        <v>4</v>
      </c>
      <c r="Q65" s="52">
        <v>4</v>
      </c>
      <c r="R65" s="52">
        <v>4</v>
      </c>
      <c r="S65" s="52">
        <v>4</v>
      </c>
      <c r="T65" s="52">
        <v>4</v>
      </c>
      <c r="U65" s="52">
        <v>4</v>
      </c>
      <c r="V65" s="52">
        <v>4</v>
      </c>
      <c r="W65" s="52">
        <v>4</v>
      </c>
      <c r="X65" s="52">
        <v>4</v>
      </c>
      <c r="Y65" s="52">
        <v>4</v>
      </c>
      <c r="Z65" s="52">
        <v>4</v>
      </c>
      <c r="AA65" s="52">
        <v>4</v>
      </c>
      <c r="AB65" s="52">
        <v>4</v>
      </c>
    </row>
    <row r="66" spans="1:28" x14ac:dyDescent="0.25">
      <c r="A66" s="49">
        <v>1</v>
      </c>
      <c r="B66" s="49" t="s">
        <v>1010</v>
      </c>
      <c r="C66" s="49" t="s">
        <v>1009</v>
      </c>
      <c r="D66" s="36">
        <f t="shared" si="1"/>
        <v>100</v>
      </c>
      <c r="E66" s="51">
        <v>1</v>
      </c>
      <c r="F66" s="50"/>
      <c r="G66" s="21">
        <f>+IF(EXACT('3AC_Data'!$D$8,1),'13InputPerforInitial'!H66,IF(EXACT('3AC_Data'!$D$8,2),'13InputPerforInitial'!I66,IF(EXACT('3AC_Data'!$D$8,3),'13InputPerforInitial'!J66,IF(EXACT('3AC_Data'!$D$8,4),'13InputPerforInitial'!K66,IF(EXACT('3AC_Data'!$D$8,5),'13InputPerforInitial'!L66,IF(EXACT('3AC_Data'!$D$8,6),'13InputPerforInitial'!M66,IF(EXACT('3AC_Data'!$D$8,7),'13InputPerforInitial'!N66,IF(EXACT('3AC_Data'!$D$8,8),'13InputPerforInitial'!O66,IF(EXACT('3AC_Data'!$D$8,9),'13InputPerforInitial'!P66,IF(EXACT('3AC_Data'!$D$8,10),'13InputPerforInitial'!Q66,IF(EXACT('3AC_Data'!$D$8,11),'13InputPerforInitial'!R66,IF(EXACT('3AC_Data'!$D$8,12),'13InputPerforInitial'!S66,IF(EXACT('3AC_Data'!$D$8,13),'13InputPerforInitial'!T66,IF(EXACT('3AC_Data'!$D$8,14),U66,IF(EXACT('3AC_Data'!$D$8,15),V66,IF(EXACT('3AC_Data'!$D$8,16),W66,IF(EXACT('3AC_Data'!$D$8,17),X66,IF(EXACT('3AC_Data'!$D$8,18),Y66,IF(EXACT('3AC_Data'!$D$8,19),Z66,IF(EXACT('3AC_Data'!$D$8,20),AA66,IF(EXACT('3AC_Data'!$D$8,21),AB66,IF(EXACT('3AC_Data'!$D$8,22),AC66,IF(EXACT('3AC_Data'!$D$8,23),AD66,IF(EXACT('3AC_Data'!$D$8,24),AE66,IF(EXACT('3AC_Data'!$D$8,25),AF66,IF(EXACT('3AC_Data'!$D$8,26),AG66,IF(EXACT('3AC_Data'!$D$8,27),AH66,IF(EXACT('3AC_Data'!$D$8,28),AI66,IF(EXACT('3AC_Data'!$D$8,29),AJ66,IF(EXACT('3AC_Data'!$D$8,30),AK66))))))))))))))))))))))))))))))</f>
        <v>100</v>
      </c>
      <c r="H66" s="49">
        <v>100</v>
      </c>
      <c r="I66" s="49">
        <v>100</v>
      </c>
      <c r="J66" s="49">
        <v>3000</v>
      </c>
      <c r="K66" s="49">
        <v>3000</v>
      </c>
      <c r="L66" s="49">
        <v>5</v>
      </c>
      <c r="M66" s="49">
        <v>100</v>
      </c>
      <c r="N66" s="49">
        <v>100</v>
      </c>
      <c r="O66" s="49">
        <v>100</v>
      </c>
      <c r="P66" s="49">
        <v>100</v>
      </c>
      <c r="Q66" s="49">
        <v>100</v>
      </c>
      <c r="R66" s="49">
        <v>100</v>
      </c>
      <c r="S66" s="49">
        <v>100</v>
      </c>
      <c r="T66" s="49">
        <v>100</v>
      </c>
      <c r="U66" s="49">
        <v>100</v>
      </c>
      <c r="V66" s="49">
        <v>100</v>
      </c>
      <c r="W66" s="49">
        <v>100</v>
      </c>
      <c r="X66" s="49">
        <v>100</v>
      </c>
      <c r="Y66" s="49">
        <v>100</v>
      </c>
      <c r="Z66" s="49">
        <v>100</v>
      </c>
      <c r="AA66" s="49">
        <v>100</v>
      </c>
      <c r="AB66" s="49">
        <v>100</v>
      </c>
    </row>
    <row r="67" spans="1:28" x14ac:dyDescent="0.25">
      <c r="A67" s="49">
        <v>2</v>
      </c>
      <c r="B67" s="49" t="s">
        <v>1008</v>
      </c>
      <c r="C67" s="49" t="s">
        <v>1007</v>
      </c>
      <c r="D67" s="36">
        <f t="shared" ref="D67:D68" si="2">+G67*E67</f>
        <v>1</v>
      </c>
      <c r="E67" s="51">
        <v>1</v>
      </c>
      <c r="F67" s="50"/>
      <c r="G67" s="21">
        <f>+IF(EXACT('3AC_Data'!$D$8,1),'13InputPerforInitial'!H67,IF(EXACT('3AC_Data'!$D$8,2),'13InputPerforInitial'!I67,IF(EXACT('3AC_Data'!$D$8,3),'13InputPerforInitial'!J67,IF(EXACT('3AC_Data'!$D$8,4),'13InputPerforInitial'!K67,IF(EXACT('3AC_Data'!$D$8,5),'13InputPerforInitial'!L67,IF(EXACT('3AC_Data'!$D$8,6),'13InputPerforInitial'!M67,IF(EXACT('3AC_Data'!$D$8,7),'13InputPerforInitial'!N67,IF(EXACT('3AC_Data'!$D$8,8),'13InputPerforInitial'!O67,IF(EXACT('3AC_Data'!$D$8,9),'13InputPerforInitial'!P67,IF(EXACT('3AC_Data'!$D$8,10),'13InputPerforInitial'!Q67,IF(EXACT('3AC_Data'!$D$8,11),'13InputPerforInitial'!R67,IF(EXACT('3AC_Data'!$D$8,12),'13InputPerforInitial'!S67,IF(EXACT('3AC_Data'!$D$8,13),'13InputPerforInitial'!T67,IF(EXACT('3AC_Data'!$D$8,14),U67,IF(EXACT('3AC_Data'!$D$8,15),V67,IF(EXACT('3AC_Data'!$D$8,16),W67,IF(EXACT('3AC_Data'!$D$8,17),X67,IF(EXACT('3AC_Data'!$D$8,18),Y67,IF(EXACT('3AC_Data'!$D$8,19),Z67,IF(EXACT('3AC_Data'!$D$8,20),AA67,IF(EXACT('3AC_Data'!$D$8,21),AB67,IF(EXACT('3AC_Data'!$D$8,22),AC67,IF(EXACT('3AC_Data'!$D$8,23),AD67,IF(EXACT('3AC_Data'!$D$8,24),AE67,IF(EXACT('3AC_Data'!$D$8,25),AF67,IF(EXACT('3AC_Data'!$D$8,26),AG67,IF(EXACT('3AC_Data'!$D$8,27),AH67,IF(EXACT('3AC_Data'!$D$8,28),AI67,IF(EXACT('3AC_Data'!$D$8,29),AJ67,IF(EXACT('3AC_Data'!$D$8,30),AK67))))))))))))))))))))))))))))))</f>
        <v>1</v>
      </c>
      <c r="H67" s="49">
        <v>1</v>
      </c>
      <c r="I67" s="49">
        <v>1</v>
      </c>
      <c r="J67" s="49">
        <v>1</v>
      </c>
      <c r="K67" s="49">
        <v>1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1</v>
      </c>
      <c r="T67" s="49">
        <v>1</v>
      </c>
      <c r="U67" s="49">
        <v>1</v>
      </c>
      <c r="V67" s="49">
        <v>1</v>
      </c>
      <c r="W67" s="49">
        <v>1</v>
      </c>
      <c r="X67" s="49">
        <v>1</v>
      </c>
      <c r="Y67" s="49">
        <v>1</v>
      </c>
      <c r="Z67" s="49">
        <v>1</v>
      </c>
      <c r="AA67" s="49">
        <v>1</v>
      </c>
      <c r="AB67" s="49">
        <v>1</v>
      </c>
    </row>
    <row r="68" spans="1:28" x14ac:dyDescent="0.25">
      <c r="A68" s="49">
        <v>3</v>
      </c>
      <c r="B68" s="49" t="s">
        <v>1006</v>
      </c>
      <c r="C68" s="49" t="s">
        <v>1005</v>
      </c>
      <c r="D68" s="36">
        <f t="shared" si="2"/>
        <v>25</v>
      </c>
      <c r="E68" s="51">
        <v>1</v>
      </c>
      <c r="F68" s="50"/>
      <c r="G68" s="21">
        <f>+IF(EXACT('3AC_Data'!$D$8,1),'13InputPerforInitial'!H68,IF(EXACT('3AC_Data'!$D$8,2),'13InputPerforInitial'!I68,IF(EXACT('3AC_Data'!$D$8,3),'13InputPerforInitial'!J68,IF(EXACT('3AC_Data'!$D$8,4),'13InputPerforInitial'!K68,IF(EXACT('3AC_Data'!$D$8,5),'13InputPerforInitial'!L68,IF(EXACT('3AC_Data'!$D$8,6),'13InputPerforInitial'!M68,IF(EXACT('3AC_Data'!$D$8,7),'13InputPerforInitial'!N68,IF(EXACT('3AC_Data'!$D$8,8),'13InputPerforInitial'!O68,IF(EXACT('3AC_Data'!$D$8,9),'13InputPerforInitial'!P68,IF(EXACT('3AC_Data'!$D$8,10),'13InputPerforInitial'!Q68,IF(EXACT('3AC_Data'!$D$8,11),'13InputPerforInitial'!R68,IF(EXACT('3AC_Data'!$D$8,12),'13InputPerforInitial'!S68,IF(EXACT('3AC_Data'!$D$8,13),'13InputPerforInitial'!T68,IF(EXACT('3AC_Data'!$D$8,14),U68,IF(EXACT('3AC_Data'!$D$8,15),V68,IF(EXACT('3AC_Data'!$D$8,16),W68,IF(EXACT('3AC_Data'!$D$8,17),X68,IF(EXACT('3AC_Data'!$D$8,18),Y68,IF(EXACT('3AC_Data'!$D$8,19),Z68,IF(EXACT('3AC_Data'!$D$8,20),AA68,IF(EXACT('3AC_Data'!$D$8,21),AB68,IF(EXACT('3AC_Data'!$D$8,22),AC68,IF(EXACT('3AC_Data'!$D$8,23),AD68,IF(EXACT('3AC_Data'!$D$8,24),AE68,IF(EXACT('3AC_Data'!$D$8,25),AF68,IF(EXACT('3AC_Data'!$D$8,26),AG68,IF(EXACT('3AC_Data'!$D$8,27),AH68,IF(EXACT('3AC_Data'!$D$8,28),AI68,IF(EXACT('3AC_Data'!$D$8,29),AJ68,IF(EXACT('3AC_Data'!$D$8,30),AK68))))))))))))))))))))))))))))))</f>
        <v>25</v>
      </c>
      <c r="H68" s="49">
        <v>25</v>
      </c>
      <c r="I68" s="49">
        <v>25</v>
      </c>
      <c r="J68" s="49">
        <v>80</v>
      </c>
      <c r="K68" s="49">
        <v>80</v>
      </c>
      <c r="L68" s="49">
        <v>90</v>
      </c>
      <c r="M68" s="49">
        <v>25</v>
      </c>
      <c r="N68" s="49">
        <v>25</v>
      </c>
      <c r="O68" s="49">
        <v>25</v>
      </c>
      <c r="P68" s="49">
        <v>25</v>
      </c>
      <c r="Q68" s="49">
        <v>25</v>
      </c>
      <c r="R68" s="49">
        <v>25</v>
      </c>
      <c r="S68" s="49">
        <v>25</v>
      </c>
      <c r="T68" s="49">
        <v>25</v>
      </c>
      <c r="U68" s="49">
        <v>25</v>
      </c>
      <c r="V68" s="49">
        <v>25</v>
      </c>
      <c r="W68" s="49">
        <v>25</v>
      </c>
      <c r="X68" s="49">
        <v>25</v>
      </c>
      <c r="Y68" s="49">
        <v>25</v>
      </c>
      <c r="Z68" s="49">
        <v>25</v>
      </c>
      <c r="AA68" s="49">
        <v>25</v>
      </c>
      <c r="AB68" s="49">
        <v>25</v>
      </c>
    </row>
    <row r="69" spans="1:28" x14ac:dyDescent="0.25">
      <c r="B69" s="2"/>
      <c r="C69" s="2"/>
      <c r="D69" s="5"/>
    </row>
    <row r="70" spans="1:28" s="1" customFormat="1" x14ac:dyDescent="0.25">
      <c r="A70"/>
      <c r="B70" s="9" t="s">
        <v>1004</v>
      </c>
      <c r="C70" s="9" t="s">
        <v>9</v>
      </c>
      <c r="D70"/>
      <c r="G70"/>
      <c r="H70"/>
      <c r="I70"/>
      <c r="J70"/>
      <c r="K70"/>
    </row>
    <row r="71" spans="1:28" s="1" customFormat="1" x14ac:dyDescent="0.25">
      <c r="A71"/>
      <c r="B71" s="9">
        <v>1</v>
      </c>
      <c r="C71" s="9" t="s">
        <v>1003</v>
      </c>
      <c r="D71"/>
      <c r="G71"/>
      <c r="H71"/>
      <c r="I71"/>
      <c r="J71"/>
      <c r="K71"/>
    </row>
    <row r="72" spans="1:28" s="1" customFormat="1" x14ac:dyDescent="0.25">
      <c r="A72"/>
      <c r="B72" s="9">
        <v>2</v>
      </c>
      <c r="C72" s="9" t="s">
        <v>1002</v>
      </c>
      <c r="D72"/>
      <c r="G72"/>
      <c r="H72"/>
      <c r="I72"/>
      <c r="J72"/>
      <c r="K72"/>
    </row>
    <row r="73" spans="1:28" s="1" customFormat="1" x14ac:dyDescent="0.25">
      <c r="A73"/>
      <c r="B73" s="9">
        <v>3</v>
      </c>
      <c r="C73" s="9" t="s">
        <v>1001</v>
      </c>
      <c r="D73"/>
      <c r="G73"/>
      <c r="H73"/>
      <c r="I73"/>
      <c r="J73"/>
      <c r="K73"/>
    </row>
    <row r="74" spans="1:28" s="1" customFormat="1" x14ac:dyDescent="0.25">
      <c r="A74"/>
      <c r="B74" s="9">
        <v>4</v>
      </c>
      <c r="C74" s="9" t="s">
        <v>1000</v>
      </c>
      <c r="D74"/>
      <c r="G74"/>
      <c r="H74"/>
      <c r="I74"/>
      <c r="J74"/>
      <c r="K74"/>
    </row>
    <row r="75" spans="1:28" s="1" customFormat="1" x14ac:dyDescent="0.25">
      <c r="A75"/>
      <c r="B75" s="9">
        <v>5</v>
      </c>
      <c r="C75" s="9" t="s">
        <v>999</v>
      </c>
      <c r="D75"/>
      <c r="G75"/>
      <c r="H75"/>
      <c r="I75"/>
      <c r="J75"/>
      <c r="K75"/>
    </row>
    <row r="76" spans="1:28" s="1" customFormat="1" x14ac:dyDescent="0.25">
      <c r="A76"/>
      <c r="B76" s="9">
        <v>6</v>
      </c>
      <c r="C76" s="9" t="s">
        <v>998</v>
      </c>
      <c r="D76"/>
      <c r="G76"/>
      <c r="H76"/>
      <c r="I76"/>
      <c r="J76"/>
      <c r="K76"/>
    </row>
    <row r="77" spans="1:28" s="1" customFormat="1" x14ac:dyDescent="0.25">
      <c r="A77"/>
      <c r="B77" s="9">
        <v>7</v>
      </c>
      <c r="C77" s="9" t="s">
        <v>997</v>
      </c>
      <c r="D77"/>
      <c r="G77"/>
      <c r="H77"/>
      <c r="I77"/>
      <c r="J77"/>
      <c r="K77"/>
    </row>
    <row r="78" spans="1:28" s="1" customFormat="1" x14ac:dyDescent="0.25">
      <c r="A78"/>
      <c r="B78" s="9">
        <v>8</v>
      </c>
      <c r="C78" s="9" t="s">
        <v>996</v>
      </c>
      <c r="D78"/>
      <c r="G78"/>
      <c r="H78"/>
      <c r="I78"/>
      <c r="J78"/>
      <c r="K78"/>
    </row>
    <row r="79" spans="1:28" s="1" customFormat="1" x14ac:dyDescent="0.25">
      <c r="A79"/>
      <c r="B79" s="9">
        <v>9</v>
      </c>
      <c r="C79" s="9" t="s">
        <v>995</v>
      </c>
      <c r="D79"/>
      <c r="G79"/>
      <c r="H79"/>
      <c r="I79"/>
      <c r="J79"/>
      <c r="K79"/>
    </row>
    <row r="80" spans="1:28" s="1" customFormat="1" x14ac:dyDescent="0.25">
      <c r="A80"/>
      <c r="B80" s="9">
        <v>10</v>
      </c>
      <c r="C80" s="9" t="s">
        <v>994</v>
      </c>
      <c r="D80"/>
      <c r="G80"/>
      <c r="H80"/>
      <c r="I80"/>
      <c r="J80"/>
      <c r="K80"/>
    </row>
    <row r="81" spans="1:11" s="1" customFormat="1" x14ac:dyDescent="0.25">
      <c r="A81"/>
      <c r="B81" s="9">
        <v>11</v>
      </c>
      <c r="C81" s="9" t="s">
        <v>993</v>
      </c>
      <c r="D81"/>
      <c r="G81"/>
      <c r="H81"/>
      <c r="I81"/>
      <c r="J81"/>
      <c r="K81"/>
    </row>
    <row r="82" spans="1:11" s="1" customFormat="1" x14ac:dyDescent="0.25">
      <c r="A82"/>
      <c r="B82" s="9">
        <v>12</v>
      </c>
      <c r="C82" s="9" t="s">
        <v>992</v>
      </c>
      <c r="D82"/>
      <c r="G82"/>
      <c r="H82"/>
      <c r="I82"/>
      <c r="J82"/>
      <c r="K82"/>
    </row>
    <row r="83" spans="1:11" s="1" customFormat="1" x14ac:dyDescent="0.25">
      <c r="A83"/>
      <c r="B83" s="9">
        <v>13</v>
      </c>
      <c r="C83" s="9" t="s">
        <v>991</v>
      </c>
      <c r="D83"/>
      <c r="G83"/>
      <c r="H83"/>
      <c r="I83"/>
      <c r="J83"/>
      <c r="K83"/>
    </row>
    <row r="84" spans="1:11" s="1" customFormat="1" x14ac:dyDescent="0.25">
      <c r="A84"/>
      <c r="B84" s="9" t="s">
        <v>990</v>
      </c>
      <c r="C84" s="9" t="s">
        <v>9</v>
      </c>
      <c r="D84"/>
      <c r="G84"/>
      <c r="H84"/>
      <c r="I84"/>
      <c r="J84"/>
      <c r="K84"/>
    </row>
    <row r="85" spans="1:11" s="1" customFormat="1" x14ac:dyDescent="0.25">
      <c r="A85"/>
      <c r="B85" s="9">
        <v>2</v>
      </c>
      <c r="C85" s="9" t="s">
        <v>989</v>
      </c>
      <c r="D85"/>
      <c r="G85"/>
      <c r="H85"/>
      <c r="I85"/>
      <c r="J85"/>
      <c r="K85"/>
    </row>
    <row r="86" spans="1:11" x14ac:dyDescent="0.25">
      <c r="B86" s="9">
        <v>3</v>
      </c>
      <c r="C86" s="9" t="s">
        <v>988</v>
      </c>
    </row>
    <row r="87" spans="1:11" x14ac:dyDescent="0.25">
      <c r="B87" s="9">
        <v>4</v>
      </c>
      <c r="C87" s="9" t="s">
        <v>987</v>
      </c>
    </row>
    <row r="88" spans="1:11" x14ac:dyDescent="0.25">
      <c r="B88" s="9">
        <v>5</v>
      </c>
      <c r="C88" s="9" t="s">
        <v>986</v>
      </c>
    </row>
    <row r="89" spans="1:11" x14ac:dyDescent="0.25">
      <c r="B89" s="9">
        <v>6</v>
      </c>
      <c r="C89" s="9" t="s">
        <v>985</v>
      </c>
    </row>
    <row r="90" spans="1:11" x14ac:dyDescent="0.25">
      <c r="B90" s="9">
        <v>7</v>
      </c>
      <c r="C90" s="9" t="s">
        <v>984</v>
      </c>
    </row>
    <row r="91" spans="1:11" x14ac:dyDescent="0.25">
      <c r="B91" s="9">
        <v>8</v>
      </c>
      <c r="C91" s="9" t="s">
        <v>983</v>
      </c>
    </row>
    <row r="92" spans="1:11" x14ac:dyDescent="0.25">
      <c r="B92" s="9">
        <v>9</v>
      </c>
      <c r="C92" s="9" t="s">
        <v>982</v>
      </c>
    </row>
    <row r="93" spans="1:11" x14ac:dyDescent="0.25">
      <c r="B93" s="9">
        <v>10</v>
      </c>
      <c r="C93" s="9" t="s">
        <v>981</v>
      </c>
    </row>
    <row r="94" spans="1:11" x14ac:dyDescent="0.25">
      <c r="B94" s="9">
        <v>11</v>
      </c>
      <c r="C94" s="9" t="s">
        <v>980</v>
      </c>
    </row>
    <row r="95" spans="1:11" x14ac:dyDescent="0.25">
      <c r="B95" s="9" t="s">
        <v>979</v>
      </c>
      <c r="C95" s="9" t="s">
        <v>9</v>
      </c>
    </row>
    <row r="96" spans="1:11" x14ac:dyDescent="0.25">
      <c r="B96" s="9">
        <v>2</v>
      </c>
      <c r="C96" s="9" t="s">
        <v>978</v>
      </c>
    </row>
    <row r="97" spans="2:3" x14ac:dyDescent="0.25">
      <c r="B97" s="9">
        <v>3</v>
      </c>
      <c r="C97" s="9" t="s">
        <v>977</v>
      </c>
    </row>
    <row r="98" spans="2:3" x14ac:dyDescent="0.25">
      <c r="B98" s="9">
        <v>4</v>
      </c>
      <c r="C98" s="9" t="s">
        <v>976</v>
      </c>
    </row>
    <row r="99" spans="2:3" x14ac:dyDescent="0.25">
      <c r="B99" s="9">
        <v>5</v>
      </c>
      <c r="C99" s="9" t="s">
        <v>975</v>
      </c>
    </row>
    <row r="100" spans="2:3" x14ac:dyDescent="0.25">
      <c r="B100" s="9">
        <v>6</v>
      </c>
      <c r="C100" s="9" t="s">
        <v>974</v>
      </c>
    </row>
    <row r="101" spans="2:3" x14ac:dyDescent="0.25">
      <c r="B101" s="9">
        <v>7</v>
      </c>
      <c r="C101" s="9" t="s">
        <v>973</v>
      </c>
    </row>
    <row r="102" spans="2:3" x14ac:dyDescent="0.25">
      <c r="B102" s="9" t="s">
        <v>972</v>
      </c>
      <c r="C102" s="9" t="s">
        <v>9</v>
      </c>
    </row>
    <row r="103" spans="2:3" x14ac:dyDescent="0.25">
      <c r="B103" s="9">
        <v>2</v>
      </c>
      <c r="C103" s="9" t="s">
        <v>971</v>
      </c>
    </row>
    <row r="104" spans="2:3" x14ac:dyDescent="0.25">
      <c r="B104" s="9">
        <v>3</v>
      </c>
      <c r="C104" s="9" t="s">
        <v>970</v>
      </c>
    </row>
    <row r="105" spans="2:3" x14ac:dyDescent="0.25">
      <c r="B105" s="9">
        <v>4</v>
      </c>
      <c r="C105" s="9" t="s">
        <v>969</v>
      </c>
    </row>
    <row r="106" spans="2:3" x14ac:dyDescent="0.25">
      <c r="B106" s="9">
        <v>5</v>
      </c>
      <c r="C106" s="9" t="s">
        <v>968</v>
      </c>
    </row>
    <row r="107" spans="2:3" x14ac:dyDescent="0.25">
      <c r="B107" s="9">
        <v>6</v>
      </c>
      <c r="C107" s="9" t="s">
        <v>967</v>
      </c>
    </row>
    <row r="108" spans="2:3" x14ac:dyDescent="0.25">
      <c r="B108" s="9">
        <v>7</v>
      </c>
      <c r="C108" s="9" t="s">
        <v>966</v>
      </c>
    </row>
    <row r="109" spans="2:3" x14ac:dyDescent="0.25">
      <c r="B109" s="9">
        <v>8</v>
      </c>
      <c r="C109" s="9" t="s">
        <v>965</v>
      </c>
    </row>
    <row r="110" spans="2:3" x14ac:dyDescent="0.25">
      <c r="B110" s="9">
        <v>9</v>
      </c>
      <c r="C110" s="9" t="s">
        <v>964</v>
      </c>
    </row>
    <row r="111" spans="2:3" x14ac:dyDescent="0.25">
      <c r="B111" s="9">
        <v>10</v>
      </c>
      <c r="C111" s="9" t="s">
        <v>963</v>
      </c>
    </row>
    <row r="112" spans="2:3" x14ac:dyDescent="0.25">
      <c r="B112" s="9" t="s">
        <v>962</v>
      </c>
      <c r="C112" s="9" t="s">
        <v>9</v>
      </c>
    </row>
    <row r="113" spans="2:3" x14ac:dyDescent="0.25">
      <c r="B113" s="9">
        <v>2</v>
      </c>
      <c r="C113" s="9" t="s">
        <v>961</v>
      </c>
    </row>
    <row r="114" spans="2:3" x14ac:dyDescent="0.25">
      <c r="B114" s="9">
        <v>3</v>
      </c>
      <c r="C114" s="9" t="s">
        <v>960</v>
      </c>
    </row>
    <row r="115" spans="2:3" x14ac:dyDescent="0.25">
      <c r="B115" s="9">
        <v>4</v>
      </c>
      <c r="C115" s="9" t="s">
        <v>959</v>
      </c>
    </row>
    <row r="116" spans="2:3" x14ac:dyDescent="0.25">
      <c r="B116" s="9">
        <v>5</v>
      </c>
      <c r="C116" s="9" t="s">
        <v>958</v>
      </c>
    </row>
    <row r="117" spans="2:3" x14ac:dyDescent="0.25">
      <c r="B117" s="48">
        <v>6</v>
      </c>
      <c r="C117" t="s">
        <v>957</v>
      </c>
    </row>
    <row r="118" spans="2:3" x14ac:dyDescent="0.25">
      <c r="B118" s="48">
        <v>7</v>
      </c>
      <c r="C118" t="s">
        <v>956</v>
      </c>
    </row>
    <row r="119" spans="2:3" x14ac:dyDescent="0.25">
      <c r="B119" s="48">
        <v>8</v>
      </c>
      <c r="C119" t="s">
        <v>955</v>
      </c>
    </row>
    <row r="120" spans="2:3" x14ac:dyDescent="0.25">
      <c r="B120" s="48">
        <v>9</v>
      </c>
      <c r="C120" t="s">
        <v>954</v>
      </c>
    </row>
    <row r="121" spans="2:3" x14ac:dyDescent="0.25">
      <c r="B121" s="48">
        <v>10</v>
      </c>
      <c r="C121" t="s">
        <v>953</v>
      </c>
    </row>
    <row r="122" spans="2:3" x14ac:dyDescent="0.25">
      <c r="B122" s="48">
        <v>11</v>
      </c>
      <c r="C122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694B-8F50-4ECC-82A1-FA42B5D563DA}">
  <sheetPr codeName="Sheet14"/>
  <dimension ref="A1:AB67"/>
  <sheetViews>
    <sheetView workbookViewId="0">
      <selection activeCell="G3" sqref="G3"/>
    </sheetView>
  </sheetViews>
  <sheetFormatPr baseColWidth="10" defaultColWidth="11.42578125" defaultRowHeight="15" x14ac:dyDescent="0.25"/>
  <cols>
    <col min="1" max="1" width="3" bestFit="1" customWidth="1"/>
    <col min="2" max="2" width="58.7109375" bestFit="1" customWidth="1"/>
    <col min="3" max="3" width="59.5703125" bestFit="1" customWidth="1"/>
    <col min="7" max="7" width="11.42578125" style="1"/>
  </cols>
  <sheetData>
    <row r="1" spans="1:28" x14ac:dyDescent="0.25">
      <c r="E1" s="1"/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</row>
    <row r="2" spans="1:28" x14ac:dyDescent="0.25">
      <c r="B2" s="2"/>
      <c r="C2" s="2" t="s">
        <v>17</v>
      </c>
      <c r="D2" s="34" t="s">
        <v>8</v>
      </c>
      <c r="E2" s="3" t="s">
        <v>298</v>
      </c>
      <c r="F2" s="3" t="s">
        <v>299</v>
      </c>
      <c r="G2" s="20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</row>
    <row r="3" spans="1:28" x14ac:dyDescent="0.25">
      <c r="A3" s="2"/>
      <c r="B3" s="2" t="s">
        <v>1161</v>
      </c>
      <c r="C3" s="2" t="s">
        <v>1160</v>
      </c>
      <c r="D3" s="36">
        <v>5</v>
      </c>
      <c r="E3" s="4">
        <v>1</v>
      </c>
      <c r="F3" s="3"/>
      <c r="G3" s="20">
        <f>+IF(EXACT('3AC_Data'!$D$8,1),'13InputPerforInitial'!H3,IF(EXACT('3AC_Data'!$D$8,2),'13InputPerforInitial'!I3,IF(EXACT('3AC_Data'!$D$8,3),'13InputPerforInitial'!J3,IF(EXACT('3AC_Data'!$D$8,4),'13InputPerforInitial'!K3,IF(EXACT('3AC_Data'!$D$8,5),'13InputPerforInitial'!L3,IF(EXACT('3AC_Data'!$D$8,6),'13InputPerforInitial'!M3,IF(EXACT('3AC_Data'!$D$8,7),'13InputPerforInitial'!N3,IF(EXACT('3AC_Data'!$D$8,8),'13InputPerforInitial'!O3,IF(EXACT('3AC_Data'!$D$8,9),'13InputPerforInitial'!P3,IF(EXACT('3AC_Data'!$D$8,10),'13InputPerforInitial'!Q3,IF(EXACT('3AC_Data'!$D$8,11),'13InputPerforInitial'!R3,IF(EXACT('3AC_Data'!$D$8,12),'13InputPerforInitial'!S3,IF(EXACT('3AC_Data'!$D$8,13),'13InputPerforInitial'!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15</v>
      </c>
      <c r="H3" s="24">
        <v>5</v>
      </c>
      <c r="I3" s="24">
        <v>5</v>
      </c>
      <c r="J3" s="24">
        <v>5</v>
      </c>
      <c r="K3" s="24">
        <v>5</v>
      </c>
      <c r="L3" s="24">
        <v>5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5</v>
      </c>
      <c r="S3" s="24">
        <v>5</v>
      </c>
      <c r="T3" s="24">
        <v>5</v>
      </c>
      <c r="U3" s="24">
        <v>5</v>
      </c>
      <c r="V3" s="24">
        <v>5</v>
      </c>
      <c r="W3" s="24">
        <v>5</v>
      </c>
      <c r="X3" s="24">
        <v>5</v>
      </c>
      <c r="Y3" s="24">
        <v>5</v>
      </c>
      <c r="Z3" s="24">
        <v>5</v>
      </c>
      <c r="AA3" s="24">
        <v>5</v>
      </c>
      <c r="AB3" s="24">
        <v>5</v>
      </c>
    </row>
    <row r="4" spans="1:28" x14ac:dyDescent="0.25">
      <c r="A4" s="2"/>
      <c r="B4" s="2" t="s">
        <v>1159</v>
      </c>
      <c r="C4" s="2" t="s">
        <v>1158</v>
      </c>
      <c r="D4" s="36">
        <v>1</v>
      </c>
      <c r="E4" s="4">
        <v>1</v>
      </c>
      <c r="F4" s="3"/>
      <c r="G4" s="20">
        <f>+IF(EXACT('3AC_Data'!$D$8,1),'13InputPerforInitial'!H4,IF(EXACT('3AC_Data'!$D$8,2),'13InputPerforInitial'!I4,IF(EXACT('3AC_Data'!$D$8,3),'13InputPerforInitial'!J4,IF(EXACT('3AC_Data'!$D$8,4),'13InputPerforInitial'!K4,IF(EXACT('3AC_Data'!$D$8,5),'13InputPerforInitial'!L4,IF(EXACT('3AC_Data'!$D$8,6),'13InputPerforInitial'!M4,IF(EXACT('3AC_Data'!$D$8,7),'13InputPerforInitial'!N4,IF(EXACT('3AC_Data'!$D$8,8),'13InputPerforInitial'!O4,IF(EXACT('3AC_Data'!$D$8,9),'13InputPerforInitial'!P4,IF(EXACT('3AC_Data'!$D$8,10),'13InputPerforInitial'!Q4,IF(EXACT('3AC_Data'!$D$8,11),'13InputPerforInitial'!R4,IF(EXACT('3AC_Data'!$D$8,12),'13InputPerforInitial'!S4,IF(EXACT('3AC_Data'!$D$8,13),'13InputPerforInitial'!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4">
        <v>1</v>
      </c>
      <c r="AA4" s="24">
        <v>1</v>
      </c>
      <c r="AB4" s="24">
        <v>1</v>
      </c>
    </row>
    <row r="5" spans="1:28" x14ac:dyDescent="0.25">
      <c r="A5" s="2"/>
      <c r="B5" s="2" t="s">
        <v>1157</v>
      </c>
      <c r="C5" s="2" t="s">
        <v>1156</v>
      </c>
      <c r="D5" s="36">
        <f>+G5</f>
        <v>101326.80930750001</v>
      </c>
      <c r="E5" s="4">
        <v>1</v>
      </c>
      <c r="F5" s="3"/>
      <c r="G5" s="20">
        <f>+IF(EXACT('3AC_Data'!$D$8,1),'13InputPerforInitial'!H5,IF(EXACT('3AC_Data'!$D$8,2),'13InputPerforInitial'!I5,IF(EXACT('3AC_Data'!$D$8,3),'13InputPerforInitial'!J5,IF(EXACT('3AC_Data'!$D$8,4),'13InputPerforInitial'!K5,IF(EXACT('3AC_Data'!$D$8,5),'13InputPerforInitial'!L5,IF(EXACT('3AC_Data'!$D$8,6),'13InputPerforInitial'!M5,IF(EXACT('3AC_Data'!$D$8,7),'13InputPerforInitial'!N5,IF(EXACT('3AC_Data'!$D$8,8),'13InputPerforInitial'!O5,IF(EXACT('3AC_Data'!$D$8,9),'13InputPerforInitial'!P5,IF(EXACT('3AC_Data'!$D$8,10),'13InputPerforInitial'!Q5,IF(EXACT('3AC_Data'!$D$8,11),'13InputPerforInitial'!R5,IF(EXACT('3AC_Data'!$D$8,12),'13InputPerforInitial'!S5,IF(EXACT('3AC_Data'!$D$8,13),'13InputPerforInitial'!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101326.80930750001</v>
      </c>
      <c r="H5" s="24">
        <v>2</v>
      </c>
      <c r="I5" s="24">
        <v>2</v>
      </c>
      <c r="J5" s="24">
        <v>2</v>
      </c>
      <c r="K5" s="24">
        <v>2</v>
      </c>
      <c r="L5" s="24">
        <v>2</v>
      </c>
      <c r="M5" s="24">
        <v>2</v>
      </c>
      <c r="N5" s="24">
        <v>2</v>
      </c>
      <c r="O5" s="24">
        <v>2</v>
      </c>
      <c r="P5" s="24">
        <v>2</v>
      </c>
      <c r="Q5" s="24">
        <v>2</v>
      </c>
      <c r="R5" s="24">
        <v>2</v>
      </c>
      <c r="S5" s="24">
        <v>2</v>
      </c>
      <c r="T5" s="24">
        <v>2</v>
      </c>
      <c r="U5" s="24">
        <v>2</v>
      </c>
      <c r="V5" s="24">
        <v>2</v>
      </c>
      <c r="W5" s="24">
        <v>2</v>
      </c>
      <c r="X5" s="24">
        <v>2</v>
      </c>
      <c r="Y5" s="24">
        <v>2</v>
      </c>
      <c r="Z5" s="24">
        <v>2</v>
      </c>
      <c r="AA5" s="24">
        <v>2</v>
      </c>
      <c r="AB5" s="24">
        <v>2</v>
      </c>
    </row>
    <row r="6" spans="1:28" x14ac:dyDescent="0.25">
      <c r="A6" s="2"/>
      <c r="B6" s="2" t="s">
        <v>1155</v>
      </c>
      <c r="C6" s="2" t="s">
        <v>1154</v>
      </c>
      <c r="D6" s="36">
        <f>+G6</f>
        <v>0.05</v>
      </c>
      <c r="E6" s="4">
        <v>1</v>
      </c>
      <c r="F6" s="3"/>
      <c r="G6" s="20">
        <f>+IF(EXACT('3AC_Data'!$D$8,1),'13InputPerforInitial'!H6,IF(EXACT('3AC_Data'!$D$8,2),'13InputPerforInitial'!I6,IF(EXACT('3AC_Data'!$D$8,3),'13InputPerforInitial'!J6,IF(EXACT('3AC_Data'!$D$8,4),'13InputPerforInitial'!K6,IF(EXACT('3AC_Data'!$D$8,5),'13InputPerforInitial'!L6,IF(EXACT('3AC_Data'!$D$8,6),'13InputPerforInitial'!M6,IF(EXACT('3AC_Data'!$D$8,7),'13InputPerforInitial'!N6,IF(EXACT('3AC_Data'!$D$8,8),'13InputPerforInitial'!O6,IF(EXACT('3AC_Data'!$D$8,9),'13InputPerforInitial'!P6,IF(EXACT('3AC_Data'!$D$8,10),'13InputPerforInitial'!Q6,IF(EXACT('3AC_Data'!$D$8,11),'13InputPerforInitial'!R6,IF(EXACT('3AC_Data'!$D$8,12),'13InputPerforInitial'!S6,IF(EXACT('3AC_Data'!$D$8,13),'13InputPerforInitial'!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0.05</v>
      </c>
      <c r="H6" s="24">
        <v>2</v>
      </c>
      <c r="I6" s="24">
        <v>2</v>
      </c>
      <c r="J6" s="24">
        <v>2</v>
      </c>
      <c r="K6" s="24">
        <v>2</v>
      </c>
      <c r="L6" s="24">
        <v>2</v>
      </c>
      <c r="M6" s="24">
        <v>2</v>
      </c>
      <c r="N6" s="24">
        <v>2</v>
      </c>
      <c r="O6" s="24">
        <v>2</v>
      </c>
      <c r="P6" s="24">
        <v>2</v>
      </c>
      <c r="Q6" s="24">
        <v>2</v>
      </c>
      <c r="R6" s="24">
        <v>2</v>
      </c>
      <c r="S6" s="24">
        <v>2</v>
      </c>
      <c r="T6" s="24">
        <v>2</v>
      </c>
      <c r="U6" s="24">
        <v>2</v>
      </c>
      <c r="V6" s="24">
        <v>2</v>
      </c>
      <c r="W6" s="24">
        <v>2</v>
      </c>
      <c r="X6" s="24">
        <v>2</v>
      </c>
      <c r="Y6" s="24">
        <v>2</v>
      </c>
      <c r="Z6" s="24">
        <v>2</v>
      </c>
      <c r="AA6" s="24">
        <v>2</v>
      </c>
      <c r="AB6" s="24">
        <v>2</v>
      </c>
    </row>
    <row r="7" spans="1:28" x14ac:dyDescent="0.25">
      <c r="A7" s="2"/>
      <c r="B7" s="2" t="s">
        <v>1153</v>
      </c>
      <c r="C7" s="2" t="s">
        <v>1152</v>
      </c>
      <c r="D7" s="36">
        <f>+G7</f>
        <v>10</v>
      </c>
      <c r="E7" s="4">
        <v>1</v>
      </c>
      <c r="F7" s="3"/>
      <c r="G7" s="20">
        <f>+IF(EXACT('3AC_Data'!$D$8,1),'13InputPerforInitial'!H7,IF(EXACT('3AC_Data'!$D$8,2),'13InputPerforInitial'!I7,IF(EXACT('3AC_Data'!$D$8,3),'13InputPerforInitial'!J7,IF(EXACT('3AC_Data'!$D$8,4),'13InputPerforInitial'!K7,IF(EXACT('3AC_Data'!$D$8,5),'13InputPerforInitial'!L7,IF(EXACT('3AC_Data'!$D$8,6),'13InputPerforInitial'!M7,IF(EXACT('3AC_Data'!$D$8,7),'13InputPerforInitial'!N7,IF(EXACT('3AC_Data'!$D$8,8),'13InputPerforInitial'!O7,IF(EXACT('3AC_Data'!$D$8,9),'13InputPerforInitial'!P7,IF(EXACT('3AC_Data'!$D$8,10),'13InputPerforInitial'!Q7,IF(EXACT('3AC_Data'!$D$8,11),'13InputPerforInitial'!R7,IF(EXACT('3AC_Data'!$D$8,12),'13InputPerforInitial'!S7,IF(EXACT('3AC_Data'!$D$8,13),'13InputPerforInitial'!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10</v>
      </c>
      <c r="H7" s="24">
        <v>5</v>
      </c>
      <c r="I7" s="24">
        <v>5</v>
      </c>
      <c r="J7" s="24">
        <v>5</v>
      </c>
      <c r="K7" s="24">
        <v>5</v>
      </c>
      <c r="L7" s="24">
        <v>5</v>
      </c>
      <c r="M7" s="24">
        <v>5</v>
      </c>
      <c r="N7" s="24">
        <v>5</v>
      </c>
      <c r="O7" s="24">
        <v>5</v>
      </c>
      <c r="P7" s="24">
        <v>5</v>
      </c>
      <c r="Q7" s="24">
        <v>5</v>
      </c>
      <c r="R7" s="24">
        <v>5</v>
      </c>
      <c r="S7" s="24">
        <v>5</v>
      </c>
      <c r="T7" s="24">
        <v>5</v>
      </c>
      <c r="U7" s="24">
        <v>5</v>
      </c>
      <c r="V7" s="24">
        <v>5</v>
      </c>
      <c r="W7" s="24">
        <v>5</v>
      </c>
      <c r="X7" s="24">
        <v>5</v>
      </c>
      <c r="Y7" s="24">
        <v>5</v>
      </c>
      <c r="Z7" s="24">
        <v>5</v>
      </c>
      <c r="AA7" s="24">
        <v>5</v>
      </c>
      <c r="AB7" s="24">
        <v>5</v>
      </c>
    </row>
    <row r="8" spans="1:28" x14ac:dyDescent="0.25">
      <c r="A8" s="2"/>
      <c r="B8" s="2" t="s">
        <v>1151</v>
      </c>
      <c r="C8" s="2" t="s">
        <v>1150</v>
      </c>
      <c r="D8" s="36">
        <f>+G8</f>
        <v>5</v>
      </c>
      <c r="E8" s="4">
        <v>1</v>
      </c>
      <c r="F8" s="3"/>
      <c r="G8" s="20">
        <f>+IF(EXACT('3AC_Data'!$D$8,1),'13InputPerforInitial'!H8,IF(EXACT('3AC_Data'!$D$8,2),'13InputPerforInitial'!I8,IF(EXACT('3AC_Data'!$D$8,3),'13InputPerforInitial'!J8,IF(EXACT('3AC_Data'!$D$8,4),'13InputPerforInitial'!K8,IF(EXACT('3AC_Data'!$D$8,5),'13InputPerforInitial'!L8,IF(EXACT('3AC_Data'!$D$8,6),'13InputPerforInitial'!M8,IF(EXACT('3AC_Data'!$D$8,7),'13InputPerforInitial'!N8,IF(EXACT('3AC_Data'!$D$8,8),'13InputPerforInitial'!O8,IF(EXACT('3AC_Data'!$D$8,9),'13InputPerforInitial'!P8,IF(EXACT('3AC_Data'!$D$8,10),'13InputPerforInitial'!Q8,IF(EXACT('3AC_Data'!$D$8,11),'13InputPerforInitial'!R8,IF(EXACT('3AC_Data'!$D$8,12),'13InputPerforInitial'!S8,IF(EXACT('3AC_Data'!$D$8,13),'13InputPerforInitial'!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5</v>
      </c>
      <c r="H8" s="24">
        <v>2</v>
      </c>
      <c r="I8" s="24">
        <v>2</v>
      </c>
      <c r="J8" s="24">
        <v>2</v>
      </c>
      <c r="K8" s="24">
        <v>2</v>
      </c>
      <c r="L8" s="24">
        <v>2</v>
      </c>
      <c r="M8" s="24">
        <v>2</v>
      </c>
      <c r="N8" s="24">
        <v>2</v>
      </c>
      <c r="O8" s="24">
        <v>2</v>
      </c>
      <c r="P8" s="24">
        <v>2</v>
      </c>
      <c r="Q8" s="24">
        <v>2</v>
      </c>
      <c r="R8" s="24">
        <v>2</v>
      </c>
      <c r="S8" s="24">
        <v>2</v>
      </c>
      <c r="T8" s="24">
        <v>2</v>
      </c>
      <c r="U8" s="24">
        <v>2</v>
      </c>
      <c r="V8" s="24">
        <v>2</v>
      </c>
      <c r="W8" s="24">
        <v>2</v>
      </c>
      <c r="X8" s="24">
        <v>2</v>
      </c>
      <c r="Y8" s="24">
        <v>2</v>
      </c>
      <c r="Z8" s="24">
        <v>2</v>
      </c>
      <c r="AA8" s="24">
        <v>2</v>
      </c>
      <c r="AB8" s="24">
        <v>2</v>
      </c>
    </row>
    <row r="9" spans="1:28" x14ac:dyDescent="0.25">
      <c r="B9" s="2"/>
      <c r="C9" s="2"/>
      <c r="D9" s="5"/>
      <c r="E9" s="5"/>
      <c r="F9" s="1"/>
    </row>
    <row r="10" spans="1:28" x14ac:dyDescent="0.25">
      <c r="B10" s="2"/>
      <c r="C10" s="2"/>
      <c r="D10" s="5"/>
      <c r="E10" s="5"/>
      <c r="F10" s="1"/>
    </row>
    <row r="11" spans="1:28" x14ac:dyDescent="0.25">
      <c r="B11" s="2"/>
      <c r="C11" s="2"/>
      <c r="D11" s="5"/>
      <c r="E11" s="1"/>
      <c r="F11" s="1"/>
    </row>
    <row r="12" spans="1:28" x14ac:dyDescent="0.25">
      <c r="B12" s="23" t="s">
        <v>1149</v>
      </c>
      <c r="C12" s="9" t="s">
        <v>9</v>
      </c>
      <c r="E12" s="1"/>
      <c r="F12" s="1"/>
      <c r="L12" s="1"/>
      <c r="M12" s="1"/>
      <c r="N12" s="1"/>
      <c r="O12" s="1"/>
    </row>
    <row r="13" spans="1:28" x14ac:dyDescent="0.25">
      <c r="B13" s="23">
        <v>0</v>
      </c>
      <c r="C13" s="9" t="s">
        <v>1148</v>
      </c>
      <c r="E13" s="1"/>
      <c r="F13" s="1"/>
      <c r="L13" s="1"/>
      <c r="M13" s="1"/>
      <c r="N13" s="1"/>
      <c r="O13" s="1"/>
    </row>
    <row r="14" spans="1:28" x14ac:dyDescent="0.25">
      <c r="B14" s="23">
        <v>1</v>
      </c>
      <c r="C14" s="9" t="s">
        <v>1147</v>
      </c>
      <c r="E14" s="1"/>
      <c r="F14" s="1"/>
      <c r="L14" s="1"/>
      <c r="M14" s="1"/>
      <c r="N14" s="1"/>
      <c r="O14" s="1"/>
    </row>
    <row r="15" spans="1:28" x14ac:dyDescent="0.25">
      <c r="B15" s="23" t="s">
        <v>1004</v>
      </c>
      <c r="C15" s="9" t="s">
        <v>9</v>
      </c>
    </row>
    <row r="16" spans="1:28" x14ac:dyDescent="0.25">
      <c r="B16" s="23">
        <v>1</v>
      </c>
      <c r="C16" s="9" t="s">
        <v>1003</v>
      </c>
    </row>
    <row r="17" spans="2:3" x14ac:dyDescent="0.25">
      <c r="B17" s="23">
        <v>2</v>
      </c>
      <c r="C17" s="9" t="s">
        <v>1002</v>
      </c>
    </row>
    <row r="18" spans="2:3" x14ac:dyDescent="0.25">
      <c r="B18" s="23">
        <v>3</v>
      </c>
      <c r="C18" s="9" t="s">
        <v>1001</v>
      </c>
    </row>
    <row r="19" spans="2:3" x14ac:dyDescent="0.25">
      <c r="B19" s="23">
        <v>4</v>
      </c>
      <c r="C19" s="9" t="s">
        <v>1000</v>
      </c>
    </row>
    <row r="20" spans="2:3" x14ac:dyDescent="0.25">
      <c r="B20" s="23">
        <v>5</v>
      </c>
      <c r="C20" s="9" t="s">
        <v>999</v>
      </c>
    </row>
    <row r="21" spans="2:3" x14ac:dyDescent="0.25">
      <c r="B21" s="23">
        <v>6</v>
      </c>
      <c r="C21" s="9" t="s">
        <v>998</v>
      </c>
    </row>
    <row r="22" spans="2:3" x14ac:dyDescent="0.25">
      <c r="B22" s="23">
        <v>7</v>
      </c>
      <c r="C22" s="9" t="s">
        <v>997</v>
      </c>
    </row>
    <row r="23" spans="2:3" x14ac:dyDescent="0.25">
      <c r="B23" s="23">
        <v>8</v>
      </c>
      <c r="C23" s="9" t="s">
        <v>996</v>
      </c>
    </row>
    <row r="24" spans="2:3" x14ac:dyDescent="0.25">
      <c r="B24" s="23">
        <v>9</v>
      </c>
      <c r="C24" s="9" t="s">
        <v>995</v>
      </c>
    </row>
    <row r="25" spans="2:3" x14ac:dyDescent="0.25">
      <c r="B25" s="23">
        <v>10</v>
      </c>
      <c r="C25" s="9" t="s">
        <v>994</v>
      </c>
    </row>
    <row r="26" spans="2:3" x14ac:dyDescent="0.25">
      <c r="B26" s="23">
        <v>11</v>
      </c>
      <c r="C26" s="9" t="s">
        <v>993</v>
      </c>
    </row>
    <row r="27" spans="2:3" x14ac:dyDescent="0.25">
      <c r="B27" s="23">
        <v>12</v>
      </c>
      <c r="C27" s="9" t="s">
        <v>992</v>
      </c>
    </row>
    <row r="28" spans="2:3" x14ac:dyDescent="0.25">
      <c r="B28" s="23">
        <v>13</v>
      </c>
      <c r="C28" s="9" t="s">
        <v>991</v>
      </c>
    </row>
    <row r="29" spans="2:3" x14ac:dyDescent="0.25">
      <c r="B29" s="23" t="s">
        <v>990</v>
      </c>
      <c r="C29" s="9" t="s">
        <v>9</v>
      </c>
    </row>
    <row r="30" spans="2:3" x14ac:dyDescent="0.25">
      <c r="B30" s="23">
        <v>2</v>
      </c>
      <c r="C30" s="9" t="s">
        <v>989</v>
      </c>
    </row>
    <row r="31" spans="2:3" x14ac:dyDescent="0.25">
      <c r="B31" s="23">
        <v>3</v>
      </c>
      <c r="C31" s="9" t="s">
        <v>988</v>
      </c>
    </row>
    <row r="32" spans="2:3" x14ac:dyDescent="0.25">
      <c r="B32" s="23">
        <v>4</v>
      </c>
      <c r="C32" s="9" t="s">
        <v>987</v>
      </c>
    </row>
    <row r="33" spans="2:3" x14ac:dyDescent="0.25">
      <c r="B33" s="23">
        <v>5</v>
      </c>
      <c r="C33" s="9" t="s">
        <v>986</v>
      </c>
    </row>
    <row r="34" spans="2:3" x14ac:dyDescent="0.25">
      <c r="B34" s="23">
        <v>6</v>
      </c>
      <c r="C34" s="9" t="s">
        <v>985</v>
      </c>
    </row>
    <row r="35" spans="2:3" x14ac:dyDescent="0.25">
      <c r="B35" s="23">
        <v>7</v>
      </c>
      <c r="C35" s="9" t="s">
        <v>984</v>
      </c>
    </row>
    <row r="36" spans="2:3" x14ac:dyDescent="0.25">
      <c r="B36" s="23">
        <v>8</v>
      </c>
      <c r="C36" s="9" t="s">
        <v>983</v>
      </c>
    </row>
    <row r="37" spans="2:3" x14ac:dyDescent="0.25">
      <c r="B37" s="23">
        <v>9</v>
      </c>
      <c r="C37" s="9" t="s">
        <v>982</v>
      </c>
    </row>
    <row r="38" spans="2:3" x14ac:dyDescent="0.25">
      <c r="B38" s="23">
        <v>10</v>
      </c>
      <c r="C38" s="9" t="s">
        <v>981</v>
      </c>
    </row>
    <row r="39" spans="2:3" x14ac:dyDescent="0.25">
      <c r="B39" s="23">
        <v>11</v>
      </c>
      <c r="C39" s="9" t="s">
        <v>980</v>
      </c>
    </row>
    <row r="40" spans="2:3" x14ac:dyDescent="0.25">
      <c r="B40" s="23" t="s">
        <v>979</v>
      </c>
      <c r="C40" s="9" t="s">
        <v>9</v>
      </c>
    </row>
    <row r="41" spans="2:3" x14ac:dyDescent="0.25">
      <c r="B41" s="23">
        <v>2</v>
      </c>
      <c r="C41" s="9" t="s">
        <v>978</v>
      </c>
    </row>
    <row r="42" spans="2:3" x14ac:dyDescent="0.25">
      <c r="B42" s="23">
        <v>3</v>
      </c>
      <c r="C42" s="9" t="s">
        <v>977</v>
      </c>
    </row>
    <row r="43" spans="2:3" x14ac:dyDescent="0.25">
      <c r="B43" s="23">
        <v>4</v>
      </c>
      <c r="C43" s="9" t="s">
        <v>976</v>
      </c>
    </row>
    <row r="44" spans="2:3" x14ac:dyDescent="0.25">
      <c r="B44" s="23">
        <v>5</v>
      </c>
      <c r="C44" s="9" t="s">
        <v>975</v>
      </c>
    </row>
    <row r="45" spans="2:3" x14ac:dyDescent="0.25">
      <c r="B45" s="23">
        <v>6</v>
      </c>
      <c r="C45" s="9" t="s">
        <v>974</v>
      </c>
    </row>
    <row r="46" spans="2:3" x14ac:dyDescent="0.25">
      <c r="B46" s="23">
        <v>7</v>
      </c>
      <c r="C46" s="9" t="s">
        <v>973</v>
      </c>
    </row>
    <row r="47" spans="2:3" x14ac:dyDescent="0.25">
      <c r="B47" s="23" t="s">
        <v>972</v>
      </c>
      <c r="C47" s="9" t="s">
        <v>9</v>
      </c>
    </row>
    <row r="48" spans="2:3" x14ac:dyDescent="0.25">
      <c r="B48" s="23">
        <v>2</v>
      </c>
      <c r="C48" s="9" t="s">
        <v>971</v>
      </c>
    </row>
    <row r="49" spans="2:3" x14ac:dyDescent="0.25">
      <c r="B49" s="23">
        <v>3</v>
      </c>
      <c r="C49" s="9" t="s">
        <v>970</v>
      </c>
    </row>
    <row r="50" spans="2:3" x14ac:dyDescent="0.25">
      <c r="B50" s="23">
        <v>4</v>
      </c>
      <c r="C50" s="9" t="s">
        <v>969</v>
      </c>
    </row>
    <row r="51" spans="2:3" x14ac:dyDescent="0.25">
      <c r="B51" s="23">
        <v>5</v>
      </c>
      <c r="C51" s="9" t="s">
        <v>968</v>
      </c>
    </row>
    <row r="52" spans="2:3" x14ac:dyDescent="0.25">
      <c r="B52" s="23">
        <v>6</v>
      </c>
      <c r="C52" s="9" t="s">
        <v>967</v>
      </c>
    </row>
    <row r="53" spans="2:3" x14ac:dyDescent="0.25">
      <c r="B53" s="23">
        <v>7</v>
      </c>
      <c r="C53" s="9" t="s">
        <v>966</v>
      </c>
    </row>
    <row r="54" spans="2:3" x14ac:dyDescent="0.25">
      <c r="B54" s="23">
        <v>8</v>
      </c>
      <c r="C54" s="9" t="s">
        <v>965</v>
      </c>
    </row>
    <row r="55" spans="2:3" x14ac:dyDescent="0.25">
      <c r="B55" s="23">
        <v>9</v>
      </c>
      <c r="C55" s="9" t="s">
        <v>964</v>
      </c>
    </row>
    <row r="56" spans="2:3" x14ac:dyDescent="0.25">
      <c r="B56" s="23">
        <v>10</v>
      </c>
      <c r="C56" s="9" t="s">
        <v>963</v>
      </c>
    </row>
    <row r="57" spans="2:3" x14ac:dyDescent="0.25">
      <c r="B57" s="23" t="s">
        <v>962</v>
      </c>
      <c r="C57" s="9" t="s">
        <v>9</v>
      </c>
    </row>
    <row r="58" spans="2:3" x14ac:dyDescent="0.25">
      <c r="B58" s="23">
        <v>2</v>
      </c>
      <c r="C58" s="9" t="s">
        <v>961</v>
      </c>
    </row>
    <row r="59" spans="2:3" x14ac:dyDescent="0.25">
      <c r="B59" s="23">
        <v>3</v>
      </c>
      <c r="C59" s="9" t="s">
        <v>960</v>
      </c>
    </row>
    <row r="60" spans="2:3" x14ac:dyDescent="0.25">
      <c r="B60" s="23">
        <v>4</v>
      </c>
      <c r="C60" s="9" t="s">
        <v>959</v>
      </c>
    </row>
    <row r="61" spans="2:3" x14ac:dyDescent="0.25">
      <c r="B61" s="23">
        <v>5</v>
      </c>
      <c r="C61" s="9" t="s">
        <v>958</v>
      </c>
    </row>
    <row r="62" spans="2:3" x14ac:dyDescent="0.25">
      <c r="B62" s="88">
        <v>6</v>
      </c>
      <c r="C62" s="7" t="s">
        <v>957</v>
      </c>
    </row>
    <row r="63" spans="2:3" x14ac:dyDescent="0.25">
      <c r="B63" s="88">
        <v>7</v>
      </c>
      <c r="C63" s="7" t="s">
        <v>956</v>
      </c>
    </row>
    <row r="64" spans="2:3" x14ac:dyDescent="0.25">
      <c r="B64" s="88">
        <v>8</v>
      </c>
      <c r="C64" s="7" t="s">
        <v>955</v>
      </c>
    </row>
    <row r="65" spans="2:3" x14ac:dyDescent="0.25">
      <c r="B65" s="88">
        <v>9</v>
      </c>
      <c r="C65" s="7" t="s">
        <v>954</v>
      </c>
    </row>
    <row r="66" spans="2:3" x14ac:dyDescent="0.25">
      <c r="B66" s="88">
        <v>10</v>
      </c>
      <c r="C66" s="7" t="s">
        <v>953</v>
      </c>
    </row>
    <row r="67" spans="2:3" x14ac:dyDescent="0.25">
      <c r="B67" s="88">
        <v>11</v>
      </c>
      <c r="C67" s="7" t="s">
        <v>952</v>
      </c>
    </row>
  </sheetData>
  <dataValidations count="6">
    <dataValidation type="list" allowBlank="1" showInputMessage="1" showErrorMessage="1" sqref="D8 H8:AB8" xr:uid="{4B19A333-1CDF-496C-BA80-4C50505DB510}">
      <formula1>$B$58:$B$67</formula1>
    </dataValidation>
    <dataValidation type="list" allowBlank="1" showInputMessage="1" showErrorMessage="1" sqref="D7 H7:AB7" xr:uid="{5D33E3AB-4662-4B54-84EA-F6C79E0FC92C}">
      <formula1>$B$48:$B$56</formula1>
    </dataValidation>
    <dataValidation type="list" allowBlank="1" showInputMessage="1" showErrorMessage="1" sqref="D6 H6:AB6" xr:uid="{4DD2F17F-C210-4F89-8A72-079E69279657}">
      <formula1>$B$41:$B$46</formula1>
    </dataValidation>
    <dataValidation type="list" allowBlank="1" showInputMessage="1" showErrorMessage="1" sqref="D5 H5:AB5" xr:uid="{F5C18CC5-C24E-40D8-AACE-B987EE47CF29}">
      <formula1>$B$30:$B$39</formula1>
    </dataValidation>
    <dataValidation type="list" allowBlank="1" showInputMessage="1" showErrorMessage="1" sqref="H10:O10" xr:uid="{A7F372C7-5939-4F41-B0C4-BB01C2293669}">
      <formula1>$B$13:$B$14</formula1>
    </dataValidation>
    <dataValidation type="list" allowBlank="1" showInputMessage="1" showErrorMessage="1" sqref="D3 H3:AB3" xr:uid="{131E1BC8-619E-40D6-8325-361D1B1F5D8F}">
      <formula1>$B$16:$B$28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FBE6-D16A-4B79-A0C6-0D63FF38DF80}">
  <sheetPr codeName="Sheet15"/>
  <dimension ref="A1:AK66"/>
  <sheetViews>
    <sheetView workbookViewId="0">
      <selection activeCell="G4" sqref="G4"/>
    </sheetView>
  </sheetViews>
  <sheetFormatPr baseColWidth="10" defaultColWidth="11.42578125" defaultRowHeight="15" x14ac:dyDescent="0.25"/>
  <cols>
    <col min="1" max="1" width="3" bestFit="1" customWidth="1"/>
    <col min="2" max="2" width="58.7109375" bestFit="1" customWidth="1"/>
    <col min="3" max="3" width="31.28515625" customWidth="1"/>
    <col min="7" max="7" width="13.5703125" bestFit="1" customWidth="1"/>
  </cols>
  <sheetData>
    <row r="1" spans="1:37" x14ac:dyDescent="0.25">
      <c r="E1" s="1"/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1:37" x14ac:dyDescent="0.25">
      <c r="B2" s="2"/>
      <c r="C2" s="2" t="s">
        <v>17</v>
      </c>
      <c r="D2" s="34" t="s">
        <v>8</v>
      </c>
      <c r="E2" s="3" t="s">
        <v>298</v>
      </c>
      <c r="F2" s="3" t="s">
        <v>299</v>
      </c>
      <c r="G2" s="20" t="s">
        <v>377</v>
      </c>
      <c r="H2" s="14" t="str">
        <f>+'3AC_Data'!H2</f>
        <v>CASE1</v>
      </c>
      <c r="I2" s="14" t="str">
        <f>+'3AC_Data'!I2</f>
        <v>CASE 2</v>
      </c>
      <c r="J2" s="14" t="str">
        <f>+'3AC_Data'!J2</f>
        <v>CASE 3</v>
      </c>
      <c r="K2" s="14" t="str">
        <f>+'3AC_Data'!K2</f>
        <v>CASE 4</v>
      </c>
      <c r="L2" s="14" t="str">
        <f>+'3AC_Data'!L2</f>
        <v>CASE 5</v>
      </c>
      <c r="M2" s="14" t="str">
        <f>+'3AC_Data'!M2</f>
        <v>CASE 6</v>
      </c>
      <c r="N2" s="14" t="str">
        <f>+'3AC_Data'!N2</f>
        <v>CASE 7</v>
      </c>
      <c r="O2" s="14" t="str">
        <f>+'3AC_Data'!O2</f>
        <v>CASE 8</v>
      </c>
      <c r="P2" s="14" t="str">
        <f>+'3AC_Data'!P2</f>
        <v>CASE9</v>
      </c>
      <c r="Q2" s="14" t="str">
        <f>+'3AC_Data'!Q2</f>
        <v>CASE10</v>
      </c>
      <c r="R2" s="14" t="str">
        <f>+'3AC_Data'!R2</f>
        <v>CASE11</v>
      </c>
      <c r="S2" s="14" t="str">
        <f>+'3AC_Data'!S2</f>
        <v>CASE12</v>
      </c>
      <c r="T2" s="14" t="str">
        <f>+'3AC_Data'!T2</f>
        <v>CASE13</v>
      </c>
      <c r="U2" s="14" t="str">
        <f>+'3AC_Data'!U2</f>
        <v>CASE14</v>
      </c>
      <c r="V2" s="14" t="str">
        <f>+'3AC_Data'!V2</f>
        <v>CASE15</v>
      </c>
      <c r="W2" s="14" t="str">
        <f>+'3AC_Data'!W2</f>
        <v>CASE16</v>
      </c>
      <c r="X2" s="14" t="str">
        <f>+'3AC_Data'!X2</f>
        <v>CASE17</v>
      </c>
      <c r="Y2" s="14" t="str">
        <f>+'3AC_Data'!Y2</f>
        <v>CASE18</v>
      </c>
      <c r="Z2" s="14" t="str">
        <f>+'3AC_Data'!Z2</f>
        <v>CASE19</v>
      </c>
      <c r="AA2" s="14" t="str">
        <f>+'3AC_Data'!AA2</f>
        <v>CASE20</v>
      </c>
      <c r="AB2" s="14" t="str">
        <f>+'3AC_Data'!AB2</f>
        <v>CASE21</v>
      </c>
      <c r="AC2" s="14" t="str">
        <f>+'3AC_Data'!AC2</f>
        <v>CASE22</v>
      </c>
      <c r="AD2" s="14" t="str">
        <f>+'3AC_Data'!AD2</f>
        <v>CASE23</v>
      </c>
      <c r="AE2" s="14" t="str">
        <f>+'3AC_Data'!AE2</f>
        <v>CASE24</v>
      </c>
      <c r="AF2" s="14" t="str">
        <f>+'3AC_Data'!AF2</f>
        <v>CASE25</v>
      </c>
      <c r="AG2" s="14" t="str">
        <f>+'3AC_Data'!AG2</f>
        <v>CASE26</v>
      </c>
      <c r="AH2" s="14" t="str">
        <f>+'3AC_Data'!AH2</f>
        <v>CASE27</v>
      </c>
      <c r="AI2" s="14" t="str">
        <f>+'3AC_Data'!AI2</f>
        <v>CASE28</v>
      </c>
      <c r="AJ2" s="14" t="str">
        <f>+'3AC_Data'!AJ2</f>
        <v>CASE29</v>
      </c>
      <c r="AK2" s="14" t="str">
        <f>+'3AC_Data'!AK2</f>
        <v>CASE30</v>
      </c>
    </row>
    <row r="3" spans="1:37" x14ac:dyDescent="0.25">
      <c r="A3" s="2"/>
      <c r="B3" s="2" t="s">
        <v>1178</v>
      </c>
      <c r="C3" s="2" t="s">
        <v>1177</v>
      </c>
      <c r="D3" s="36">
        <f>+G3*E3</f>
        <v>50</v>
      </c>
      <c r="E3" s="4">
        <v>1</v>
      </c>
      <c r="F3" s="3" t="s">
        <v>1055</v>
      </c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50</v>
      </c>
      <c r="H3" s="21">
        <v>20</v>
      </c>
      <c r="I3" s="21">
        <v>20</v>
      </c>
      <c r="J3" s="21">
        <v>50</v>
      </c>
      <c r="K3" s="21">
        <v>69.444444444444443</v>
      </c>
      <c r="L3" s="21">
        <v>69.444444444444443</v>
      </c>
      <c r="M3" s="21">
        <v>50</v>
      </c>
      <c r="N3" s="21">
        <v>50</v>
      </c>
      <c r="O3" s="21">
        <v>50</v>
      </c>
      <c r="P3" s="21">
        <v>20</v>
      </c>
      <c r="Q3" s="21">
        <v>20</v>
      </c>
      <c r="R3" s="21">
        <v>20</v>
      </c>
      <c r="S3" s="21">
        <v>20</v>
      </c>
      <c r="T3" s="21">
        <v>20</v>
      </c>
      <c r="U3" s="21">
        <v>20</v>
      </c>
      <c r="V3" s="21">
        <v>20</v>
      </c>
      <c r="W3" s="21">
        <v>20</v>
      </c>
      <c r="X3" s="21">
        <v>20</v>
      </c>
      <c r="Y3" s="21">
        <v>20</v>
      </c>
      <c r="Z3" s="21">
        <v>20</v>
      </c>
      <c r="AA3" s="21">
        <v>20</v>
      </c>
      <c r="AB3" s="21">
        <v>20</v>
      </c>
      <c r="AC3" s="21">
        <v>20</v>
      </c>
      <c r="AD3" s="21">
        <v>20</v>
      </c>
      <c r="AE3" s="21">
        <v>20</v>
      </c>
      <c r="AF3" s="21">
        <v>20</v>
      </c>
      <c r="AG3" s="21">
        <v>20</v>
      </c>
      <c r="AH3" s="21">
        <v>20</v>
      </c>
      <c r="AI3" s="21">
        <v>20</v>
      </c>
      <c r="AJ3" s="21">
        <v>20</v>
      </c>
      <c r="AK3" s="21">
        <v>20</v>
      </c>
    </row>
    <row r="4" spans="1:37" x14ac:dyDescent="0.25">
      <c r="A4" s="2"/>
      <c r="B4" s="2" t="s">
        <v>1176</v>
      </c>
      <c r="C4" s="2" t="s">
        <v>599</v>
      </c>
      <c r="D4" s="36">
        <f>+G4*E4</f>
        <v>120</v>
      </c>
      <c r="E4" s="4">
        <v>1</v>
      </c>
      <c r="F4" s="3" t="s">
        <v>1055</v>
      </c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120</v>
      </c>
      <c r="H4" s="21">
        <v>30</v>
      </c>
      <c r="I4" s="21">
        <v>30</v>
      </c>
      <c r="J4" s="21">
        <v>120</v>
      </c>
      <c r="K4" s="21">
        <v>125</v>
      </c>
      <c r="L4" s="21">
        <v>125</v>
      </c>
      <c r="M4" s="21">
        <v>120</v>
      </c>
      <c r="N4" s="21">
        <v>120</v>
      </c>
      <c r="O4" s="21">
        <v>120</v>
      </c>
      <c r="P4" s="21">
        <v>30</v>
      </c>
      <c r="Q4" s="21">
        <v>30</v>
      </c>
      <c r="R4" s="21">
        <v>30</v>
      </c>
      <c r="S4" s="21">
        <v>30</v>
      </c>
      <c r="T4" s="21">
        <v>30</v>
      </c>
      <c r="U4" s="21">
        <v>30</v>
      </c>
      <c r="V4" s="21">
        <v>30</v>
      </c>
      <c r="W4" s="21">
        <v>30</v>
      </c>
      <c r="X4" s="21">
        <v>30</v>
      </c>
      <c r="Y4" s="21">
        <v>30</v>
      </c>
      <c r="Z4" s="21">
        <v>30</v>
      </c>
      <c r="AA4" s="21">
        <v>30</v>
      </c>
      <c r="AB4" s="21">
        <v>30</v>
      </c>
      <c r="AC4" s="21">
        <v>30</v>
      </c>
      <c r="AD4" s="21">
        <v>30</v>
      </c>
      <c r="AE4" s="21">
        <v>30</v>
      </c>
      <c r="AF4" s="21">
        <v>30</v>
      </c>
      <c r="AG4" s="21">
        <v>30</v>
      </c>
      <c r="AH4" s="21">
        <v>30</v>
      </c>
      <c r="AI4" s="21">
        <v>30</v>
      </c>
      <c r="AJ4" s="21">
        <v>30</v>
      </c>
      <c r="AK4" s="21">
        <v>30</v>
      </c>
    </row>
    <row r="5" spans="1:37" x14ac:dyDescent="0.25">
      <c r="A5" s="2"/>
      <c r="B5" s="2" t="s">
        <v>1175</v>
      </c>
      <c r="C5" s="2" t="s">
        <v>1174</v>
      </c>
      <c r="D5" s="36">
        <v>2</v>
      </c>
      <c r="E5" s="4">
        <v>1</v>
      </c>
      <c r="F5" s="3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10</v>
      </c>
      <c r="H5" s="21">
        <v>10</v>
      </c>
      <c r="I5" s="21">
        <v>10</v>
      </c>
      <c r="J5" s="21">
        <v>4</v>
      </c>
      <c r="K5" s="21">
        <v>10</v>
      </c>
      <c r="L5" s="21">
        <v>10</v>
      </c>
      <c r="M5" s="21">
        <v>10</v>
      </c>
      <c r="N5" s="21">
        <v>10</v>
      </c>
      <c r="O5" s="21">
        <v>10</v>
      </c>
      <c r="P5" s="21">
        <v>10</v>
      </c>
      <c r="Q5" s="21">
        <v>10</v>
      </c>
      <c r="R5" s="21">
        <v>10</v>
      </c>
      <c r="S5" s="21">
        <v>10</v>
      </c>
      <c r="T5" s="21">
        <v>10</v>
      </c>
      <c r="U5" s="21">
        <v>10</v>
      </c>
      <c r="V5" s="21">
        <v>10</v>
      </c>
      <c r="W5" s="21">
        <v>10</v>
      </c>
      <c r="X5" s="21">
        <v>10</v>
      </c>
      <c r="Y5" s="21">
        <v>10</v>
      </c>
      <c r="Z5" s="21">
        <v>10</v>
      </c>
      <c r="AA5" s="21">
        <v>10</v>
      </c>
      <c r="AB5" s="21">
        <v>10</v>
      </c>
      <c r="AC5" s="21">
        <v>10</v>
      </c>
      <c r="AD5" s="21">
        <v>10</v>
      </c>
      <c r="AE5" s="21">
        <v>10</v>
      </c>
      <c r="AF5" s="21">
        <v>10</v>
      </c>
      <c r="AG5" s="21">
        <v>10</v>
      </c>
      <c r="AH5" s="21">
        <v>10</v>
      </c>
      <c r="AI5" s="21">
        <v>10</v>
      </c>
      <c r="AJ5" s="21">
        <v>10</v>
      </c>
      <c r="AK5" s="21">
        <v>10</v>
      </c>
    </row>
    <row r="6" spans="1:37" x14ac:dyDescent="0.25">
      <c r="A6" s="2"/>
      <c r="B6" s="2" t="s">
        <v>1173</v>
      </c>
      <c r="C6" s="2" t="s">
        <v>1172</v>
      </c>
      <c r="D6" s="36">
        <f>+G6*E6</f>
        <v>80</v>
      </c>
      <c r="E6" s="4">
        <v>1</v>
      </c>
      <c r="F6" s="3" t="s">
        <v>1055</v>
      </c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80</v>
      </c>
      <c r="H6" s="21">
        <v>20</v>
      </c>
      <c r="I6" s="21">
        <v>20</v>
      </c>
      <c r="J6" s="21">
        <v>80</v>
      </c>
      <c r="K6" s="21">
        <v>69.444444444444443</v>
      </c>
      <c r="L6" s="21">
        <v>69.444444444444443</v>
      </c>
      <c r="M6" s="21">
        <v>80</v>
      </c>
      <c r="N6" s="21">
        <v>80</v>
      </c>
      <c r="O6" s="21">
        <v>80</v>
      </c>
      <c r="P6" s="21">
        <v>20</v>
      </c>
      <c r="Q6" s="21">
        <v>20</v>
      </c>
      <c r="R6" s="21">
        <v>20</v>
      </c>
      <c r="S6" s="21">
        <v>20</v>
      </c>
      <c r="T6" s="21">
        <v>20</v>
      </c>
      <c r="U6" s="21">
        <v>20</v>
      </c>
      <c r="V6" s="21">
        <v>20</v>
      </c>
      <c r="W6" s="21">
        <v>20</v>
      </c>
      <c r="X6" s="21">
        <v>20</v>
      </c>
      <c r="Y6" s="21">
        <v>20</v>
      </c>
      <c r="Z6" s="21">
        <v>20</v>
      </c>
      <c r="AA6" s="21">
        <v>20</v>
      </c>
      <c r="AB6" s="21">
        <v>20</v>
      </c>
      <c r="AC6" s="21">
        <v>20</v>
      </c>
      <c r="AD6" s="21">
        <v>20</v>
      </c>
      <c r="AE6" s="21">
        <v>20</v>
      </c>
      <c r="AF6" s="21">
        <v>20</v>
      </c>
      <c r="AG6" s="21">
        <v>20</v>
      </c>
      <c r="AH6" s="21">
        <v>20</v>
      </c>
      <c r="AI6" s="21">
        <v>20</v>
      </c>
      <c r="AJ6" s="21">
        <v>20</v>
      </c>
      <c r="AK6" s="21">
        <v>20</v>
      </c>
    </row>
    <row r="7" spans="1:37" x14ac:dyDescent="0.25">
      <c r="A7" s="2"/>
      <c r="B7" s="2" t="s">
        <v>1171</v>
      </c>
      <c r="C7" s="2" t="s">
        <v>1170</v>
      </c>
      <c r="D7" s="36">
        <f>+G7*E7</f>
        <v>10</v>
      </c>
      <c r="E7" s="4">
        <v>1</v>
      </c>
      <c r="F7" s="3" t="s">
        <v>600</v>
      </c>
      <c r="G7" s="20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10</v>
      </c>
      <c r="H7" s="21">
        <v>10</v>
      </c>
      <c r="I7" s="21">
        <v>10</v>
      </c>
      <c r="J7" s="21">
        <v>10</v>
      </c>
      <c r="K7" s="21">
        <v>10000</v>
      </c>
      <c r="L7" s="21">
        <v>10000</v>
      </c>
      <c r="M7" s="21">
        <v>10</v>
      </c>
      <c r="N7" s="21">
        <v>10</v>
      </c>
      <c r="O7" s="21">
        <v>10</v>
      </c>
      <c r="P7" s="21">
        <v>10</v>
      </c>
      <c r="Q7" s="21">
        <v>10</v>
      </c>
      <c r="R7" s="21">
        <v>10</v>
      </c>
      <c r="S7" s="21">
        <v>10</v>
      </c>
      <c r="T7" s="21">
        <v>10</v>
      </c>
      <c r="U7" s="21">
        <v>10</v>
      </c>
      <c r="V7" s="21">
        <v>10</v>
      </c>
      <c r="W7" s="21">
        <v>10</v>
      </c>
      <c r="X7" s="21">
        <v>10</v>
      </c>
      <c r="Y7" s="21">
        <v>10</v>
      </c>
      <c r="Z7" s="21">
        <v>10</v>
      </c>
      <c r="AA7" s="21">
        <v>10</v>
      </c>
      <c r="AB7" s="21">
        <v>10</v>
      </c>
      <c r="AC7" s="21">
        <v>10</v>
      </c>
      <c r="AD7" s="21">
        <v>10</v>
      </c>
      <c r="AE7" s="21">
        <v>10</v>
      </c>
      <c r="AF7" s="21">
        <v>10</v>
      </c>
      <c r="AG7" s="21">
        <v>10</v>
      </c>
      <c r="AH7" s="21">
        <v>10</v>
      </c>
      <c r="AI7" s="21">
        <v>10</v>
      </c>
      <c r="AJ7" s="21">
        <v>10</v>
      </c>
      <c r="AK7" s="21">
        <v>10</v>
      </c>
    </row>
    <row r="8" spans="1:37" x14ac:dyDescent="0.25">
      <c r="A8" s="2"/>
      <c r="B8" s="2" t="s">
        <v>1169</v>
      </c>
      <c r="C8" s="2" t="s">
        <v>1168</v>
      </c>
      <c r="D8" s="36">
        <f>+G8*E8</f>
        <v>30</v>
      </c>
      <c r="E8" s="4">
        <v>1</v>
      </c>
      <c r="F8" s="3" t="s">
        <v>600</v>
      </c>
      <c r="G8" s="20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30</v>
      </c>
      <c r="H8" s="21">
        <v>20</v>
      </c>
      <c r="I8" s="21">
        <v>20</v>
      </c>
      <c r="J8" s="21">
        <v>30</v>
      </c>
      <c r="K8" s="21">
        <v>30000</v>
      </c>
      <c r="L8" s="21">
        <v>30000</v>
      </c>
      <c r="M8" s="21">
        <v>30</v>
      </c>
      <c r="N8" s="21">
        <v>30</v>
      </c>
      <c r="O8" s="21">
        <v>30</v>
      </c>
      <c r="P8" s="21">
        <v>20</v>
      </c>
      <c r="Q8" s="21">
        <v>20</v>
      </c>
      <c r="R8" s="21">
        <v>20</v>
      </c>
      <c r="S8" s="21">
        <v>20</v>
      </c>
      <c r="T8" s="21">
        <v>20</v>
      </c>
      <c r="U8" s="21">
        <v>20</v>
      </c>
      <c r="V8" s="21">
        <v>20</v>
      </c>
      <c r="W8" s="21">
        <v>20</v>
      </c>
      <c r="X8" s="21">
        <v>20</v>
      </c>
      <c r="Y8" s="21">
        <v>20</v>
      </c>
      <c r="Z8" s="21">
        <v>20</v>
      </c>
      <c r="AA8" s="21">
        <v>20</v>
      </c>
      <c r="AB8" s="21">
        <v>20</v>
      </c>
      <c r="AC8" s="21">
        <v>20</v>
      </c>
      <c r="AD8" s="21">
        <v>20</v>
      </c>
      <c r="AE8" s="21">
        <v>20</v>
      </c>
      <c r="AF8" s="21">
        <v>20</v>
      </c>
      <c r="AG8" s="21">
        <v>20</v>
      </c>
      <c r="AH8" s="21">
        <v>20</v>
      </c>
      <c r="AI8" s="21">
        <v>20</v>
      </c>
      <c r="AJ8" s="21">
        <v>20</v>
      </c>
      <c r="AK8" s="21">
        <v>20</v>
      </c>
    </row>
    <row r="9" spans="1:37" x14ac:dyDescent="0.25">
      <c r="A9" s="2"/>
      <c r="B9" s="2" t="s">
        <v>1167</v>
      </c>
      <c r="C9" s="2" t="s">
        <v>1166</v>
      </c>
      <c r="D9" s="36">
        <v>2</v>
      </c>
      <c r="E9" s="4">
        <v>1</v>
      </c>
      <c r="F9" s="3"/>
      <c r="G9" s="20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10</v>
      </c>
      <c r="H9" s="21">
        <v>10</v>
      </c>
      <c r="I9" s="21">
        <v>10</v>
      </c>
      <c r="J9" s="21">
        <v>2</v>
      </c>
      <c r="K9" s="21">
        <v>10</v>
      </c>
      <c r="L9" s="21">
        <v>10</v>
      </c>
      <c r="M9" s="21">
        <v>10</v>
      </c>
      <c r="N9" s="21">
        <v>10</v>
      </c>
      <c r="O9" s="21">
        <v>10</v>
      </c>
      <c r="P9" s="21">
        <v>10</v>
      </c>
      <c r="Q9" s="21">
        <v>10</v>
      </c>
      <c r="R9" s="21">
        <v>10</v>
      </c>
      <c r="S9" s="21">
        <v>10</v>
      </c>
      <c r="T9" s="21">
        <v>10</v>
      </c>
      <c r="U9" s="21">
        <v>10</v>
      </c>
      <c r="V9" s="21">
        <v>10</v>
      </c>
      <c r="W9" s="21">
        <v>10</v>
      </c>
      <c r="X9" s="21">
        <v>10</v>
      </c>
      <c r="Y9" s="21">
        <v>10</v>
      </c>
      <c r="Z9" s="21">
        <v>10</v>
      </c>
      <c r="AA9" s="21">
        <v>10</v>
      </c>
      <c r="AB9" s="21">
        <v>10</v>
      </c>
      <c r="AC9" s="21">
        <v>10</v>
      </c>
      <c r="AD9" s="21">
        <v>10</v>
      </c>
      <c r="AE9" s="21">
        <v>10</v>
      </c>
      <c r="AF9" s="21">
        <v>10</v>
      </c>
      <c r="AG9" s="21">
        <v>10</v>
      </c>
      <c r="AH9" s="21">
        <v>10</v>
      </c>
      <c r="AI9" s="21">
        <v>10</v>
      </c>
      <c r="AJ9" s="21">
        <v>10</v>
      </c>
      <c r="AK9" s="21">
        <v>10</v>
      </c>
    </row>
    <row r="10" spans="1:37" x14ac:dyDescent="0.25">
      <c r="A10" s="2"/>
      <c r="B10" s="2" t="s">
        <v>1165</v>
      </c>
      <c r="C10" s="2" t="s">
        <v>1164</v>
      </c>
      <c r="D10" s="36">
        <f>+G10*E10</f>
        <v>10</v>
      </c>
      <c r="E10" s="4">
        <v>1</v>
      </c>
      <c r="F10" s="3"/>
      <c r="G10" s="20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10</v>
      </c>
      <c r="H10" s="21">
        <v>18</v>
      </c>
      <c r="I10" s="21">
        <v>18</v>
      </c>
      <c r="J10" s="21">
        <v>10</v>
      </c>
      <c r="K10" s="21">
        <v>23000</v>
      </c>
      <c r="L10" s="21">
        <v>23000</v>
      </c>
      <c r="M10" s="21">
        <v>10</v>
      </c>
      <c r="N10" s="21">
        <v>10</v>
      </c>
      <c r="O10" s="21">
        <v>10</v>
      </c>
      <c r="P10" s="21">
        <v>18</v>
      </c>
      <c r="Q10" s="21">
        <v>18</v>
      </c>
      <c r="R10" s="21">
        <v>18</v>
      </c>
      <c r="S10" s="21">
        <v>18</v>
      </c>
      <c r="T10" s="21">
        <v>18</v>
      </c>
      <c r="U10" s="21">
        <v>18</v>
      </c>
      <c r="V10" s="21">
        <v>18</v>
      </c>
      <c r="W10" s="21">
        <v>18</v>
      </c>
      <c r="X10" s="21">
        <v>18</v>
      </c>
      <c r="Y10" s="21">
        <v>18</v>
      </c>
      <c r="Z10" s="21">
        <v>18</v>
      </c>
      <c r="AA10" s="21">
        <v>18</v>
      </c>
      <c r="AB10" s="21">
        <v>18</v>
      </c>
      <c r="AC10" s="21">
        <v>18</v>
      </c>
      <c r="AD10" s="21">
        <v>18</v>
      </c>
      <c r="AE10" s="21">
        <v>18</v>
      </c>
      <c r="AF10" s="21">
        <v>18</v>
      </c>
      <c r="AG10" s="21">
        <v>18</v>
      </c>
      <c r="AH10" s="21">
        <v>18</v>
      </c>
      <c r="AI10" s="21">
        <v>18</v>
      </c>
      <c r="AJ10" s="21">
        <v>18</v>
      </c>
      <c r="AK10" s="21">
        <v>18</v>
      </c>
    </row>
    <row r="11" spans="1:37" x14ac:dyDescent="0.25">
      <c r="A11" s="2"/>
      <c r="B11" s="2" t="s">
        <v>1163</v>
      </c>
      <c r="C11" s="2" t="s">
        <v>1162</v>
      </c>
      <c r="D11" s="36">
        <f>+G11*E11</f>
        <v>0</v>
      </c>
      <c r="E11" s="4">
        <v>1</v>
      </c>
      <c r="F11" s="3"/>
      <c r="G11" s="20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21">
        <v>1</v>
      </c>
      <c r="I11" s="21">
        <v>1</v>
      </c>
      <c r="J11" s="21">
        <v>1</v>
      </c>
      <c r="K11" s="21">
        <v>0</v>
      </c>
      <c r="L11" s="21">
        <v>1</v>
      </c>
      <c r="M11" s="21">
        <v>0</v>
      </c>
      <c r="N11" s="21">
        <v>0</v>
      </c>
      <c r="O11" s="21">
        <v>0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</row>
    <row r="12" spans="1:37" x14ac:dyDescent="0.25">
      <c r="B12" s="2" t="s">
        <v>1157</v>
      </c>
      <c r="C12" s="2" t="s">
        <v>1156</v>
      </c>
      <c r="D12" s="36">
        <f>+G12</f>
        <v>2</v>
      </c>
      <c r="E12" s="4">
        <v>1</v>
      </c>
      <c r="F12" s="3"/>
      <c r="G12" s="20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2</v>
      </c>
      <c r="H12" s="21">
        <v>2</v>
      </c>
      <c r="I12" s="21">
        <v>2</v>
      </c>
      <c r="J12" s="21">
        <v>2</v>
      </c>
      <c r="K12" s="21">
        <v>2</v>
      </c>
      <c r="L12" s="21">
        <v>2</v>
      </c>
      <c r="M12" s="21">
        <v>2</v>
      </c>
      <c r="N12" s="21">
        <v>2</v>
      </c>
      <c r="O12" s="21">
        <v>2</v>
      </c>
      <c r="P12" s="21">
        <v>2</v>
      </c>
      <c r="Q12" s="21">
        <v>2</v>
      </c>
      <c r="R12" s="21">
        <v>2</v>
      </c>
      <c r="S12" s="21">
        <v>2</v>
      </c>
      <c r="T12" s="21">
        <v>2</v>
      </c>
      <c r="U12" s="21">
        <v>2</v>
      </c>
      <c r="V12" s="21">
        <v>2</v>
      </c>
      <c r="W12" s="21">
        <v>2</v>
      </c>
      <c r="X12" s="21">
        <v>2</v>
      </c>
      <c r="Y12" s="21">
        <v>2</v>
      </c>
      <c r="Z12" s="21">
        <v>2</v>
      </c>
      <c r="AA12" s="21">
        <v>2</v>
      </c>
      <c r="AB12" s="21">
        <v>2</v>
      </c>
      <c r="AC12" s="21">
        <v>2</v>
      </c>
      <c r="AD12" s="21">
        <v>2</v>
      </c>
      <c r="AE12" s="21">
        <v>2</v>
      </c>
      <c r="AF12" s="21">
        <v>2</v>
      </c>
      <c r="AG12" s="21">
        <v>2</v>
      </c>
      <c r="AH12" s="21">
        <v>2</v>
      </c>
      <c r="AI12" s="21">
        <v>2</v>
      </c>
      <c r="AJ12" s="21">
        <v>2</v>
      </c>
      <c r="AK12" s="21">
        <v>2</v>
      </c>
    </row>
    <row r="13" spans="1:37" x14ac:dyDescent="0.25">
      <c r="B13" s="2" t="s">
        <v>1155</v>
      </c>
      <c r="C13" s="2" t="s">
        <v>1154</v>
      </c>
      <c r="D13" s="36">
        <f>+G13</f>
        <v>2</v>
      </c>
      <c r="E13" s="4">
        <v>1</v>
      </c>
      <c r="F13" s="3"/>
      <c r="G13" s="20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2</v>
      </c>
      <c r="H13" s="21">
        <v>2</v>
      </c>
      <c r="I13" s="21">
        <v>2</v>
      </c>
      <c r="J13" s="21">
        <v>2</v>
      </c>
      <c r="K13" s="21">
        <v>2</v>
      </c>
      <c r="L13" s="21">
        <v>2</v>
      </c>
      <c r="M13" s="21">
        <v>2</v>
      </c>
      <c r="N13" s="21">
        <v>2</v>
      </c>
      <c r="O13" s="21">
        <v>2</v>
      </c>
      <c r="P13" s="21">
        <v>2</v>
      </c>
      <c r="Q13" s="21">
        <v>2</v>
      </c>
      <c r="R13" s="21">
        <v>2</v>
      </c>
      <c r="S13" s="21">
        <v>2</v>
      </c>
      <c r="T13" s="21">
        <v>2</v>
      </c>
      <c r="U13" s="21">
        <v>2</v>
      </c>
      <c r="V13" s="21">
        <v>2</v>
      </c>
      <c r="W13" s="21">
        <v>2</v>
      </c>
      <c r="X13" s="21">
        <v>2</v>
      </c>
      <c r="Y13" s="21">
        <v>2</v>
      </c>
      <c r="Z13" s="21">
        <v>2</v>
      </c>
      <c r="AA13" s="21">
        <v>2</v>
      </c>
      <c r="AB13" s="21">
        <v>2</v>
      </c>
      <c r="AC13" s="21">
        <v>2</v>
      </c>
      <c r="AD13" s="21">
        <v>2</v>
      </c>
      <c r="AE13" s="21">
        <v>2</v>
      </c>
      <c r="AF13" s="21">
        <v>2</v>
      </c>
      <c r="AG13" s="21">
        <v>2</v>
      </c>
      <c r="AH13" s="21">
        <v>2</v>
      </c>
      <c r="AI13" s="21">
        <v>2</v>
      </c>
      <c r="AJ13" s="21">
        <v>2</v>
      </c>
      <c r="AK13" s="21">
        <v>2</v>
      </c>
    </row>
    <row r="14" spans="1:37" x14ac:dyDescent="0.25">
      <c r="B14" s="2" t="s">
        <v>1153</v>
      </c>
      <c r="C14" s="2" t="s">
        <v>1152</v>
      </c>
      <c r="D14" s="36">
        <f>+G14</f>
        <v>5</v>
      </c>
      <c r="E14" s="4">
        <v>1</v>
      </c>
      <c r="F14" s="3"/>
      <c r="G14" s="20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5</v>
      </c>
      <c r="H14" s="21">
        <v>5</v>
      </c>
      <c r="I14" s="21">
        <v>5</v>
      </c>
      <c r="J14" s="21">
        <v>5</v>
      </c>
      <c r="K14" s="21">
        <v>5</v>
      </c>
      <c r="L14" s="21">
        <v>5</v>
      </c>
      <c r="M14" s="21">
        <v>5</v>
      </c>
      <c r="N14" s="21">
        <v>5</v>
      </c>
      <c r="O14" s="21">
        <v>5</v>
      </c>
      <c r="P14" s="21">
        <v>5</v>
      </c>
      <c r="Q14" s="21">
        <v>5</v>
      </c>
      <c r="R14" s="21">
        <v>5</v>
      </c>
      <c r="S14" s="21">
        <v>5</v>
      </c>
      <c r="T14" s="21">
        <v>5</v>
      </c>
      <c r="U14" s="21">
        <v>5</v>
      </c>
      <c r="V14" s="21">
        <v>5</v>
      </c>
      <c r="W14" s="21">
        <v>5</v>
      </c>
      <c r="X14" s="21">
        <v>5</v>
      </c>
      <c r="Y14" s="21">
        <v>5</v>
      </c>
      <c r="Z14" s="21">
        <v>5</v>
      </c>
      <c r="AA14" s="21">
        <v>5</v>
      </c>
      <c r="AB14" s="21">
        <v>5</v>
      </c>
      <c r="AC14" s="21">
        <v>5</v>
      </c>
      <c r="AD14" s="21">
        <v>5</v>
      </c>
      <c r="AE14" s="21">
        <v>5</v>
      </c>
      <c r="AF14" s="21">
        <v>5</v>
      </c>
      <c r="AG14" s="21">
        <v>5</v>
      </c>
      <c r="AH14" s="21">
        <v>5</v>
      </c>
      <c r="AI14" s="21">
        <v>5</v>
      </c>
      <c r="AJ14" s="21">
        <v>5</v>
      </c>
      <c r="AK14" s="21">
        <v>5</v>
      </c>
    </row>
    <row r="15" spans="1:37" x14ac:dyDescent="0.25">
      <c r="B15" s="2" t="s">
        <v>1151</v>
      </c>
      <c r="C15" s="2" t="s">
        <v>1150</v>
      </c>
      <c r="D15" s="36">
        <f>+G15</f>
        <v>2</v>
      </c>
      <c r="E15" s="4">
        <v>1</v>
      </c>
      <c r="F15" s="3"/>
      <c r="G15" s="20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2</v>
      </c>
      <c r="H15" s="21">
        <v>2</v>
      </c>
      <c r="I15" s="21">
        <v>2</v>
      </c>
      <c r="J15" s="21">
        <v>2</v>
      </c>
      <c r="K15" s="21">
        <v>2</v>
      </c>
      <c r="L15" s="21">
        <v>2</v>
      </c>
      <c r="M15" s="21">
        <v>2</v>
      </c>
      <c r="N15" s="21">
        <v>2</v>
      </c>
      <c r="O15" s="21">
        <v>2</v>
      </c>
      <c r="P15" s="21">
        <v>2</v>
      </c>
      <c r="Q15" s="21">
        <v>2</v>
      </c>
      <c r="R15" s="21">
        <v>2</v>
      </c>
      <c r="S15" s="21">
        <v>2</v>
      </c>
      <c r="T15" s="21">
        <v>2</v>
      </c>
      <c r="U15" s="21">
        <v>2</v>
      </c>
      <c r="V15" s="21">
        <v>2</v>
      </c>
      <c r="W15" s="21">
        <v>2</v>
      </c>
      <c r="X15" s="21">
        <v>2</v>
      </c>
      <c r="Y15" s="21">
        <v>2</v>
      </c>
      <c r="Z15" s="21">
        <v>2</v>
      </c>
      <c r="AA15" s="21">
        <v>2</v>
      </c>
      <c r="AB15" s="21">
        <v>2</v>
      </c>
      <c r="AC15" s="21">
        <v>2</v>
      </c>
      <c r="AD15" s="21">
        <v>2</v>
      </c>
      <c r="AE15" s="21">
        <v>2</v>
      </c>
      <c r="AF15" s="21">
        <v>2</v>
      </c>
      <c r="AG15" s="21">
        <v>2</v>
      </c>
      <c r="AH15" s="21">
        <v>2</v>
      </c>
      <c r="AI15" s="21">
        <v>2</v>
      </c>
      <c r="AJ15" s="21">
        <v>2</v>
      </c>
      <c r="AK15" s="21">
        <v>2</v>
      </c>
    </row>
    <row r="16" spans="1:37" x14ac:dyDescent="0.25">
      <c r="B16" s="2"/>
      <c r="C16" s="2"/>
      <c r="D16" s="5"/>
      <c r="E16" s="5"/>
      <c r="F16" s="1"/>
    </row>
    <row r="17" spans="2:15" x14ac:dyDescent="0.25">
      <c r="B17" s="2"/>
      <c r="C17" s="2"/>
      <c r="D17" s="5"/>
      <c r="E17" s="5"/>
      <c r="F17" s="1"/>
    </row>
    <row r="18" spans="2:15" x14ac:dyDescent="0.25">
      <c r="B18" s="2"/>
      <c r="C18" s="2"/>
      <c r="D18" s="5"/>
      <c r="E18" s="1"/>
      <c r="F18" s="1"/>
    </row>
    <row r="19" spans="2:15" x14ac:dyDescent="0.25">
      <c r="B19" s="9" t="str">
        <f t="shared" ref="B19:B28" si="0">+B3</f>
        <v>Performance Variable study - Low velocity  in m/s</v>
      </c>
      <c r="C19" s="9" t="s">
        <v>9</v>
      </c>
      <c r="E19" s="1"/>
      <c r="F19" s="1"/>
      <c r="L19" s="1"/>
      <c r="M19" s="1"/>
      <c r="N19" s="1"/>
      <c r="O19" s="1"/>
    </row>
    <row r="20" spans="2:15" x14ac:dyDescent="0.25">
      <c r="B20" s="9" t="str">
        <f t="shared" si="0"/>
        <v>Performance Variable study - High velocity  in m/s</v>
      </c>
      <c r="C20" s="9" t="s">
        <v>9</v>
      </c>
      <c r="E20" s="1"/>
      <c r="F20" s="1"/>
      <c r="L20" s="1"/>
      <c r="M20" s="1"/>
      <c r="N20" s="1"/>
      <c r="O20" s="1"/>
    </row>
    <row r="21" spans="2:15" x14ac:dyDescent="0.25">
      <c r="B21" s="9" t="str">
        <f t="shared" si="0"/>
        <v>Performance Variable study for Velocity - Number of variable points</v>
      </c>
      <c r="C21" s="9" t="s">
        <v>9</v>
      </c>
      <c r="E21" s="1"/>
      <c r="F21" s="1"/>
      <c r="L21" s="1"/>
      <c r="M21" s="1"/>
      <c r="N21" s="1"/>
      <c r="O21" s="1"/>
    </row>
    <row r="22" spans="2:15" x14ac:dyDescent="0.25">
      <c r="B22" s="9" t="str">
        <f t="shared" si="0"/>
        <v>Performance Study - Single Speed</v>
      </c>
      <c r="C22" s="9" t="s">
        <v>9</v>
      </c>
    </row>
    <row r="23" spans="2:15" x14ac:dyDescent="0.25">
      <c r="B23" s="9" t="str">
        <f t="shared" si="0"/>
        <v>Performance Variable study - Low weight  in m/s</v>
      </c>
      <c r="C23" s="9" t="s">
        <v>9</v>
      </c>
    </row>
    <row r="24" spans="2:15" x14ac:dyDescent="0.25">
      <c r="B24" s="9" t="str">
        <f t="shared" si="0"/>
        <v>Performance Variable study - High weight  in m/s</v>
      </c>
      <c r="C24" s="9" t="s">
        <v>9</v>
      </c>
    </row>
    <row r="25" spans="2:15" x14ac:dyDescent="0.25">
      <c r="B25" s="9" t="str">
        <f t="shared" si="0"/>
        <v>Performance Variable study for Weight - Number of variable points</v>
      </c>
      <c r="C25" s="9" t="s">
        <v>9</v>
      </c>
      <c r="O25">
        <v>1</v>
      </c>
    </row>
    <row r="26" spans="2:15" x14ac:dyDescent="0.25">
      <c r="B26" s="9" t="str">
        <f t="shared" si="0"/>
        <v>Performance Study - Single Weight</v>
      </c>
      <c r="C26" s="9" t="s">
        <v>9</v>
      </c>
    </row>
    <row r="27" spans="2:15" x14ac:dyDescent="0.25">
      <c r="B27" s="9" t="str">
        <f t="shared" si="0"/>
        <v>Conducts the Post processing PERFORMANCE</v>
      </c>
      <c r="C27" s="9" t="s">
        <v>9</v>
      </c>
    </row>
    <row r="28" spans="2:15" x14ac:dyDescent="0.25">
      <c r="B28" s="9" t="str">
        <f t="shared" si="0"/>
        <v>Selects Climb Mode Option</v>
      </c>
      <c r="C28" s="9" t="s">
        <v>9</v>
      </c>
    </row>
    <row r="29" spans="2:15" x14ac:dyDescent="0.25">
      <c r="B29" s="9">
        <v>2</v>
      </c>
      <c r="C29" s="9" t="s">
        <v>989</v>
      </c>
    </row>
    <row r="30" spans="2:15" x14ac:dyDescent="0.25">
      <c r="B30" s="9">
        <v>3</v>
      </c>
      <c r="C30" s="9" t="s">
        <v>988</v>
      </c>
    </row>
    <row r="31" spans="2:15" x14ac:dyDescent="0.25">
      <c r="B31" s="9">
        <v>4</v>
      </c>
      <c r="C31" s="9" t="s">
        <v>987</v>
      </c>
    </row>
    <row r="32" spans="2:15" x14ac:dyDescent="0.25">
      <c r="B32" s="9">
        <v>5</v>
      </c>
      <c r="C32" s="9" t="s">
        <v>986</v>
      </c>
    </row>
    <row r="33" spans="2:3" x14ac:dyDescent="0.25">
      <c r="B33" s="9">
        <v>6</v>
      </c>
      <c r="C33" s="9" t="s">
        <v>985</v>
      </c>
    </row>
    <row r="34" spans="2:3" x14ac:dyDescent="0.25">
      <c r="B34" s="9">
        <v>7</v>
      </c>
      <c r="C34" s="9" t="s">
        <v>984</v>
      </c>
    </row>
    <row r="35" spans="2:3" x14ac:dyDescent="0.25">
      <c r="B35" s="9">
        <v>8</v>
      </c>
      <c r="C35" s="9" t="s">
        <v>983</v>
      </c>
    </row>
    <row r="36" spans="2:3" x14ac:dyDescent="0.25">
      <c r="B36" s="9">
        <v>9</v>
      </c>
      <c r="C36" s="9" t="s">
        <v>982</v>
      </c>
    </row>
    <row r="37" spans="2:3" x14ac:dyDescent="0.25">
      <c r="B37" s="9">
        <v>10</v>
      </c>
      <c r="C37" s="9" t="s">
        <v>981</v>
      </c>
    </row>
    <row r="38" spans="2:3" x14ac:dyDescent="0.25">
      <c r="B38" s="9">
        <v>11</v>
      </c>
      <c r="C38" s="9" t="s">
        <v>980</v>
      </c>
    </row>
    <row r="39" spans="2:3" x14ac:dyDescent="0.25">
      <c r="B39" s="9" t="s">
        <v>979</v>
      </c>
      <c r="C39" s="9" t="s">
        <v>9</v>
      </c>
    </row>
    <row r="40" spans="2:3" x14ac:dyDescent="0.25">
      <c r="B40" s="9">
        <v>2</v>
      </c>
      <c r="C40" s="9" t="s">
        <v>978</v>
      </c>
    </row>
    <row r="41" spans="2:3" x14ac:dyDescent="0.25">
      <c r="B41" s="9">
        <v>3</v>
      </c>
      <c r="C41" s="9" t="s">
        <v>977</v>
      </c>
    </row>
    <row r="42" spans="2:3" x14ac:dyDescent="0.25">
      <c r="B42" s="9">
        <v>4</v>
      </c>
      <c r="C42" s="9" t="s">
        <v>976</v>
      </c>
    </row>
    <row r="43" spans="2:3" x14ac:dyDescent="0.25">
      <c r="B43" s="9">
        <v>5</v>
      </c>
      <c r="C43" s="9" t="s">
        <v>975</v>
      </c>
    </row>
    <row r="44" spans="2:3" x14ac:dyDescent="0.25">
      <c r="B44" s="9">
        <v>6</v>
      </c>
      <c r="C44" s="9" t="s">
        <v>974</v>
      </c>
    </row>
    <row r="45" spans="2:3" x14ac:dyDescent="0.25">
      <c r="B45" s="9">
        <v>7</v>
      </c>
      <c r="C45" s="9" t="s">
        <v>973</v>
      </c>
    </row>
    <row r="46" spans="2:3" x14ac:dyDescent="0.25">
      <c r="B46" s="9" t="s">
        <v>972</v>
      </c>
      <c r="C46" s="9" t="s">
        <v>9</v>
      </c>
    </row>
    <row r="47" spans="2:3" x14ac:dyDescent="0.25">
      <c r="B47" s="9">
        <v>2</v>
      </c>
      <c r="C47" s="9" t="s">
        <v>971</v>
      </c>
    </row>
    <row r="48" spans="2:3" x14ac:dyDescent="0.25">
      <c r="B48" s="9">
        <v>3</v>
      </c>
      <c r="C48" s="9" t="s">
        <v>970</v>
      </c>
    </row>
    <row r="49" spans="2:3" x14ac:dyDescent="0.25">
      <c r="B49" s="9">
        <v>4</v>
      </c>
      <c r="C49" s="9" t="s">
        <v>969</v>
      </c>
    </row>
    <row r="50" spans="2:3" x14ac:dyDescent="0.25">
      <c r="B50" s="9">
        <v>5</v>
      </c>
      <c r="C50" s="9" t="s">
        <v>968</v>
      </c>
    </row>
    <row r="51" spans="2:3" x14ac:dyDescent="0.25">
      <c r="B51" s="9">
        <v>6</v>
      </c>
      <c r="C51" s="9" t="s">
        <v>967</v>
      </c>
    </row>
    <row r="52" spans="2:3" x14ac:dyDescent="0.25">
      <c r="B52" s="9">
        <v>7</v>
      </c>
      <c r="C52" s="9" t="s">
        <v>966</v>
      </c>
    </row>
    <row r="53" spans="2:3" x14ac:dyDescent="0.25">
      <c r="B53" s="9">
        <v>8</v>
      </c>
      <c r="C53" s="9" t="s">
        <v>965</v>
      </c>
    </row>
    <row r="54" spans="2:3" x14ac:dyDescent="0.25">
      <c r="B54" s="9">
        <v>9</v>
      </c>
      <c r="C54" s="9" t="s">
        <v>964</v>
      </c>
    </row>
    <row r="55" spans="2:3" x14ac:dyDescent="0.25">
      <c r="B55" s="9">
        <v>10</v>
      </c>
      <c r="C55" s="9" t="s">
        <v>963</v>
      </c>
    </row>
    <row r="56" spans="2:3" x14ac:dyDescent="0.25">
      <c r="B56" s="9" t="s">
        <v>962</v>
      </c>
      <c r="C56" s="9" t="s">
        <v>9</v>
      </c>
    </row>
    <row r="57" spans="2:3" x14ac:dyDescent="0.25">
      <c r="B57" s="9">
        <v>2</v>
      </c>
      <c r="C57" s="9" t="s">
        <v>961</v>
      </c>
    </row>
    <row r="58" spans="2:3" x14ac:dyDescent="0.25">
      <c r="B58" s="9">
        <v>3</v>
      </c>
      <c r="C58" s="9" t="s">
        <v>960</v>
      </c>
    </row>
    <row r="59" spans="2:3" x14ac:dyDescent="0.25">
      <c r="B59" s="9">
        <v>4</v>
      </c>
      <c r="C59" s="9" t="s">
        <v>959</v>
      </c>
    </row>
    <row r="60" spans="2:3" x14ac:dyDescent="0.25">
      <c r="B60" s="9">
        <v>5</v>
      </c>
      <c r="C60" s="9" t="s">
        <v>958</v>
      </c>
    </row>
    <row r="61" spans="2:3" x14ac:dyDescent="0.25">
      <c r="B61" s="48">
        <v>6</v>
      </c>
      <c r="C61" t="s">
        <v>957</v>
      </c>
    </row>
    <row r="62" spans="2:3" x14ac:dyDescent="0.25">
      <c r="B62" s="48">
        <v>7</v>
      </c>
      <c r="C62" t="s">
        <v>956</v>
      </c>
    </row>
    <row r="63" spans="2:3" x14ac:dyDescent="0.25">
      <c r="B63" s="48">
        <v>8</v>
      </c>
      <c r="C63" t="s">
        <v>955</v>
      </c>
    </row>
    <row r="64" spans="2:3" x14ac:dyDescent="0.25">
      <c r="B64" s="48">
        <v>9</v>
      </c>
      <c r="C64" t="s">
        <v>954</v>
      </c>
    </row>
    <row r="65" spans="2:3" x14ac:dyDescent="0.25">
      <c r="B65" s="48">
        <v>10</v>
      </c>
      <c r="C65" t="s">
        <v>953</v>
      </c>
    </row>
    <row r="66" spans="2:3" x14ac:dyDescent="0.25">
      <c r="B66" s="48">
        <v>11</v>
      </c>
      <c r="C66" t="s">
        <v>952</v>
      </c>
    </row>
  </sheetData>
  <dataValidations count="5">
    <dataValidation type="list" allowBlank="1" showInputMessage="1" showErrorMessage="1" sqref="H11:AK11 H16:O17" xr:uid="{8F61716D-0696-480A-BE6A-D4CA8CB2C22E}">
      <formula1>$B$20:$B$21</formula1>
    </dataValidation>
    <dataValidation type="list" allowBlank="1" showInputMessage="1" showErrorMessage="1" sqref="H12:AK12" xr:uid="{F14EA672-07AD-4D03-BEE6-3CE56539F218}">
      <formula1>$B$29:$B$38</formula1>
    </dataValidation>
    <dataValidation type="list" allowBlank="1" showInputMessage="1" showErrorMessage="1" sqref="H13:AK13" xr:uid="{6B3A2B11-E7EF-4055-AD24-6C7FDB6CF5B9}">
      <formula1>$B$40:$B$45</formula1>
    </dataValidation>
    <dataValidation type="list" allowBlank="1" showInputMessage="1" showErrorMessage="1" sqref="H14:AK14" xr:uid="{218F6B52-20E3-44A9-B756-5E2570DBFF19}">
      <formula1>$B$47:$B$55</formula1>
    </dataValidation>
    <dataValidation type="list" allowBlank="1" showInputMessage="1" showErrorMessage="1" sqref="H15:AK15" xr:uid="{09D26B0A-BEEB-454D-A514-984F267A5A0B}">
      <formula1>$B$57:$B$66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E9BF-7033-4F2F-A3A3-84E8109DA0E6}">
  <sheetPr codeName="Sheet20"/>
  <dimension ref="B1:AK48"/>
  <sheetViews>
    <sheetView workbookViewId="0">
      <selection activeCell="G3" sqref="G3:G6"/>
    </sheetView>
  </sheetViews>
  <sheetFormatPr baseColWidth="10" defaultColWidth="11.42578125" defaultRowHeight="15" x14ac:dyDescent="0.25"/>
  <cols>
    <col min="1" max="1" width="3" bestFit="1" customWidth="1"/>
    <col min="2" max="2" width="58.7109375" bestFit="1" customWidth="1"/>
    <col min="3" max="3" width="49.85546875" bestFit="1" customWidth="1"/>
    <col min="7" max="7" width="11.42578125" style="1"/>
  </cols>
  <sheetData>
    <row r="1" spans="2:37" x14ac:dyDescent="0.25">
      <c r="E1" s="1"/>
      <c r="F1" s="1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B2" s="2"/>
      <c r="C2" s="2" t="s">
        <v>17</v>
      </c>
      <c r="D2" s="34" t="s">
        <v>8</v>
      </c>
      <c r="E2" s="3" t="s">
        <v>298</v>
      </c>
      <c r="F2" s="3" t="s">
        <v>299</v>
      </c>
      <c r="G2" s="20" t="s">
        <v>377</v>
      </c>
      <c r="H2" s="27" t="str">
        <f>+'3AC_Data'!H2</f>
        <v>CASE1</v>
      </c>
      <c r="I2" s="27" t="str">
        <f>+'3AC_Data'!I2</f>
        <v>CASE 2</v>
      </c>
      <c r="J2" s="27" t="str">
        <f>+'3AC_Data'!J2</f>
        <v>CASE 3</v>
      </c>
      <c r="K2" s="27" t="str">
        <f>+'3AC_Data'!K2</f>
        <v>CASE 4</v>
      </c>
      <c r="L2" s="27" t="str">
        <f>+'3AC_Data'!L2</f>
        <v>CASE 5</v>
      </c>
      <c r="M2" s="27" t="str">
        <f>+'3AC_Data'!M2</f>
        <v>CASE 6</v>
      </c>
      <c r="N2" s="27" t="str">
        <f>+'3AC_Data'!N2</f>
        <v>CASE 7</v>
      </c>
      <c r="O2" s="27" t="str">
        <f>+'3AC_Data'!O2</f>
        <v>CASE 8</v>
      </c>
      <c r="P2" s="27" t="str">
        <f>+'3AC_Data'!P2</f>
        <v>CASE9</v>
      </c>
      <c r="Q2" s="27" t="str">
        <f>+'3AC_Data'!Q2</f>
        <v>CASE10</v>
      </c>
      <c r="R2" s="27" t="str">
        <f>+'3AC_Data'!R2</f>
        <v>CASE11</v>
      </c>
      <c r="S2" s="27" t="str">
        <f>+'3AC_Data'!S2</f>
        <v>CASE12</v>
      </c>
      <c r="T2" s="27" t="str">
        <f>+'3AC_Data'!T2</f>
        <v>CASE13</v>
      </c>
      <c r="U2" s="27" t="str">
        <f>+'3AC_Data'!U2</f>
        <v>CASE14</v>
      </c>
      <c r="V2" s="27" t="str">
        <f>+'3AC_Data'!V2</f>
        <v>CASE15</v>
      </c>
      <c r="W2" s="27" t="str">
        <f>+'3AC_Data'!W2</f>
        <v>CASE16</v>
      </c>
      <c r="X2" s="27" t="str">
        <f>+'3AC_Data'!X2</f>
        <v>CASE17</v>
      </c>
      <c r="Y2" s="27" t="str">
        <f>+'3AC_Data'!Y2</f>
        <v>CASE18</v>
      </c>
      <c r="Z2" s="27" t="str">
        <f>+'3AC_Data'!Z2</f>
        <v>CASE19</v>
      </c>
      <c r="AA2" s="27" t="str">
        <f>+'3AC_Data'!AA2</f>
        <v>CASE20</v>
      </c>
      <c r="AB2" s="27" t="str">
        <f>+'3AC_Data'!AB2</f>
        <v>CASE21</v>
      </c>
      <c r="AC2" s="27" t="str">
        <f>+'3AC_Data'!AC2</f>
        <v>CASE22</v>
      </c>
      <c r="AD2" s="27" t="str">
        <f>+'3AC_Data'!AD2</f>
        <v>CASE23</v>
      </c>
      <c r="AE2" s="27" t="str">
        <f>+'3AC_Data'!AE2</f>
        <v>CASE24</v>
      </c>
      <c r="AF2" s="27" t="str">
        <f>+'3AC_Data'!AF2</f>
        <v>CASE25</v>
      </c>
      <c r="AG2" s="27" t="str">
        <f>+'3AC_Data'!AG2</f>
        <v>CASE26</v>
      </c>
      <c r="AH2" s="27" t="str">
        <f>+'3AC_Data'!AH2</f>
        <v>CASE27</v>
      </c>
      <c r="AI2" s="27" t="str">
        <f>+'3AC_Data'!AI2</f>
        <v>CASE28</v>
      </c>
      <c r="AJ2" s="27" t="str">
        <f>+'3AC_Data'!AJ2</f>
        <v>CASE29</v>
      </c>
      <c r="AK2" s="27" t="str">
        <f>+'3AC_Data'!AK2</f>
        <v>CASE30</v>
      </c>
    </row>
    <row r="3" spans="2:37" x14ac:dyDescent="0.25">
      <c r="B3" s="2" t="s">
        <v>1157</v>
      </c>
      <c r="C3" s="2" t="s">
        <v>1156</v>
      </c>
      <c r="D3" s="36">
        <f>+G3*E3</f>
        <v>2</v>
      </c>
      <c r="E3" s="4">
        <v>1</v>
      </c>
      <c r="F3" s="3"/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2</v>
      </c>
      <c r="H3" s="22">
        <v>2</v>
      </c>
      <c r="I3" s="22">
        <v>2</v>
      </c>
      <c r="J3" s="22">
        <v>2</v>
      </c>
      <c r="K3" s="22">
        <v>2</v>
      </c>
      <c r="L3" s="22">
        <v>2</v>
      </c>
      <c r="M3" s="22">
        <v>2</v>
      </c>
      <c r="N3" s="22">
        <v>2</v>
      </c>
      <c r="O3" s="22">
        <v>2</v>
      </c>
      <c r="P3" s="22">
        <v>2</v>
      </c>
      <c r="Q3" s="22">
        <v>2</v>
      </c>
      <c r="R3" s="22">
        <v>2</v>
      </c>
      <c r="S3" s="22">
        <v>2</v>
      </c>
      <c r="T3" s="22">
        <v>2</v>
      </c>
      <c r="U3" s="22">
        <v>2</v>
      </c>
      <c r="V3" s="22">
        <v>2</v>
      </c>
      <c r="W3" s="22">
        <v>2</v>
      </c>
      <c r="X3" s="22">
        <v>2</v>
      </c>
      <c r="Y3" s="22">
        <v>2</v>
      </c>
      <c r="Z3" s="22">
        <v>2</v>
      </c>
      <c r="AA3" s="22">
        <v>2</v>
      </c>
      <c r="AB3" s="22">
        <v>2</v>
      </c>
      <c r="AC3" s="22">
        <v>2</v>
      </c>
      <c r="AD3" s="22">
        <v>2</v>
      </c>
      <c r="AE3" s="22">
        <v>2</v>
      </c>
      <c r="AF3" s="22">
        <v>2</v>
      </c>
      <c r="AG3" s="22">
        <v>2</v>
      </c>
      <c r="AH3" s="22">
        <v>2</v>
      </c>
      <c r="AI3" s="22">
        <v>2</v>
      </c>
      <c r="AJ3" s="22">
        <v>2</v>
      </c>
      <c r="AK3" s="22">
        <v>2</v>
      </c>
    </row>
    <row r="4" spans="2:37" x14ac:dyDescent="0.25">
      <c r="B4" s="2" t="s">
        <v>1155</v>
      </c>
      <c r="C4" s="2" t="s">
        <v>1154</v>
      </c>
      <c r="D4" s="36">
        <f>+G4*E4</f>
        <v>2</v>
      </c>
      <c r="E4" s="4">
        <v>1</v>
      </c>
      <c r="F4" s="3"/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2</v>
      </c>
      <c r="H4" s="22">
        <v>2</v>
      </c>
      <c r="I4" s="22">
        <v>2</v>
      </c>
      <c r="J4" s="22">
        <v>2</v>
      </c>
      <c r="K4" s="22">
        <v>2</v>
      </c>
      <c r="L4" s="22">
        <v>2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2">
        <v>2</v>
      </c>
      <c r="S4" s="22">
        <v>2</v>
      </c>
      <c r="T4" s="22">
        <v>2</v>
      </c>
      <c r="U4" s="22">
        <v>2</v>
      </c>
      <c r="V4" s="22">
        <v>2</v>
      </c>
      <c r="W4" s="22">
        <v>2</v>
      </c>
      <c r="X4" s="22">
        <v>2</v>
      </c>
      <c r="Y4" s="22">
        <v>2</v>
      </c>
      <c r="Z4" s="22">
        <v>2</v>
      </c>
      <c r="AA4" s="22">
        <v>2</v>
      </c>
      <c r="AB4" s="22">
        <v>2</v>
      </c>
      <c r="AC4" s="22">
        <v>2</v>
      </c>
      <c r="AD4" s="22">
        <v>2</v>
      </c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</row>
    <row r="5" spans="2:37" x14ac:dyDescent="0.25">
      <c r="B5" s="2" t="s">
        <v>1153</v>
      </c>
      <c r="C5" s="2" t="s">
        <v>1152</v>
      </c>
      <c r="D5" s="36">
        <f>+G5*E5</f>
        <v>5</v>
      </c>
      <c r="E5" s="4">
        <v>1</v>
      </c>
      <c r="F5" s="3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5</v>
      </c>
      <c r="H5" s="22">
        <v>5</v>
      </c>
      <c r="I5" s="22">
        <v>5</v>
      </c>
      <c r="J5" s="22">
        <v>5</v>
      </c>
      <c r="K5" s="22">
        <v>5</v>
      </c>
      <c r="L5" s="22">
        <v>5</v>
      </c>
      <c r="M5" s="22">
        <v>5</v>
      </c>
      <c r="N5" s="22">
        <v>5</v>
      </c>
      <c r="O5" s="22">
        <v>5</v>
      </c>
      <c r="P5" s="22">
        <v>5</v>
      </c>
      <c r="Q5" s="22">
        <v>5</v>
      </c>
      <c r="R5" s="22">
        <v>5</v>
      </c>
      <c r="S5" s="22">
        <v>5</v>
      </c>
      <c r="T5" s="22">
        <v>5</v>
      </c>
      <c r="U5" s="22">
        <v>5</v>
      </c>
      <c r="V5" s="22">
        <v>5</v>
      </c>
      <c r="W5" s="22">
        <v>5</v>
      </c>
      <c r="X5" s="22">
        <v>5</v>
      </c>
      <c r="Y5" s="22">
        <v>5</v>
      </c>
      <c r="Z5" s="22">
        <v>5</v>
      </c>
      <c r="AA5" s="22">
        <v>5</v>
      </c>
      <c r="AB5" s="22">
        <v>5</v>
      </c>
      <c r="AC5" s="22">
        <v>5</v>
      </c>
      <c r="AD5" s="22">
        <v>5</v>
      </c>
      <c r="AE5" s="22">
        <v>5</v>
      </c>
      <c r="AF5" s="22">
        <v>5</v>
      </c>
      <c r="AG5" s="22">
        <v>5</v>
      </c>
      <c r="AH5" s="22">
        <v>5</v>
      </c>
      <c r="AI5" s="22">
        <v>5</v>
      </c>
      <c r="AJ5" s="22">
        <v>5</v>
      </c>
      <c r="AK5" s="22">
        <v>5</v>
      </c>
    </row>
    <row r="6" spans="2:37" x14ac:dyDescent="0.25">
      <c r="B6" s="2" t="s">
        <v>1151</v>
      </c>
      <c r="C6" s="2" t="s">
        <v>1150</v>
      </c>
      <c r="D6" s="36">
        <f>+G6*E6</f>
        <v>2</v>
      </c>
      <c r="E6" s="4">
        <v>1</v>
      </c>
      <c r="F6" s="3"/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2</v>
      </c>
      <c r="H6" s="22">
        <v>2</v>
      </c>
      <c r="I6" s="22">
        <v>2</v>
      </c>
      <c r="J6" s="22">
        <v>2</v>
      </c>
      <c r="K6" s="22">
        <v>2</v>
      </c>
      <c r="L6" s="22">
        <v>2</v>
      </c>
      <c r="M6" s="22">
        <v>2</v>
      </c>
      <c r="N6" s="22">
        <v>2</v>
      </c>
      <c r="O6" s="22">
        <v>2</v>
      </c>
      <c r="P6" s="22">
        <v>2</v>
      </c>
      <c r="Q6" s="22">
        <v>2</v>
      </c>
      <c r="R6" s="22">
        <v>2</v>
      </c>
      <c r="S6" s="22">
        <v>2</v>
      </c>
      <c r="T6" s="22">
        <v>2</v>
      </c>
      <c r="U6" s="22">
        <v>2</v>
      </c>
      <c r="V6" s="22">
        <v>2</v>
      </c>
      <c r="W6" s="22">
        <v>2</v>
      </c>
      <c r="X6" s="22">
        <v>2</v>
      </c>
      <c r="Y6" s="22">
        <v>2</v>
      </c>
      <c r="Z6" s="22">
        <v>2</v>
      </c>
      <c r="AA6" s="22">
        <v>2</v>
      </c>
      <c r="AB6" s="22">
        <v>2</v>
      </c>
      <c r="AC6" s="22">
        <v>2</v>
      </c>
      <c r="AD6" s="22">
        <v>2</v>
      </c>
      <c r="AE6" s="22">
        <v>2</v>
      </c>
      <c r="AF6" s="22">
        <v>2</v>
      </c>
      <c r="AG6" s="22">
        <v>2</v>
      </c>
      <c r="AH6" s="22">
        <v>2</v>
      </c>
      <c r="AI6" s="22">
        <v>2</v>
      </c>
      <c r="AJ6" s="22">
        <v>2</v>
      </c>
      <c r="AK6" s="22">
        <v>2</v>
      </c>
    </row>
    <row r="7" spans="2:37" x14ac:dyDescent="0.25">
      <c r="B7" s="2"/>
      <c r="C7" s="2"/>
      <c r="D7" s="5"/>
      <c r="E7" s="5"/>
      <c r="F7" s="1"/>
    </row>
    <row r="8" spans="2:37" x14ac:dyDescent="0.25">
      <c r="B8" s="2"/>
      <c r="C8" s="2"/>
      <c r="D8" s="5"/>
      <c r="E8" s="5"/>
      <c r="F8" s="1"/>
    </row>
    <row r="9" spans="2:37" x14ac:dyDescent="0.25">
      <c r="B9" s="2"/>
      <c r="C9" s="2"/>
      <c r="D9" s="5"/>
      <c r="E9" s="1"/>
      <c r="F9" s="1"/>
    </row>
    <row r="10" spans="2:37" x14ac:dyDescent="0.25">
      <c r="B10" s="9" t="s">
        <v>990</v>
      </c>
      <c r="C10" s="9" t="s">
        <v>9</v>
      </c>
    </row>
    <row r="11" spans="2:37" x14ac:dyDescent="0.25">
      <c r="B11" s="9">
        <v>2</v>
      </c>
      <c r="C11" s="9" t="s">
        <v>989</v>
      </c>
    </row>
    <row r="12" spans="2:37" x14ac:dyDescent="0.25">
      <c r="B12" s="9">
        <v>3</v>
      </c>
      <c r="C12" s="9" t="s">
        <v>988</v>
      </c>
    </row>
    <row r="13" spans="2:37" x14ac:dyDescent="0.25">
      <c r="B13" s="9">
        <v>4</v>
      </c>
      <c r="C13" s="9" t="s">
        <v>987</v>
      </c>
    </row>
    <row r="14" spans="2:37" x14ac:dyDescent="0.25">
      <c r="B14" s="9">
        <v>5</v>
      </c>
      <c r="C14" s="9" t="s">
        <v>986</v>
      </c>
    </row>
    <row r="15" spans="2:37" x14ac:dyDescent="0.25">
      <c r="B15" s="9">
        <v>6</v>
      </c>
      <c r="C15" s="9" t="s">
        <v>985</v>
      </c>
    </row>
    <row r="16" spans="2:37" x14ac:dyDescent="0.25">
      <c r="B16" s="9">
        <v>7</v>
      </c>
      <c r="C16" s="9" t="s">
        <v>984</v>
      </c>
    </row>
    <row r="17" spans="2:3" x14ac:dyDescent="0.25">
      <c r="B17" s="9">
        <v>8</v>
      </c>
      <c r="C17" s="9" t="s">
        <v>983</v>
      </c>
    </row>
    <row r="18" spans="2:3" x14ac:dyDescent="0.25">
      <c r="B18" s="9">
        <v>9</v>
      </c>
      <c r="C18" s="9" t="s">
        <v>982</v>
      </c>
    </row>
    <row r="19" spans="2:3" x14ac:dyDescent="0.25">
      <c r="B19" s="9">
        <v>10</v>
      </c>
      <c r="C19" s="9" t="s">
        <v>981</v>
      </c>
    </row>
    <row r="20" spans="2:3" x14ac:dyDescent="0.25">
      <c r="B20" s="9">
        <v>11</v>
      </c>
      <c r="C20" s="9" t="s">
        <v>980</v>
      </c>
    </row>
    <row r="21" spans="2:3" x14ac:dyDescent="0.25">
      <c r="B21" s="9" t="s">
        <v>979</v>
      </c>
      <c r="C21" s="9" t="s">
        <v>9</v>
      </c>
    </row>
    <row r="22" spans="2:3" x14ac:dyDescent="0.25">
      <c r="B22" s="9">
        <v>2</v>
      </c>
      <c r="C22" s="9" t="s">
        <v>978</v>
      </c>
    </row>
    <row r="23" spans="2:3" x14ac:dyDescent="0.25">
      <c r="B23" s="9">
        <v>3</v>
      </c>
      <c r="C23" s="9" t="s">
        <v>977</v>
      </c>
    </row>
    <row r="24" spans="2:3" x14ac:dyDescent="0.25">
      <c r="B24" s="9">
        <v>4</v>
      </c>
      <c r="C24" s="9" t="s">
        <v>976</v>
      </c>
    </row>
    <row r="25" spans="2:3" x14ac:dyDescent="0.25">
      <c r="B25" s="9">
        <v>5</v>
      </c>
      <c r="C25" s="9" t="s">
        <v>975</v>
      </c>
    </row>
    <row r="26" spans="2:3" x14ac:dyDescent="0.25">
      <c r="B26" s="9">
        <v>6</v>
      </c>
      <c r="C26" s="9" t="s">
        <v>974</v>
      </c>
    </row>
    <row r="27" spans="2:3" x14ac:dyDescent="0.25">
      <c r="B27" s="9">
        <v>7</v>
      </c>
      <c r="C27" s="9" t="s">
        <v>973</v>
      </c>
    </row>
    <row r="28" spans="2:3" x14ac:dyDescent="0.25">
      <c r="B28" s="9" t="s">
        <v>972</v>
      </c>
      <c r="C28" s="9" t="s">
        <v>9</v>
      </c>
    </row>
    <row r="29" spans="2:3" x14ac:dyDescent="0.25">
      <c r="B29" s="9">
        <v>2</v>
      </c>
      <c r="C29" s="9" t="s">
        <v>971</v>
      </c>
    </row>
    <row r="30" spans="2:3" x14ac:dyDescent="0.25">
      <c r="B30" s="9">
        <v>3</v>
      </c>
      <c r="C30" s="9" t="s">
        <v>970</v>
      </c>
    </row>
    <row r="31" spans="2:3" x14ac:dyDescent="0.25">
      <c r="B31" s="9">
        <v>4</v>
      </c>
      <c r="C31" s="9" t="s">
        <v>969</v>
      </c>
    </row>
    <row r="32" spans="2:3" x14ac:dyDescent="0.25">
      <c r="B32" s="9">
        <v>5</v>
      </c>
      <c r="C32" s="9" t="s">
        <v>968</v>
      </c>
    </row>
    <row r="33" spans="2:3" x14ac:dyDescent="0.25">
      <c r="B33" s="9">
        <v>6</v>
      </c>
      <c r="C33" s="9" t="s">
        <v>967</v>
      </c>
    </row>
    <row r="34" spans="2:3" x14ac:dyDescent="0.25">
      <c r="B34" s="9">
        <v>7</v>
      </c>
      <c r="C34" s="9" t="s">
        <v>966</v>
      </c>
    </row>
    <row r="35" spans="2:3" x14ac:dyDescent="0.25">
      <c r="B35" s="9">
        <v>8</v>
      </c>
      <c r="C35" s="9" t="s">
        <v>965</v>
      </c>
    </row>
    <row r="36" spans="2:3" x14ac:dyDescent="0.25">
      <c r="B36" s="9">
        <v>9</v>
      </c>
      <c r="C36" s="9" t="s">
        <v>964</v>
      </c>
    </row>
    <row r="37" spans="2:3" x14ac:dyDescent="0.25">
      <c r="B37" s="9">
        <v>10</v>
      </c>
      <c r="C37" s="9" t="s">
        <v>963</v>
      </c>
    </row>
    <row r="38" spans="2:3" x14ac:dyDescent="0.25">
      <c r="B38" s="9" t="s">
        <v>962</v>
      </c>
      <c r="C38" s="9" t="s">
        <v>9</v>
      </c>
    </row>
    <row r="39" spans="2:3" x14ac:dyDescent="0.25">
      <c r="B39" s="9">
        <v>2</v>
      </c>
      <c r="C39" s="9" t="s">
        <v>961</v>
      </c>
    </row>
    <row r="40" spans="2:3" x14ac:dyDescent="0.25">
      <c r="B40" s="9">
        <v>3</v>
      </c>
      <c r="C40" s="9" t="s">
        <v>960</v>
      </c>
    </row>
    <row r="41" spans="2:3" x14ac:dyDescent="0.25">
      <c r="B41" s="9">
        <v>4</v>
      </c>
      <c r="C41" s="9" t="s">
        <v>959</v>
      </c>
    </row>
    <row r="42" spans="2:3" x14ac:dyDescent="0.25">
      <c r="B42" s="9">
        <v>5</v>
      </c>
      <c r="C42" s="9" t="s">
        <v>958</v>
      </c>
    </row>
    <row r="43" spans="2:3" x14ac:dyDescent="0.25">
      <c r="B43" s="9">
        <v>6</v>
      </c>
      <c r="C43" s="2" t="s">
        <v>957</v>
      </c>
    </row>
    <row r="44" spans="2:3" x14ac:dyDescent="0.25">
      <c r="B44" s="9">
        <v>7</v>
      </c>
      <c r="C44" s="2" t="s">
        <v>956</v>
      </c>
    </row>
    <row r="45" spans="2:3" x14ac:dyDescent="0.25">
      <c r="B45" s="9">
        <v>8</v>
      </c>
      <c r="C45" s="2" t="s">
        <v>955</v>
      </c>
    </row>
    <row r="46" spans="2:3" x14ac:dyDescent="0.25">
      <c r="B46" s="9">
        <v>9</v>
      </c>
      <c r="C46" s="2" t="s">
        <v>954</v>
      </c>
    </row>
    <row r="47" spans="2:3" x14ac:dyDescent="0.25">
      <c r="B47" s="9">
        <v>10</v>
      </c>
      <c r="C47" s="2" t="s">
        <v>953</v>
      </c>
    </row>
    <row r="48" spans="2:3" x14ac:dyDescent="0.25">
      <c r="B48" s="9">
        <v>11</v>
      </c>
      <c r="C48" s="2" t="s">
        <v>952</v>
      </c>
    </row>
  </sheetData>
  <dataValidations count="5">
    <dataValidation type="list" allowBlank="1" showInputMessage="1" showErrorMessage="1" sqref="H6:AK6" xr:uid="{1924A9FB-A06F-4251-9928-F1192099E777}">
      <formula1>$B$39:$B$48</formula1>
    </dataValidation>
    <dataValidation type="list" allowBlank="1" showInputMessage="1" showErrorMessage="1" sqref="H5:AK5" xr:uid="{730ACE23-D370-4414-91FB-7E5963F12F8A}">
      <formula1>$B$29:$B$37</formula1>
    </dataValidation>
    <dataValidation type="list" allowBlank="1" showInputMessage="1" showErrorMessage="1" sqref="H4:AK4" xr:uid="{78B0C068-5F28-42EC-B06E-FB497AAC7408}">
      <formula1>$B$22:$B$27</formula1>
    </dataValidation>
    <dataValidation type="list" allowBlank="1" showInputMessage="1" showErrorMessage="1" sqref="H3:AK3" xr:uid="{260E40C2-FDE9-4E33-878B-004007E4F197}">
      <formula1>$B$11:$B$20</formula1>
    </dataValidation>
    <dataValidation type="list" allowBlank="1" showInputMessage="1" showErrorMessage="1" sqref="H7:O8" xr:uid="{7CA87427-7E67-4C0A-85E7-A08B0C579B5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50DC-3824-4C7D-952B-10DAA495B20C}">
  <sheetPr codeName="Sheet16"/>
  <dimension ref="B2:D38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6.7109375" customWidth="1"/>
    <col min="2" max="2" width="16.140625" bestFit="1" customWidth="1"/>
    <col min="3" max="3" width="17.28515625" style="1" customWidth="1"/>
    <col min="4" max="4" width="27" bestFit="1" customWidth="1"/>
  </cols>
  <sheetData>
    <row r="2" spans="2:4" x14ac:dyDescent="0.25">
      <c r="B2" s="2" t="s">
        <v>536</v>
      </c>
      <c r="C2" s="3">
        <v>9.8066499999999994</v>
      </c>
      <c r="D2" s="2" t="s">
        <v>550</v>
      </c>
    </row>
    <row r="3" spans="2:4" x14ac:dyDescent="0.25">
      <c r="B3" s="2" t="s">
        <v>537</v>
      </c>
      <c r="C3" s="3">
        <v>57.295779513082323</v>
      </c>
      <c r="D3" s="2" t="s">
        <v>542</v>
      </c>
    </row>
    <row r="4" spans="2:4" x14ac:dyDescent="0.25">
      <c r="B4" s="2" t="s">
        <v>538</v>
      </c>
      <c r="C4" s="3">
        <v>1.7453292519943295E-2</v>
      </c>
      <c r="D4" s="2" t="s">
        <v>558</v>
      </c>
    </row>
    <row r="5" spans="2:4" x14ac:dyDescent="0.25">
      <c r="B5" s="2" t="s">
        <v>539</v>
      </c>
      <c r="C5" s="3">
        <v>0.30480000000000002</v>
      </c>
      <c r="D5" s="2" t="s">
        <v>543</v>
      </c>
    </row>
    <row r="6" spans="2:4" x14ac:dyDescent="0.25">
      <c r="B6" s="2" t="s">
        <v>540</v>
      </c>
      <c r="C6" s="3">
        <v>3.28084</v>
      </c>
      <c r="D6" s="2" t="s">
        <v>544</v>
      </c>
    </row>
    <row r="7" spans="2:4" x14ac:dyDescent="0.25">
      <c r="B7" s="2" t="s">
        <v>541</v>
      </c>
      <c r="C7" s="3">
        <v>2.5399999999999999E-2</v>
      </c>
      <c r="D7" s="2" t="s">
        <v>551</v>
      </c>
    </row>
    <row r="8" spans="2:4" x14ac:dyDescent="0.25">
      <c r="B8" s="2" t="s">
        <v>586</v>
      </c>
      <c r="C8" s="3">
        <v>39.370078740157481</v>
      </c>
      <c r="D8" s="2"/>
    </row>
    <row r="9" spans="2:4" x14ac:dyDescent="0.25">
      <c r="B9" s="2" t="s">
        <v>583</v>
      </c>
      <c r="C9" s="3">
        <v>0.53995680000000001</v>
      </c>
      <c r="D9" s="2" t="s">
        <v>561</v>
      </c>
    </row>
    <row r="10" spans="2:4" x14ac:dyDescent="0.25">
      <c r="B10" s="2" t="s">
        <v>587</v>
      </c>
      <c r="C10" s="3">
        <v>1.8520000118527999</v>
      </c>
      <c r="D10" s="2"/>
    </row>
    <row r="11" spans="2:4" x14ac:dyDescent="0.25">
      <c r="B11" s="2" t="s">
        <v>582</v>
      </c>
      <c r="C11" s="3" t="s">
        <v>564</v>
      </c>
      <c r="D11" s="2" t="s">
        <v>560</v>
      </c>
    </row>
    <row r="12" spans="2:4" x14ac:dyDescent="0.25">
      <c r="B12" s="3" t="s">
        <v>584</v>
      </c>
      <c r="C12" s="3">
        <v>1000</v>
      </c>
      <c r="D12" s="2" t="s">
        <v>585</v>
      </c>
    </row>
    <row r="13" spans="2:4" x14ac:dyDescent="0.25">
      <c r="B13" s="2" t="s">
        <v>581</v>
      </c>
      <c r="C13" s="3">
        <v>1.3410220000000001E-3</v>
      </c>
      <c r="D13" s="2" t="s">
        <v>545</v>
      </c>
    </row>
    <row r="14" spans="2:4" x14ac:dyDescent="0.25">
      <c r="B14" s="2" t="s">
        <v>588</v>
      </c>
      <c r="C14" s="3">
        <v>745.69992140322825</v>
      </c>
      <c r="D14" s="2"/>
    </row>
    <row r="15" spans="2:4" x14ac:dyDescent="0.25">
      <c r="B15" s="2" t="s">
        <v>580</v>
      </c>
      <c r="C15" s="3">
        <v>0.7375621</v>
      </c>
      <c r="D15" s="2" t="s">
        <v>553</v>
      </c>
    </row>
    <row r="16" spans="2:4" x14ac:dyDescent="0.25">
      <c r="B16" s="2" t="s">
        <v>589</v>
      </c>
      <c r="C16" s="3">
        <v>1.3558180389149606</v>
      </c>
      <c r="D16" s="2"/>
    </row>
    <row r="17" spans="2:4" x14ac:dyDescent="0.25">
      <c r="B17" s="2" t="s">
        <v>579</v>
      </c>
      <c r="C17" s="3">
        <v>3.28084</v>
      </c>
      <c r="D17" s="2" t="s">
        <v>546</v>
      </c>
    </row>
    <row r="18" spans="2:4" x14ac:dyDescent="0.25">
      <c r="B18" s="2" t="s">
        <v>590</v>
      </c>
      <c r="C18" s="3">
        <v>0.30479999024640031</v>
      </c>
      <c r="D18" s="2"/>
    </row>
    <row r="19" spans="2:4" x14ac:dyDescent="0.25">
      <c r="B19" s="2" t="s">
        <v>578</v>
      </c>
      <c r="C19" s="3">
        <v>1.9438439999999999</v>
      </c>
      <c r="D19" s="2" t="s">
        <v>552</v>
      </c>
    </row>
    <row r="20" spans="2:4" x14ac:dyDescent="0.25">
      <c r="B20" s="2" t="s">
        <v>591</v>
      </c>
      <c r="C20" s="3">
        <v>0.5144445747704034</v>
      </c>
      <c r="D20" s="2"/>
    </row>
    <row r="21" spans="2:4" x14ac:dyDescent="0.25">
      <c r="B21" s="2" t="s">
        <v>577</v>
      </c>
      <c r="C21" s="3">
        <v>5.0800000000000003E-3</v>
      </c>
      <c r="D21" s="2" t="s">
        <v>549</v>
      </c>
    </row>
    <row r="22" spans="2:4" x14ac:dyDescent="0.25">
      <c r="B22" s="2" t="s">
        <v>592</v>
      </c>
      <c r="C22" s="3">
        <v>196.85039370078738</v>
      </c>
      <c r="D22" s="2"/>
    </row>
    <row r="23" spans="2:4" x14ac:dyDescent="0.25">
      <c r="B23" s="2" t="s">
        <v>576</v>
      </c>
      <c r="C23" s="3">
        <v>2.2046199999999998</v>
      </c>
      <c r="D23" s="2" t="s">
        <v>547</v>
      </c>
    </row>
    <row r="24" spans="2:4" x14ac:dyDescent="0.25">
      <c r="B24" s="2" t="s">
        <v>575</v>
      </c>
      <c r="C24" s="3" t="s">
        <v>565</v>
      </c>
      <c r="D24" s="2" t="s">
        <v>548</v>
      </c>
    </row>
    <row r="25" spans="2:4" x14ac:dyDescent="0.25">
      <c r="B25" s="2" t="s">
        <v>574</v>
      </c>
      <c r="C25" s="3">
        <v>1E-3</v>
      </c>
      <c r="D25" s="2" t="s">
        <v>559</v>
      </c>
    </row>
    <row r="26" spans="2:4" x14ac:dyDescent="0.25">
      <c r="B26" s="2" t="s">
        <v>593</v>
      </c>
      <c r="C26" s="3">
        <v>1000</v>
      </c>
      <c r="D26" s="2"/>
    </row>
    <row r="27" spans="2:4" x14ac:dyDescent="0.25">
      <c r="B27" s="2" t="s">
        <v>573</v>
      </c>
      <c r="C27" s="3">
        <v>10.763909999999999</v>
      </c>
      <c r="D27" s="2" t="s">
        <v>554</v>
      </c>
    </row>
    <row r="28" spans="2:4" x14ac:dyDescent="0.25">
      <c r="B28" s="2" t="s">
        <v>594</v>
      </c>
      <c r="C28" s="3">
        <v>9.2903043596611279E-2</v>
      </c>
      <c r="D28" s="2"/>
    </row>
    <row r="29" spans="2:4" x14ac:dyDescent="0.25">
      <c r="B29" s="2" t="s">
        <v>572</v>
      </c>
      <c r="C29" s="3">
        <v>1.9405714285714284E-3</v>
      </c>
      <c r="D29" s="2" t="s">
        <v>555</v>
      </c>
    </row>
    <row r="30" spans="2:4" x14ac:dyDescent="0.25">
      <c r="B30" s="2" t="s">
        <v>595</v>
      </c>
      <c r="C30" s="3">
        <v>515.31213191990582</v>
      </c>
      <c r="D30" s="2"/>
    </row>
    <row r="31" spans="2:4" x14ac:dyDescent="0.25">
      <c r="B31" s="2" t="s">
        <v>571</v>
      </c>
      <c r="C31" s="3">
        <v>0.26417210000000002</v>
      </c>
      <c r="D31" s="2" t="s">
        <v>562</v>
      </c>
    </row>
    <row r="32" spans="2:4" x14ac:dyDescent="0.25">
      <c r="B32" s="2" t="s">
        <v>596</v>
      </c>
      <c r="C32" s="3">
        <v>3.7854111013237199</v>
      </c>
      <c r="D32" s="2"/>
    </row>
    <row r="33" spans="2:4" x14ac:dyDescent="0.25">
      <c r="B33" s="2" t="s">
        <v>570</v>
      </c>
      <c r="C33" s="3">
        <v>2.0888136205714284E-2</v>
      </c>
      <c r="D33" s="2" t="s">
        <v>556</v>
      </c>
    </row>
    <row r="34" spans="2:4" x14ac:dyDescent="0.25">
      <c r="B34" s="2" t="s">
        <v>597</v>
      </c>
      <c r="C34" s="3">
        <v>47.874065457617704</v>
      </c>
      <c r="D34" s="2"/>
    </row>
    <row r="35" spans="2:4" x14ac:dyDescent="0.25">
      <c r="B35" s="2" t="s">
        <v>569</v>
      </c>
      <c r="C35" s="3">
        <v>0.22480890000000001</v>
      </c>
      <c r="D35" s="2" t="s">
        <v>557</v>
      </c>
    </row>
    <row r="36" spans="2:4" x14ac:dyDescent="0.25">
      <c r="B36" s="2" t="s">
        <v>598</v>
      </c>
      <c r="C36" s="3">
        <v>4.4482224680606501</v>
      </c>
      <c r="D36" s="2"/>
    </row>
    <row r="37" spans="2:4" x14ac:dyDescent="0.25">
      <c r="B37" s="2" t="s">
        <v>568</v>
      </c>
      <c r="C37" s="3">
        <v>2.7777777777777778E-4</v>
      </c>
      <c r="D37" s="2" t="s">
        <v>563</v>
      </c>
    </row>
    <row r="38" spans="2:4" x14ac:dyDescent="0.25">
      <c r="B38" s="2" t="s">
        <v>566</v>
      </c>
      <c r="C38" s="19">
        <v>3600</v>
      </c>
      <c r="D38" s="2" t="s">
        <v>567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B409-44E2-486B-8F1F-1B4F151C4E10}">
  <sheetPr codeName="Sheet17"/>
  <dimension ref="B2:G60"/>
  <sheetViews>
    <sheetView workbookViewId="0"/>
  </sheetViews>
  <sheetFormatPr baseColWidth="10" defaultColWidth="11.42578125" defaultRowHeight="15" x14ac:dyDescent="0.25"/>
  <cols>
    <col min="1" max="1" width="3" customWidth="1"/>
    <col min="2" max="2" width="70.28515625" customWidth="1"/>
    <col min="3" max="3" width="48.42578125" bestFit="1" customWidth="1"/>
    <col min="4" max="4" width="9.28515625" bestFit="1" customWidth="1"/>
    <col min="5" max="5" width="9.28515625" customWidth="1"/>
    <col min="6" max="6" width="71" bestFit="1" customWidth="1"/>
    <col min="7" max="7" width="42.28515625" style="7" bestFit="1" customWidth="1"/>
    <col min="8" max="8" width="22.5703125" bestFit="1" customWidth="1"/>
    <col min="9" max="9" width="31.7109375" bestFit="1" customWidth="1"/>
    <col min="10" max="10" width="20" bestFit="1" customWidth="1"/>
    <col min="11" max="11" width="33.28515625" bestFit="1" customWidth="1"/>
  </cols>
  <sheetData>
    <row r="2" spans="2:5" x14ac:dyDescent="0.25">
      <c r="C2" s="6" t="s">
        <v>17</v>
      </c>
      <c r="D2" s="11" t="s">
        <v>8</v>
      </c>
      <c r="E2" s="1"/>
    </row>
    <row r="3" spans="2:5" x14ac:dyDescent="0.25">
      <c r="B3" s="2" t="s">
        <v>150</v>
      </c>
      <c r="C3" s="2" t="s">
        <v>150</v>
      </c>
      <c r="D3" s="4">
        <v>0.9</v>
      </c>
    </row>
    <row r="4" spans="2:5" x14ac:dyDescent="0.25">
      <c r="B4" s="2" t="s">
        <v>154</v>
      </c>
      <c r="C4" s="2" t="s">
        <v>153</v>
      </c>
      <c r="D4" s="4">
        <v>0.5</v>
      </c>
    </row>
    <row r="5" spans="2:5" x14ac:dyDescent="0.25">
      <c r="B5" s="2" t="s">
        <v>151</v>
      </c>
      <c r="C5" s="2" t="s">
        <v>156</v>
      </c>
      <c r="D5" s="4">
        <v>1</v>
      </c>
    </row>
    <row r="6" spans="2:5" x14ac:dyDescent="0.25">
      <c r="B6" s="2" t="s">
        <v>152</v>
      </c>
      <c r="C6" s="2" t="s">
        <v>157</v>
      </c>
      <c r="D6" s="4">
        <v>10</v>
      </c>
    </row>
    <row r="7" spans="2:5" x14ac:dyDescent="0.25">
      <c r="B7" s="2" t="s">
        <v>160</v>
      </c>
      <c r="C7" s="2" t="s">
        <v>162</v>
      </c>
      <c r="D7" s="4">
        <v>100</v>
      </c>
    </row>
    <row r="8" spans="2:5" x14ac:dyDescent="0.25">
      <c r="B8" s="2" t="s">
        <v>158</v>
      </c>
      <c r="C8" s="2" t="s">
        <v>164</v>
      </c>
      <c r="D8" s="10">
        <v>22</v>
      </c>
    </row>
    <row r="9" spans="2:5" x14ac:dyDescent="0.25">
      <c r="B9" s="2" t="s">
        <v>161</v>
      </c>
      <c r="C9" s="2" t="s">
        <v>165</v>
      </c>
      <c r="D9" s="10">
        <v>60</v>
      </c>
    </row>
    <row r="10" spans="2:5" x14ac:dyDescent="0.25">
      <c r="B10" s="2" t="s">
        <v>159</v>
      </c>
      <c r="C10" s="2" t="s">
        <v>163</v>
      </c>
      <c r="D10" s="4">
        <v>100</v>
      </c>
    </row>
    <row r="11" spans="2:5" x14ac:dyDescent="0.25">
      <c r="B11" s="2" t="s">
        <v>166</v>
      </c>
      <c r="C11" s="2" t="s">
        <v>168</v>
      </c>
      <c r="D11" s="4">
        <v>1</v>
      </c>
    </row>
    <row r="12" spans="2:5" x14ac:dyDescent="0.25">
      <c r="B12" s="2" t="s">
        <v>171</v>
      </c>
      <c r="C12" s="2" t="s">
        <v>167</v>
      </c>
      <c r="D12" s="4">
        <v>1</v>
      </c>
    </row>
    <row r="13" spans="2:5" x14ac:dyDescent="0.25">
      <c r="B13" s="2" t="s">
        <v>267</v>
      </c>
      <c r="C13" s="2" t="s">
        <v>271</v>
      </c>
      <c r="D13" s="4">
        <v>2</v>
      </c>
    </row>
    <row r="14" spans="2:5" x14ac:dyDescent="0.25">
      <c r="B14" s="2" t="s">
        <v>272</v>
      </c>
      <c r="C14" s="2" t="s">
        <v>274</v>
      </c>
      <c r="D14" s="4">
        <v>4</v>
      </c>
    </row>
    <row r="15" spans="2:5" x14ac:dyDescent="0.25">
      <c r="B15" s="2" t="s">
        <v>281</v>
      </c>
      <c r="C15" s="2" t="s">
        <v>273</v>
      </c>
      <c r="D15" s="4">
        <v>1</v>
      </c>
    </row>
    <row r="16" spans="2:5" x14ac:dyDescent="0.25">
      <c r="D16" s="5"/>
    </row>
    <row r="17" spans="2:6" x14ac:dyDescent="0.25">
      <c r="D17" s="5"/>
    </row>
    <row r="18" spans="2:6" x14ac:dyDescent="0.25">
      <c r="D18" s="5"/>
    </row>
    <row r="20" spans="2:6" x14ac:dyDescent="0.25">
      <c r="B20" s="187" t="s">
        <v>2</v>
      </c>
      <c r="C20" s="187"/>
    </row>
    <row r="21" spans="2:6" x14ac:dyDescent="0.25">
      <c r="B21" s="9" t="str">
        <f t="shared" ref="B21:B27" si="0">+B3</f>
        <v>pp = 0.90; % Percentaje of throttle</v>
      </c>
      <c r="C21" s="9" t="s">
        <v>9</v>
      </c>
    </row>
    <row r="22" spans="2:6" x14ac:dyDescent="0.25">
      <c r="B22" s="9" t="str">
        <f t="shared" si="0"/>
        <v>RPMMAX_APC = 150000; % From APC https://www.apcprop.com/technical-information/rpm-limits/</v>
      </c>
      <c r="C22" s="9" t="s">
        <v>155</v>
      </c>
    </row>
    <row r="23" spans="2:6" x14ac:dyDescent="0.25">
      <c r="B23" s="9" t="str">
        <f t="shared" si="0"/>
        <v>Range of vertical speeds - min speed</v>
      </c>
      <c r="C23" s="9" t="s">
        <v>9</v>
      </c>
    </row>
    <row r="24" spans="2:6" x14ac:dyDescent="0.25">
      <c r="B24" s="9" t="str">
        <f t="shared" si="0"/>
        <v>Range of vertical speeds - max speed</v>
      </c>
      <c r="C24" s="9" t="s">
        <v>9</v>
      </c>
      <c r="F24" s="1"/>
    </row>
    <row r="25" spans="2:6" x14ac:dyDescent="0.25">
      <c r="B25" s="9" t="str">
        <f t="shared" si="0"/>
        <v>Number of points of vertical flight iteration points</v>
      </c>
      <c r="C25" s="9" t="s">
        <v>9</v>
      </c>
      <c r="F25" s="1"/>
    </row>
    <row r="26" spans="2:6" x14ac:dyDescent="0.25">
      <c r="B26" s="9" t="str">
        <f t="shared" si="0"/>
        <v>Range of horizontal speeds - min speed</v>
      </c>
      <c r="C26" s="9" t="s">
        <v>9</v>
      </c>
    </row>
    <row r="27" spans="2:6" x14ac:dyDescent="0.25">
      <c r="B27" s="9" t="str">
        <f t="shared" si="0"/>
        <v>Range of horizontal speeds - max speed</v>
      </c>
      <c r="C27" s="9" t="s">
        <v>9</v>
      </c>
      <c r="F27" s="5"/>
    </row>
    <row r="28" spans="2:6" x14ac:dyDescent="0.25">
      <c r="B28" s="9" t="str">
        <f t="shared" ref="B28:B29" si="1">+B10</f>
        <v>Number of points of horizontl flight iteration points</v>
      </c>
      <c r="C28" s="9" t="s">
        <v>9</v>
      </c>
      <c r="F28" s="1"/>
    </row>
    <row r="29" spans="2:6" x14ac:dyDescent="0.25">
      <c r="B29" s="9" t="str">
        <f t="shared" si="1"/>
        <v>Flag to determine if vertical flight analyzed</v>
      </c>
      <c r="C29" s="9" t="s">
        <v>9</v>
      </c>
    </row>
    <row r="30" spans="2:6" x14ac:dyDescent="0.25">
      <c r="B30" s="3">
        <v>0</v>
      </c>
      <c r="C30" s="8" t="s">
        <v>169</v>
      </c>
    </row>
    <row r="31" spans="2:6" x14ac:dyDescent="0.25">
      <c r="B31" s="3">
        <v>1</v>
      </c>
      <c r="C31" s="8" t="s">
        <v>170</v>
      </c>
    </row>
    <row r="32" spans="2:6" x14ac:dyDescent="0.25">
      <c r="B32" s="9" t="str">
        <f>+B12</f>
        <v>Flag to determine if horizontal flight analyzed</v>
      </c>
      <c r="C32" s="9" t="s">
        <v>9</v>
      </c>
      <c r="F32" s="5"/>
    </row>
    <row r="33" spans="2:6" x14ac:dyDescent="0.25">
      <c r="B33" s="3">
        <v>0</v>
      </c>
      <c r="C33" s="8" t="s">
        <v>169</v>
      </c>
      <c r="F33" s="5"/>
    </row>
    <row r="34" spans="2:6" x14ac:dyDescent="0.25">
      <c r="B34" s="3">
        <v>1</v>
      </c>
      <c r="C34" s="8" t="s">
        <v>170</v>
      </c>
    </row>
    <row r="35" spans="2:6" x14ac:dyDescent="0.25">
      <c r="B35" s="9" t="str">
        <f>+B13</f>
        <v>Comparison of Prop data being used</v>
      </c>
      <c r="C35" s="9" t="s">
        <v>9</v>
      </c>
      <c r="F35" s="1"/>
    </row>
    <row r="36" spans="2:6" x14ac:dyDescent="0.25">
      <c r="B36" s="3">
        <v>1</v>
      </c>
      <c r="C36" s="8" t="s">
        <v>268</v>
      </c>
      <c r="F36" s="1"/>
    </row>
    <row r="37" spans="2:6" x14ac:dyDescent="0.25">
      <c r="B37" s="3">
        <v>2</v>
      </c>
      <c r="C37" s="8" t="s">
        <v>269</v>
      </c>
    </row>
    <row r="38" spans="2:6" x14ac:dyDescent="0.25">
      <c r="B38" s="13">
        <v>3</v>
      </c>
      <c r="C38" t="s">
        <v>270</v>
      </c>
      <c r="F38" s="1"/>
    </row>
    <row r="39" spans="2:6" x14ac:dyDescent="0.25">
      <c r="B39" s="9" t="str">
        <f>+B14</f>
        <v>Prop Selected for  Model 2 - Wind tunnel data for different props</v>
      </c>
      <c r="C39" s="9" t="s">
        <v>9</v>
      </c>
      <c r="F39" s="1"/>
    </row>
    <row r="40" spans="2:6" x14ac:dyDescent="0.25">
      <c r="B40" s="13">
        <v>1</v>
      </c>
      <c r="C40" t="s">
        <v>275</v>
      </c>
    </row>
    <row r="41" spans="2:6" x14ac:dyDescent="0.25">
      <c r="B41" s="13">
        <v>2</v>
      </c>
      <c r="C41" t="s">
        <v>276</v>
      </c>
    </row>
    <row r="42" spans="2:6" x14ac:dyDescent="0.25">
      <c r="B42" s="13">
        <v>3</v>
      </c>
      <c r="C42" t="s">
        <v>277</v>
      </c>
    </row>
    <row r="43" spans="2:6" x14ac:dyDescent="0.25">
      <c r="B43" s="13">
        <v>4</v>
      </c>
      <c r="C43" t="s">
        <v>278</v>
      </c>
    </row>
    <row r="44" spans="2:6" x14ac:dyDescent="0.25">
      <c r="B44" s="13">
        <v>5</v>
      </c>
      <c r="C44" t="s">
        <v>279</v>
      </c>
    </row>
    <row r="45" spans="2:6" x14ac:dyDescent="0.25">
      <c r="B45" s="13">
        <v>6</v>
      </c>
      <c r="C45" t="s">
        <v>280</v>
      </c>
    </row>
    <row r="46" spans="2:6" x14ac:dyDescent="0.25">
      <c r="B46" s="9" t="str">
        <f>+B15</f>
        <v xml:space="preserve">Prop Selected for  Model 1 - APC data </v>
      </c>
      <c r="C46" s="9" t="s">
        <v>9</v>
      </c>
    </row>
    <row r="47" spans="2:6" x14ac:dyDescent="0.25">
      <c r="B47" s="3">
        <v>1</v>
      </c>
      <c r="C47" t="s">
        <v>282</v>
      </c>
    </row>
    <row r="48" spans="2:6" x14ac:dyDescent="0.25">
      <c r="B48" s="3">
        <v>2</v>
      </c>
      <c r="C48" t="s">
        <v>283</v>
      </c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</sheetData>
  <mergeCells count="1">
    <mergeCell ref="B20:C20"/>
  </mergeCells>
  <dataValidations count="9">
    <dataValidation type="list" allowBlank="1" showInputMessage="1" showErrorMessage="1" sqref="D57" xr:uid="{B92FB96E-E483-4ACC-87F4-3C8F4D84BD05}">
      <formula1>$F$28:$F$28</formula1>
    </dataValidation>
    <dataValidation type="list" allowBlank="1" showInputMessage="1" showErrorMessage="1" sqref="D58" xr:uid="{7F9EA895-2601-4657-B0A0-1539ED3AFC43}">
      <formula1>$F$32:$F$33</formula1>
    </dataValidation>
    <dataValidation type="list" allowBlank="1" showInputMessage="1" showErrorMessage="1" sqref="D59" xr:uid="{AD81DD93-2BF2-4F65-8A41-30B0D02BA5C0}">
      <formula1>$F$35:$F$36</formula1>
    </dataValidation>
    <dataValidation type="list" allowBlank="1" showInputMessage="1" showErrorMessage="1" sqref="D60" xr:uid="{39B9CE3C-9036-4846-B300-77D9C82C93C6}">
      <formula1>$F$38:$F$39</formula1>
    </dataValidation>
    <dataValidation type="list" allowBlank="1" showInputMessage="1" showErrorMessage="1" sqref="D11" xr:uid="{7D3DA819-4268-4668-97EC-C74F48CB55C5}">
      <formula1>$B$30:$B$31</formula1>
    </dataValidation>
    <dataValidation type="list" allowBlank="1" showInputMessage="1" showErrorMessage="1" sqref="D12" xr:uid="{16F8127E-E43A-418C-BD2D-A59497F51D25}">
      <formula1>$B$33:$B$34</formula1>
    </dataValidation>
    <dataValidation type="list" allowBlank="1" showInputMessage="1" showErrorMessage="1" sqref="D13 D16:D18" xr:uid="{CE461F69-B2E3-4566-AB00-8A1129F88FD9}">
      <formula1>$B$36:$B$38</formula1>
    </dataValidation>
    <dataValidation type="list" allowBlank="1" showInputMessage="1" showErrorMessage="1" sqref="D14" xr:uid="{D4498162-258A-4B8A-91BE-A9547C75CFE7}">
      <formula1>$B$40:$B$45</formula1>
    </dataValidation>
    <dataValidation type="list" allowBlank="1" showInputMessage="1" showErrorMessage="1" sqref="D15" xr:uid="{060198DC-08AE-469B-B75A-6B47613A2FA9}">
      <formula1>$B$47:$B$48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E6ED-414F-419A-B827-7D176D5C9C70}">
  <sheetPr codeName="Sheet2"/>
  <dimension ref="B2:F104"/>
  <sheetViews>
    <sheetView workbookViewId="0">
      <selection activeCell="F11" sqref="F11"/>
    </sheetView>
  </sheetViews>
  <sheetFormatPr baseColWidth="10" defaultColWidth="11.42578125" defaultRowHeight="15" x14ac:dyDescent="0.25"/>
  <cols>
    <col min="1" max="1" width="3" customWidth="1"/>
    <col min="2" max="2" width="65.7109375" bestFit="1" customWidth="1"/>
    <col min="3" max="3" width="51.85546875" bestFit="1" customWidth="1"/>
    <col min="4" max="4" width="9.28515625" bestFit="1" customWidth="1"/>
    <col min="5" max="5" width="9.28515625" customWidth="1"/>
    <col min="6" max="6" width="61.140625" bestFit="1" customWidth="1"/>
    <col min="7" max="7" width="35.5703125" customWidth="1"/>
    <col min="8" max="8" width="22.5703125" bestFit="1" customWidth="1"/>
    <col min="9" max="9" width="31.7109375" bestFit="1" customWidth="1"/>
    <col min="10" max="10" width="20" bestFit="1" customWidth="1"/>
    <col min="11" max="11" width="33.28515625" bestFit="1" customWidth="1"/>
  </cols>
  <sheetData>
    <row r="2" spans="2:5" x14ac:dyDescent="0.25">
      <c r="C2" s="2" t="s">
        <v>17</v>
      </c>
      <c r="D2" s="3" t="s">
        <v>8</v>
      </c>
      <c r="E2" s="1"/>
    </row>
    <row r="3" spans="2:5" x14ac:dyDescent="0.25">
      <c r="B3" s="2" t="s">
        <v>21</v>
      </c>
      <c r="C3" s="22" t="s">
        <v>16</v>
      </c>
      <c r="D3" s="24">
        <v>1</v>
      </c>
      <c r="E3" s="5"/>
    </row>
    <row r="4" spans="2:5" x14ac:dyDescent="0.25">
      <c r="B4" s="2" t="s">
        <v>22</v>
      </c>
      <c r="C4" s="22" t="s">
        <v>18</v>
      </c>
      <c r="D4" s="24">
        <v>0</v>
      </c>
      <c r="E4" s="5"/>
    </row>
    <row r="5" spans="2:5" x14ac:dyDescent="0.25">
      <c r="B5" s="2" t="s">
        <v>23</v>
      </c>
      <c r="C5" s="22" t="s">
        <v>19</v>
      </c>
      <c r="D5" s="24">
        <v>0</v>
      </c>
      <c r="E5" s="5"/>
    </row>
    <row r="6" spans="2:5" x14ac:dyDescent="0.25">
      <c r="B6" s="2" t="s">
        <v>24</v>
      </c>
      <c r="C6" s="22" t="s">
        <v>20</v>
      </c>
      <c r="D6" s="24">
        <v>1</v>
      </c>
    </row>
    <row r="7" spans="2:5" x14ac:dyDescent="0.25">
      <c r="B7" s="2" t="s">
        <v>949</v>
      </c>
      <c r="C7" s="22" t="s">
        <v>948</v>
      </c>
      <c r="D7" s="127">
        <v>1</v>
      </c>
    </row>
    <row r="8" spans="2:5" x14ac:dyDescent="0.25">
      <c r="B8" s="2" t="s">
        <v>30</v>
      </c>
      <c r="C8" s="2" t="s">
        <v>42</v>
      </c>
      <c r="D8" s="4">
        <v>0</v>
      </c>
      <c r="E8" s="12"/>
    </row>
    <row r="9" spans="2:5" x14ac:dyDescent="0.25">
      <c r="B9" s="92" t="s">
        <v>1651</v>
      </c>
      <c r="C9" s="92" t="s">
        <v>43</v>
      </c>
      <c r="D9" s="36">
        <v>0</v>
      </c>
    </row>
    <row r="10" spans="2:5" x14ac:dyDescent="0.25">
      <c r="B10" s="92" t="s">
        <v>31</v>
      </c>
      <c r="C10" s="92" t="s">
        <v>44</v>
      </c>
      <c r="D10" s="36">
        <v>1</v>
      </c>
    </row>
    <row r="11" spans="2:5" x14ac:dyDescent="0.25">
      <c r="B11" s="110" t="s">
        <v>32</v>
      </c>
      <c r="C11" s="110" t="s">
        <v>45</v>
      </c>
      <c r="D11" s="118">
        <v>0</v>
      </c>
    </row>
    <row r="12" spans="2:5" x14ac:dyDescent="0.25">
      <c r="B12" s="110" t="s">
        <v>33</v>
      </c>
      <c r="C12" s="110" t="s">
        <v>46</v>
      </c>
      <c r="D12" s="118">
        <v>0</v>
      </c>
    </row>
    <row r="13" spans="2:5" x14ac:dyDescent="0.25">
      <c r="B13" s="110" t="s">
        <v>1707</v>
      </c>
      <c r="C13" s="110" t="s">
        <v>1629</v>
      </c>
      <c r="D13" s="118">
        <v>1</v>
      </c>
    </row>
    <row r="14" spans="2:5" x14ac:dyDescent="0.25">
      <c r="B14" s="110" t="s">
        <v>1708</v>
      </c>
      <c r="C14" s="110" t="s">
        <v>1709</v>
      </c>
      <c r="D14" s="118">
        <v>0</v>
      </c>
    </row>
    <row r="15" spans="2:5" x14ac:dyDescent="0.25">
      <c r="B15" s="110" t="s">
        <v>1719</v>
      </c>
      <c r="C15" s="110" t="s">
        <v>1724</v>
      </c>
      <c r="D15" s="118">
        <v>0</v>
      </c>
    </row>
    <row r="16" spans="2:5" x14ac:dyDescent="0.25">
      <c r="B16" s="110" t="s">
        <v>1725</v>
      </c>
      <c r="C16" s="110" t="s">
        <v>1720</v>
      </c>
      <c r="D16" s="118">
        <v>0</v>
      </c>
    </row>
    <row r="17" spans="2:4" x14ac:dyDescent="0.25">
      <c r="B17" s="110" t="s">
        <v>1726</v>
      </c>
      <c r="C17" s="110" t="s">
        <v>1722</v>
      </c>
      <c r="D17" s="118">
        <v>0</v>
      </c>
    </row>
    <row r="18" spans="2:4" x14ac:dyDescent="0.25">
      <c r="B18" s="153" t="s">
        <v>34</v>
      </c>
      <c r="C18" s="153" t="s">
        <v>47</v>
      </c>
      <c r="D18" s="154">
        <v>0</v>
      </c>
    </row>
    <row r="19" spans="2:4" x14ac:dyDescent="0.25">
      <c r="B19" s="153" t="s">
        <v>790</v>
      </c>
      <c r="C19" s="153" t="s">
        <v>789</v>
      </c>
      <c r="D19" s="154">
        <v>1</v>
      </c>
    </row>
    <row r="20" spans="2:4" x14ac:dyDescent="0.25">
      <c r="B20" s="153" t="s">
        <v>35</v>
      </c>
      <c r="C20" s="153" t="s">
        <v>48</v>
      </c>
      <c r="D20" s="154">
        <v>1</v>
      </c>
    </row>
    <row r="21" spans="2:4" x14ac:dyDescent="0.25">
      <c r="B21" s="153" t="s">
        <v>36</v>
      </c>
      <c r="C21" s="153" t="s">
        <v>49</v>
      </c>
      <c r="D21" s="154">
        <v>1</v>
      </c>
    </row>
    <row r="22" spans="2:4" x14ac:dyDescent="0.25">
      <c r="B22" s="153" t="s">
        <v>37</v>
      </c>
      <c r="C22" s="153" t="s">
        <v>50</v>
      </c>
      <c r="D22" s="154">
        <v>1</v>
      </c>
    </row>
    <row r="23" spans="2:4" x14ac:dyDescent="0.25">
      <c r="B23" s="153" t="s">
        <v>38</v>
      </c>
      <c r="C23" s="153" t="s">
        <v>51</v>
      </c>
      <c r="D23" s="154">
        <v>1</v>
      </c>
    </row>
    <row r="24" spans="2:4" x14ac:dyDescent="0.25">
      <c r="B24" s="153" t="s">
        <v>39</v>
      </c>
      <c r="C24" s="153" t="s">
        <v>52</v>
      </c>
      <c r="D24" s="154">
        <v>0</v>
      </c>
    </row>
    <row r="25" spans="2:4" x14ac:dyDescent="0.25">
      <c r="B25" s="153" t="s">
        <v>1344</v>
      </c>
      <c r="C25" s="153" t="s">
        <v>1346</v>
      </c>
      <c r="D25" s="154">
        <v>0</v>
      </c>
    </row>
    <row r="26" spans="2:4" x14ac:dyDescent="0.25">
      <c r="B26" s="153" t="s">
        <v>1345</v>
      </c>
      <c r="C26" s="153" t="s">
        <v>1347</v>
      </c>
      <c r="D26" s="155">
        <v>0</v>
      </c>
    </row>
    <row r="27" spans="2:4" x14ac:dyDescent="0.25">
      <c r="B27" s="153" t="s">
        <v>1484</v>
      </c>
      <c r="C27" s="153" t="s">
        <v>1483</v>
      </c>
      <c r="D27" s="155">
        <v>0</v>
      </c>
    </row>
    <row r="28" spans="2:4" x14ac:dyDescent="0.25">
      <c r="B28" s="153" t="s">
        <v>40</v>
      </c>
      <c r="C28" s="153" t="s">
        <v>53</v>
      </c>
      <c r="D28" s="154">
        <v>0</v>
      </c>
    </row>
    <row r="29" spans="2:4" x14ac:dyDescent="0.25">
      <c r="B29" s="153" t="s">
        <v>41</v>
      </c>
      <c r="C29" s="153" t="s">
        <v>54</v>
      </c>
      <c r="D29" s="154">
        <v>0</v>
      </c>
    </row>
    <row r="30" spans="2:4" x14ac:dyDescent="0.25">
      <c r="B30" s="153" t="s">
        <v>55</v>
      </c>
      <c r="C30" s="153" t="s">
        <v>58</v>
      </c>
      <c r="D30" s="154">
        <v>0</v>
      </c>
    </row>
    <row r="31" spans="2:4" x14ac:dyDescent="0.25">
      <c r="B31" s="153" t="s">
        <v>56</v>
      </c>
      <c r="C31" s="153" t="s">
        <v>57</v>
      </c>
      <c r="D31" s="154">
        <v>0</v>
      </c>
    </row>
    <row r="32" spans="2:4" x14ac:dyDescent="0.25">
      <c r="B32" s="153" t="s">
        <v>742</v>
      </c>
      <c r="C32" s="153" t="s">
        <v>744</v>
      </c>
      <c r="D32" s="154">
        <v>1</v>
      </c>
    </row>
    <row r="33" spans="2:4" x14ac:dyDescent="0.25">
      <c r="B33" s="153" t="s">
        <v>743</v>
      </c>
      <c r="C33" s="153" t="s">
        <v>745</v>
      </c>
      <c r="D33" s="154">
        <v>1</v>
      </c>
    </row>
    <row r="34" spans="2:4" x14ac:dyDescent="0.25">
      <c r="D34" s="12"/>
    </row>
    <row r="35" spans="2:4" x14ac:dyDescent="0.25">
      <c r="B35" s="186" t="s">
        <v>2</v>
      </c>
      <c r="C35" s="186"/>
    </row>
    <row r="36" spans="2:4" x14ac:dyDescent="0.25">
      <c r="B36" s="2" t="str">
        <f>+B3</f>
        <v>Conducts Aerodynamic Studies</v>
      </c>
      <c r="C36" s="2" t="s">
        <v>9</v>
      </c>
    </row>
    <row r="37" spans="2:4" x14ac:dyDescent="0.25">
      <c r="B37" s="4">
        <v>0</v>
      </c>
      <c r="C37" s="2" t="s">
        <v>25</v>
      </c>
    </row>
    <row r="38" spans="2:4" x14ac:dyDescent="0.25">
      <c r="B38" s="4">
        <v>1</v>
      </c>
      <c r="C38" s="2" t="s">
        <v>26</v>
      </c>
    </row>
    <row r="39" spans="2:4" x14ac:dyDescent="0.25">
      <c r="B39" s="2" t="str">
        <f>+B4</f>
        <v>Conducts Proppeller Studies</v>
      </c>
      <c r="C39" s="2" t="s">
        <v>9</v>
      </c>
    </row>
    <row r="40" spans="2:4" x14ac:dyDescent="0.25">
      <c r="B40" s="3">
        <v>0</v>
      </c>
      <c r="C40" s="2" t="s">
        <v>25</v>
      </c>
    </row>
    <row r="41" spans="2:4" x14ac:dyDescent="0.25">
      <c r="B41" s="3">
        <v>1</v>
      </c>
      <c r="C41" s="2" t="s">
        <v>26</v>
      </c>
    </row>
    <row r="42" spans="2:4" x14ac:dyDescent="0.25">
      <c r="B42" s="2" t="str">
        <f>+B5</f>
        <v>Conducts Performance Studies</v>
      </c>
      <c r="C42" s="2" t="s">
        <v>9</v>
      </c>
    </row>
    <row r="43" spans="2:4" x14ac:dyDescent="0.25">
      <c r="B43" s="3">
        <v>0</v>
      </c>
      <c r="C43" s="2" t="s">
        <v>25</v>
      </c>
    </row>
    <row r="44" spans="2:4" x14ac:dyDescent="0.25">
      <c r="B44" s="3">
        <v>1</v>
      </c>
      <c r="C44" s="2" t="s">
        <v>26</v>
      </c>
    </row>
    <row r="45" spans="2:4" x14ac:dyDescent="0.25">
      <c r="B45" s="2" t="str">
        <f>+B6</f>
        <v>Conducts Stability Studies</v>
      </c>
      <c r="C45" s="2" t="s">
        <v>9</v>
      </c>
    </row>
    <row r="46" spans="2:4" x14ac:dyDescent="0.25">
      <c r="B46" s="3">
        <v>0</v>
      </c>
      <c r="C46" s="2" t="s">
        <v>25</v>
      </c>
    </row>
    <row r="47" spans="2:4" x14ac:dyDescent="0.25">
      <c r="B47" s="3">
        <v>1</v>
      </c>
      <c r="C47" s="2" t="s">
        <v>26</v>
      </c>
    </row>
    <row r="48" spans="2:4" x14ac:dyDescent="0.25">
      <c r="B48" s="8" t="str">
        <f>+B7</f>
        <v>Conducts Mission Studies</v>
      </c>
      <c r="C48" s="2" t="s">
        <v>9</v>
      </c>
    </row>
    <row r="49" spans="2:3" x14ac:dyDescent="0.25">
      <c r="B49" s="3">
        <v>0</v>
      </c>
      <c r="C49" s="2" t="s">
        <v>25</v>
      </c>
    </row>
    <row r="50" spans="2:3" x14ac:dyDescent="0.25">
      <c r="B50" s="3">
        <v>1</v>
      </c>
      <c r="C50" s="2" t="s">
        <v>26</v>
      </c>
    </row>
    <row r="51" spans="2:3" x14ac:dyDescent="0.25">
      <c r="B51" s="2" t="str">
        <f>+B8</f>
        <v>Weight Fraction Study</v>
      </c>
      <c r="C51" s="2" t="s">
        <v>9</v>
      </c>
    </row>
    <row r="52" spans="2:3" x14ac:dyDescent="0.25">
      <c r="B52" s="4">
        <v>0</v>
      </c>
      <c r="C52" s="2" t="s">
        <v>25</v>
      </c>
    </row>
    <row r="53" spans="2:3" x14ac:dyDescent="0.25">
      <c r="B53" s="4">
        <v>1</v>
      </c>
      <c r="C53" s="2" t="s">
        <v>26</v>
      </c>
    </row>
    <row r="54" spans="2:3" x14ac:dyDescent="0.25">
      <c r="B54" s="2" t="str">
        <f>+B9</f>
        <v>Performance Analysis integrated with AP Codes - Nominal</v>
      </c>
      <c r="C54" s="2" t="s">
        <v>9</v>
      </c>
    </row>
    <row r="55" spans="2:3" x14ac:dyDescent="0.25">
      <c r="B55" s="3">
        <v>0</v>
      </c>
      <c r="C55" s="2" t="s">
        <v>25</v>
      </c>
    </row>
    <row r="56" spans="2:3" x14ac:dyDescent="0.25">
      <c r="B56" s="3">
        <v>1</v>
      </c>
      <c r="C56" s="2" t="s">
        <v>26</v>
      </c>
    </row>
    <row r="57" spans="2:3" x14ac:dyDescent="0.25">
      <c r="B57" s="2" t="str">
        <f>+B10</f>
        <v>Performance Analysis integrated with AP Codes varying Conditions</v>
      </c>
      <c r="C57" s="2" t="s">
        <v>9</v>
      </c>
    </row>
    <row r="58" spans="2:3" x14ac:dyDescent="0.25">
      <c r="B58" s="3">
        <v>0</v>
      </c>
      <c r="C58" s="2" t="s">
        <v>25</v>
      </c>
    </row>
    <row r="59" spans="2:3" x14ac:dyDescent="0.25">
      <c r="B59" s="3">
        <v>1</v>
      </c>
      <c r="C59" s="2" t="s">
        <v>26</v>
      </c>
    </row>
    <row r="60" spans="2:3" x14ac:dyDescent="0.25">
      <c r="B60" s="2" t="str">
        <f>+B11</f>
        <v>Variable Speed Performance Studies</v>
      </c>
      <c r="C60" s="2" t="s">
        <v>9</v>
      </c>
    </row>
    <row r="61" spans="2:3" x14ac:dyDescent="0.25">
      <c r="B61" s="3">
        <v>0</v>
      </c>
      <c r="C61" s="2" t="s">
        <v>25</v>
      </c>
    </row>
    <row r="62" spans="2:3" x14ac:dyDescent="0.25">
      <c r="B62" s="3">
        <v>1</v>
      </c>
      <c r="C62" s="2" t="s">
        <v>26</v>
      </c>
    </row>
    <row r="63" spans="2:3" x14ac:dyDescent="0.25">
      <c r="B63" s="2" t="str">
        <f>+B12</f>
        <v>Variable Mass Performance Studies</v>
      </c>
      <c r="C63" s="2" t="s">
        <v>9</v>
      </c>
    </row>
    <row r="64" spans="2:3" x14ac:dyDescent="0.25">
      <c r="B64" s="4">
        <v>0</v>
      </c>
      <c r="C64" s="2" t="s">
        <v>25</v>
      </c>
    </row>
    <row r="65" spans="2:6" x14ac:dyDescent="0.25">
      <c r="B65" s="4">
        <v>1</v>
      </c>
      <c r="C65" s="2" t="s">
        <v>26</v>
      </c>
    </row>
    <row r="66" spans="2:6" x14ac:dyDescent="0.25">
      <c r="B66" s="2" t="str">
        <f>+B18</f>
        <v>Trim conditions - one case</v>
      </c>
      <c r="C66" s="2" t="s">
        <v>9</v>
      </c>
    </row>
    <row r="67" spans="2:6" x14ac:dyDescent="0.25">
      <c r="B67" s="3">
        <v>0</v>
      </c>
      <c r="C67" s="2" t="s">
        <v>25</v>
      </c>
    </row>
    <row r="68" spans="2:6" x14ac:dyDescent="0.25">
      <c r="B68" s="3">
        <v>1</v>
      </c>
      <c r="C68" s="2" t="s">
        <v>26</v>
      </c>
    </row>
    <row r="69" spans="2:6" x14ac:dyDescent="0.25">
      <c r="B69" s="2" t="str">
        <f>+B19</f>
        <v>Trim conditions - Regular</v>
      </c>
      <c r="C69" s="2"/>
    </row>
    <row r="70" spans="2:6" x14ac:dyDescent="0.25">
      <c r="B70" s="3">
        <v>0</v>
      </c>
      <c r="C70" s="2" t="s">
        <v>25</v>
      </c>
    </row>
    <row r="71" spans="2:6" x14ac:dyDescent="0.25">
      <c r="B71" s="3">
        <v>1</v>
      </c>
      <c r="C71" s="2" t="s">
        <v>26</v>
      </c>
    </row>
    <row r="72" spans="2:6" x14ac:dyDescent="0.25">
      <c r="B72" s="2" t="str">
        <f>+B20</f>
        <v>Trim conditions - variation V and mass</v>
      </c>
      <c r="C72" s="2" t="s">
        <v>9</v>
      </c>
    </row>
    <row r="73" spans="2:6" x14ac:dyDescent="0.25">
      <c r="B73" s="3">
        <v>0</v>
      </c>
      <c r="C73" s="2" t="s">
        <v>25</v>
      </c>
    </row>
    <row r="74" spans="2:6" x14ac:dyDescent="0.25">
      <c r="B74" s="3">
        <v>1</v>
      </c>
      <c r="C74" s="2" t="s">
        <v>26</v>
      </c>
    </row>
    <row r="75" spans="2:6" x14ac:dyDescent="0.25">
      <c r="B75" s="2" t="str">
        <f>+B21</f>
        <v>Trim conditions - variation XCG</v>
      </c>
      <c r="C75" s="2" t="s">
        <v>9</v>
      </c>
    </row>
    <row r="76" spans="2:6" x14ac:dyDescent="0.25">
      <c r="B76" s="3">
        <v>0</v>
      </c>
      <c r="C76" s="2" t="s">
        <v>25</v>
      </c>
    </row>
    <row r="77" spans="2:6" x14ac:dyDescent="0.25">
      <c r="B77" s="3">
        <v>1</v>
      </c>
      <c r="C77" s="2" t="s">
        <v>26</v>
      </c>
    </row>
    <row r="78" spans="2:6" x14ac:dyDescent="0.25">
      <c r="B78" s="2" t="str">
        <f>+B22</f>
        <v>Longitudinal Stability Analysis</v>
      </c>
      <c r="C78" s="2" t="s">
        <v>9</v>
      </c>
    </row>
    <row r="79" spans="2:6" x14ac:dyDescent="0.25">
      <c r="B79" s="4">
        <v>0</v>
      </c>
      <c r="C79" s="2" t="s">
        <v>25</v>
      </c>
      <c r="F79" s="1"/>
    </row>
    <row r="80" spans="2:6" x14ac:dyDescent="0.25">
      <c r="B80" s="4">
        <v>1</v>
      </c>
      <c r="C80" s="2" t="s">
        <v>26</v>
      </c>
      <c r="F80" s="1"/>
    </row>
    <row r="81" spans="2:3" x14ac:dyDescent="0.25">
      <c r="B81" s="2" t="str">
        <f>+B23</f>
        <v>Lateral-Directional Stability Analysis</v>
      </c>
      <c r="C81" s="2" t="s">
        <v>9</v>
      </c>
    </row>
    <row r="82" spans="2:3" x14ac:dyDescent="0.25">
      <c r="B82" s="3">
        <v>0</v>
      </c>
      <c r="C82" s="2" t="s">
        <v>25</v>
      </c>
    </row>
    <row r="83" spans="2:3" x14ac:dyDescent="0.25">
      <c r="B83" s="3">
        <v>1</v>
      </c>
      <c r="C83" s="2" t="s">
        <v>26</v>
      </c>
    </row>
    <row r="84" spans="2:3" x14ac:dyDescent="0.25">
      <c r="B84" s="2" t="str">
        <f>+B24</f>
        <v>Lateral Directional Trim</v>
      </c>
      <c r="C84" s="2" t="s">
        <v>9</v>
      </c>
    </row>
    <row r="85" spans="2:3" x14ac:dyDescent="0.25">
      <c r="B85" s="3">
        <v>0</v>
      </c>
      <c r="C85" s="2" t="s">
        <v>25</v>
      </c>
    </row>
    <row r="86" spans="2:3" x14ac:dyDescent="0.25">
      <c r="B86" s="3">
        <v>1</v>
      </c>
      <c r="C86" s="2" t="s">
        <v>26</v>
      </c>
    </row>
    <row r="87" spans="2:3" x14ac:dyDescent="0.25">
      <c r="B87" s="2" t="str">
        <f>+B28</f>
        <v>Turning Stability</v>
      </c>
      <c r="C87" s="2" t="s">
        <v>9</v>
      </c>
    </row>
    <row r="88" spans="2:3" x14ac:dyDescent="0.25">
      <c r="B88" s="3">
        <v>0</v>
      </c>
      <c r="C88" s="2" t="s">
        <v>25</v>
      </c>
    </row>
    <row r="89" spans="2:3" x14ac:dyDescent="0.25">
      <c r="B89" s="3">
        <v>1</v>
      </c>
      <c r="C89" s="2" t="s">
        <v>26</v>
      </c>
    </row>
    <row r="90" spans="2:3" x14ac:dyDescent="0.25">
      <c r="B90" s="2" t="str">
        <f>+B29</f>
        <v>Plots Stability Derivatives</v>
      </c>
      <c r="C90" s="2" t="s">
        <v>9</v>
      </c>
    </row>
    <row r="91" spans="2:3" x14ac:dyDescent="0.25">
      <c r="B91" s="4">
        <v>0</v>
      </c>
      <c r="C91" s="2" t="s">
        <v>25</v>
      </c>
    </row>
    <row r="92" spans="2:3" x14ac:dyDescent="0.25">
      <c r="B92" s="4">
        <v>1</v>
      </c>
      <c r="C92" s="2" t="s">
        <v>26</v>
      </c>
    </row>
    <row r="93" spans="2:3" x14ac:dyDescent="0.25">
      <c r="B93" s="2" t="str">
        <f>+B30</f>
        <v>Longitudinal Dynamic Response Plots</v>
      </c>
      <c r="C93" s="2" t="s">
        <v>9</v>
      </c>
    </row>
    <row r="94" spans="2:3" x14ac:dyDescent="0.25">
      <c r="B94" s="3">
        <v>0</v>
      </c>
      <c r="C94" s="2" t="s">
        <v>25</v>
      </c>
    </row>
    <row r="95" spans="2:3" x14ac:dyDescent="0.25">
      <c r="B95" s="3">
        <v>1</v>
      </c>
      <c r="C95" s="2" t="s">
        <v>26</v>
      </c>
    </row>
    <row r="96" spans="2:3" x14ac:dyDescent="0.25">
      <c r="B96" s="2" t="str">
        <f>+B31</f>
        <v>Lateral-Directional Dynamic Response Plots</v>
      </c>
      <c r="C96" s="2" t="s">
        <v>9</v>
      </c>
    </row>
    <row r="97" spans="2:3" x14ac:dyDescent="0.25">
      <c r="B97" s="3">
        <v>0</v>
      </c>
      <c r="C97" s="2" t="s">
        <v>25</v>
      </c>
    </row>
    <row r="98" spans="2:3" x14ac:dyDescent="0.25">
      <c r="B98" s="3">
        <v>1</v>
      </c>
      <c r="C98" s="2" t="s">
        <v>26</v>
      </c>
    </row>
    <row r="99" spans="2:3" x14ac:dyDescent="0.25">
      <c r="B99" s="2" t="str">
        <f>B32</f>
        <v>Impulse Longitudinal Dynamic Response Plots</v>
      </c>
      <c r="C99" s="2" t="s">
        <v>9</v>
      </c>
    </row>
    <row r="100" spans="2:3" x14ac:dyDescent="0.25">
      <c r="B100" s="3">
        <v>0</v>
      </c>
      <c r="C100" s="2" t="s">
        <v>25</v>
      </c>
    </row>
    <row r="101" spans="2:3" x14ac:dyDescent="0.25">
      <c r="B101" s="3">
        <v>1</v>
      </c>
      <c r="C101" s="2" t="s">
        <v>26</v>
      </c>
    </row>
    <row r="102" spans="2:3" x14ac:dyDescent="0.25">
      <c r="B102" s="2" t="str">
        <f>B33</f>
        <v>Impulse Lateral-Directional Dynamic Response Plots</v>
      </c>
      <c r="C102" s="2" t="s">
        <v>9</v>
      </c>
    </row>
    <row r="103" spans="2:3" x14ac:dyDescent="0.25">
      <c r="B103" s="3">
        <v>0</v>
      </c>
      <c r="C103" s="2" t="s">
        <v>25</v>
      </c>
    </row>
    <row r="104" spans="2:3" x14ac:dyDescent="0.25">
      <c r="B104" s="3">
        <v>1</v>
      </c>
      <c r="C104" s="2" t="s">
        <v>26</v>
      </c>
    </row>
  </sheetData>
  <mergeCells count="1">
    <mergeCell ref="B35:C35"/>
  </mergeCells>
  <dataValidations count="17">
    <dataValidation type="list" allowBlank="1" showInputMessage="1" showErrorMessage="1" sqref="D5:E5" xr:uid="{84C69CE0-BCC9-49B6-B91F-7EFF40ABD21C}">
      <formula1>$B$43:$B$44</formula1>
    </dataValidation>
    <dataValidation type="list" allowBlank="1" showInputMessage="1" showErrorMessage="1" sqref="D4:E4" xr:uid="{124EDBF9-EE7D-469D-812D-A0CD98F62CA1}">
      <formula1>$B$40:$B$41</formula1>
    </dataValidation>
    <dataValidation type="list" allowBlank="1" showInputMessage="1" showErrorMessage="1" sqref="D3:E3" xr:uid="{4409BCA9-04AB-4BDC-9313-AAE0EDE7A60A}">
      <formula1>$B$37:$B$38</formula1>
    </dataValidation>
    <dataValidation type="list" allowBlank="1" showInputMessage="1" showErrorMessage="1" sqref="D6:D7" xr:uid="{876AE54B-24E2-408D-9E7B-6CC305C7021C}">
      <formula1>$B$46:$B$47</formula1>
    </dataValidation>
    <dataValidation type="list" allowBlank="1" showInputMessage="1" showErrorMessage="1" sqref="D8:D9" xr:uid="{01BDC89F-A2E1-4E44-94EE-13063181A426}">
      <formula1>$B$52:$B$53</formula1>
    </dataValidation>
    <dataValidation type="list" allowBlank="1" showInputMessage="1" showErrorMessage="1" sqref="D10" xr:uid="{B3FFD0A2-BA14-43BF-A7A8-72EE516DCA2B}">
      <formula1>$B$58:$B$59</formula1>
    </dataValidation>
    <dataValidation type="list" allowBlank="1" showInputMessage="1" showErrorMessage="1" sqref="D11" xr:uid="{A76D7479-01C3-47B6-99C1-8C2381905240}">
      <formula1>$B$61:$B$62</formula1>
    </dataValidation>
    <dataValidation type="list" allowBlank="1" showInputMessage="1" showErrorMessage="1" sqref="D12:D19" xr:uid="{7849B5A8-4307-43A5-B2FC-1586779515D4}">
      <formula1>$B$67:$B$68</formula1>
    </dataValidation>
    <dataValidation type="list" allowBlank="1" showInputMessage="1" showErrorMessage="1" sqref="D20" xr:uid="{77456B72-4110-4912-9FA4-8F519611F5B9}">
      <formula1>$B$73:$B$74</formula1>
    </dataValidation>
    <dataValidation type="list" allowBlank="1" showInputMessage="1" showErrorMessage="1" sqref="D21" xr:uid="{6918EB14-27E0-4002-AD7E-DD02D3654A82}">
      <formula1>$B$76:$B$77</formula1>
    </dataValidation>
    <dataValidation type="list" allowBlank="1" showInputMessage="1" showErrorMessage="1" sqref="D22" xr:uid="{B8C4BE3E-BD4A-444D-81F0-43F81A40CED4}">
      <formula1>$B$79:$B$80</formula1>
    </dataValidation>
    <dataValidation type="list" allowBlank="1" showInputMessage="1" showErrorMessage="1" sqref="D23" xr:uid="{384A2AB3-65D7-41D0-B34A-8359A4ACA20C}">
      <formula1>$B$82:$B$83</formula1>
    </dataValidation>
    <dataValidation type="list" allowBlank="1" showInputMessage="1" showErrorMessage="1" sqref="D24:D27" xr:uid="{54C1A4F0-E203-411F-84BA-82D22DD1E263}">
      <formula1>$B$85:$B$86</formula1>
    </dataValidation>
    <dataValidation type="list" allowBlank="1" showInputMessage="1" showErrorMessage="1" sqref="D28" xr:uid="{D0A50C7C-A738-46E7-BB8E-C5CDC7D63D7B}">
      <formula1>$B$88:$B$89</formula1>
    </dataValidation>
    <dataValidation type="list" allowBlank="1" showInputMessage="1" showErrorMessage="1" sqref="D29" xr:uid="{093C5532-089F-43E5-878E-CFB9FE8ACE5A}">
      <formula1>$B$91:$B$92</formula1>
    </dataValidation>
    <dataValidation type="list" allowBlank="1" showInputMessage="1" showErrorMessage="1" sqref="D30" xr:uid="{7AF86E10-151A-41FC-B1D3-14577E30B626}">
      <formula1>$B$94:$B$95</formula1>
    </dataValidation>
    <dataValidation type="list" allowBlank="1" showInputMessage="1" showErrorMessage="1" sqref="D31:D33" xr:uid="{D0DFD110-D4FD-410A-BDDA-415DA4D4C985}">
      <formula1>$B$97:$B$98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1C4D-FBD6-4DEC-A61A-83F8F5B5B8DA}">
  <sheetPr codeName="Sheet3"/>
  <dimension ref="B1:AK68"/>
  <sheetViews>
    <sheetView tabSelected="1" zoomScale="98" zoomScaleNormal="98" workbookViewId="0">
      <selection activeCell="D8" sqref="D8"/>
    </sheetView>
  </sheetViews>
  <sheetFormatPr baseColWidth="10" defaultColWidth="11.42578125" defaultRowHeight="15" x14ac:dyDescent="0.25"/>
  <cols>
    <col min="1" max="1" width="3" customWidth="1"/>
    <col min="2" max="2" width="70.28515625" customWidth="1"/>
    <col min="3" max="3" width="48.42578125" bestFit="1" customWidth="1"/>
    <col min="4" max="4" width="9.28515625" bestFit="1" customWidth="1"/>
    <col min="5" max="6" width="5.28515625" bestFit="1" customWidth="1"/>
    <col min="7" max="7" width="15.140625" style="7" customWidth="1"/>
    <col min="8" max="8" width="10.85546875" hidden="1" customWidth="1"/>
    <col min="9" max="9" width="8.42578125" hidden="1" customWidth="1"/>
    <col min="10" max="10" width="9.5703125" customWidth="1"/>
    <col min="11" max="11" width="13.140625" customWidth="1"/>
    <col min="12" max="28" width="11.42578125" customWidth="1"/>
    <col min="30" max="30" width="13" bestFit="1" customWidth="1"/>
  </cols>
  <sheetData>
    <row r="1" spans="2:37" x14ac:dyDescent="0.25">
      <c r="F1" s="1"/>
      <c r="G1"/>
      <c r="H1" s="18" t="s">
        <v>535</v>
      </c>
      <c r="I1" s="18" t="s">
        <v>535</v>
      </c>
      <c r="J1" s="18" t="s">
        <v>1279</v>
      </c>
      <c r="K1" s="18" t="s">
        <v>1278</v>
      </c>
      <c r="L1" s="18" t="s">
        <v>77</v>
      </c>
      <c r="M1" s="18" t="s">
        <v>1245</v>
      </c>
      <c r="N1" s="18" t="s">
        <v>521</v>
      </c>
      <c r="O1" s="18" t="s">
        <v>522</v>
      </c>
      <c r="P1" s="26" t="s">
        <v>661</v>
      </c>
      <c r="Q1" s="26" t="s">
        <v>662</v>
      </c>
      <c r="R1" s="26" t="s">
        <v>665</v>
      </c>
      <c r="S1" s="26" t="s">
        <v>667</v>
      </c>
      <c r="T1" s="26" t="s">
        <v>732</v>
      </c>
      <c r="U1" s="33" t="s">
        <v>771</v>
      </c>
      <c r="V1" s="33" t="s">
        <v>772</v>
      </c>
      <c r="W1" s="33" t="s">
        <v>785</v>
      </c>
      <c r="X1" s="33" t="s">
        <v>787</v>
      </c>
      <c r="Y1" s="33" t="s">
        <v>1335</v>
      </c>
      <c r="Z1" s="33" t="s">
        <v>1348</v>
      </c>
      <c r="AA1" s="33" t="s">
        <v>1350</v>
      </c>
      <c r="AB1" s="33" t="s">
        <v>1386</v>
      </c>
      <c r="AC1" s="33" t="s">
        <v>1395</v>
      </c>
      <c r="AD1" s="33" t="s">
        <v>1407</v>
      </c>
      <c r="AE1" s="33" t="s">
        <v>1619</v>
      </c>
      <c r="AF1" s="33" t="s">
        <v>1620</v>
      </c>
      <c r="AG1" s="33" t="s">
        <v>1642</v>
      </c>
      <c r="AH1" s="33" t="s">
        <v>1643</v>
      </c>
      <c r="AI1" s="33" t="s">
        <v>1400</v>
      </c>
      <c r="AJ1" s="33" t="s">
        <v>1401</v>
      </c>
      <c r="AK1" s="33" t="s">
        <v>1402</v>
      </c>
    </row>
    <row r="2" spans="2:37" x14ac:dyDescent="0.25">
      <c r="C2" s="2" t="s">
        <v>17</v>
      </c>
      <c r="D2" s="3" t="s">
        <v>8</v>
      </c>
      <c r="E2" s="3" t="s">
        <v>298</v>
      </c>
      <c r="F2" s="3" t="s">
        <v>299</v>
      </c>
      <c r="G2" s="15" t="s">
        <v>377</v>
      </c>
      <c r="H2" s="14" t="s">
        <v>365</v>
      </c>
      <c r="I2" s="14" t="s">
        <v>368</v>
      </c>
      <c r="J2" s="14" t="s">
        <v>366</v>
      </c>
      <c r="K2" s="14" t="s">
        <v>367</v>
      </c>
      <c r="L2" s="14" t="s">
        <v>530</v>
      </c>
      <c r="M2" s="14" t="s">
        <v>531</v>
      </c>
      <c r="N2" s="14" t="s">
        <v>532</v>
      </c>
      <c r="O2" s="14" t="s">
        <v>533</v>
      </c>
      <c r="P2" s="27" t="s">
        <v>652</v>
      </c>
      <c r="Q2" s="27" t="s">
        <v>663</v>
      </c>
      <c r="R2" s="27" t="s">
        <v>664</v>
      </c>
      <c r="S2" s="27" t="s">
        <v>668</v>
      </c>
      <c r="T2" s="27" t="s">
        <v>672</v>
      </c>
      <c r="U2" s="27" t="s">
        <v>773</v>
      </c>
      <c r="V2" s="27" t="s">
        <v>774</v>
      </c>
      <c r="W2" s="27" t="s">
        <v>786</v>
      </c>
      <c r="X2" s="27" t="s">
        <v>788</v>
      </c>
      <c r="Y2" s="122" t="s">
        <v>1336</v>
      </c>
      <c r="Z2" s="122" t="s">
        <v>1337</v>
      </c>
      <c r="AA2" s="122" t="s">
        <v>1338</v>
      </c>
      <c r="AB2" s="122" t="s">
        <v>1349</v>
      </c>
      <c r="AC2" s="27" t="s">
        <v>1394</v>
      </c>
      <c r="AD2" s="27" t="s">
        <v>1396</v>
      </c>
      <c r="AE2" s="27" t="s">
        <v>1397</v>
      </c>
      <c r="AF2" s="27" t="s">
        <v>1398</v>
      </c>
      <c r="AG2" s="27" t="s">
        <v>1399</v>
      </c>
      <c r="AH2" s="27" t="s">
        <v>1403</v>
      </c>
      <c r="AI2" s="27" t="s">
        <v>1404</v>
      </c>
      <c r="AJ2" s="27" t="s">
        <v>1405</v>
      </c>
      <c r="AK2" s="27" t="s">
        <v>1406</v>
      </c>
    </row>
    <row r="3" spans="2:37" x14ac:dyDescent="0.25">
      <c r="B3" s="2" t="s">
        <v>80</v>
      </c>
      <c r="C3" s="2" t="s">
        <v>79</v>
      </c>
      <c r="D3" s="3">
        <f>+G3*E3</f>
        <v>1</v>
      </c>
      <c r="E3" s="3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1">
        <v>1</v>
      </c>
      <c r="AJ3" s="21">
        <v>1</v>
      </c>
      <c r="AK3" s="21">
        <v>1</v>
      </c>
    </row>
    <row r="4" spans="2:37" x14ac:dyDescent="0.25">
      <c r="B4" s="2" t="s">
        <v>81</v>
      </c>
      <c r="C4" s="2" t="s">
        <v>82</v>
      </c>
      <c r="D4" s="3">
        <f>+G4*E4</f>
        <v>4</v>
      </c>
      <c r="E4" s="3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4</v>
      </c>
      <c r="H4" s="24">
        <v>4</v>
      </c>
      <c r="I4" s="24">
        <v>4</v>
      </c>
      <c r="J4" s="24">
        <v>4</v>
      </c>
      <c r="K4" s="24">
        <v>4</v>
      </c>
      <c r="L4" s="24">
        <v>4</v>
      </c>
      <c r="M4" s="24">
        <v>4</v>
      </c>
      <c r="N4" s="24">
        <v>4</v>
      </c>
      <c r="O4" s="24">
        <v>4</v>
      </c>
      <c r="P4" s="24">
        <v>4</v>
      </c>
      <c r="Q4" s="24">
        <v>4</v>
      </c>
      <c r="R4" s="24">
        <v>4</v>
      </c>
      <c r="S4" s="24">
        <v>4</v>
      </c>
      <c r="T4" s="24">
        <v>4</v>
      </c>
      <c r="U4" s="24">
        <v>4</v>
      </c>
      <c r="V4" s="24">
        <v>4</v>
      </c>
      <c r="W4" s="24">
        <v>4</v>
      </c>
      <c r="X4" s="24">
        <v>4</v>
      </c>
      <c r="Y4" s="24">
        <v>4</v>
      </c>
      <c r="Z4" s="24">
        <v>4</v>
      </c>
      <c r="AA4" s="25">
        <v>5</v>
      </c>
      <c r="AB4" s="24">
        <v>4</v>
      </c>
      <c r="AC4" s="24">
        <v>4</v>
      </c>
      <c r="AD4" s="24">
        <v>4</v>
      </c>
      <c r="AE4" s="24">
        <v>1</v>
      </c>
      <c r="AF4" s="24">
        <v>4</v>
      </c>
      <c r="AG4" s="24">
        <v>1</v>
      </c>
      <c r="AH4" s="24">
        <v>4</v>
      </c>
      <c r="AI4" s="24">
        <v>4</v>
      </c>
      <c r="AJ4" s="24">
        <v>4</v>
      </c>
      <c r="AK4" s="24">
        <v>4</v>
      </c>
    </row>
    <row r="5" spans="2:37" x14ac:dyDescent="0.25">
      <c r="B5" s="2" t="s">
        <v>87</v>
      </c>
      <c r="C5" s="2" t="s">
        <v>93</v>
      </c>
      <c r="D5" s="3">
        <f t="shared" ref="D5:D9" si="0">+G5*E5</f>
        <v>5</v>
      </c>
      <c r="E5" s="3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5</v>
      </c>
      <c r="H5" s="24">
        <v>4</v>
      </c>
      <c r="I5" s="24">
        <v>4</v>
      </c>
      <c r="J5" s="24">
        <v>4</v>
      </c>
      <c r="K5" s="24">
        <v>2</v>
      </c>
      <c r="L5" s="24">
        <v>2</v>
      </c>
      <c r="M5" s="24">
        <v>5</v>
      </c>
      <c r="N5" s="24">
        <v>2</v>
      </c>
      <c r="O5" s="24">
        <v>2</v>
      </c>
      <c r="P5" s="24">
        <v>4</v>
      </c>
      <c r="Q5" s="24">
        <v>4</v>
      </c>
      <c r="R5" s="24">
        <v>4</v>
      </c>
      <c r="S5" s="24">
        <v>4</v>
      </c>
      <c r="T5" s="24">
        <v>4</v>
      </c>
      <c r="U5" s="24">
        <v>2</v>
      </c>
      <c r="V5" s="24">
        <v>6</v>
      </c>
      <c r="W5" s="24">
        <v>2</v>
      </c>
      <c r="X5" s="24">
        <v>2</v>
      </c>
      <c r="Y5" s="24">
        <v>7</v>
      </c>
      <c r="Z5" s="24">
        <v>4</v>
      </c>
      <c r="AA5" s="24">
        <v>1</v>
      </c>
      <c r="AB5" s="24">
        <v>2</v>
      </c>
      <c r="AC5" s="24">
        <v>2</v>
      </c>
      <c r="AD5" s="24">
        <v>2</v>
      </c>
      <c r="AE5" s="24">
        <v>8</v>
      </c>
      <c r="AF5" s="24">
        <v>4</v>
      </c>
      <c r="AG5" s="24">
        <v>4</v>
      </c>
      <c r="AH5" s="24">
        <v>4</v>
      </c>
      <c r="AI5" s="24">
        <v>2</v>
      </c>
      <c r="AJ5" s="24">
        <v>2</v>
      </c>
      <c r="AK5" s="24">
        <v>2</v>
      </c>
    </row>
    <row r="6" spans="2:37" x14ac:dyDescent="0.25">
      <c r="B6" s="2" t="s">
        <v>94</v>
      </c>
      <c r="C6" s="2" t="s">
        <v>95</v>
      </c>
      <c r="D6" s="3">
        <f t="shared" si="0"/>
        <v>1</v>
      </c>
      <c r="E6" s="3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1</v>
      </c>
      <c r="H6" s="24">
        <v>3</v>
      </c>
      <c r="I6" s="24">
        <v>3</v>
      </c>
      <c r="J6" s="24">
        <v>3</v>
      </c>
      <c r="K6" s="24">
        <v>1</v>
      </c>
      <c r="L6" s="24">
        <v>3</v>
      </c>
      <c r="M6" s="24">
        <v>1</v>
      </c>
      <c r="N6" s="24">
        <v>3</v>
      </c>
      <c r="O6" s="24">
        <v>3</v>
      </c>
      <c r="P6" s="24">
        <v>3</v>
      </c>
      <c r="Q6" s="24">
        <v>3</v>
      </c>
      <c r="R6" s="24">
        <v>3</v>
      </c>
      <c r="S6" s="24">
        <v>3</v>
      </c>
      <c r="T6" s="24">
        <v>3</v>
      </c>
      <c r="U6" s="24">
        <v>1</v>
      </c>
      <c r="V6" s="24">
        <v>3</v>
      </c>
      <c r="W6" s="24">
        <v>1</v>
      </c>
      <c r="X6" s="24">
        <v>1</v>
      </c>
      <c r="Y6" s="24">
        <v>1</v>
      </c>
      <c r="Z6" s="24">
        <v>1</v>
      </c>
      <c r="AA6" s="24">
        <v>1</v>
      </c>
      <c r="AB6" s="24">
        <v>1</v>
      </c>
      <c r="AC6" s="24">
        <v>1</v>
      </c>
      <c r="AD6" s="24">
        <v>1</v>
      </c>
      <c r="AE6" s="24">
        <v>3</v>
      </c>
      <c r="AF6" s="24">
        <v>3</v>
      </c>
      <c r="AG6" s="24">
        <v>3</v>
      </c>
      <c r="AH6" s="24">
        <v>3</v>
      </c>
      <c r="AI6" s="24">
        <v>1</v>
      </c>
      <c r="AJ6" s="24">
        <v>1</v>
      </c>
      <c r="AK6" s="24">
        <v>1</v>
      </c>
    </row>
    <row r="7" spans="2:37" x14ac:dyDescent="0.25">
      <c r="B7" s="2" t="s">
        <v>96</v>
      </c>
      <c r="C7" s="2" t="s">
        <v>97</v>
      </c>
      <c r="D7" s="3">
        <f t="shared" si="0"/>
        <v>2</v>
      </c>
      <c r="E7" s="3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2</v>
      </c>
      <c r="H7" s="24">
        <v>2</v>
      </c>
      <c r="I7" s="24">
        <v>2</v>
      </c>
      <c r="J7" s="24">
        <v>2</v>
      </c>
      <c r="K7" s="24">
        <v>2</v>
      </c>
      <c r="L7" s="24">
        <v>2</v>
      </c>
      <c r="M7" s="24">
        <v>2</v>
      </c>
      <c r="N7" s="24">
        <v>2</v>
      </c>
      <c r="O7" s="24">
        <v>2</v>
      </c>
      <c r="P7" s="24">
        <v>2</v>
      </c>
      <c r="Q7" s="24">
        <v>2</v>
      </c>
      <c r="R7" s="24">
        <v>2</v>
      </c>
      <c r="S7" s="24">
        <v>2</v>
      </c>
      <c r="T7" s="24">
        <v>2</v>
      </c>
      <c r="U7" s="24">
        <v>2</v>
      </c>
      <c r="V7" s="24">
        <v>2</v>
      </c>
      <c r="W7" s="24">
        <v>2</v>
      </c>
      <c r="X7" s="24">
        <v>2</v>
      </c>
      <c r="Y7" s="24">
        <v>2</v>
      </c>
      <c r="Z7" s="24">
        <v>2</v>
      </c>
      <c r="AA7" s="24">
        <v>2</v>
      </c>
      <c r="AB7" s="24">
        <v>2</v>
      </c>
      <c r="AC7" s="24">
        <v>2</v>
      </c>
      <c r="AD7" s="24">
        <v>2</v>
      </c>
      <c r="AE7" s="24">
        <v>2</v>
      </c>
      <c r="AF7" s="24">
        <v>2</v>
      </c>
      <c r="AG7" s="24">
        <v>2</v>
      </c>
      <c r="AH7" s="24">
        <v>2</v>
      </c>
      <c r="AI7" s="24">
        <v>2</v>
      </c>
      <c r="AJ7" s="24">
        <v>2</v>
      </c>
      <c r="AK7" s="24">
        <v>2</v>
      </c>
    </row>
    <row r="8" spans="2:37" x14ac:dyDescent="0.25">
      <c r="B8" s="2" t="s">
        <v>524</v>
      </c>
      <c r="C8" s="2" t="s">
        <v>525</v>
      </c>
      <c r="D8" s="47">
        <v>6</v>
      </c>
      <c r="E8" s="1"/>
      <c r="F8" s="1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2:37" x14ac:dyDescent="0.25">
      <c r="B9" s="2" t="s">
        <v>921</v>
      </c>
      <c r="C9" s="2" t="s">
        <v>922</v>
      </c>
      <c r="D9" s="3">
        <f t="shared" si="0"/>
        <v>0</v>
      </c>
      <c r="E9" s="3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</v>
      </c>
      <c r="H9" s="24">
        <v>0</v>
      </c>
      <c r="I9" s="24">
        <v>0</v>
      </c>
      <c r="J9" s="24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1</v>
      </c>
      <c r="X9" s="24">
        <v>1</v>
      </c>
      <c r="Y9" s="24">
        <v>0</v>
      </c>
      <c r="Z9" s="24">
        <v>0</v>
      </c>
      <c r="AA9" s="24">
        <v>1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</row>
    <row r="11" spans="2:37" x14ac:dyDescent="0.25">
      <c r="B11" s="187" t="s">
        <v>2</v>
      </c>
      <c r="C11" s="187"/>
    </row>
    <row r="12" spans="2:37" x14ac:dyDescent="0.25">
      <c r="B12" s="16" t="str">
        <f>+B3</f>
        <v>Scaling Factor</v>
      </c>
      <c r="C12" s="9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2:37" x14ac:dyDescent="0.25">
      <c r="B13" s="4">
        <v>0</v>
      </c>
      <c r="C13" s="8" t="s">
        <v>25</v>
      </c>
    </row>
    <row r="14" spans="2:37" x14ac:dyDescent="0.25">
      <c r="B14" s="4">
        <v>1</v>
      </c>
      <c r="C14" s="8" t="s">
        <v>26</v>
      </c>
    </row>
    <row r="15" spans="2:37" x14ac:dyDescent="0.25">
      <c r="B15" s="16" t="str">
        <f>+B4</f>
        <v>Weight Estimation</v>
      </c>
      <c r="C15" s="9" t="s">
        <v>9</v>
      </c>
    </row>
    <row r="16" spans="2:37" x14ac:dyDescent="0.25">
      <c r="B16" s="3">
        <v>1</v>
      </c>
      <c r="C16" s="8" t="s">
        <v>83</v>
      </c>
    </row>
    <row r="17" spans="2:3" x14ac:dyDescent="0.25">
      <c r="B17" s="3">
        <v>2</v>
      </c>
      <c r="C17" s="8" t="s">
        <v>84</v>
      </c>
    </row>
    <row r="18" spans="2:3" x14ac:dyDescent="0.25">
      <c r="B18" s="3">
        <v>3</v>
      </c>
      <c r="C18" s="8" t="s">
        <v>85</v>
      </c>
    </row>
    <row r="19" spans="2:3" x14ac:dyDescent="0.25">
      <c r="B19" s="3">
        <v>4</v>
      </c>
      <c r="C19" s="8" t="s">
        <v>86</v>
      </c>
    </row>
    <row r="20" spans="2:3" x14ac:dyDescent="0.25">
      <c r="B20" s="3">
        <v>5</v>
      </c>
      <c r="C20" s="8" t="s">
        <v>1641</v>
      </c>
    </row>
    <row r="21" spans="2:3" x14ac:dyDescent="0.25">
      <c r="B21" s="16" t="str">
        <f>+B5</f>
        <v>Aircaft Type</v>
      </c>
      <c r="C21" s="9" t="s">
        <v>9</v>
      </c>
    </row>
    <row r="22" spans="2:3" x14ac:dyDescent="0.25">
      <c r="B22" s="3">
        <v>1</v>
      </c>
      <c r="C22" s="8" t="s">
        <v>88</v>
      </c>
    </row>
    <row r="23" spans="2:3" x14ac:dyDescent="0.25">
      <c r="B23" s="3">
        <v>2</v>
      </c>
      <c r="C23" s="8" t="s">
        <v>89</v>
      </c>
    </row>
    <row r="24" spans="2:3" x14ac:dyDescent="0.25">
      <c r="B24" s="3">
        <v>3</v>
      </c>
      <c r="C24" s="8" t="s">
        <v>90</v>
      </c>
    </row>
    <row r="25" spans="2:3" x14ac:dyDescent="0.25">
      <c r="B25" s="3">
        <v>4</v>
      </c>
      <c r="C25" s="8" t="s">
        <v>91</v>
      </c>
    </row>
    <row r="26" spans="2:3" x14ac:dyDescent="0.25">
      <c r="B26" s="3">
        <v>5</v>
      </c>
      <c r="C26" s="8" t="s">
        <v>92</v>
      </c>
    </row>
    <row r="27" spans="2:3" x14ac:dyDescent="0.25">
      <c r="B27" s="3">
        <v>6</v>
      </c>
      <c r="C27" s="8" t="s">
        <v>1339</v>
      </c>
    </row>
    <row r="28" spans="2:3" x14ac:dyDescent="0.25">
      <c r="B28" s="3">
        <v>7</v>
      </c>
      <c r="C28" s="8" t="s">
        <v>1341</v>
      </c>
    </row>
    <row r="29" spans="2:3" x14ac:dyDescent="0.25">
      <c r="B29" s="3">
        <v>8</v>
      </c>
      <c r="C29" s="8" t="s">
        <v>1522</v>
      </c>
    </row>
    <row r="30" spans="2:3" x14ac:dyDescent="0.25">
      <c r="B30" s="16" t="str">
        <f>+B6</f>
        <v>Determines the fuselage than will be shown</v>
      </c>
      <c r="C30" s="9" t="s">
        <v>9</v>
      </c>
    </row>
    <row r="31" spans="2:3" x14ac:dyDescent="0.25">
      <c r="B31" s="3">
        <v>1</v>
      </c>
      <c r="C31" s="8" t="s">
        <v>131</v>
      </c>
    </row>
    <row r="32" spans="2:3" x14ac:dyDescent="0.25">
      <c r="B32" s="3">
        <v>2</v>
      </c>
      <c r="C32" s="8" t="s">
        <v>132</v>
      </c>
    </row>
    <row r="33" spans="2:3" x14ac:dyDescent="0.25">
      <c r="B33" s="3">
        <v>3</v>
      </c>
      <c r="C33" s="8" t="s">
        <v>133</v>
      </c>
    </row>
    <row r="34" spans="2:3" x14ac:dyDescent="0.25">
      <c r="B34" s="2" t="str">
        <f>+B7</f>
        <v>Determine the type of scaling</v>
      </c>
      <c r="C34" s="8" t="s">
        <v>9</v>
      </c>
    </row>
    <row r="35" spans="2:3" x14ac:dyDescent="0.25">
      <c r="B35" s="4">
        <v>0</v>
      </c>
      <c r="C35" s="8" t="s">
        <v>134</v>
      </c>
    </row>
    <row r="36" spans="2:3" x14ac:dyDescent="0.25">
      <c r="B36" s="4">
        <v>1</v>
      </c>
      <c r="C36" s="8" t="s">
        <v>135</v>
      </c>
    </row>
    <row r="37" spans="2:3" x14ac:dyDescent="0.25">
      <c r="B37" s="3">
        <v>2</v>
      </c>
      <c r="C37" s="8" t="s">
        <v>841</v>
      </c>
    </row>
    <row r="38" spans="2:3" x14ac:dyDescent="0.25">
      <c r="B38" s="17" t="str">
        <f>+B8</f>
        <v>Aircraft Model Analized</v>
      </c>
      <c r="C38" s="9" t="s">
        <v>9</v>
      </c>
    </row>
    <row r="39" spans="2:3" x14ac:dyDescent="0.25">
      <c r="B39" s="3">
        <v>1</v>
      </c>
      <c r="C39" s="3" t="s">
        <v>75</v>
      </c>
    </row>
    <row r="40" spans="2:3" x14ac:dyDescent="0.25">
      <c r="B40" s="3">
        <v>2</v>
      </c>
      <c r="C40" s="3" t="s">
        <v>666</v>
      </c>
    </row>
    <row r="41" spans="2:3" x14ac:dyDescent="0.25">
      <c r="B41" s="3">
        <v>3</v>
      </c>
      <c r="C41" s="3" t="s">
        <v>78</v>
      </c>
    </row>
    <row r="42" spans="2:3" x14ac:dyDescent="0.25">
      <c r="B42" s="3">
        <v>4</v>
      </c>
      <c r="C42" s="3" t="s">
        <v>1261</v>
      </c>
    </row>
    <row r="43" spans="2:3" x14ac:dyDescent="0.25">
      <c r="B43" s="3">
        <v>5</v>
      </c>
      <c r="C43" s="3" t="s">
        <v>77</v>
      </c>
    </row>
    <row r="44" spans="2:3" x14ac:dyDescent="0.25">
      <c r="B44" s="3">
        <v>6</v>
      </c>
      <c r="C44" s="3" t="s">
        <v>1246</v>
      </c>
    </row>
    <row r="45" spans="2:3" x14ac:dyDescent="0.25">
      <c r="B45" s="3">
        <v>7</v>
      </c>
      <c r="C45" s="3" t="s">
        <v>521</v>
      </c>
    </row>
    <row r="46" spans="2:3" x14ac:dyDescent="0.25">
      <c r="B46" s="3">
        <v>8</v>
      </c>
      <c r="C46" s="3" t="s">
        <v>522</v>
      </c>
    </row>
    <row r="47" spans="2:3" x14ac:dyDescent="0.25">
      <c r="B47" s="3">
        <v>9</v>
      </c>
      <c r="C47" s="3" t="s">
        <v>669</v>
      </c>
    </row>
    <row r="48" spans="2:3" x14ac:dyDescent="0.25">
      <c r="B48" s="3">
        <v>10</v>
      </c>
      <c r="C48" s="3" t="s">
        <v>670</v>
      </c>
    </row>
    <row r="49" spans="2:6" x14ac:dyDescent="0.25">
      <c r="B49" s="3">
        <v>11</v>
      </c>
      <c r="C49" s="3" t="s">
        <v>671</v>
      </c>
    </row>
    <row r="50" spans="2:6" x14ac:dyDescent="0.25">
      <c r="B50" s="3">
        <v>12</v>
      </c>
      <c r="C50" s="3" t="s">
        <v>842</v>
      </c>
    </row>
    <row r="51" spans="2:6" x14ac:dyDescent="0.25">
      <c r="B51" s="3">
        <v>13</v>
      </c>
      <c r="C51" s="3" t="s">
        <v>843</v>
      </c>
    </row>
    <row r="52" spans="2:6" x14ac:dyDescent="0.25">
      <c r="B52" s="3">
        <v>14</v>
      </c>
      <c r="C52" s="3" t="s">
        <v>847</v>
      </c>
    </row>
    <row r="53" spans="2:6" x14ac:dyDescent="0.25">
      <c r="B53" s="3">
        <v>15</v>
      </c>
      <c r="C53" s="3" t="s">
        <v>844</v>
      </c>
    </row>
    <row r="54" spans="2:6" x14ac:dyDescent="0.25">
      <c r="B54" s="3">
        <v>16</v>
      </c>
      <c r="C54" s="3" t="s">
        <v>1180</v>
      </c>
    </row>
    <row r="55" spans="2:6" x14ac:dyDescent="0.25">
      <c r="B55" s="3">
        <v>17</v>
      </c>
      <c r="C55" s="3" t="s">
        <v>1179</v>
      </c>
    </row>
    <row r="56" spans="2:6" x14ac:dyDescent="0.25">
      <c r="B56" s="3">
        <v>18</v>
      </c>
      <c r="C56" s="3" t="s">
        <v>1335</v>
      </c>
      <c r="D56" s="31"/>
      <c r="E56" s="31"/>
      <c r="F56" s="31"/>
    </row>
    <row r="57" spans="2:6" x14ac:dyDescent="0.25">
      <c r="B57" s="3">
        <v>19</v>
      </c>
      <c r="C57" s="3" t="s">
        <v>1351</v>
      </c>
    </row>
    <row r="58" spans="2:6" x14ac:dyDescent="0.25">
      <c r="B58" s="3">
        <v>20</v>
      </c>
      <c r="C58" s="3" t="s">
        <v>1352</v>
      </c>
    </row>
    <row r="59" spans="2:6" x14ac:dyDescent="0.25">
      <c r="B59" s="3">
        <v>21</v>
      </c>
      <c r="C59" s="3" t="s">
        <v>1389</v>
      </c>
    </row>
    <row r="60" spans="2:6" x14ac:dyDescent="0.25">
      <c r="B60" s="3">
        <v>22</v>
      </c>
      <c r="C60" s="3" t="s">
        <v>1408</v>
      </c>
    </row>
    <row r="61" spans="2:6" x14ac:dyDescent="0.25">
      <c r="B61" s="3">
        <v>23</v>
      </c>
      <c r="C61" s="3" t="s">
        <v>1409</v>
      </c>
    </row>
    <row r="62" spans="2:6" x14ac:dyDescent="0.25">
      <c r="B62" s="3">
        <v>24</v>
      </c>
      <c r="C62" s="3" t="s">
        <v>1616</v>
      </c>
    </row>
    <row r="63" spans="2:6" x14ac:dyDescent="0.25">
      <c r="B63" s="3">
        <v>25</v>
      </c>
      <c r="C63" s="3" t="s">
        <v>1621</v>
      </c>
    </row>
    <row r="64" spans="2:6" x14ac:dyDescent="0.25">
      <c r="B64" s="3">
        <v>26</v>
      </c>
      <c r="C64" s="3" t="s">
        <v>1647</v>
      </c>
    </row>
    <row r="65" spans="2:3" x14ac:dyDescent="0.25">
      <c r="B65" s="3">
        <v>27</v>
      </c>
      <c r="C65" s="3" t="s">
        <v>1648</v>
      </c>
    </row>
    <row r="66" spans="2:3" x14ac:dyDescent="0.25">
      <c r="B66" s="3">
        <v>28</v>
      </c>
      <c r="C66" s="3" t="s">
        <v>1410</v>
      </c>
    </row>
    <row r="67" spans="2:3" x14ac:dyDescent="0.25">
      <c r="B67" s="3">
        <v>29</v>
      </c>
      <c r="C67" s="3" t="s">
        <v>1411</v>
      </c>
    </row>
    <row r="68" spans="2:3" x14ac:dyDescent="0.25">
      <c r="B68" s="3">
        <v>30</v>
      </c>
      <c r="C68" s="3" t="s">
        <v>1412</v>
      </c>
    </row>
  </sheetData>
  <mergeCells count="1">
    <mergeCell ref="B11:C11"/>
  </mergeCells>
  <phoneticPr fontId="3" type="noConversion"/>
  <dataValidations count="7">
    <dataValidation type="list" allowBlank="1" showInputMessage="1" showErrorMessage="1" sqref="H4:Z4 AB4:AK4" xr:uid="{4DEB26A6-899B-4A18-8643-81A519402BDA}">
      <formula1>$B$16:$B$19</formula1>
    </dataValidation>
    <dataValidation type="list" allowBlank="1" showInputMessage="1" showErrorMessage="1" sqref="W12:AA12 I12:U12" xr:uid="{C848B987-89BB-4FE1-8A61-B6A8234D4FC6}">
      <formula1>$B$22:$B$26</formula1>
    </dataValidation>
    <dataValidation type="list" allowBlank="1" showInputMessage="1" showErrorMessage="1" sqref="H6:AK6" xr:uid="{84CF14B6-70A9-44EB-81B4-3A50A677C408}">
      <formula1>$B$31:$B$33</formula1>
    </dataValidation>
    <dataValidation type="list" allowBlank="1" showInputMessage="1" showErrorMessage="1" sqref="H7:AK7" xr:uid="{10F882F0-FAB7-43EE-971A-194DD00D8F8F}">
      <formula1>$B$35:$B$37</formula1>
    </dataValidation>
    <dataValidation type="list" allowBlank="1" showInputMessage="1" showErrorMessage="1" sqref="V12" xr:uid="{7150C821-1E40-4A57-84E8-1A7E6F9CA400}">
      <formula1>$B$22:$B$27</formula1>
    </dataValidation>
    <dataValidation type="list" allowBlank="1" showInputMessage="1" showErrorMessage="1" sqref="H12 H5:AD5 AH5:AK5" xr:uid="{50BA7F40-649C-4F43-983B-0930960381AA}">
      <formula1>$B$22:$B$28</formula1>
    </dataValidation>
    <dataValidation type="list" allowBlank="1" showInputMessage="1" showErrorMessage="1" sqref="AE5:AG5" xr:uid="{15ECFF29-4BEA-48FA-8F99-5F972CDEE991}">
      <formula1>$B$22:$B$29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6E7-8A87-4259-80D2-840CC3E1F31C}">
  <sheetPr codeName="Sheet4"/>
  <dimension ref="B1:AK136"/>
  <sheetViews>
    <sheetView zoomScale="80" zoomScaleNormal="80" workbookViewId="0">
      <selection activeCell="E16" sqref="E16"/>
    </sheetView>
  </sheetViews>
  <sheetFormatPr baseColWidth="10" defaultColWidth="11.42578125" defaultRowHeight="15" x14ac:dyDescent="0.25"/>
  <cols>
    <col min="1" max="1" width="3" customWidth="1"/>
    <col min="2" max="2" width="71.42578125" bestFit="1" customWidth="1"/>
    <col min="3" max="3" width="21" customWidth="1"/>
    <col min="4" max="4" width="9.28515625" bestFit="1" customWidth="1"/>
    <col min="5" max="5" width="9.28515625" customWidth="1"/>
    <col min="6" max="6" width="6.7109375" style="1" customWidth="1"/>
    <col min="7" max="7" width="12.42578125" bestFit="1" customWidth="1"/>
    <col min="8" max="8" width="9.85546875" style="7" customWidth="1"/>
    <col min="9" max="13" width="9.85546875" customWidth="1"/>
    <col min="14" max="15" width="9.85546875" hidden="1" customWidth="1"/>
    <col min="16" max="16" width="14.7109375" hidden="1" customWidth="1"/>
    <col min="17" max="17" width="11.42578125" hidden="1" customWidth="1"/>
    <col min="18" max="18" width="19.28515625" hidden="1" customWidth="1"/>
    <col min="19" max="26" width="11.42578125" hidden="1" customWidth="1"/>
    <col min="27" max="28" width="11.42578125" customWidth="1"/>
    <col min="31" max="31" width="14.28515625" customWidth="1"/>
  </cols>
  <sheetData>
    <row r="1" spans="2:37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2" t="s">
        <v>17</v>
      </c>
      <c r="D2" s="34" t="s">
        <v>8</v>
      </c>
      <c r="E2" s="3" t="s">
        <v>298</v>
      </c>
      <c r="F2" s="3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98</v>
      </c>
      <c r="C3" s="2" t="s">
        <v>99</v>
      </c>
      <c r="D3" s="34">
        <f>+G3*E3</f>
        <v>4</v>
      </c>
      <c r="E3" s="3">
        <v>1</v>
      </c>
      <c r="F3" s="3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4</v>
      </c>
      <c r="H3" s="24">
        <v>4</v>
      </c>
      <c r="I3" s="24">
        <v>4</v>
      </c>
      <c r="J3" s="24">
        <v>1</v>
      </c>
      <c r="K3" s="24">
        <v>2</v>
      </c>
      <c r="L3" s="24">
        <v>4</v>
      </c>
      <c r="M3" s="24">
        <v>4</v>
      </c>
      <c r="N3" s="24">
        <v>4</v>
      </c>
      <c r="O3" s="24">
        <v>4</v>
      </c>
      <c r="P3" s="24">
        <v>4</v>
      </c>
      <c r="Q3" s="24">
        <v>4</v>
      </c>
      <c r="R3" s="24">
        <v>4</v>
      </c>
      <c r="S3" s="24">
        <v>4</v>
      </c>
      <c r="T3" s="24">
        <v>4</v>
      </c>
      <c r="U3" s="24">
        <v>1</v>
      </c>
      <c r="V3" s="24">
        <v>4</v>
      </c>
      <c r="W3" s="24">
        <v>5</v>
      </c>
      <c r="X3" s="24">
        <v>5</v>
      </c>
      <c r="Y3" s="24">
        <v>5</v>
      </c>
      <c r="Z3" s="24">
        <v>1</v>
      </c>
      <c r="AA3" s="24">
        <v>4</v>
      </c>
      <c r="AB3" s="24">
        <v>4</v>
      </c>
      <c r="AC3" s="24">
        <v>2</v>
      </c>
      <c r="AD3" s="24">
        <v>2</v>
      </c>
      <c r="AE3" s="135">
        <v>1</v>
      </c>
      <c r="AF3" s="24">
        <v>1</v>
      </c>
      <c r="AG3" s="156">
        <v>4</v>
      </c>
      <c r="AH3" s="24">
        <v>1</v>
      </c>
      <c r="AI3" s="24">
        <v>1</v>
      </c>
      <c r="AJ3" s="24">
        <v>1</v>
      </c>
      <c r="AK3" s="24">
        <v>1</v>
      </c>
    </row>
    <row r="4" spans="2:37" x14ac:dyDescent="0.25">
      <c r="B4" s="2" t="s">
        <v>104</v>
      </c>
      <c r="C4" s="2" t="s">
        <v>105</v>
      </c>
      <c r="D4" s="34">
        <f t="shared" ref="D4:D44" si="0">+G4*E4</f>
        <v>1</v>
      </c>
      <c r="E4" s="3">
        <v>1</v>
      </c>
      <c r="F4" s="3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1</v>
      </c>
      <c r="H4" s="24">
        <v>2</v>
      </c>
      <c r="I4" s="24">
        <v>2</v>
      </c>
      <c r="J4" s="24">
        <v>1</v>
      </c>
      <c r="K4" s="24">
        <v>4</v>
      </c>
      <c r="L4" s="24">
        <v>2</v>
      </c>
      <c r="M4" s="24">
        <v>1</v>
      </c>
      <c r="N4" s="24">
        <v>2</v>
      </c>
      <c r="O4" s="24">
        <v>2</v>
      </c>
      <c r="P4" s="24">
        <v>2</v>
      </c>
      <c r="Q4" s="24">
        <v>2</v>
      </c>
      <c r="R4" s="24">
        <v>2</v>
      </c>
      <c r="S4" s="24">
        <v>1</v>
      </c>
      <c r="T4" s="24">
        <v>1</v>
      </c>
      <c r="U4" s="24">
        <v>2</v>
      </c>
      <c r="V4" s="24">
        <v>2</v>
      </c>
      <c r="W4" s="24">
        <v>1</v>
      </c>
      <c r="X4" s="24">
        <v>1</v>
      </c>
      <c r="Y4" s="24">
        <v>1</v>
      </c>
      <c r="Z4" s="24">
        <v>2</v>
      </c>
      <c r="AA4" s="24">
        <v>1</v>
      </c>
      <c r="AB4" s="24">
        <v>1</v>
      </c>
      <c r="AC4" s="24">
        <v>1</v>
      </c>
      <c r="AD4" s="24">
        <v>2</v>
      </c>
      <c r="AE4" s="135">
        <v>1</v>
      </c>
      <c r="AF4" s="24">
        <v>1</v>
      </c>
      <c r="AG4" s="156">
        <v>1</v>
      </c>
      <c r="AH4" s="24">
        <v>1</v>
      </c>
      <c r="AI4" s="24">
        <v>2</v>
      </c>
      <c r="AJ4" s="24">
        <v>2</v>
      </c>
      <c r="AK4" s="24">
        <v>2</v>
      </c>
    </row>
    <row r="5" spans="2:37" x14ac:dyDescent="0.25">
      <c r="B5" s="2" t="s">
        <v>106</v>
      </c>
      <c r="C5" s="2" t="s">
        <v>111</v>
      </c>
      <c r="D5" s="34">
        <f t="shared" si="0"/>
        <v>50</v>
      </c>
      <c r="E5" s="3">
        <v>1</v>
      </c>
      <c r="F5" s="3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50</v>
      </c>
      <c r="H5" s="24">
        <v>10</v>
      </c>
      <c r="I5" s="24">
        <v>50</v>
      </c>
      <c r="J5" s="24">
        <f>25*2.2</f>
        <v>55.000000000000007</v>
      </c>
      <c r="K5" s="39">
        <v>11065</v>
      </c>
      <c r="L5" s="24">
        <v>50</v>
      </c>
      <c r="M5" s="24">
        <v>50</v>
      </c>
      <c r="N5" s="24">
        <v>50</v>
      </c>
      <c r="O5" s="24">
        <v>50</v>
      </c>
      <c r="P5" s="24">
        <v>50</v>
      </c>
      <c r="Q5" s="24">
        <v>12</v>
      </c>
      <c r="R5" s="24">
        <v>12</v>
      </c>
      <c r="S5" s="24">
        <v>12.74</v>
      </c>
      <c r="T5" s="24">
        <v>12</v>
      </c>
      <c r="U5" s="39">
        <v>27000</v>
      </c>
      <c r="V5" s="24">
        <v>12</v>
      </c>
      <c r="W5" s="24">
        <v>13</v>
      </c>
      <c r="X5" s="24">
        <v>13</v>
      </c>
      <c r="Y5" s="24">
        <v>13</v>
      </c>
      <c r="Z5" s="39">
        <v>21.8</v>
      </c>
      <c r="AA5" s="24">
        <v>5</v>
      </c>
      <c r="AB5" s="24">
        <v>2</v>
      </c>
      <c r="AC5" s="39">
        <v>675</v>
      </c>
      <c r="AD5" s="39">
        <v>1050</v>
      </c>
      <c r="AE5" s="136">
        <v>1760</v>
      </c>
      <c r="AF5" s="24">
        <f>25*2.2</f>
        <v>55.000000000000007</v>
      </c>
      <c r="AG5" s="157">
        <v>27000</v>
      </c>
      <c r="AH5" s="39">
        <v>176</v>
      </c>
      <c r="AI5" s="39">
        <v>27000</v>
      </c>
      <c r="AJ5" s="39">
        <v>27000</v>
      </c>
      <c r="AK5" s="39">
        <v>27000</v>
      </c>
    </row>
    <row r="6" spans="2:37" x14ac:dyDescent="0.25">
      <c r="B6" s="2" t="s">
        <v>107</v>
      </c>
      <c r="C6" s="2" t="s">
        <v>112</v>
      </c>
      <c r="D6" s="34">
        <f t="shared" si="0"/>
        <v>0.83</v>
      </c>
      <c r="E6" s="3">
        <v>1</v>
      </c>
      <c r="F6" s="3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0.83</v>
      </c>
      <c r="H6" s="24">
        <v>0.83</v>
      </c>
      <c r="I6" s="24">
        <v>0.83</v>
      </c>
      <c r="J6" s="24">
        <v>1.9</v>
      </c>
      <c r="K6" s="24">
        <v>0.37</v>
      </c>
      <c r="L6" s="24">
        <v>0.83</v>
      </c>
      <c r="M6" s="24">
        <v>0.83</v>
      </c>
      <c r="N6" s="24">
        <v>0.83</v>
      </c>
      <c r="O6" s="24">
        <v>0.83</v>
      </c>
      <c r="P6" s="24">
        <v>0.83</v>
      </c>
      <c r="Q6" s="24">
        <v>0.83</v>
      </c>
      <c r="R6" s="24">
        <v>0.83</v>
      </c>
      <c r="S6" s="24">
        <v>0.83</v>
      </c>
      <c r="T6" s="24">
        <v>0.83</v>
      </c>
      <c r="U6" s="24">
        <v>0.34</v>
      </c>
      <c r="V6" s="24">
        <v>0.83</v>
      </c>
      <c r="W6" s="24">
        <v>0.83</v>
      </c>
      <c r="X6" s="24">
        <v>0.83</v>
      </c>
      <c r="Y6" s="24">
        <v>0.83</v>
      </c>
      <c r="Z6" s="24">
        <v>1.51</v>
      </c>
      <c r="AA6" s="24">
        <v>0.83</v>
      </c>
      <c r="AB6" s="24">
        <v>0.83</v>
      </c>
      <c r="AC6" s="24">
        <v>0.34</v>
      </c>
      <c r="AD6" s="24">
        <v>0.34</v>
      </c>
      <c r="AE6" s="135">
        <v>1.3608</v>
      </c>
      <c r="AF6" s="24">
        <v>1.9</v>
      </c>
      <c r="AG6" s="156">
        <v>0.34</v>
      </c>
      <c r="AH6" s="24">
        <v>1.3608</v>
      </c>
      <c r="AI6" s="24">
        <v>0.34</v>
      </c>
      <c r="AJ6" s="24">
        <v>0.34</v>
      </c>
      <c r="AK6" s="24">
        <v>0.34</v>
      </c>
    </row>
    <row r="7" spans="2:37" x14ac:dyDescent="0.25">
      <c r="B7" s="2" t="s">
        <v>129</v>
      </c>
      <c r="C7" s="2" t="s">
        <v>113</v>
      </c>
      <c r="D7" s="34">
        <f t="shared" si="0"/>
        <v>1</v>
      </c>
      <c r="E7" s="3">
        <v>1</v>
      </c>
      <c r="F7" s="3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</v>
      </c>
      <c r="H7" s="24">
        <v>1</v>
      </c>
      <c r="I7" s="24">
        <v>1</v>
      </c>
      <c r="J7" s="24">
        <v>1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3</v>
      </c>
      <c r="V7" s="24">
        <v>1</v>
      </c>
      <c r="W7" s="24">
        <v>1</v>
      </c>
      <c r="X7" s="24">
        <v>1</v>
      </c>
      <c r="Y7" s="24">
        <v>1</v>
      </c>
      <c r="Z7" s="24">
        <v>1</v>
      </c>
      <c r="AA7" s="24">
        <v>1</v>
      </c>
      <c r="AB7" s="24">
        <v>1</v>
      </c>
      <c r="AC7" s="24">
        <v>3</v>
      </c>
      <c r="AD7" s="24">
        <v>3</v>
      </c>
      <c r="AE7" s="135">
        <v>1</v>
      </c>
      <c r="AF7" s="24">
        <v>1</v>
      </c>
      <c r="AG7" s="156">
        <v>1</v>
      </c>
      <c r="AH7" s="24">
        <v>1</v>
      </c>
      <c r="AI7" s="24">
        <v>3</v>
      </c>
      <c r="AJ7" s="24">
        <v>3</v>
      </c>
      <c r="AK7" s="24">
        <v>3</v>
      </c>
    </row>
    <row r="8" spans="2:37" x14ac:dyDescent="0.25">
      <c r="B8" s="2" t="s">
        <v>108</v>
      </c>
      <c r="C8" s="2" t="s">
        <v>114</v>
      </c>
      <c r="D8" s="34">
        <f t="shared" si="0"/>
        <v>0.8</v>
      </c>
      <c r="E8" s="3">
        <v>1</v>
      </c>
      <c r="F8" s="3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0.8</v>
      </c>
      <c r="H8" s="24">
        <v>0.8</v>
      </c>
      <c r="I8" s="24">
        <v>0.8</v>
      </c>
      <c r="J8" s="24">
        <v>0.8</v>
      </c>
      <c r="K8" s="24">
        <v>0.8</v>
      </c>
      <c r="L8" s="24">
        <v>0.8</v>
      </c>
      <c r="M8" s="24">
        <v>0.8</v>
      </c>
      <c r="N8" s="24">
        <v>0.8</v>
      </c>
      <c r="O8" s="24">
        <v>0.8</v>
      </c>
      <c r="P8" s="24">
        <v>0.8</v>
      </c>
      <c r="Q8" s="24">
        <v>0.8</v>
      </c>
      <c r="R8" s="24">
        <v>0.8</v>
      </c>
      <c r="S8" s="24">
        <v>0.77</v>
      </c>
      <c r="T8" s="24">
        <v>0.77</v>
      </c>
      <c r="U8" s="24">
        <v>0.8</v>
      </c>
      <c r="V8" s="24">
        <v>0.8</v>
      </c>
      <c r="W8" s="24">
        <v>0.8</v>
      </c>
      <c r="X8" s="24">
        <v>0.8</v>
      </c>
      <c r="Y8" s="24">
        <v>0.8</v>
      </c>
      <c r="Z8" s="24">
        <v>0.8</v>
      </c>
      <c r="AA8" s="24">
        <v>0.8</v>
      </c>
      <c r="AB8" s="24">
        <v>0.8</v>
      </c>
      <c r="AC8" s="24">
        <v>0.8</v>
      </c>
      <c r="AD8" s="24">
        <v>0.8</v>
      </c>
      <c r="AE8" s="135">
        <v>0.8</v>
      </c>
      <c r="AF8" s="24">
        <v>0.8</v>
      </c>
      <c r="AG8" s="156">
        <v>0.8</v>
      </c>
      <c r="AH8" s="24">
        <v>0.8</v>
      </c>
      <c r="AI8" s="24">
        <v>0.8</v>
      </c>
      <c r="AJ8" s="24">
        <v>0.8</v>
      </c>
      <c r="AK8" s="24">
        <v>0.8</v>
      </c>
    </row>
    <row r="9" spans="2:37" x14ac:dyDescent="0.25">
      <c r="B9" s="2" t="s">
        <v>130</v>
      </c>
      <c r="C9" s="2" t="s">
        <v>115</v>
      </c>
      <c r="D9" s="34">
        <f t="shared" si="0"/>
        <v>1</v>
      </c>
      <c r="E9" s="3">
        <v>1</v>
      </c>
      <c r="F9" s="3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24">
        <v>1</v>
      </c>
      <c r="AA9" s="24">
        <v>1</v>
      </c>
      <c r="AB9" s="24">
        <v>1</v>
      </c>
      <c r="AC9" s="24">
        <v>1</v>
      </c>
      <c r="AD9" s="24">
        <v>1</v>
      </c>
      <c r="AE9" s="135">
        <v>1</v>
      </c>
      <c r="AF9" s="24">
        <v>1</v>
      </c>
      <c r="AG9" s="156">
        <v>1</v>
      </c>
      <c r="AH9" s="24">
        <v>1</v>
      </c>
      <c r="AI9" s="24">
        <v>1</v>
      </c>
      <c r="AJ9" s="24">
        <v>1</v>
      </c>
      <c r="AK9" s="24">
        <v>1</v>
      </c>
    </row>
    <row r="10" spans="2:37" x14ac:dyDescent="0.25">
      <c r="B10" s="2" t="s">
        <v>109</v>
      </c>
      <c r="C10" s="2" t="s">
        <v>116</v>
      </c>
      <c r="D10" s="34">
        <f t="shared" si="0"/>
        <v>0</v>
      </c>
      <c r="E10" s="3">
        <v>1</v>
      </c>
      <c r="F10" s="3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135">
        <v>0</v>
      </c>
      <c r="AF10" s="24">
        <v>0</v>
      </c>
      <c r="AG10" s="156">
        <v>0</v>
      </c>
      <c r="AH10" s="24">
        <v>0</v>
      </c>
      <c r="AI10" s="24">
        <v>0</v>
      </c>
      <c r="AJ10" s="24">
        <v>0</v>
      </c>
      <c r="AK10" s="24">
        <v>0</v>
      </c>
    </row>
    <row r="11" spans="2:37" x14ac:dyDescent="0.25">
      <c r="B11" s="2" t="s">
        <v>110</v>
      </c>
      <c r="C11" s="2" t="s">
        <v>117</v>
      </c>
      <c r="D11" s="34">
        <f t="shared" si="0"/>
        <v>7.0000000000000007E-2</v>
      </c>
      <c r="E11" s="3">
        <v>1</v>
      </c>
      <c r="F11" s="3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7.0000000000000007E-2</v>
      </c>
      <c r="H11" s="24">
        <v>7.0000000000000007E-2</v>
      </c>
      <c r="I11" s="24">
        <v>7.0000000000000007E-2</v>
      </c>
      <c r="J11" s="24">
        <v>7.0000000000000007E-2</v>
      </c>
      <c r="K11" s="24">
        <v>1.218</v>
      </c>
      <c r="L11" s="24">
        <v>7.0000000000000007E-2</v>
      </c>
      <c r="M11" s="24">
        <v>7.0000000000000007E-2</v>
      </c>
      <c r="N11" s="24">
        <v>7.0000000000000007E-2</v>
      </c>
      <c r="O11" s="24">
        <v>7.0000000000000007E-2</v>
      </c>
      <c r="P11" s="24">
        <v>7.0000000000000007E-2</v>
      </c>
      <c r="Q11" s="24">
        <v>7.0000000000000007E-2</v>
      </c>
      <c r="R11" s="24">
        <v>7.0000000000000007E-2</v>
      </c>
      <c r="S11" s="24">
        <v>0.105</v>
      </c>
      <c r="T11" s="24">
        <v>0.105</v>
      </c>
      <c r="U11" s="24">
        <v>7.0000000000000007E-2</v>
      </c>
      <c r="V11" s="24">
        <v>7.0000000000000007E-2</v>
      </c>
      <c r="W11" s="24">
        <v>7.0000000000000007E-2</v>
      </c>
      <c r="X11" s="24">
        <v>7.0000000000000007E-2</v>
      </c>
      <c r="Y11" s="24">
        <v>7.0000000000000007E-2</v>
      </c>
      <c r="Z11" s="24">
        <v>7.0000000000000007E-2</v>
      </c>
      <c r="AA11" s="24">
        <v>7.0000000000000007E-2</v>
      </c>
      <c r="AB11" s="24">
        <v>7.0000000000000007E-2</v>
      </c>
      <c r="AC11" s="24">
        <v>7.0000000000000007E-2</v>
      </c>
      <c r="AD11" s="24">
        <v>7.0000000000000007E-2</v>
      </c>
      <c r="AE11" s="135">
        <v>7.0000000000000007E-2</v>
      </c>
      <c r="AF11" s="24">
        <v>7.0000000000000007E-2</v>
      </c>
      <c r="AG11" s="156">
        <v>7.0000000000000007E-2</v>
      </c>
      <c r="AH11" s="24">
        <v>7.0000000000000007E-2</v>
      </c>
      <c r="AI11" s="24">
        <v>7.0000000000000007E-2</v>
      </c>
      <c r="AJ11" s="24">
        <v>7.0000000000000007E-2</v>
      </c>
      <c r="AK11" s="24">
        <v>7.0000000000000007E-2</v>
      </c>
    </row>
    <row r="12" spans="2:37" x14ac:dyDescent="0.25">
      <c r="B12" s="2" t="s">
        <v>123</v>
      </c>
      <c r="C12" s="2" t="s">
        <v>124</v>
      </c>
      <c r="D12" s="34">
        <f t="shared" si="0"/>
        <v>1</v>
      </c>
      <c r="E12" s="3">
        <v>1</v>
      </c>
      <c r="F12" s="3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4">
        <v>1</v>
      </c>
      <c r="R12" s="24">
        <v>1</v>
      </c>
      <c r="S12" s="24">
        <v>2</v>
      </c>
      <c r="T12" s="24">
        <v>3</v>
      </c>
      <c r="U12" s="24">
        <v>1</v>
      </c>
      <c r="V12" s="24">
        <v>1</v>
      </c>
      <c r="W12" s="24">
        <v>1</v>
      </c>
      <c r="X12" s="24">
        <v>1</v>
      </c>
      <c r="Y12" s="24">
        <v>1</v>
      </c>
      <c r="Z12" s="24">
        <v>1</v>
      </c>
      <c r="AA12" s="24">
        <v>2</v>
      </c>
      <c r="AB12" s="24">
        <v>2</v>
      </c>
      <c r="AC12" s="24">
        <v>1</v>
      </c>
      <c r="AD12" s="24">
        <v>1</v>
      </c>
      <c r="AE12" s="135">
        <v>1</v>
      </c>
      <c r="AF12" s="24">
        <v>1</v>
      </c>
      <c r="AG12" s="156">
        <v>1</v>
      </c>
      <c r="AH12" s="24">
        <v>1</v>
      </c>
      <c r="AI12" s="24">
        <v>1</v>
      </c>
      <c r="AJ12" s="24">
        <v>1</v>
      </c>
      <c r="AK12" s="24">
        <v>1</v>
      </c>
    </row>
    <row r="13" spans="2:37" x14ac:dyDescent="0.25">
      <c r="B13" s="2" t="s">
        <v>174</v>
      </c>
      <c r="C13" s="2" t="s">
        <v>175</v>
      </c>
      <c r="D13" s="34">
        <f t="shared" si="0"/>
        <v>3</v>
      </c>
      <c r="E13" s="3">
        <v>1</v>
      </c>
      <c r="F13" s="3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3</v>
      </c>
      <c r="H13" s="24">
        <v>4</v>
      </c>
      <c r="I13" s="24">
        <v>4</v>
      </c>
      <c r="J13" s="24">
        <v>3</v>
      </c>
      <c r="K13" s="24">
        <v>1</v>
      </c>
      <c r="L13" s="24">
        <v>4</v>
      </c>
      <c r="M13" s="24">
        <v>3</v>
      </c>
      <c r="N13" s="24">
        <v>4</v>
      </c>
      <c r="O13" s="24">
        <v>4</v>
      </c>
      <c r="P13" s="24">
        <v>4</v>
      </c>
      <c r="Q13" s="24">
        <v>4</v>
      </c>
      <c r="R13" s="24">
        <v>4</v>
      </c>
      <c r="S13" s="24">
        <v>4</v>
      </c>
      <c r="T13" s="24">
        <v>4</v>
      </c>
      <c r="U13" s="24">
        <v>1</v>
      </c>
      <c r="V13" s="24">
        <v>5</v>
      </c>
      <c r="W13" s="24">
        <v>3</v>
      </c>
      <c r="X13" s="24">
        <v>3</v>
      </c>
      <c r="Y13" s="24">
        <v>3</v>
      </c>
      <c r="Z13" s="24">
        <v>3</v>
      </c>
      <c r="AA13" s="24">
        <v>3</v>
      </c>
      <c r="AB13" s="24">
        <v>2</v>
      </c>
      <c r="AC13" s="24">
        <v>2</v>
      </c>
      <c r="AD13" s="24">
        <v>1</v>
      </c>
      <c r="AE13" s="135">
        <v>3</v>
      </c>
      <c r="AF13" s="24">
        <v>3</v>
      </c>
      <c r="AG13" s="156">
        <v>3</v>
      </c>
      <c r="AH13" s="24">
        <v>3</v>
      </c>
      <c r="AI13" s="24">
        <v>1</v>
      </c>
      <c r="AJ13" s="24">
        <v>1</v>
      </c>
      <c r="AK13" s="24">
        <v>1</v>
      </c>
    </row>
    <row r="14" spans="2:37" x14ac:dyDescent="0.25">
      <c r="B14" s="2" t="s">
        <v>179</v>
      </c>
      <c r="C14" s="2" t="s">
        <v>180</v>
      </c>
      <c r="D14" s="34">
        <f t="shared" si="0"/>
        <v>3</v>
      </c>
      <c r="E14" s="3">
        <v>1</v>
      </c>
      <c r="F14" s="3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3</v>
      </c>
      <c r="H14" s="24">
        <v>2</v>
      </c>
      <c r="I14" s="24">
        <v>2</v>
      </c>
      <c r="J14" s="24">
        <v>3</v>
      </c>
      <c r="K14" s="24">
        <v>2</v>
      </c>
      <c r="L14" s="24">
        <v>2</v>
      </c>
      <c r="M14" s="24">
        <v>3</v>
      </c>
      <c r="N14" s="24">
        <v>2</v>
      </c>
      <c r="O14" s="24">
        <v>2</v>
      </c>
      <c r="P14" s="24">
        <v>2</v>
      </c>
      <c r="Q14" s="24">
        <v>2</v>
      </c>
      <c r="R14" s="24">
        <v>2</v>
      </c>
      <c r="S14" s="24">
        <v>2</v>
      </c>
      <c r="T14" s="24">
        <v>2</v>
      </c>
      <c r="U14" s="24">
        <v>3</v>
      </c>
      <c r="V14" s="24">
        <v>2</v>
      </c>
      <c r="W14" s="24">
        <v>1</v>
      </c>
      <c r="X14" s="24">
        <v>1</v>
      </c>
      <c r="Y14" s="24">
        <v>1</v>
      </c>
      <c r="Z14" s="24">
        <v>3</v>
      </c>
      <c r="AA14" s="24">
        <v>1</v>
      </c>
      <c r="AB14" s="24">
        <v>2</v>
      </c>
      <c r="AC14" s="24">
        <v>2</v>
      </c>
      <c r="AD14" s="24">
        <v>2</v>
      </c>
      <c r="AE14" s="135">
        <v>3</v>
      </c>
      <c r="AF14" s="24">
        <v>3</v>
      </c>
      <c r="AG14" s="156">
        <v>1</v>
      </c>
      <c r="AH14" s="24">
        <v>3</v>
      </c>
      <c r="AI14" s="24">
        <v>3</v>
      </c>
      <c r="AJ14" s="24">
        <v>3</v>
      </c>
      <c r="AK14" s="24">
        <v>3</v>
      </c>
    </row>
    <row r="15" spans="2:37" x14ac:dyDescent="0.25">
      <c r="B15" s="2" t="s">
        <v>231</v>
      </c>
      <c r="C15" s="2" t="s">
        <v>230</v>
      </c>
      <c r="D15" s="34">
        <f t="shared" si="0"/>
        <v>0.38100000000000001</v>
      </c>
      <c r="E15" s="3">
        <f>2.54/100</f>
        <v>2.5399999999999999E-2</v>
      </c>
      <c r="F15" s="3" t="s">
        <v>300</v>
      </c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15</v>
      </c>
      <c r="H15" s="24">
        <v>28</v>
      </c>
      <c r="I15" s="24">
        <v>28</v>
      </c>
      <c r="J15" s="24">
        <v>28</v>
      </c>
      <c r="K15" s="24">
        <v>210</v>
      </c>
      <c r="L15" s="24">
        <v>28</v>
      </c>
      <c r="M15" s="24">
        <v>15</v>
      </c>
      <c r="N15" s="24">
        <v>28</v>
      </c>
      <c r="O15" s="24">
        <v>28</v>
      </c>
      <c r="P15" s="24">
        <v>28</v>
      </c>
      <c r="Q15" s="24">
        <v>28</v>
      </c>
      <c r="R15" s="24">
        <v>32</v>
      </c>
      <c r="S15" s="24">
        <v>28</v>
      </c>
      <c r="T15" s="24">
        <v>28</v>
      </c>
      <c r="U15" s="24">
        <v>28</v>
      </c>
      <c r="V15" s="24">
        <v>32</v>
      </c>
      <c r="W15" s="24">
        <v>36</v>
      </c>
      <c r="X15" s="24">
        <v>36</v>
      </c>
      <c r="Y15" s="24">
        <v>36</v>
      </c>
      <c r="Z15" s="24">
        <v>28</v>
      </c>
      <c r="AA15" s="24">
        <v>20</v>
      </c>
      <c r="AB15" s="24">
        <v>13</v>
      </c>
      <c r="AC15" s="24">
        <v>106</v>
      </c>
      <c r="AD15" s="24">
        <v>103</v>
      </c>
      <c r="AE15" s="135">
        <v>103</v>
      </c>
      <c r="AF15" s="24">
        <v>28</v>
      </c>
      <c r="AG15" s="156">
        <v>22</v>
      </c>
      <c r="AH15" s="24">
        <v>28</v>
      </c>
      <c r="AI15" s="24">
        <v>28</v>
      </c>
      <c r="AJ15" s="24">
        <v>28</v>
      </c>
      <c r="AK15" s="24">
        <v>28</v>
      </c>
    </row>
    <row r="16" spans="2:37" x14ac:dyDescent="0.25">
      <c r="B16" s="2" t="s">
        <v>1467</v>
      </c>
      <c r="C16" s="2" t="s">
        <v>1468</v>
      </c>
      <c r="D16" s="34">
        <f t="shared" ref="D16:D17" si="1">+G16*E16</f>
        <v>0</v>
      </c>
      <c r="E16" s="3">
        <v>1</v>
      </c>
      <c r="F16" s="3"/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24"/>
      <c r="I16" s="24"/>
      <c r="J16" s="24"/>
      <c r="K16" s="24"/>
      <c r="L16" s="24"/>
      <c r="M16" s="24"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>
        <v>0</v>
      </c>
      <c r="AB16" s="24"/>
      <c r="AC16" s="24">
        <v>500</v>
      </c>
      <c r="AD16" s="24">
        <v>500</v>
      </c>
      <c r="AE16" s="135"/>
      <c r="AF16" s="24"/>
      <c r="AG16" s="156"/>
      <c r="AH16" s="24"/>
      <c r="AI16" s="24"/>
      <c r="AJ16" s="24"/>
      <c r="AK16" s="24"/>
    </row>
    <row r="17" spans="2:37" x14ac:dyDescent="0.25">
      <c r="B17" s="2" t="s">
        <v>1469</v>
      </c>
      <c r="C17" s="2" t="s">
        <v>1468</v>
      </c>
      <c r="D17" s="34">
        <f t="shared" si="1"/>
        <v>0</v>
      </c>
      <c r="E17" s="3">
        <v>1</v>
      </c>
      <c r="F17" s="3"/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24"/>
      <c r="I17" s="24"/>
      <c r="J17" s="24"/>
      <c r="K17" s="24"/>
      <c r="L17" s="24"/>
      <c r="M17" s="24">
        <v>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>
        <v>0</v>
      </c>
      <c r="AB17" s="24"/>
      <c r="AC17" s="24">
        <v>2575</v>
      </c>
      <c r="AD17" s="24">
        <v>2575</v>
      </c>
      <c r="AE17" s="135"/>
      <c r="AF17" s="24"/>
      <c r="AG17" s="156"/>
      <c r="AH17" s="24"/>
      <c r="AI17" s="24"/>
      <c r="AJ17" s="24"/>
      <c r="AK17" s="24"/>
    </row>
    <row r="18" spans="2:37" x14ac:dyDescent="0.25">
      <c r="B18" s="2" t="s">
        <v>1470</v>
      </c>
      <c r="C18" s="2" t="s">
        <v>1471</v>
      </c>
      <c r="D18" s="34">
        <f t="shared" ref="D18" si="2">+G18*E18</f>
        <v>8</v>
      </c>
      <c r="E18" s="3">
        <v>1</v>
      </c>
      <c r="F18" s="3"/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8</v>
      </c>
      <c r="H18" s="24"/>
      <c r="I18" s="24"/>
      <c r="J18" s="24"/>
      <c r="K18" s="24"/>
      <c r="L18" s="24"/>
      <c r="M18" s="24">
        <v>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12</v>
      </c>
      <c r="AB18" s="24"/>
      <c r="AC18" s="24">
        <v>15</v>
      </c>
      <c r="AD18" s="24">
        <v>35</v>
      </c>
      <c r="AE18" s="135"/>
      <c r="AF18" s="24"/>
      <c r="AG18" s="156"/>
      <c r="AH18" s="24"/>
      <c r="AI18" s="24"/>
      <c r="AJ18" s="24"/>
      <c r="AK18" s="24"/>
    </row>
    <row r="19" spans="2:37" x14ac:dyDescent="0.25">
      <c r="B19" s="2" t="s">
        <v>1472</v>
      </c>
      <c r="C19" s="2" t="s">
        <v>1473</v>
      </c>
      <c r="D19" s="34">
        <f t="shared" ref="D19" si="3">+G19*E19</f>
        <v>0</v>
      </c>
      <c r="E19" s="3">
        <v>1</v>
      </c>
      <c r="F19" s="3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/>
      <c r="I19" s="24"/>
      <c r="J19" s="24"/>
      <c r="K19" s="24"/>
      <c r="L19" s="24"/>
      <c r="M19" s="24">
        <v>0</v>
      </c>
      <c r="N19" s="24"/>
      <c r="O19" s="24"/>
      <c r="P19" s="24"/>
      <c r="Q19" s="24"/>
      <c r="R19" s="24"/>
      <c r="S19" s="24"/>
      <c r="T19" s="24"/>
      <c r="U19" s="24">
        <v>0</v>
      </c>
      <c r="V19" s="24"/>
      <c r="W19" s="24"/>
      <c r="X19" s="24"/>
      <c r="Y19" s="24"/>
      <c r="Z19" s="24"/>
      <c r="AA19" s="24">
        <v>0</v>
      </c>
      <c r="AB19" s="24"/>
      <c r="AC19" s="24">
        <v>1</v>
      </c>
      <c r="AD19" s="24">
        <v>1</v>
      </c>
      <c r="AE19" s="135">
        <v>0</v>
      </c>
      <c r="AF19" s="24"/>
      <c r="AG19" s="156">
        <v>0</v>
      </c>
      <c r="AH19" s="24">
        <v>0</v>
      </c>
      <c r="AI19" s="24">
        <v>0</v>
      </c>
      <c r="AJ19" s="24">
        <v>0</v>
      </c>
      <c r="AK19" s="24">
        <v>0</v>
      </c>
    </row>
    <row r="20" spans="2:37" x14ac:dyDescent="0.25">
      <c r="B20" s="2" t="s">
        <v>1477</v>
      </c>
      <c r="C20" s="2" t="s">
        <v>1478</v>
      </c>
      <c r="D20" s="34">
        <f t="shared" ref="D20" si="4">+G20*E20</f>
        <v>2</v>
      </c>
      <c r="E20" s="3">
        <v>1</v>
      </c>
      <c r="F20" s="3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2</v>
      </c>
      <c r="H20" s="24">
        <v>2</v>
      </c>
      <c r="I20" s="24">
        <v>2</v>
      </c>
      <c r="J20" s="24"/>
      <c r="K20" s="24">
        <v>8</v>
      </c>
      <c r="L20" s="24">
        <v>0</v>
      </c>
      <c r="M20" s="24">
        <v>2</v>
      </c>
      <c r="N20" s="24">
        <v>0</v>
      </c>
      <c r="O20" s="24">
        <v>0</v>
      </c>
      <c r="P20" s="24">
        <v>2</v>
      </c>
      <c r="Q20" s="24">
        <v>2</v>
      </c>
      <c r="R20" s="24">
        <v>2</v>
      </c>
      <c r="S20" s="24">
        <v>3</v>
      </c>
      <c r="T20" s="24">
        <v>3</v>
      </c>
      <c r="U20" s="24">
        <v>0</v>
      </c>
      <c r="V20" s="24">
        <v>3</v>
      </c>
      <c r="W20" s="24">
        <v>3</v>
      </c>
      <c r="X20" s="24">
        <v>3</v>
      </c>
      <c r="Y20" s="24"/>
      <c r="Z20" s="24"/>
      <c r="AA20" s="24">
        <v>2</v>
      </c>
      <c r="AB20" s="24">
        <v>2</v>
      </c>
      <c r="AC20" s="24">
        <v>3</v>
      </c>
      <c r="AD20" s="24">
        <v>4</v>
      </c>
      <c r="AE20" s="135">
        <v>0</v>
      </c>
      <c r="AF20" s="24">
        <v>0</v>
      </c>
      <c r="AG20" s="156">
        <v>2</v>
      </c>
      <c r="AH20" s="24">
        <v>0</v>
      </c>
      <c r="AI20" s="24">
        <v>0</v>
      </c>
      <c r="AJ20" s="24">
        <v>0</v>
      </c>
      <c r="AK20" s="24">
        <v>0</v>
      </c>
    </row>
    <row r="21" spans="2:37" x14ac:dyDescent="0.25">
      <c r="B21" s="2" t="s">
        <v>946</v>
      </c>
      <c r="C21" s="2" t="s">
        <v>945</v>
      </c>
      <c r="D21" s="34">
        <f t="shared" si="0"/>
        <v>0</v>
      </c>
      <c r="E21" s="3">
        <v>1</v>
      </c>
      <c r="F21" s="3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24">
        <v>0</v>
      </c>
      <c r="I21" s="24">
        <v>1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1</v>
      </c>
      <c r="Q21" s="24">
        <v>1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1</v>
      </c>
      <c r="X21" s="24">
        <v>1</v>
      </c>
      <c r="Y21" s="24">
        <v>1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135">
        <v>0</v>
      </c>
      <c r="AF21" s="24">
        <v>0</v>
      </c>
      <c r="AG21" s="156">
        <v>0</v>
      </c>
      <c r="AH21" s="24">
        <v>0</v>
      </c>
      <c r="AI21" s="24">
        <v>0</v>
      </c>
      <c r="AJ21" s="24">
        <v>0</v>
      </c>
      <c r="AK21" s="24">
        <v>0</v>
      </c>
    </row>
    <row r="22" spans="2:37" x14ac:dyDescent="0.25">
      <c r="B22" s="2" t="s">
        <v>947</v>
      </c>
      <c r="C22" s="2" t="s">
        <v>271</v>
      </c>
      <c r="D22" s="34">
        <f t="shared" si="0"/>
        <v>0</v>
      </c>
      <c r="E22" s="3">
        <v>1</v>
      </c>
      <c r="F22" s="3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24">
        <v>3211</v>
      </c>
      <c r="I22" s="24">
        <v>3211</v>
      </c>
      <c r="J22" s="24">
        <v>0</v>
      </c>
      <c r="K22" s="24">
        <v>3211</v>
      </c>
      <c r="L22" s="24">
        <v>0</v>
      </c>
      <c r="M22" s="24">
        <v>0</v>
      </c>
      <c r="N22" s="24">
        <v>0</v>
      </c>
      <c r="O22" s="24">
        <v>0</v>
      </c>
      <c r="P22" s="24">
        <v>3211</v>
      </c>
      <c r="Q22" s="24">
        <v>3211</v>
      </c>
      <c r="R22" s="24">
        <v>3211</v>
      </c>
      <c r="S22" s="24">
        <v>0</v>
      </c>
      <c r="T22" s="24">
        <v>0</v>
      </c>
      <c r="U22" s="24">
        <v>3211</v>
      </c>
      <c r="V22" s="24">
        <v>3211</v>
      </c>
      <c r="W22" s="24">
        <v>3412</v>
      </c>
      <c r="X22" s="24">
        <v>3412</v>
      </c>
      <c r="Y22" s="24">
        <v>3412</v>
      </c>
      <c r="Z22" s="24">
        <v>3211</v>
      </c>
      <c r="AA22" s="24">
        <v>3412</v>
      </c>
      <c r="AB22" s="24">
        <v>3211</v>
      </c>
      <c r="AC22" s="24">
        <v>3211</v>
      </c>
      <c r="AD22" s="24">
        <v>3211</v>
      </c>
      <c r="AE22" s="135">
        <v>3211</v>
      </c>
      <c r="AF22" s="24">
        <v>0</v>
      </c>
      <c r="AG22" s="156">
        <v>3211</v>
      </c>
      <c r="AH22" s="24">
        <v>0</v>
      </c>
      <c r="AI22" s="24">
        <v>3211</v>
      </c>
      <c r="AJ22" s="24">
        <v>3211</v>
      </c>
      <c r="AK22" s="24">
        <v>3211</v>
      </c>
    </row>
    <row r="23" spans="2:37" x14ac:dyDescent="0.25">
      <c r="B23" s="2" t="s">
        <v>301</v>
      </c>
      <c r="C23" s="2" t="s">
        <v>302</v>
      </c>
      <c r="D23" s="34">
        <f t="shared" si="0"/>
        <v>1</v>
      </c>
      <c r="E23" s="3">
        <v>1</v>
      </c>
      <c r="F23" s="3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1</v>
      </c>
      <c r="H23" s="24">
        <v>1</v>
      </c>
      <c r="I23" s="24">
        <v>1</v>
      </c>
      <c r="J23" s="24">
        <v>1</v>
      </c>
      <c r="K23" s="24">
        <v>2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1</v>
      </c>
      <c r="T23" s="24">
        <v>1</v>
      </c>
      <c r="U23" s="24">
        <v>1</v>
      </c>
      <c r="V23" s="24">
        <v>1</v>
      </c>
      <c r="W23" s="24">
        <v>1</v>
      </c>
      <c r="X23" s="24">
        <v>1</v>
      </c>
      <c r="Y23" s="24">
        <v>1</v>
      </c>
      <c r="Z23" s="24">
        <v>1</v>
      </c>
      <c r="AA23" s="24">
        <v>1</v>
      </c>
      <c r="AB23" s="24">
        <v>1</v>
      </c>
      <c r="AC23" s="24">
        <v>1</v>
      </c>
      <c r="AD23" s="24">
        <v>1</v>
      </c>
      <c r="AE23" s="135">
        <v>1</v>
      </c>
      <c r="AF23" s="24">
        <v>1</v>
      </c>
      <c r="AG23" s="156">
        <v>1</v>
      </c>
      <c r="AH23" s="24">
        <v>1</v>
      </c>
      <c r="AI23" s="24">
        <v>1</v>
      </c>
      <c r="AJ23" s="24">
        <v>1</v>
      </c>
      <c r="AK23" s="24">
        <v>1</v>
      </c>
    </row>
    <row r="24" spans="2:37" x14ac:dyDescent="0.25">
      <c r="B24" s="2" t="s">
        <v>776</v>
      </c>
      <c r="C24" s="2" t="s">
        <v>306</v>
      </c>
      <c r="D24" s="34">
        <f t="shared" si="0"/>
        <v>4</v>
      </c>
      <c r="E24" s="3">
        <v>1</v>
      </c>
      <c r="F24" s="3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4</v>
      </c>
      <c r="H24" s="24">
        <v>4</v>
      </c>
      <c r="I24" s="24">
        <v>4</v>
      </c>
      <c r="J24" s="24">
        <v>4</v>
      </c>
      <c r="K24" s="24">
        <v>4</v>
      </c>
      <c r="L24" s="24">
        <v>4</v>
      </c>
      <c r="M24" s="24">
        <v>4</v>
      </c>
      <c r="N24" s="24">
        <v>4</v>
      </c>
      <c r="O24" s="24">
        <v>4</v>
      </c>
      <c r="P24" s="24">
        <v>4</v>
      </c>
      <c r="Q24" s="24">
        <v>4</v>
      </c>
      <c r="R24" s="24">
        <v>4</v>
      </c>
      <c r="S24" s="24">
        <v>4</v>
      </c>
      <c r="T24" s="24">
        <v>4</v>
      </c>
      <c r="U24" s="24">
        <v>4</v>
      </c>
      <c r="V24" s="24">
        <v>4</v>
      </c>
      <c r="W24" s="24">
        <v>4</v>
      </c>
      <c r="X24" s="24">
        <v>4</v>
      </c>
      <c r="Y24" s="24">
        <v>4</v>
      </c>
      <c r="Z24" s="24">
        <v>4</v>
      </c>
      <c r="AA24" s="24">
        <v>4</v>
      </c>
      <c r="AB24" s="24">
        <v>4</v>
      </c>
      <c r="AC24" s="24">
        <v>4</v>
      </c>
      <c r="AD24" s="24">
        <v>4</v>
      </c>
      <c r="AE24" s="135">
        <v>4</v>
      </c>
      <c r="AF24" s="24">
        <v>4</v>
      </c>
      <c r="AG24" s="156">
        <v>4</v>
      </c>
      <c r="AH24" s="24">
        <v>4</v>
      </c>
      <c r="AI24" s="24">
        <v>4</v>
      </c>
      <c r="AJ24" s="24">
        <v>4</v>
      </c>
      <c r="AK24" s="24">
        <v>4</v>
      </c>
    </row>
    <row r="25" spans="2:37" x14ac:dyDescent="0.25">
      <c r="B25" s="2" t="s">
        <v>307</v>
      </c>
      <c r="C25" s="2" t="s">
        <v>309</v>
      </c>
      <c r="D25" s="34">
        <f t="shared" si="0"/>
        <v>0.104</v>
      </c>
      <c r="E25" s="3">
        <v>1</v>
      </c>
      <c r="F25" s="3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0.104</v>
      </c>
      <c r="H25" s="24">
        <v>0.104</v>
      </c>
      <c r="I25" s="24">
        <v>0.104</v>
      </c>
      <c r="J25" s="24">
        <v>0.104</v>
      </c>
      <c r="K25" s="24">
        <v>4.18</v>
      </c>
      <c r="L25" s="24">
        <v>0.104</v>
      </c>
      <c r="M25" s="24">
        <v>0.104</v>
      </c>
      <c r="N25" s="24">
        <v>0.104</v>
      </c>
      <c r="O25" s="24">
        <v>0.104</v>
      </c>
      <c r="P25" s="24">
        <v>0.104</v>
      </c>
      <c r="Q25" s="24">
        <v>0.104</v>
      </c>
      <c r="R25" s="24">
        <v>0.104</v>
      </c>
      <c r="S25" s="24">
        <v>8.2000000000000003E-2</v>
      </c>
      <c r="T25" s="24">
        <v>8.2000000000000003E-2</v>
      </c>
      <c r="U25" s="24">
        <v>3.3971</v>
      </c>
      <c r="V25" s="24">
        <v>0.104</v>
      </c>
      <c r="W25" s="24">
        <v>0.104</v>
      </c>
      <c r="X25" s="24">
        <v>0.104</v>
      </c>
      <c r="Y25" s="24">
        <v>0.104</v>
      </c>
      <c r="Z25" s="24">
        <v>3.3971</v>
      </c>
      <c r="AA25" s="24">
        <v>0.104</v>
      </c>
      <c r="AB25" s="24">
        <v>4.7E-2</v>
      </c>
      <c r="AC25" s="24">
        <v>1.575</v>
      </c>
      <c r="AD25" s="24">
        <v>4.83</v>
      </c>
      <c r="AE25" s="137">
        <v>0.45500000000000002</v>
      </c>
      <c r="AF25" s="24">
        <v>0.104</v>
      </c>
      <c r="AG25" s="24">
        <v>0.104</v>
      </c>
      <c r="AH25" s="24">
        <v>0.45500000000000002</v>
      </c>
      <c r="AI25" s="24">
        <v>3.3971</v>
      </c>
      <c r="AJ25" s="24">
        <v>3.3971</v>
      </c>
      <c r="AK25" s="24">
        <v>3.3971</v>
      </c>
    </row>
    <row r="26" spans="2:37" x14ac:dyDescent="0.25">
      <c r="B26" s="2" t="s">
        <v>308</v>
      </c>
      <c r="C26" s="2" t="s">
        <v>310</v>
      </c>
      <c r="D26" s="34">
        <f t="shared" si="0"/>
        <v>0.04</v>
      </c>
      <c r="E26" s="3">
        <v>1</v>
      </c>
      <c r="F26" s="3"/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0.04</v>
      </c>
      <c r="H26" s="24">
        <v>6.3E-2</v>
      </c>
      <c r="I26" s="24">
        <v>6.3E-2</v>
      </c>
      <c r="J26" s="24">
        <v>6.3E-2</v>
      </c>
      <c r="K26" s="24">
        <v>1.218</v>
      </c>
      <c r="L26" s="24">
        <v>6.3E-2</v>
      </c>
      <c r="M26" s="24">
        <v>0.04</v>
      </c>
      <c r="N26" s="24">
        <v>6.3E-2</v>
      </c>
      <c r="O26" s="24">
        <v>6.3E-2</v>
      </c>
      <c r="P26" s="24">
        <v>6.3E-2</v>
      </c>
      <c r="Q26" s="24">
        <v>6.3E-2</v>
      </c>
      <c r="R26" s="24">
        <v>6.3E-2</v>
      </c>
      <c r="S26" s="24">
        <v>0.105</v>
      </c>
      <c r="T26" s="24">
        <v>0.105</v>
      </c>
      <c r="U26" s="24">
        <v>1.71</v>
      </c>
      <c r="V26" s="24">
        <v>6.3E-2</v>
      </c>
      <c r="W26" s="24">
        <v>6.3E-2</v>
      </c>
      <c r="X26" s="24">
        <v>6.3E-2</v>
      </c>
      <c r="Y26" s="24">
        <v>6.3E-2</v>
      </c>
      <c r="Z26" s="24">
        <v>1.71</v>
      </c>
      <c r="AA26" s="24">
        <v>6.3E-2</v>
      </c>
      <c r="AB26" s="24">
        <v>3.5000000000000003E-2</v>
      </c>
      <c r="AC26" s="24">
        <v>0.48299999999999998</v>
      </c>
      <c r="AD26" s="24">
        <v>0.79700000000000004</v>
      </c>
      <c r="AE26" s="137">
        <v>0.20799999999999999</v>
      </c>
      <c r="AF26" s="24">
        <v>6.3E-2</v>
      </c>
      <c r="AG26" s="24">
        <v>6.3E-2</v>
      </c>
      <c r="AH26" s="24">
        <v>0.20799999999999999</v>
      </c>
      <c r="AI26" s="24">
        <v>1.71</v>
      </c>
      <c r="AJ26" s="24">
        <v>1.71</v>
      </c>
      <c r="AK26" s="24">
        <v>1.71</v>
      </c>
    </row>
    <row r="27" spans="2:37" x14ac:dyDescent="0.25">
      <c r="B27" s="2" t="s">
        <v>313</v>
      </c>
      <c r="C27" s="2" t="s">
        <v>311</v>
      </c>
      <c r="D27" s="34">
        <f t="shared" si="0"/>
        <v>0.104</v>
      </c>
      <c r="E27" s="3">
        <v>1</v>
      </c>
      <c r="F27" s="3"/>
      <c r="G27" s="15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0.104</v>
      </c>
      <c r="H27" s="24">
        <f>2*H25</f>
        <v>0.20799999999999999</v>
      </c>
      <c r="I27" s="24">
        <f t="shared" ref="I27:O28" si="5">2*I25</f>
        <v>0.20799999999999999</v>
      </c>
      <c r="J27" s="24">
        <f t="shared" si="5"/>
        <v>0.20799999999999999</v>
      </c>
      <c r="K27" s="24">
        <v>4.18</v>
      </c>
      <c r="L27" s="24">
        <f t="shared" si="5"/>
        <v>0.20799999999999999</v>
      </c>
      <c r="M27" s="24">
        <f>1*M25</f>
        <v>0.104</v>
      </c>
      <c r="N27" s="24">
        <f t="shared" si="5"/>
        <v>0.20799999999999999</v>
      </c>
      <c r="O27" s="24">
        <f t="shared" si="5"/>
        <v>0.20799999999999999</v>
      </c>
      <c r="P27" s="24">
        <f t="shared" ref="P27:T28" si="6">2*P25</f>
        <v>0.20799999999999999</v>
      </c>
      <c r="Q27" s="24">
        <f t="shared" si="6"/>
        <v>0.20799999999999999</v>
      </c>
      <c r="R27" s="24">
        <v>0.36599999999999999</v>
      </c>
      <c r="S27" s="24">
        <f t="shared" si="6"/>
        <v>0.16400000000000001</v>
      </c>
      <c r="T27" s="24">
        <f t="shared" si="6"/>
        <v>0.16400000000000001</v>
      </c>
      <c r="U27" s="24">
        <v>4.5071000000000003</v>
      </c>
      <c r="V27" s="24">
        <f t="shared" ref="V27" si="7">2*V25</f>
        <v>0.20799999999999999</v>
      </c>
      <c r="W27" s="24">
        <f t="shared" ref="W27:X27" si="8">2*W25</f>
        <v>0.20799999999999999</v>
      </c>
      <c r="X27" s="24">
        <f t="shared" si="8"/>
        <v>0.20799999999999999</v>
      </c>
      <c r="Y27" s="24">
        <f t="shared" ref="Y27" si="9">2*Y25</f>
        <v>0.20799999999999999</v>
      </c>
      <c r="Z27" s="24">
        <v>4.5071000000000003</v>
      </c>
      <c r="AA27" s="24">
        <f t="shared" ref="AA27" si="10">2*AA25</f>
        <v>0.20799999999999999</v>
      </c>
      <c r="AB27" s="24">
        <v>4.7E-2</v>
      </c>
      <c r="AC27" s="24">
        <f>+AC25*1.2</f>
        <v>1.89</v>
      </c>
      <c r="AD27" s="24">
        <v>4.83</v>
      </c>
      <c r="AE27" s="137">
        <v>0.45500000000000002</v>
      </c>
      <c r="AF27" s="24">
        <f t="shared" ref="AF27:AG28" si="11">2*AF25</f>
        <v>0.20799999999999999</v>
      </c>
      <c r="AG27" s="24">
        <f t="shared" si="11"/>
        <v>0.20799999999999999</v>
      </c>
      <c r="AH27" s="24">
        <v>0.45500000000000002</v>
      </c>
      <c r="AI27" s="24">
        <v>4.5071000000000003</v>
      </c>
      <c r="AJ27" s="24">
        <v>4.5071000000000003</v>
      </c>
      <c r="AK27" s="24">
        <v>4.5071000000000003</v>
      </c>
    </row>
    <row r="28" spans="2:37" x14ac:dyDescent="0.25">
      <c r="B28" s="2" t="s">
        <v>314</v>
      </c>
      <c r="C28" s="2" t="s">
        <v>312</v>
      </c>
      <c r="D28" s="34">
        <f t="shared" si="0"/>
        <v>0.04</v>
      </c>
      <c r="E28" s="3">
        <v>1</v>
      </c>
      <c r="F28" s="3"/>
      <c r="G28" s="15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0.04</v>
      </c>
      <c r="H28" s="24">
        <f>2*H26</f>
        <v>0.126</v>
      </c>
      <c r="I28" s="24">
        <f t="shared" ref="I28:O28" si="12">2*I26</f>
        <v>0.126</v>
      </c>
      <c r="J28" s="24">
        <f t="shared" si="5"/>
        <v>0.126</v>
      </c>
      <c r="K28" s="24">
        <v>1.218</v>
      </c>
      <c r="L28" s="24">
        <f t="shared" si="12"/>
        <v>0.126</v>
      </c>
      <c r="M28" s="24">
        <f>1*M26</f>
        <v>0.04</v>
      </c>
      <c r="N28" s="24">
        <f t="shared" si="12"/>
        <v>0.126</v>
      </c>
      <c r="O28" s="24">
        <f t="shared" si="12"/>
        <v>0.126</v>
      </c>
      <c r="P28" s="24">
        <f t="shared" si="6"/>
        <v>0.126</v>
      </c>
      <c r="Q28" s="24">
        <f t="shared" si="6"/>
        <v>0.126</v>
      </c>
      <c r="R28" s="24">
        <f t="shared" si="6"/>
        <v>0.126</v>
      </c>
      <c r="S28" s="24">
        <f t="shared" si="6"/>
        <v>0.21</v>
      </c>
      <c r="T28" s="24">
        <f t="shared" si="6"/>
        <v>0.21</v>
      </c>
      <c r="U28" s="24">
        <v>1.88</v>
      </c>
      <c r="V28" s="24">
        <f t="shared" ref="V28" si="13">2*V26</f>
        <v>0.126</v>
      </c>
      <c r="W28" s="24">
        <f t="shared" ref="W28:X28" si="14">2*W26</f>
        <v>0.126</v>
      </c>
      <c r="X28" s="24">
        <f t="shared" si="14"/>
        <v>0.126</v>
      </c>
      <c r="Y28" s="24">
        <f t="shared" ref="Y28" si="15">2*Y26</f>
        <v>0.126</v>
      </c>
      <c r="Z28" s="24">
        <v>1.88</v>
      </c>
      <c r="AA28" s="24">
        <f t="shared" ref="AA28" si="16">2*AA26</f>
        <v>0.126</v>
      </c>
      <c r="AB28" s="24">
        <v>3.5000000000000003E-2</v>
      </c>
      <c r="AC28" s="24">
        <f>+AC26*1.2</f>
        <v>0.5796</v>
      </c>
      <c r="AD28" s="24">
        <v>0.79700000000000004</v>
      </c>
      <c r="AE28" s="137">
        <v>0.20799999999999999</v>
      </c>
      <c r="AF28" s="24">
        <f t="shared" ref="AF28" si="17">2*AF26</f>
        <v>0.126</v>
      </c>
      <c r="AG28" s="24">
        <f t="shared" si="11"/>
        <v>0.126</v>
      </c>
      <c r="AH28" s="24">
        <v>0.20799999999999999</v>
      </c>
      <c r="AI28" s="24">
        <v>1.88</v>
      </c>
      <c r="AJ28" s="24">
        <v>1.88</v>
      </c>
      <c r="AK28" s="24">
        <v>1.88</v>
      </c>
    </row>
    <row r="29" spans="2:37" x14ac:dyDescent="0.25">
      <c r="B29" s="2" t="s">
        <v>624</v>
      </c>
      <c r="C29" s="2" t="s">
        <v>271</v>
      </c>
      <c r="D29" s="34">
        <f t="shared" si="0"/>
        <v>2</v>
      </c>
      <c r="E29" s="3">
        <v>1</v>
      </c>
      <c r="F29" s="3"/>
      <c r="G29" s="15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2</v>
      </c>
      <c r="H29" s="24">
        <v>2</v>
      </c>
      <c r="I29" s="24">
        <v>2</v>
      </c>
      <c r="J29" s="24">
        <v>2</v>
      </c>
      <c r="K29" s="24">
        <v>2</v>
      </c>
      <c r="L29" s="24">
        <v>2</v>
      </c>
      <c r="M29" s="24">
        <v>2</v>
      </c>
      <c r="N29" s="24">
        <v>2</v>
      </c>
      <c r="O29" s="24">
        <v>2</v>
      </c>
      <c r="P29" s="24">
        <v>2</v>
      </c>
      <c r="Q29" s="24">
        <v>2</v>
      </c>
      <c r="R29" s="24">
        <v>2</v>
      </c>
      <c r="S29" s="24">
        <v>2</v>
      </c>
      <c r="T29" s="24">
        <v>2</v>
      </c>
      <c r="U29" s="24">
        <v>2</v>
      </c>
      <c r="V29" s="24">
        <v>2</v>
      </c>
      <c r="W29" s="24">
        <v>2</v>
      </c>
      <c r="X29" s="24">
        <v>2</v>
      </c>
      <c r="Y29" s="24">
        <v>2</v>
      </c>
      <c r="Z29" s="24">
        <v>2</v>
      </c>
      <c r="AA29" s="24">
        <v>2</v>
      </c>
      <c r="AB29" s="24">
        <v>2</v>
      </c>
      <c r="AC29" s="24">
        <v>2</v>
      </c>
      <c r="AD29" s="24">
        <v>2</v>
      </c>
      <c r="AE29" s="135">
        <v>2</v>
      </c>
      <c r="AF29" s="24">
        <v>2</v>
      </c>
      <c r="AG29" s="156">
        <v>2</v>
      </c>
      <c r="AH29" s="24">
        <v>2</v>
      </c>
      <c r="AI29" s="24">
        <v>2</v>
      </c>
      <c r="AJ29" s="24">
        <v>2</v>
      </c>
      <c r="AK29" s="24">
        <v>2</v>
      </c>
    </row>
    <row r="30" spans="2:37" x14ac:dyDescent="0.25">
      <c r="B30" s="2" t="s">
        <v>625</v>
      </c>
      <c r="C30" s="2" t="s">
        <v>273</v>
      </c>
      <c r="D30" s="34">
        <f t="shared" si="0"/>
        <v>4</v>
      </c>
      <c r="E30" s="3">
        <v>1</v>
      </c>
      <c r="F30" s="3"/>
      <c r="G30" s="15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4</v>
      </c>
      <c r="H30" s="24">
        <v>4</v>
      </c>
      <c r="I30" s="24">
        <v>4</v>
      </c>
      <c r="J30" s="24">
        <v>4</v>
      </c>
      <c r="K30" s="24">
        <v>4</v>
      </c>
      <c r="L30" s="24">
        <v>4</v>
      </c>
      <c r="M30" s="24">
        <v>4</v>
      </c>
      <c r="N30" s="24">
        <v>4</v>
      </c>
      <c r="O30" s="24">
        <v>4</v>
      </c>
      <c r="P30" s="24">
        <v>4</v>
      </c>
      <c r="Q30" s="24">
        <v>4</v>
      </c>
      <c r="R30" s="24">
        <v>4</v>
      </c>
      <c r="S30" s="24">
        <v>4</v>
      </c>
      <c r="T30" s="24">
        <v>4</v>
      </c>
      <c r="U30" s="24">
        <v>4</v>
      </c>
      <c r="V30" s="24">
        <v>4</v>
      </c>
      <c r="W30" s="24">
        <v>4</v>
      </c>
      <c r="X30" s="24">
        <v>4</v>
      </c>
      <c r="Y30" s="24">
        <v>4</v>
      </c>
      <c r="Z30" s="24">
        <v>4</v>
      </c>
      <c r="AA30" s="24">
        <v>4</v>
      </c>
      <c r="AB30" s="24">
        <v>4</v>
      </c>
      <c r="AC30" s="24">
        <v>4</v>
      </c>
      <c r="AD30" s="24">
        <v>4</v>
      </c>
      <c r="AE30" s="135">
        <v>4</v>
      </c>
      <c r="AF30" s="24">
        <v>4</v>
      </c>
      <c r="AG30" s="156">
        <v>4</v>
      </c>
      <c r="AH30" s="24">
        <v>4</v>
      </c>
      <c r="AI30" s="24">
        <v>4</v>
      </c>
      <c r="AJ30" s="24">
        <v>4</v>
      </c>
      <c r="AK30" s="24">
        <v>4</v>
      </c>
    </row>
    <row r="31" spans="2:37" x14ac:dyDescent="0.25">
      <c r="B31" s="9" t="s">
        <v>626</v>
      </c>
      <c r="C31" s="2" t="s">
        <v>274</v>
      </c>
      <c r="D31" s="34">
        <f t="shared" si="0"/>
        <v>1</v>
      </c>
      <c r="E31" s="3">
        <v>1</v>
      </c>
      <c r="F31" s="3"/>
      <c r="G31" s="15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1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1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24">
        <v>1</v>
      </c>
      <c r="AE31" s="135">
        <v>1</v>
      </c>
      <c r="AF31" s="24">
        <v>1</v>
      </c>
      <c r="AG31" s="156">
        <v>1</v>
      </c>
      <c r="AH31" s="24">
        <v>1</v>
      </c>
      <c r="AI31" s="24">
        <v>1</v>
      </c>
      <c r="AJ31" s="24">
        <v>1</v>
      </c>
      <c r="AK31" s="24">
        <v>1</v>
      </c>
    </row>
    <row r="32" spans="2:37" x14ac:dyDescent="0.25">
      <c r="B32" s="9" t="s">
        <v>628</v>
      </c>
      <c r="C32" s="2" t="s">
        <v>633</v>
      </c>
      <c r="D32" s="34">
        <f t="shared" si="0"/>
        <v>1</v>
      </c>
      <c r="E32" s="11">
        <v>1</v>
      </c>
      <c r="F32" s="11"/>
      <c r="G32" s="15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138">
        <v>1</v>
      </c>
      <c r="AF32" s="30">
        <v>1</v>
      </c>
      <c r="AG32" s="159">
        <v>1</v>
      </c>
      <c r="AH32" s="30">
        <v>1</v>
      </c>
      <c r="AI32" s="30">
        <v>1</v>
      </c>
      <c r="AJ32" s="30">
        <v>1</v>
      </c>
      <c r="AK32" s="30">
        <v>1</v>
      </c>
    </row>
    <row r="33" spans="2:37" x14ac:dyDescent="0.25">
      <c r="B33" s="9" t="s">
        <v>679</v>
      </c>
      <c r="C33" s="2" t="s">
        <v>677</v>
      </c>
      <c r="D33" s="34">
        <f t="shared" si="0"/>
        <v>0.96</v>
      </c>
      <c r="E33" s="3">
        <v>1</v>
      </c>
      <c r="F33" s="3"/>
      <c r="G33" s="15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0.96</v>
      </c>
      <c r="H33" s="24">
        <v>0.96</v>
      </c>
      <c r="I33" s="24">
        <v>0.96</v>
      </c>
      <c r="J33" s="24">
        <v>0.96</v>
      </c>
      <c r="K33" s="24">
        <v>0.96</v>
      </c>
      <c r="L33" s="24">
        <v>0.96</v>
      </c>
      <c r="M33" s="24">
        <v>0.96</v>
      </c>
      <c r="N33" s="24">
        <v>0.96</v>
      </c>
      <c r="O33" s="24">
        <v>0.96</v>
      </c>
      <c r="P33" s="24">
        <v>0.96</v>
      </c>
      <c r="Q33" s="24">
        <v>0.96</v>
      </c>
      <c r="R33" s="24">
        <v>0.96</v>
      </c>
      <c r="S33" s="24">
        <v>0.96</v>
      </c>
      <c r="T33" s="24">
        <v>0.96</v>
      </c>
      <c r="U33" s="24">
        <v>0.96</v>
      </c>
      <c r="V33" s="24">
        <v>0.96</v>
      </c>
      <c r="W33" s="24">
        <v>0.96</v>
      </c>
      <c r="X33" s="24">
        <v>0.96</v>
      </c>
      <c r="Y33" s="24">
        <v>0.96</v>
      </c>
      <c r="Z33" s="24">
        <v>0.96</v>
      </c>
      <c r="AA33" s="24">
        <v>0.96</v>
      </c>
      <c r="AB33" s="24">
        <v>0.96</v>
      </c>
      <c r="AC33" s="24">
        <v>0.96</v>
      </c>
      <c r="AD33" s="24">
        <v>0.96</v>
      </c>
      <c r="AE33" s="135">
        <v>0.96</v>
      </c>
      <c r="AF33" s="24">
        <v>0.96</v>
      </c>
      <c r="AG33" s="156">
        <v>1</v>
      </c>
      <c r="AH33" s="24">
        <v>0.96</v>
      </c>
      <c r="AI33" s="24">
        <v>0.96</v>
      </c>
      <c r="AJ33" s="24">
        <v>0.96</v>
      </c>
      <c r="AK33" s="24">
        <v>0.96</v>
      </c>
    </row>
    <row r="34" spans="2:37" x14ac:dyDescent="0.25">
      <c r="B34" s="9" t="s">
        <v>680</v>
      </c>
      <c r="C34" s="2" t="s">
        <v>675</v>
      </c>
      <c r="D34" s="34">
        <f t="shared" si="0"/>
        <v>0.88</v>
      </c>
      <c r="E34" s="3">
        <v>1</v>
      </c>
      <c r="F34" s="3"/>
      <c r="G34" s="15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0.88</v>
      </c>
      <c r="H34" s="24">
        <v>0.88</v>
      </c>
      <c r="I34" s="24">
        <v>0.88</v>
      </c>
      <c r="J34" s="24">
        <v>0.88</v>
      </c>
      <c r="K34" s="24">
        <v>0.88</v>
      </c>
      <c r="L34" s="24">
        <v>0.88</v>
      </c>
      <c r="M34" s="24">
        <v>0.88</v>
      </c>
      <c r="N34" s="24">
        <v>0.88</v>
      </c>
      <c r="O34" s="24">
        <v>0.88</v>
      </c>
      <c r="P34" s="24">
        <v>0.88</v>
      </c>
      <c r="Q34" s="24">
        <v>0.88</v>
      </c>
      <c r="R34" s="24">
        <v>0.88</v>
      </c>
      <c r="S34" s="24">
        <v>0.88</v>
      </c>
      <c r="T34" s="24">
        <v>0.88</v>
      </c>
      <c r="U34" s="24">
        <v>0.88</v>
      </c>
      <c r="V34" s="24">
        <v>0.88</v>
      </c>
      <c r="W34" s="24">
        <v>0.88</v>
      </c>
      <c r="X34" s="24">
        <v>0.88</v>
      </c>
      <c r="Y34" s="24">
        <v>0.88</v>
      </c>
      <c r="Z34" s="24">
        <v>0.88</v>
      </c>
      <c r="AA34" s="24">
        <v>0.88</v>
      </c>
      <c r="AB34" s="24">
        <v>0.88</v>
      </c>
      <c r="AC34" s="24">
        <v>0.88</v>
      </c>
      <c r="AD34" s="24">
        <v>0.88</v>
      </c>
      <c r="AE34" s="135">
        <v>0.88</v>
      </c>
      <c r="AF34" s="24">
        <v>0.88</v>
      </c>
      <c r="AG34" s="156">
        <v>0.88</v>
      </c>
      <c r="AH34" s="24">
        <v>0.88</v>
      </c>
      <c r="AI34" s="24">
        <v>0.88</v>
      </c>
      <c r="AJ34" s="24">
        <v>0.88</v>
      </c>
      <c r="AK34" s="24">
        <v>0.88</v>
      </c>
    </row>
    <row r="35" spans="2:37" x14ac:dyDescent="0.25">
      <c r="B35" s="9" t="s">
        <v>681</v>
      </c>
      <c r="C35" s="2" t="s">
        <v>676</v>
      </c>
      <c r="D35" s="34">
        <f t="shared" si="0"/>
        <v>0.98</v>
      </c>
      <c r="E35" s="3">
        <v>1</v>
      </c>
      <c r="F35" s="3"/>
      <c r="G35" s="15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0.98</v>
      </c>
      <c r="H35" s="24">
        <v>0.98</v>
      </c>
      <c r="I35" s="24">
        <v>0.98</v>
      </c>
      <c r="J35" s="24">
        <v>0.98</v>
      </c>
      <c r="K35" s="24">
        <v>0.98</v>
      </c>
      <c r="L35" s="24">
        <v>0.98</v>
      </c>
      <c r="M35" s="24">
        <v>0.98</v>
      </c>
      <c r="N35" s="24">
        <v>0.98</v>
      </c>
      <c r="O35" s="24">
        <v>0.98</v>
      </c>
      <c r="P35" s="24">
        <v>0.98</v>
      </c>
      <c r="Q35" s="24">
        <v>0.98</v>
      </c>
      <c r="R35" s="24">
        <v>0.98</v>
      </c>
      <c r="S35" s="24">
        <v>0.98</v>
      </c>
      <c r="T35" s="24">
        <v>0.98</v>
      </c>
      <c r="U35" s="24">
        <v>0.98</v>
      </c>
      <c r="V35" s="24">
        <v>0.98</v>
      </c>
      <c r="W35" s="24">
        <v>0.98</v>
      </c>
      <c r="X35" s="24">
        <v>0.98</v>
      </c>
      <c r="Y35" s="24">
        <v>0.98</v>
      </c>
      <c r="Z35" s="24">
        <v>0.98</v>
      </c>
      <c r="AA35" s="24">
        <v>0.98</v>
      </c>
      <c r="AB35" s="24">
        <v>0.98</v>
      </c>
      <c r="AC35" s="24">
        <v>0.98</v>
      </c>
      <c r="AD35" s="24">
        <v>0.98</v>
      </c>
      <c r="AE35" s="135">
        <v>0.98</v>
      </c>
      <c r="AF35" s="24">
        <v>0.98</v>
      </c>
      <c r="AG35" s="156">
        <v>0.98</v>
      </c>
      <c r="AH35" s="24">
        <v>0.98</v>
      </c>
      <c r="AI35" s="24">
        <v>0.98</v>
      </c>
      <c r="AJ35" s="24">
        <v>0.98</v>
      </c>
      <c r="AK35" s="24">
        <v>0.98</v>
      </c>
    </row>
    <row r="36" spans="2:37" x14ac:dyDescent="0.25">
      <c r="B36" s="29" t="s">
        <v>682</v>
      </c>
      <c r="C36" s="6" t="s">
        <v>678</v>
      </c>
      <c r="D36" s="34">
        <f t="shared" si="0"/>
        <v>0.96</v>
      </c>
      <c r="E36" s="3">
        <v>1</v>
      </c>
      <c r="F36" s="3"/>
      <c r="G36" s="15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0.96</v>
      </c>
      <c r="H36" s="24">
        <v>0.96</v>
      </c>
      <c r="I36" s="24">
        <v>0.96</v>
      </c>
      <c r="J36" s="24">
        <v>0.96</v>
      </c>
      <c r="K36" s="24">
        <v>0.96</v>
      </c>
      <c r="L36" s="24">
        <v>0.96</v>
      </c>
      <c r="M36" s="24">
        <v>0.96</v>
      </c>
      <c r="N36" s="24">
        <v>0.96</v>
      </c>
      <c r="O36" s="24">
        <v>0.96</v>
      </c>
      <c r="P36" s="24">
        <v>0.96</v>
      </c>
      <c r="Q36" s="24">
        <v>0.96</v>
      </c>
      <c r="R36" s="24">
        <v>0.96</v>
      </c>
      <c r="S36" s="24">
        <v>0.96</v>
      </c>
      <c r="T36" s="24">
        <v>0.96</v>
      </c>
      <c r="U36" s="24">
        <v>0.96</v>
      </c>
      <c r="V36" s="24">
        <v>0.96</v>
      </c>
      <c r="W36" s="24">
        <v>0.96</v>
      </c>
      <c r="X36" s="24">
        <v>0.96</v>
      </c>
      <c r="Y36" s="24">
        <v>0.96</v>
      </c>
      <c r="Z36" s="24">
        <v>0.96</v>
      </c>
      <c r="AA36" s="24">
        <v>0.96</v>
      </c>
      <c r="AB36" s="24">
        <v>0.96</v>
      </c>
      <c r="AC36" s="24">
        <v>0.96</v>
      </c>
      <c r="AD36" s="24">
        <v>0.96</v>
      </c>
      <c r="AE36" s="135">
        <v>0.96</v>
      </c>
      <c r="AF36" s="24">
        <v>0.96</v>
      </c>
      <c r="AG36" s="156">
        <v>0.96</v>
      </c>
      <c r="AH36" s="24">
        <v>0.96</v>
      </c>
      <c r="AI36" s="24">
        <v>0.96</v>
      </c>
      <c r="AJ36" s="24">
        <v>0.96</v>
      </c>
      <c r="AK36" s="24">
        <v>0.96</v>
      </c>
    </row>
    <row r="37" spans="2:37" x14ac:dyDescent="0.25">
      <c r="B37" s="9" t="s">
        <v>697</v>
      </c>
      <c r="C37" s="2" t="s">
        <v>683</v>
      </c>
      <c r="D37" s="34">
        <f t="shared" si="0"/>
        <v>160</v>
      </c>
      <c r="E37" s="3">
        <v>1</v>
      </c>
      <c r="F37" s="3" t="s">
        <v>689</v>
      </c>
      <c r="G37" s="15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160</v>
      </c>
      <c r="H37" s="24">
        <v>160</v>
      </c>
      <c r="I37" s="24">
        <v>160</v>
      </c>
      <c r="J37" s="24">
        <v>160</v>
      </c>
      <c r="K37" s="24">
        <v>160</v>
      </c>
      <c r="L37" s="24">
        <v>160</v>
      </c>
      <c r="M37" s="24">
        <v>160</v>
      </c>
      <c r="N37" s="24">
        <v>160</v>
      </c>
      <c r="O37" s="24">
        <v>160</v>
      </c>
      <c r="P37" s="24">
        <v>160</v>
      </c>
      <c r="Q37" s="24">
        <v>160</v>
      </c>
      <c r="R37" s="24">
        <v>160</v>
      </c>
      <c r="S37" s="24">
        <v>160</v>
      </c>
      <c r="T37" s="24">
        <v>160</v>
      </c>
      <c r="U37" s="24">
        <v>160</v>
      </c>
      <c r="V37" s="24">
        <v>160</v>
      </c>
      <c r="W37" s="24">
        <v>160</v>
      </c>
      <c r="X37" s="24">
        <v>160</v>
      </c>
      <c r="Y37" s="24">
        <v>160</v>
      </c>
      <c r="Z37" s="24">
        <v>160</v>
      </c>
      <c r="AA37" s="24">
        <v>160</v>
      </c>
      <c r="AB37" s="24">
        <v>160</v>
      </c>
      <c r="AC37" s="24">
        <v>160</v>
      </c>
      <c r="AD37" s="24">
        <v>160</v>
      </c>
      <c r="AE37" s="135">
        <v>160</v>
      </c>
      <c r="AF37" s="24">
        <v>160</v>
      </c>
      <c r="AG37" s="156">
        <v>242</v>
      </c>
      <c r="AH37" s="24">
        <v>160</v>
      </c>
      <c r="AI37" s="24">
        <v>160</v>
      </c>
      <c r="AJ37" s="24">
        <v>160</v>
      </c>
      <c r="AK37" s="24">
        <v>160</v>
      </c>
    </row>
    <row r="38" spans="2:37" x14ac:dyDescent="0.25">
      <c r="B38" s="9" t="s">
        <v>695</v>
      </c>
      <c r="C38" s="2" t="s">
        <v>684</v>
      </c>
      <c r="D38" s="34">
        <f t="shared" si="0"/>
        <v>200</v>
      </c>
      <c r="E38" s="3">
        <v>1</v>
      </c>
      <c r="F38" s="3" t="s">
        <v>689</v>
      </c>
      <c r="G38" s="15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200</v>
      </c>
      <c r="H38" s="24">
        <v>200</v>
      </c>
      <c r="I38" s="24">
        <v>200</v>
      </c>
      <c r="J38" s="24">
        <v>200</v>
      </c>
      <c r="K38" s="24">
        <v>200</v>
      </c>
      <c r="L38" s="24">
        <v>200</v>
      </c>
      <c r="M38" s="24">
        <v>200</v>
      </c>
      <c r="N38" s="24">
        <v>200</v>
      </c>
      <c r="O38" s="24">
        <v>200</v>
      </c>
      <c r="P38" s="24">
        <v>200</v>
      </c>
      <c r="Q38" s="24">
        <v>200</v>
      </c>
      <c r="R38" s="24">
        <v>200</v>
      </c>
      <c r="S38" s="24">
        <v>200</v>
      </c>
      <c r="T38" s="24">
        <v>200</v>
      </c>
      <c r="U38" s="24">
        <v>200</v>
      </c>
      <c r="V38" s="24">
        <v>200</v>
      </c>
      <c r="W38" s="24">
        <v>200</v>
      </c>
      <c r="X38" s="24">
        <v>200</v>
      </c>
      <c r="Y38" s="24">
        <v>200</v>
      </c>
      <c r="Z38" s="24">
        <v>200</v>
      </c>
      <c r="AA38" s="24">
        <v>266</v>
      </c>
      <c r="AB38" s="24">
        <v>200</v>
      </c>
      <c r="AC38" s="24">
        <v>200</v>
      </c>
      <c r="AD38" s="24">
        <v>200</v>
      </c>
      <c r="AE38" s="135">
        <v>200</v>
      </c>
      <c r="AF38" s="24">
        <v>200</v>
      </c>
      <c r="AG38" s="156">
        <v>200</v>
      </c>
      <c r="AH38" s="24">
        <v>200</v>
      </c>
      <c r="AI38" s="24">
        <v>200</v>
      </c>
      <c r="AJ38" s="24">
        <v>200</v>
      </c>
      <c r="AK38" s="24">
        <v>200</v>
      </c>
    </row>
    <row r="39" spans="2:37" x14ac:dyDescent="0.25">
      <c r="B39" s="9" t="s">
        <v>696</v>
      </c>
      <c r="C39" s="2" t="s">
        <v>685</v>
      </c>
      <c r="D39" s="34">
        <f t="shared" si="0"/>
        <v>333</v>
      </c>
      <c r="E39" s="3">
        <v>1</v>
      </c>
      <c r="F39" s="3" t="s">
        <v>689</v>
      </c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333</v>
      </c>
      <c r="H39" s="24">
        <v>333</v>
      </c>
      <c r="I39" s="24">
        <v>333</v>
      </c>
      <c r="J39" s="24">
        <v>333</v>
      </c>
      <c r="K39" s="24">
        <v>333</v>
      </c>
      <c r="L39" s="24">
        <v>333</v>
      </c>
      <c r="M39" s="24">
        <v>333</v>
      </c>
      <c r="N39" s="24">
        <v>333</v>
      </c>
      <c r="O39" s="24">
        <v>333</v>
      </c>
      <c r="P39" s="24">
        <v>333</v>
      </c>
      <c r="Q39" s="24">
        <v>333</v>
      </c>
      <c r="R39" s="24">
        <v>333</v>
      </c>
      <c r="S39" s="24">
        <v>333</v>
      </c>
      <c r="T39" s="24">
        <v>333</v>
      </c>
      <c r="U39" s="24">
        <v>333</v>
      </c>
      <c r="V39" s="24">
        <v>333</v>
      </c>
      <c r="W39" s="24">
        <v>333</v>
      </c>
      <c r="X39" s="24">
        <v>333</v>
      </c>
      <c r="Y39" s="24">
        <v>333</v>
      </c>
      <c r="Z39" s="24">
        <v>333</v>
      </c>
      <c r="AA39" s="24">
        <v>333</v>
      </c>
      <c r="AB39" s="24">
        <v>333</v>
      </c>
      <c r="AC39" s="24">
        <v>333</v>
      </c>
      <c r="AD39" s="24">
        <v>333</v>
      </c>
      <c r="AE39" s="135">
        <v>333</v>
      </c>
      <c r="AF39" s="24">
        <v>333</v>
      </c>
      <c r="AG39" s="156">
        <v>333</v>
      </c>
      <c r="AH39" s="24">
        <v>333</v>
      </c>
      <c r="AI39" s="24">
        <v>333</v>
      </c>
      <c r="AJ39" s="24">
        <v>333</v>
      </c>
      <c r="AK39" s="24">
        <v>333</v>
      </c>
    </row>
    <row r="40" spans="2:37" x14ac:dyDescent="0.25">
      <c r="B40" s="9" t="s">
        <v>691</v>
      </c>
      <c r="C40" s="2" t="s">
        <v>686</v>
      </c>
      <c r="D40" s="34">
        <f t="shared" si="0"/>
        <v>5</v>
      </c>
      <c r="E40" s="3">
        <v>1</v>
      </c>
      <c r="F40" s="3" t="s">
        <v>690</v>
      </c>
      <c r="G40" s="15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5</v>
      </c>
      <c r="H40" s="24">
        <v>5</v>
      </c>
      <c r="I40" s="24">
        <v>5</v>
      </c>
      <c r="J40" s="24">
        <v>5</v>
      </c>
      <c r="K40" s="24">
        <v>5</v>
      </c>
      <c r="L40" s="24">
        <v>5</v>
      </c>
      <c r="M40" s="24">
        <v>5</v>
      </c>
      <c r="N40" s="24">
        <v>5</v>
      </c>
      <c r="O40" s="24">
        <v>5</v>
      </c>
      <c r="P40" s="24">
        <v>5</v>
      </c>
      <c r="Q40" s="24">
        <v>5</v>
      </c>
      <c r="R40" s="24">
        <v>5</v>
      </c>
      <c r="S40" s="24">
        <v>5</v>
      </c>
      <c r="T40" s="24">
        <v>5</v>
      </c>
      <c r="U40" s="24">
        <v>5</v>
      </c>
      <c r="V40" s="24">
        <v>5</v>
      </c>
      <c r="W40" s="24">
        <v>5</v>
      </c>
      <c r="X40" s="24">
        <v>5</v>
      </c>
      <c r="Y40" s="24">
        <v>5</v>
      </c>
      <c r="Z40" s="24">
        <v>5</v>
      </c>
      <c r="AA40" s="24">
        <v>5</v>
      </c>
      <c r="AB40" s="24">
        <v>5</v>
      </c>
      <c r="AC40" s="24">
        <v>5</v>
      </c>
      <c r="AD40" s="24">
        <v>5</v>
      </c>
      <c r="AE40" s="135">
        <v>5</v>
      </c>
      <c r="AF40" s="24">
        <v>5</v>
      </c>
      <c r="AG40" s="158">
        <v>5</v>
      </c>
      <c r="AH40" s="24">
        <v>5</v>
      </c>
      <c r="AI40" s="24">
        <v>5</v>
      </c>
      <c r="AJ40" s="24">
        <v>5</v>
      </c>
      <c r="AK40" s="24">
        <v>5</v>
      </c>
    </row>
    <row r="41" spans="2:37" x14ac:dyDescent="0.25">
      <c r="B41" s="9" t="s">
        <v>692</v>
      </c>
      <c r="C41" s="2" t="s">
        <v>687</v>
      </c>
      <c r="D41" s="34">
        <f t="shared" si="0"/>
        <v>20</v>
      </c>
      <c r="E41" s="3">
        <v>1</v>
      </c>
      <c r="F41" s="3" t="s">
        <v>690</v>
      </c>
      <c r="G41" s="15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20</v>
      </c>
      <c r="H41" s="24">
        <v>20</v>
      </c>
      <c r="I41" s="24">
        <v>20</v>
      </c>
      <c r="J41" s="24">
        <v>20</v>
      </c>
      <c r="K41" s="24">
        <v>20</v>
      </c>
      <c r="L41" s="24">
        <v>20</v>
      </c>
      <c r="M41" s="24">
        <v>20</v>
      </c>
      <c r="N41" s="24">
        <v>20</v>
      </c>
      <c r="O41" s="24">
        <v>20</v>
      </c>
      <c r="P41" s="24">
        <v>20</v>
      </c>
      <c r="Q41" s="24">
        <v>20</v>
      </c>
      <c r="R41" s="24">
        <v>20</v>
      </c>
      <c r="S41" s="24">
        <v>20</v>
      </c>
      <c r="T41" s="24">
        <v>20</v>
      </c>
      <c r="U41" s="24">
        <v>20</v>
      </c>
      <c r="V41" s="24">
        <v>20</v>
      </c>
      <c r="W41" s="24">
        <v>20</v>
      </c>
      <c r="X41" s="24">
        <v>20</v>
      </c>
      <c r="Y41" s="24">
        <v>20</v>
      </c>
      <c r="Z41" s="24">
        <v>20</v>
      </c>
      <c r="AA41" s="24">
        <v>20</v>
      </c>
      <c r="AB41" s="24">
        <v>20</v>
      </c>
      <c r="AC41" s="24">
        <v>20</v>
      </c>
      <c r="AD41" s="24">
        <v>20</v>
      </c>
      <c r="AE41" s="135">
        <v>20</v>
      </c>
      <c r="AF41" s="24">
        <v>20</v>
      </c>
      <c r="AG41" s="158">
        <v>20</v>
      </c>
      <c r="AH41" s="24">
        <v>20</v>
      </c>
      <c r="AI41" s="24">
        <v>20</v>
      </c>
      <c r="AJ41" s="24">
        <v>20</v>
      </c>
      <c r="AK41" s="24">
        <v>20</v>
      </c>
    </row>
    <row r="42" spans="2:37" x14ac:dyDescent="0.25">
      <c r="B42" s="9" t="s">
        <v>694</v>
      </c>
      <c r="C42" s="2" t="s">
        <v>688</v>
      </c>
      <c r="D42" s="34">
        <f t="shared" si="0"/>
        <v>3.8500000000000001E-3</v>
      </c>
      <c r="E42" s="3">
        <v>1</v>
      </c>
      <c r="F42" s="3" t="s">
        <v>693</v>
      </c>
      <c r="G42" s="15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3.8500000000000001E-3</v>
      </c>
      <c r="H42" s="24">
        <v>3.8500000000000001E-3</v>
      </c>
      <c r="I42" s="24">
        <v>3.8500000000000001E-3</v>
      </c>
      <c r="J42" s="24">
        <v>3.8500000000000001E-3</v>
      </c>
      <c r="K42" s="24">
        <v>0.307</v>
      </c>
      <c r="L42" s="24">
        <v>3.8500000000000001E-3</v>
      </c>
      <c r="M42" s="24">
        <v>3.8500000000000001E-3</v>
      </c>
      <c r="N42" s="24">
        <v>3.8500000000000001E-3</v>
      </c>
      <c r="O42" s="24">
        <v>3.8500000000000001E-3</v>
      </c>
      <c r="P42" s="24">
        <v>3.8500000000000001E-3</v>
      </c>
      <c r="Q42" s="24">
        <v>3.8500000000000001E-3</v>
      </c>
      <c r="R42" s="24">
        <v>3.8500000000000001E-3</v>
      </c>
      <c r="S42" s="24">
        <v>3.8500000000000001E-3</v>
      </c>
      <c r="T42" s="24">
        <v>3.8500000000000001E-3</v>
      </c>
      <c r="U42" s="24">
        <v>3.8500000000000001E-3</v>
      </c>
      <c r="V42" s="24">
        <v>3.8500000000000001E-3</v>
      </c>
      <c r="W42" s="24">
        <v>3.8500000000000001E-3</v>
      </c>
      <c r="X42" s="24">
        <v>3.8500000000000001E-3</v>
      </c>
      <c r="Y42" s="24">
        <v>3.8500000000000001E-3</v>
      </c>
      <c r="Z42" s="24">
        <v>3.8500000000000001E-3</v>
      </c>
      <c r="AA42" s="24">
        <v>3.8500000000000001E-3</v>
      </c>
      <c r="AB42" s="24">
        <v>3.8500000000000001E-3</v>
      </c>
      <c r="AC42" s="24">
        <v>3.8500000000000001E-3</v>
      </c>
      <c r="AD42" s="24">
        <v>3.8500000000000001E-3</v>
      </c>
      <c r="AE42" s="135">
        <v>3.8500000000000001E-3</v>
      </c>
      <c r="AF42" s="24">
        <v>3.8500000000000001E-3</v>
      </c>
      <c r="AG42" s="158">
        <v>3.8500000000000001E-3</v>
      </c>
      <c r="AH42" s="24">
        <v>3.8500000000000001E-3</v>
      </c>
      <c r="AI42" s="24">
        <v>3.8500000000000001E-3</v>
      </c>
      <c r="AJ42" s="24">
        <v>3.8500000000000001E-3</v>
      </c>
      <c r="AK42" s="24">
        <v>3.8500000000000001E-3</v>
      </c>
    </row>
    <row r="43" spans="2:37" x14ac:dyDescent="0.25">
      <c r="B43" s="9" t="s">
        <v>738</v>
      </c>
      <c r="C43" s="2" t="s">
        <v>739</v>
      </c>
      <c r="D43" s="34">
        <f t="shared" si="0"/>
        <v>1</v>
      </c>
      <c r="E43" s="3">
        <v>1</v>
      </c>
      <c r="F43" s="3"/>
      <c r="G43" s="15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1</v>
      </c>
      <c r="H43" s="24">
        <v>1</v>
      </c>
      <c r="I43" s="24">
        <v>1</v>
      </c>
      <c r="J43" s="24">
        <v>1</v>
      </c>
      <c r="K43" s="24">
        <v>1</v>
      </c>
      <c r="L43" s="24">
        <v>1</v>
      </c>
      <c r="M43" s="24">
        <v>1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>
        <v>1</v>
      </c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>
        <v>1</v>
      </c>
      <c r="AD43" s="24">
        <v>1</v>
      </c>
      <c r="AE43" s="135">
        <v>1</v>
      </c>
      <c r="AF43" s="24">
        <v>1</v>
      </c>
      <c r="AG43" s="156">
        <v>1</v>
      </c>
      <c r="AH43" s="24">
        <v>1</v>
      </c>
      <c r="AI43" s="24">
        <v>1</v>
      </c>
      <c r="AJ43" s="24">
        <v>1</v>
      </c>
      <c r="AK43" s="24">
        <v>1</v>
      </c>
    </row>
    <row r="44" spans="2:37" x14ac:dyDescent="0.25">
      <c r="B44" s="9" t="s">
        <v>777</v>
      </c>
      <c r="C44" s="2" t="s">
        <v>778</v>
      </c>
      <c r="D44" s="34">
        <f t="shared" si="0"/>
        <v>0.80900000000000005</v>
      </c>
      <c r="E44" s="3">
        <v>1</v>
      </c>
      <c r="F44" s="3" t="s">
        <v>779</v>
      </c>
      <c r="G44" s="15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0.80900000000000005</v>
      </c>
      <c r="H44" s="24">
        <v>0.80900000000000005</v>
      </c>
      <c r="I44" s="24">
        <v>0.80900000000000005</v>
      </c>
      <c r="J44" s="24">
        <v>0.80900000000000005</v>
      </c>
      <c r="K44" s="24">
        <v>0.80900000000000005</v>
      </c>
      <c r="L44" s="24">
        <v>0.80900000000000005</v>
      </c>
      <c r="M44" s="24">
        <v>0.80900000000000005</v>
      </c>
      <c r="N44" s="24">
        <v>0.80900000000000005</v>
      </c>
      <c r="O44" s="24">
        <v>0.80900000000000005</v>
      </c>
      <c r="P44" s="24">
        <v>0.80900000000000005</v>
      </c>
      <c r="Q44" s="24">
        <v>0.80900000000000005</v>
      </c>
      <c r="R44" s="24">
        <v>0.80900000000000005</v>
      </c>
      <c r="S44" s="24">
        <v>0.80900000000000005</v>
      </c>
      <c r="T44" s="24">
        <v>0.80900000000000005</v>
      </c>
      <c r="U44" s="24">
        <v>0.80900000000000005</v>
      </c>
      <c r="V44" s="24">
        <v>0.80900000000000005</v>
      </c>
      <c r="W44" s="24">
        <v>0.80900000000000005</v>
      </c>
      <c r="X44" s="24">
        <v>0.80900000000000005</v>
      </c>
      <c r="Y44" s="24">
        <v>0.80900000000000005</v>
      </c>
      <c r="Z44" s="24">
        <v>0.80900000000000005</v>
      </c>
      <c r="AA44" s="24">
        <v>0.80900000000000005</v>
      </c>
      <c r="AB44" s="24">
        <v>0.80900000000000005</v>
      </c>
      <c r="AC44" s="24">
        <v>0.80900000000000005</v>
      </c>
      <c r="AD44" s="24">
        <v>0.80900000000000005</v>
      </c>
      <c r="AE44" s="135">
        <v>0.80900000000000005</v>
      </c>
      <c r="AF44" s="24">
        <v>0.80900000000000005</v>
      </c>
      <c r="AG44" s="156">
        <v>0.80900000000000005</v>
      </c>
      <c r="AH44" s="24">
        <v>0.80900000000000005</v>
      </c>
      <c r="AI44" s="24">
        <v>0.80900000000000005</v>
      </c>
      <c r="AJ44" s="24">
        <v>0.80900000000000005</v>
      </c>
      <c r="AK44" s="24">
        <v>0.80900000000000005</v>
      </c>
    </row>
    <row r="45" spans="2:37" x14ac:dyDescent="0.25">
      <c r="B45" s="9" t="s">
        <v>780</v>
      </c>
      <c r="C45" s="2" t="s">
        <v>781</v>
      </c>
      <c r="D45" s="34">
        <f t="shared" ref="D45:D46" si="18">+G45*E45</f>
        <v>323.38</v>
      </c>
      <c r="E45" s="3">
        <v>2</v>
      </c>
      <c r="F45" s="3" t="s">
        <v>783</v>
      </c>
      <c r="G45" s="15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161.69</v>
      </c>
      <c r="H45" s="24">
        <v>161.69</v>
      </c>
      <c r="I45" s="24">
        <v>161.69</v>
      </c>
      <c r="J45" s="24">
        <v>161.69</v>
      </c>
      <c r="K45" s="24">
        <v>161.69</v>
      </c>
      <c r="L45" s="24">
        <v>161.69</v>
      </c>
      <c r="M45" s="24">
        <v>161.69</v>
      </c>
      <c r="N45" s="24">
        <v>161.69</v>
      </c>
      <c r="O45" s="24">
        <v>161.69</v>
      </c>
      <c r="P45" s="24">
        <v>161.69</v>
      </c>
      <c r="Q45" s="24">
        <v>161.69</v>
      </c>
      <c r="R45" s="24">
        <v>161.69</v>
      </c>
      <c r="S45" s="24">
        <v>161.69</v>
      </c>
      <c r="T45" s="24">
        <v>161.69</v>
      </c>
      <c r="U45" s="24">
        <v>161.69</v>
      </c>
      <c r="V45" s="24">
        <v>161.69</v>
      </c>
      <c r="W45" s="24">
        <v>161.69</v>
      </c>
      <c r="X45" s="24">
        <v>161.69</v>
      </c>
      <c r="Y45" s="24">
        <v>161.69</v>
      </c>
      <c r="Z45" s="24">
        <v>161.69</v>
      </c>
      <c r="AA45" s="24">
        <v>161.69</v>
      </c>
      <c r="AB45" s="24">
        <v>161.69</v>
      </c>
      <c r="AC45" s="24">
        <v>161.69</v>
      </c>
      <c r="AD45" s="24">
        <v>161.69</v>
      </c>
      <c r="AE45" s="135">
        <v>161.69</v>
      </c>
      <c r="AF45" s="24">
        <v>161.69</v>
      </c>
      <c r="AG45" s="156">
        <v>161.69</v>
      </c>
      <c r="AH45" s="24">
        <v>161.69</v>
      </c>
      <c r="AI45" s="24">
        <v>161.69</v>
      </c>
      <c r="AJ45" s="24">
        <v>161.69</v>
      </c>
      <c r="AK45" s="24">
        <v>161.69</v>
      </c>
    </row>
    <row r="46" spans="2:37" x14ac:dyDescent="0.25">
      <c r="B46" s="9" t="s">
        <v>782</v>
      </c>
      <c r="C46" s="2" t="s">
        <v>775</v>
      </c>
      <c r="D46" s="34">
        <f t="shared" si="18"/>
        <v>0.89999999999999991</v>
      </c>
      <c r="E46" s="3">
        <v>3</v>
      </c>
      <c r="F46" s="3" t="s">
        <v>784</v>
      </c>
      <c r="G46" s="15">
        <f>+IF(EXACT('3AC_Data'!$D$8,1),H46,IF(EXACT('3AC_Data'!$D$8,2),I46,IF(EXACT('3AC_Data'!$D$8,3),J46,IF(EXACT('3AC_Data'!$D$8,4),K46,IF(EXACT('3AC_Data'!$D$8,5),L46,IF(EXACT('3AC_Data'!$D$8,6),M46,IF(EXACT('3AC_Data'!$D$8,7),N46,IF(EXACT('3AC_Data'!$D$8,8),O46,IF(EXACT('3AC_Data'!$D$8,9),P46,IF(EXACT('3AC_Data'!$D$8,10),Q46,IF(EXACT('3AC_Data'!$D$8,11),R46,IF(EXACT('3AC_Data'!$D$8,12),S46,IF(EXACT('3AC_Data'!$D$8,13),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0.3</v>
      </c>
      <c r="H46" s="24">
        <v>0.3</v>
      </c>
      <c r="I46" s="24">
        <v>0.3</v>
      </c>
      <c r="J46" s="24">
        <v>0.3</v>
      </c>
      <c r="K46" s="24">
        <v>0.3</v>
      </c>
      <c r="L46" s="24">
        <v>0.3</v>
      </c>
      <c r="M46" s="24">
        <v>0.3</v>
      </c>
      <c r="N46" s="24">
        <v>0.3</v>
      </c>
      <c r="O46" s="24">
        <v>0.3</v>
      </c>
      <c r="P46" s="24">
        <v>0.3</v>
      </c>
      <c r="Q46" s="24">
        <v>0.3</v>
      </c>
      <c r="R46" s="24">
        <v>0.3</v>
      </c>
      <c r="S46" s="24">
        <v>0.3</v>
      </c>
      <c r="T46" s="24">
        <v>0.3</v>
      </c>
      <c r="U46" s="24">
        <v>0.3</v>
      </c>
      <c r="V46" s="24">
        <v>0.3</v>
      </c>
      <c r="W46" s="24">
        <v>0.3</v>
      </c>
      <c r="X46" s="24">
        <v>0.3</v>
      </c>
      <c r="Y46" s="24">
        <v>0.3</v>
      </c>
      <c r="Z46" s="24">
        <v>0.3</v>
      </c>
      <c r="AA46" s="24">
        <v>0.3</v>
      </c>
      <c r="AB46" s="24">
        <v>0.3</v>
      </c>
      <c r="AC46" s="24">
        <v>0.3</v>
      </c>
      <c r="AD46" s="24">
        <v>0.3</v>
      </c>
      <c r="AE46" s="135">
        <v>0.3</v>
      </c>
      <c r="AF46" s="24">
        <v>0.3</v>
      </c>
      <c r="AG46" s="156">
        <v>0.3</v>
      </c>
      <c r="AH46" s="24">
        <v>0.3</v>
      </c>
      <c r="AI46" s="24">
        <v>0.3</v>
      </c>
      <c r="AJ46" s="24">
        <v>0.3</v>
      </c>
      <c r="AK46" s="24">
        <v>0.3</v>
      </c>
    </row>
    <row r="47" spans="2:37" x14ac:dyDescent="0.25">
      <c r="G47" s="1"/>
      <c r="H47" s="5"/>
      <c r="I47" s="5"/>
      <c r="J47" s="5"/>
      <c r="K47" s="5"/>
      <c r="L47" s="5"/>
      <c r="M47" s="5"/>
      <c r="N47" s="5"/>
      <c r="O47" s="5"/>
      <c r="AD47" s="24"/>
    </row>
    <row r="49" spans="2:7" x14ac:dyDescent="0.25">
      <c r="B49" s="187" t="s">
        <v>2</v>
      </c>
      <c r="C49" s="187"/>
    </row>
    <row r="50" spans="2:7" x14ac:dyDescent="0.25">
      <c r="B50" s="9" t="str">
        <f>+B3</f>
        <v>Type of engine</v>
      </c>
      <c r="C50" s="9" t="s">
        <v>9</v>
      </c>
    </row>
    <row r="51" spans="2:7" x14ac:dyDescent="0.25">
      <c r="B51" s="3">
        <v>1</v>
      </c>
      <c r="C51" s="8" t="s">
        <v>100</v>
      </c>
    </row>
    <row r="52" spans="2:7" x14ac:dyDescent="0.25">
      <c r="B52" s="3">
        <v>2</v>
      </c>
      <c r="C52" s="8" t="s">
        <v>101</v>
      </c>
    </row>
    <row r="53" spans="2:7" x14ac:dyDescent="0.25">
      <c r="B53" s="3">
        <v>3</v>
      </c>
      <c r="C53" s="8" t="s">
        <v>102</v>
      </c>
    </row>
    <row r="54" spans="2:7" x14ac:dyDescent="0.25">
      <c r="B54" s="3">
        <v>4</v>
      </c>
      <c r="C54" s="8" t="s">
        <v>103</v>
      </c>
    </row>
    <row r="55" spans="2:7" x14ac:dyDescent="0.25">
      <c r="B55" s="3">
        <v>5</v>
      </c>
      <c r="C55" s="8" t="s">
        <v>944</v>
      </c>
    </row>
    <row r="56" spans="2:7" x14ac:dyDescent="0.25">
      <c r="B56" s="9" t="str">
        <f>+B4</f>
        <v>Number of engines</v>
      </c>
      <c r="C56" s="9" t="s">
        <v>9</v>
      </c>
    </row>
    <row r="57" spans="2:7" x14ac:dyDescent="0.25">
      <c r="B57" s="9" t="str">
        <f>+B5</f>
        <v>EMPUJE/POTENCIA A NIVEL DEL MAR: % Thrust (lbf) or Power (shp) per engine</v>
      </c>
      <c r="C57" s="9" t="s">
        <v>9</v>
      </c>
    </row>
    <row r="58" spans="2:7" x14ac:dyDescent="0.25">
      <c r="B58" s="9" t="str">
        <f>+B6</f>
        <v>CONSUMO ESPECIFICO: % Specificl Fuel consumption  (lb/lbf*h)/(lb/shp*h)</v>
      </c>
      <c r="C58" s="9" t="s">
        <v>9</v>
      </c>
      <c r="G58" s="1"/>
    </row>
    <row r="59" spans="2:7" x14ac:dyDescent="0.25">
      <c r="B59" s="9" t="str">
        <f>+B7</f>
        <v xml:space="preserve">DERIVACION(TURBOFANES) By-pass </v>
      </c>
      <c r="C59" s="9" t="s">
        <v>9</v>
      </c>
      <c r="G59" s="1"/>
    </row>
    <row r="60" spans="2:7" x14ac:dyDescent="0.25">
      <c r="B60" s="3">
        <v>1</v>
      </c>
      <c r="C60" s="8" t="s">
        <v>118</v>
      </c>
    </row>
    <row r="61" spans="2:7" x14ac:dyDescent="0.25">
      <c r="B61" s="3">
        <v>2</v>
      </c>
      <c r="C61" s="8" t="s">
        <v>119</v>
      </c>
    </row>
    <row r="62" spans="2:7" x14ac:dyDescent="0.25">
      <c r="B62" s="3">
        <v>3</v>
      </c>
      <c r="C62" s="8" t="s">
        <v>120</v>
      </c>
    </row>
    <row r="63" spans="2:7" x14ac:dyDescent="0.25">
      <c r="B63" s="9" t="str">
        <f>+B8</f>
        <v>EFICIENCIA DE LA HELICE (ETA_P)</v>
      </c>
      <c r="C63" s="9" t="s">
        <v>9</v>
      </c>
    </row>
    <row r="64" spans="2:7" x14ac:dyDescent="0.25">
      <c r="B64" s="9" t="str">
        <f>+B9</f>
        <v>Normativa Propulsion</v>
      </c>
      <c r="C64" s="9" t="s">
        <v>9</v>
      </c>
      <c r="G64" s="5"/>
    </row>
    <row r="65" spans="2:7" x14ac:dyDescent="0.25">
      <c r="B65" s="3">
        <v>1</v>
      </c>
      <c r="C65" s="8" t="s">
        <v>121</v>
      </c>
      <c r="G65" s="5"/>
    </row>
    <row r="66" spans="2:7" x14ac:dyDescent="0.25">
      <c r="B66" s="3">
        <v>2</v>
      </c>
      <c r="C66" s="8" t="s">
        <v>122</v>
      </c>
    </row>
    <row r="67" spans="2:7" x14ac:dyDescent="0.25">
      <c r="B67" s="9" t="str">
        <f>+B10</f>
        <v>CAPACIDAD CALORIFICA DEL COMBUSTIBLE</v>
      </c>
      <c r="C67" s="9" t="s">
        <v>9</v>
      </c>
      <c r="G67" s="1"/>
    </row>
    <row r="68" spans="2:7" x14ac:dyDescent="0.25">
      <c r="B68" s="9" t="str">
        <f>+B11</f>
        <v>DIAMETRO DEL MOTOR(TURBOHELICES)</v>
      </c>
      <c r="C68" s="9" t="s">
        <v>9</v>
      </c>
      <c r="G68" s="1"/>
    </row>
    <row r="69" spans="2:7" x14ac:dyDescent="0.25">
      <c r="B69" s="9" t="str">
        <f>+B12</f>
        <v>Type Battery Used for Propulsion</v>
      </c>
      <c r="C69" s="9" t="s">
        <v>9</v>
      </c>
    </row>
    <row r="70" spans="2:7" x14ac:dyDescent="0.25">
      <c r="B70" s="3">
        <v>1</v>
      </c>
      <c r="C70" s="8" t="s">
        <v>125</v>
      </c>
    </row>
    <row r="71" spans="2:7" x14ac:dyDescent="0.25">
      <c r="B71" s="3">
        <v>2</v>
      </c>
      <c r="C71" s="8" t="s">
        <v>126</v>
      </c>
    </row>
    <row r="72" spans="2:7" x14ac:dyDescent="0.25">
      <c r="B72" s="3">
        <v>3</v>
      </c>
      <c r="C72" s="8" t="s">
        <v>127</v>
      </c>
    </row>
    <row r="73" spans="2:7" x14ac:dyDescent="0.25">
      <c r="B73" s="3">
        <v>4</v>
      </c>
      <c r="C73" s="8" t="s">
        <v>128</v>
      </c>
      <c r="G73" s="1"/>
    </row>
    <row r="74" spans="2:7" x14ac:dyDescent="0.25">
      <c r="B74" s="9" t="str">
        <f>+B13</f>
        <v>Engine location</v>
      </c>
      <c r="C74" s="9" t="s">
        <v>9</v>
      </c>
      <c r="G74" s="1"/>
    </row>
    <row r="75" spans="2:7" x14ac:dyDescent="0.25">
      <c r="B75" s="3">
        <v>1</v>
      </c>
      <c r="C75" s="8" t="s">
        <v>297</v>
      </c>
    </row>
    <row r="76" spans="2:7" x14ac:dyDescent="0.25">
      <c r="B76" s="3">
        <v>2</v>
      </c>
      <c r="C76" s="8" t="s">
        <v>176</v>
      </c>
      <c r="G76" s="5"/>
    </row>
    <row r="77" spans="2:7" x14ac:dyDescent="0.25">
      <c r="B77" s="3">
        <v>3</v>
      </c>
      <c r="C77" s="8" t="s">
        <v>177</v>
      </c>
      <c r="G77" s="5"/>
    </row>
    <row r="78" spans="2:7" x14ac:dyDescent="0.25">
      <c r="B78" s="3">
        <v>4</v>
      </c>
      <c r="C78" s="8" t="s">
        <v>178</v>
      </c>
    </row>
    <row r="79" spans="2:7" x14ac:dyDescent="0.25">
      <c r="B79" s="3">
        <v>5</v>
      </c>
      <c r="C79" s="8" t="s">
        <v>903</v>
      </c>
    </row>
    <row r="80" spans="2:7" x14ac:dyDescent="0.25">
      <c r="B80" s="9" t="str">
        <f>+B14</f>
        <v>Engine configuration</v>
      </c>
      <c r="C80" s="9" t="s">
        <v>9</v>
      </c>
      <c r="G80" s="1"/>
    </row>
    <row r="81" spans="2:7" x14ac:dyDescent="0.25">
      <c r="B81" s="3">
        <v>1</v>
      </c>
      <c r="C81" s="2" t="s">
        <v>181</v>
      </c>
      <c r="G81" s="1"/>
    </row>
    <row r="82" spans="2:7" x14ac:dyDescent="0.25">
      <c r="B82" s="3">
        <v>2</v>
      </c>
      <c r="C82" s="2" t="s">
        <v>182</v>
      </c>
    </row>
    <row r="83" spans="2:7" x14ac:dyDescent="0.25">
      <c r="B83" s="3">
        <v>3</v>
      </c>
      <c r="C83" s="2" t="s">
        <v>183</v>
      </c>
      <c r="G83" s="1"/>
    </row>
    <row r="84" spans="2:7" x14ac:dyDescent="0.25">
      <c r="B84" s="2" t="str">
        <f>+B15</f>
        <v>Preliminary Prop Diameter (m)</v>
      </c>
      <c r="C84" s="2" t="s">
        <v>230</v>
      </c>
      <c r="G84" s="1"/>
    </row>
    <row r="85" spans="2:7" x14ac:dyDescent="0.25">
      <c r="B85" s="2" t="str">
        <f>+B21</f>
        <v>Flag that determines if the prop is known</v>
      </c>
      <c r="C85" s="2" t="s">
        <v>945</v>
      </c>
      <c r="G85" s="1"/>
    </row>
    <row r="86" spans="2:7" x14ac:dyDescent="0.25">
      <c r="B86" s="2" t="str">
        <f>+B22</f>
        <v>model of prop</v>
      </c>
      <c r="C86" s="2" t="s">
        <v>271</v>
      </c>
      <c r="G86" s="1"/>
    </row>
    <row r="87" spans="2:7" x14ac:dyDescent="0.25">
      <c r="B87" s="2" t="str">
        <f>+B23</f>
        <v>Type of Propeller</v>
      </c>
      <c r="C87" s="9" t="s">
        <v>9</v>
      </c>
    </row>
    <row r="88" spans="2:7" x14ac:dyDescent="0.25">
      <c r="B88" s="3">
        <v>0</v>
      </c>
      <c r="C88" s="2" t="s">
        <v>305</v>
      </c>
    </row>
    <row r="89" spans="2:7" x14ac:dyDescent="0.25">
      <c r="B89" s="3">
        <v>1</v>
      </c>
      <c r="C89" s="2" t="s">
        <v>303</v>
      </c>
    </row>
    <row r="90" spans="2:7" x14ac:dyDescent="0.25">
      <c r="B90" s="3">
        <v>2</v>
      </c>
      <c r="C90" s="2" t="s">
        <v>304</v>
      </c>
    </row>
    <row r="91" spans="2:7" x14ac:dyDescent="0.25">
      <c r="B91" s="2" t="str">
        <f>+B24</f>
        <v>Propeller Used (APC Experiments)</v>
      </c>
      <c r="C91" s="9" t="s">
        <v>9</v>
      </c>
    </row>
    <row r="92" spans="2:7" x14ac:dyDescent="0.25">
      <c r="B92" s="3">
        <v>1</v>
      </c>
      <c r="C92" s="9" t="s">
        <v>275</v>
      </c>
    </row>
    <row r="93" spans="2:7" x14ac:dyDescent="0.25">
      <c r="B93" s="3">
        <v>2</v>
      </c>
      <c r="C93" s="9" t="s">
        <v>315</v>
      </c>
    </row>
    <row r="94" spans="2:7" x14ac:dyDescent="0.25">
      <c r="B94" s="3">
        <v>3</v>
      </c>
      <c r="C94" s="9" t="s">
        <v>316</v>
      </c>
    </row>
    <row r="95" spans="2:7" x14ac:dyDescent="0.25">
      <c r="B95" s="3">
        <v>4</v>
      </c>
      <c r="C95" s="9" t="s">
        <v>278</v>
      </c>
    </row>
    <row r="96" spans="2:7" x14ac:dyDescent="0.25">
      <c r="B96" s="3">
        <v>5</v>
      </c>
      <c r="C96" s="9" t="s">
        <v>317</v>
      </c>
    </row>
    <row r="97" spans="2:3" x14ac:dyDescent="0.25">
      <c r="B97" s="3">
        <v>6</v>
      </c>
      <c r="C97" s="9" t="s">
        <v>318</v>
      </c>
    </row>
    <row r="98" spans="2:3" x14ac:dyDescent="0.25">
      <c r="B98" s="2" t="str">
        <f>+B25</f>
        <v>Engine geometry - length</v>
      </c>
      <c r="C98" s="9" t="s">
        <v>9</v>
      </c>
    </row>
    <row r="99" spans="2:3" x14ac:dyDescent="0.25">
      <c r="B99" s="2" t="str">
        <f>+B26</f>
        <v>Engine geometry - diameter</v>
      </c>
      <c r="C99" s="9" t="s">
        <v>9</v>
      </c>
    </row>
    <row r="100" spans="2:3" x14ac:dyDescent="0.25">
      <c r="B100" s="2" t="str">
        <f t="shared" ref="B100:B101" si="19">+B27</f>
        <v>Nacelle geometry - length</v>
      </c>
      <c r="C100" s="9" t="s">
        <v>9</v>
      </c>
    </row>
    <row r="101" spans="2:3" x14ac:dyDescent="0.25">
      <c r="B101" s="2" t="str">
        <f t="shared" si="19"/>
        <v>Nacelle geometry - diameter</v>
      </c>
      <c r="C101" s="9" t="s">
        <v>9</v>
      </c>
    </row>
    <row r="102" spans="2:3" x14ac:dyDescent="0.25">
      <c r="B102" s="2" t="str">
        <f>+B29</f>
        <v>Compares 3 prop models</v>
      </c>
      <c r="C102" s="9" t="s">
        <v>9</v>
      </c>
    </row>
    <row r="103" spans="2:3" x14ac:dyDescent="0.25">
      <c r="B103" s="2">
        <v>1</v>
      </c>
      <c r="C103" s="2" t="s">
        <v>625</v>
      </c>
    </row>
    <row r="104" spans="2:3" x14ac:dyDescent="0.25">
      <c r="B104" s="2">
        <v>2</v>
      </c>
      <c r="C104" s="9" t="s">
        <v>626</v>
      </c>
    </row>
    <row r="105" spans="2:3" x14ac:dyDescent="0.25">
      <c r="B105" s="2">
        <v>3</v>
      </c>
      <c r="C105" s="9" t="s">
        <v>627</v>
      </c>
    </row>
    <row r="106" spans="2:3" x14ac:dyDescent="0.25">
      <c r="B106" s="2" t="str">
        <f>+B30</f>
        <v>Model 1 - APC data</v>
      </c>
      <c r="C106" s="9" t="s">
        <v>9</v>
      </c>
    </row>
    <row r="107" spans="2:3" x14ac:dyDescent="0.25">
      <c r="B107" s="2">
        <v>1</v>
      </c>
      <c r="C107" s="9" t="s">
        <v>629</v>
      </c>
    </row>
    <row r="108" spans="2:3" x14ac:dyDescent="0.25">
      <c r="B108" s="2">
        <v>2</v>
      </c>
      <c r="C108" s="9" t="s">
        <v>630</v>
      </c>
    </row>
    <row r="109" spans="2:3" x14ac:dyDescent="0.25">
      <c r="B109" s="2">
        <v>3</v>
      </c>
      <c r="C109" s="9" t="s">
        <v>631</v>
      </c>
    </row>
    <row r="110" spans="2:3" x14ac:dyDescent="0.25">
      <c r="B110" s="2">
        <v>4</v>
      </c>
      <c r="C110" s="9" t="s">
        <v>631</v>
      </c>
    </row>
    <row r="111" spans="2:3" x14ac:dyDescent="0.25">
      <c r="B111" s="2">
        <v>5</v>
      </c>
      <c r="C111" s="9" t="s">
        <v>631</v>
      </c>
    </row>
    <row r="112" spans="2:3" x14ac:dyDescent="0.25">
      <c r="B112" s="2">
        <v>6</v>
      </c>
      <c r="C112" s="9" t="s">
        <v>631</v>
      </c>
    </row>
    <row r="113" spans="2:5" x14ac:dyDescent="0.25">
      <c r="B113" s="2" t="str">
        <f>+B31</f>
        <v>Model 2 - Wind tunnel data for different props</v>
      </c>
      <c r="C113" s="9" t="s">
        <v>9</v>
      </c>
    </row>
    <row r="114" spans="2:5" x14ac:dyDescent="0.25">
      <c r="B114" s="2">
        <v>1</v>
      </c>
      <c r="C114" s="9" t="s">
        <v>275</v>
      </c>
    </row>
    <row r="115" spans="2:5" x14ac:dyDescent="0.25">
      <c r="B115" s="2">
        <v>2</v>
      </c>
      <c r="C115" s="9" t="s">
        <v>276</v>
      </c>
    </row>
    <row r="116" spans="2:5" x14ac:dyDescent="0.25">
      <c r="B116" s="2">
        <v>3</v>
      </c>
      <c r="C116" s="9" t="s">
        <v>277</v>
      </c>
      <c r="D116" s="5"/>
      <c r="E116" s="5"/>
    </row>
    <row r="117" spans="2:5" x14ac:dyDescent="0.25">
      <c r="B117" s="2">
        <v>4</v>
      </c>
      <c r="C117" s="9" t="s">
        <v>278</v>
      </c>
      <c r="D117" s="5"/>
      <c r="E117" s="5"/>
    </row>
    <row r="118" spans="2:5" x14ac:dyDescent="0.25">
      <c r="B118" s="2">
        <v>5</v>
      </c>
      <c r="C118" s="9" t="s">
        <v>279</v>
      </c>
      <c r="D118" s="5"/>
      <c r="E118" s="5"/>
    </row>
    <row r="119" spans="2:5" x14ac:dyDescent="0.25">
      <c r="B119" s="2">
        <v>6</v>
      </c>
      <c r="C119" s="9" t="s">
        <v>280</v>
      </c>
      <c r="D119" s="5"/>
      <c r="E119" s="5"/>
    </row>
    <row r="120" spans="2:5" x14ac:dyDescent="0.25">
      <c r="B120" s="2" t="str">
        <f>+B32</f>
        <v>Model 3 - Wind tunnel data for different angle of attack</v>
      </c>
      <c r="C120" s="9" t="s">
        <v>9</v>
      </c>
    </row>
    <row r="121" spans="2:5" x14ac:dyDescent="0.25">
      <c r="B121" s="2">
        <v>1</v>
      </c>
      <c r="C121" s="9" t="s">
        <v>632</v>
      </c>
    </row>
    <row r="122" spans="2:5" x14ac:dyDescent="0.25">
      <c r="B122" s="2">
        <v>2</v>
      </c>
      <c r="C122" s="9" t="s">
        <v>632</v>
      </c>
    </row>
    <row r="123" spans="2:5" x14ac:dyDescent="0.25">
      <c r="B123" s="2">
        <v>3</v>
      </c>
      <c r="C123" s="9" t="s">
        <v>632</v>
      </c>
    </row>
    <row r="124" spans="2:5" x14ac:dyDescent="0.25">
      <c r="B124" s="2" t="str">
        <f>+B33</f>
        <v>Gearbox efficiency</v>
      </c>
      <c r="C124" s="9" t="s">
        <v>9</v>
      </c>
    </row>
    <row r="125" spans="2:5" x14ac:dyDescent="0.25">
      <c r="B125" s="2" t="str">
        <f t="shared" ref="B125:B127" si="20">+B34</f>
        <v>Motor efficiency</v>
      </c>
      <c r="C125" s="9" t="s">
        <v>9</v>
      </c>
    </row>
    <row r="126" spans="2:5" x14ac:dyDescent="0.25">
      <c r="B126" s="2" t="str">
        <f t="shared" si="20"/>
        <v>ESC efficiency</v>
      </c>
      <c r="C126" s="9" t="s">
        <v>9</v>
      </c>
    </row>
    <row r="127" spans="2:5" x14ac:dyDescent="0.25">
      <c r="B127" s="2" t="str">
        <f t="shared" si="20"/>
        <v>Electrical distribution efficiency</v>
      </c>
      <c r="C127" s="9" t="s">
        <v>9</v>
      </c>
    </row>
    <row r="128" spans="2:5" x14ac:dyDescent="0.25">
      <c r="B128" s="2" t="str">
        <f>+B37</f>
        <v xml:space="preserve">Specific Energy of LiFePO4 batteries 90–160 Wh/kg (320–580 J/g or kJ/kg) </v>
      </c>
      <c r="C128" s="9" t="s">
        <v>9</v>
      </c>
    </row>
    <row r="129" spans="2:3" x14ac:dyDescent="0.25">
      <c r="B129" s="2" t="str">
        <f t="shared" ref="B129" si="21">+B38</f>
        <v>Specific Energy of LiPo batteries (Wh/kg)</v>
      </c>
      <c r="C129" s="9" t="s">
        <v>9</v>
      </c>
    </row>
    <row r="130" spans="2:3" x14ac:dyDescent="0.25">
      <c r="B130" s="2" t="str">
        <f>+B39</f>
        <v xml:space="preserve">Specific Energy of fuel cells (Wh/kg) </v>
      </c>
      <c r="C130" s="9" t="s">
        <v>9</v>
      </c>
    </row>
    <row r="131" spans="2:3" x14ac:dyDescent="0.25">
      <c r="B131" s="2" t="str">
        <f t="shared" ref="B131" si="22">+B40</f>
        <v>Motor Specific Power kW/kg - TIER 1</v>
      </c>
      <c r="C131" s="9" t="s">
        <v>9</v>
      </c>
    </row>
    <row r="132" spans="2:3" x14ac:dyDescent="0.25">
      <c r="B132" s="2" t="str">
        <f>+B41</f>
        <v>ESC  Specific Power kW/kg - TIER 1</v>
      </c>
      <c r="C132" s="9" t="s">
        <v>9</v>
      </c>
    </row>
    <row r="133" spans="2:3" x14ac:dyDescent="0.25">
      <c r="B133" s="2" t="str">
        <f>+B42</f>
        <v>Mass of propeller as a function of diameter in inches</v>
      </c>
      <c r="C133" s="9" t="s">
        <v>9</v>
      </c>
    </row>
    <row r="134" spans="2:3" x14ac:dyDescent="0.25">
      <c r="B134" s="2" t="str">
        <f>+B43</f>
        <v>Determinee Plots to compare different propulsion models</v>
      </c>
      <c r="C134" s="9" t="s">
        <v>9</v>
      </c>
    </row>
    <row r="135" spans="2:3" x14ac:dyDescent="0.25">
      <c r="B135" s="2">
        <v>1</v>
      </c>
      <c r="C135" s="9" t="s">
        <v>741</v>
      </c>
    </row>
    <row r="136" spans="2:3" x14ac:dyDescent="0.25">
      <c r="B136" s="2">
        <v>2</v>
      </c>
      <c r="C136" s="9" t="s">
        <v>740</v>
      </c>
    </row>
  </sheetData>
  <mergeCells count="1">
    <mergeCell ref="B49:C49"/>
  </mergeCells>
  <phoneticPr fontId="3" type="noConversion"/>
  <dataValidations count="15">
    <dataValidation type="list" allowBlank="1" showInputMessage="1" showErrorMessage="1" sqref="H12:J12 L12:R12 U12:AK12" xr:uid="{A3AFDE0C-0B59-422C-B70B-2F6BD814F971}">
      <formula1>$B$70:$B$73</formula1>
    </dataValidation>
    <dataValidation type="list" allowBlank="1" showInputMessage="1" showErrorMessage="1" sqref="H9:J9 L9:R9 U9:AK9" xr:uid="{4C3E9F14-A791-4868-AFA5-61D3A120E697}">
      <formula1>$B$65:$B$66</formula1>
    </dataValidation>
    <dataValidation type="list" allowBlank="1" showInputMessage="1" showErrorMessage="1" sqref="H7:J7 L7:AK7" xr:uid="{9731EDEB-66D6-4AC5-BB5B-A2B1EAFB7743}">
      <formula1>$B$60:$B$62</formula1>
    </dataValidation>
    <dataValidation type="list" allowBlank="1" showInputMessage="1" showErrorMessage="1" sqref="D116:E116" xr:uid="{6D63ED78-54EE-4658-BDD2-66992CE27AF1}">
      <formula1>$G$73:$G$74</formula1>
    </dataValidation>
    <dataValidation type="list" allowBlank="1" showInputMessage="1" showErrorMessage="1" sqref="D117:E117" xr:uid="{0C198F64-B523-49E5-91EF-032590993CA8}">
      <formula1>$G$76:$G$77</formula1>
    </dataValidation>
    <dataValidation type="list" allowBlank="1" showInputMessage="1" showErrorMessage="1" sqref="D118:E118" xr:uid="{7EFE6962-F2D6-461C-9743-39BF560E4BB4}">
      <formula1>$G$80:$G$81</formula1>
    </dataValidation>
    <dataValidation type="list" allowBlank="1" showInputMessage="1" showErrorMessage="1" sqref="D119:E119" xr:uid="{16A3BCF1-28AE-4288-82A0-F37834A90854}">
      <formula1>$G$83:$G$84</formula1>
    </dataValidation>
    <dataValidation type="list" allowBlank="1" showInputMessage="1" showErrorMessage="1" sqref="H14:J14 L14:R14 U14:AK14" xr:uid="{94E2219F-D299-4AF1-BEA3-57D12822A31A}">
      <formula1>$B$81:$B$83</formula1>
    </dataValidation>
    <dataValidation type="list" allowBlank="1" showInputMessage="1" showErrorMessage="1" sqref="H23:J23 L23:R23 U23:AK23" xr:uid="{6E6D10CB-2347-4297-A455-789D0EFFC2DF}">
      <formula1>$B$88:$B$90</formula1>
    </dataValidation>
    <dataValidation type="list" allowBlank="1" showInputMessage="1" showErrorMessage="1" sqref="H24:J24 L24:AK24" xr:uid="{CFAC8CB6-49CA-4D6B-996E-AB11406B09D0}">
      <formula1>$B$92:$B$97</formula1>
    </dataValidation>
    <dataValidation type="list" allowBlank="1" showInputMessage="1" showErrorMessage="1" sqref="H29:J29 L29:AK29" xr:uid="{C607BCA0-3FE3-4A32-8BF7-CB103ECB2DDB}">
      <formula1>$B$103:$B$105</formula1>
    </dataValidation>
    <dataValidation type="list" allowBlank="1" showInputMessage="1" showErrorMessage="1" sqref="H30:J31 L30:AK31" xr:uid="{BDEEE7E9-B3E3-4BBA-B9FF-18C6638849EF}">
      <formula1>$B$114:$B$119</formula1>
    </dataValidation>
    <dataValidation type="list" allowBlank="1" showInputMessage="1" showErrorMessage="1" sqref="H32:J32 L32:AK32" xr:uid="{F4C1E323-1876-4A4D-AA8F-5FD9DD5B047F}">
      <formula1>$B$121:$B$123</formula1>
    </dataValidation>
    <dataValidation type="list" allowBlank="1" showInputMessage="1" showErrorMessage="1" sqref="H13:J13 L13:AK13" xr:uid="{03977DE8-1D5A-4C24-BAB4-9D7EBD3CCB91}">
      <formula1>$B$75:$B$79</formula1>
    </dataValidation>
    <dataValidation type="list" allowBlank="1" showInputMessage="1" showErrorMessage="1" sqref="H3:J3 L3:AK3" xr:uid="{E1AA7AAE-CBB5-4799-B5AE-BE62FF37D2E8}">
      <formula1>$B$51:$B$55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9286-A35E-4AF3-ACD7-1FC017406E0E}">
  <sheetPr codeName="Sheet5"/>
  <dimension ref="B1:AK86"/>
  <sheetViews>
    <sheetView topLeftCell="A13" zoomScale="87" zoomScaleNormal="87" workbookViewId="0">
      <selection activeCell="M40" sqref="M40"/>
    </sheetView>
  </sheetViews>
  <sheetFormatPr baseColWidth="10" defaultColWidth="11.42578125" defaultRowHeight="15" x14ac:dyDescent="0.25"/>
  <cols>
    <col min="1" max="1" width="3" customWidth="1"/>
    <col min="2" max="2" width="46.28515625" bestFit="1" customWidth="1"/>
    <col min="3" max="3" width="48.42578125" bestFit="1" customWidth="1"/>
    <col min="4" max="4" width="9.28515625" bestFit="1" customWidth="1"/>
    <col min="5" max="6" width="9.28515625" customWidth="1"/>
    <col min="7" max="7" width="12.42578125" bestFit="1" customWidth="1"/>
    <col min="8" max="8" width="10.28515625" hidden="1" customWidth="1"/>
    <col min="9" max="9" width="10.140625" style="7" hidden="1" customWidth="1"/>
    <col min="10" max="10" width="12.140625" customWidth="1"/>
    <col min="11" max="11" width="10.28515625" customWidth="1"/>
    <col min="12" max="12" width="6.85546875" customWidth="1"/>
    <col min="13" max="13" width="10.28515625" customWidth="1"/>
    <col min="14" max="15" width="10.28515625" hidden="1" customWidth="1"/>
    <col min="16" max="16" width="11.42578125" hidden="1" customWidth="1"/>
    <col min="17" max="17" width="13.42578125" hidden="1" customWidth="1"/>
    <col min="18" max="18" width="14.85546875" hidden="1" customWidth="1"/>
    <col min="19" max="22" width="11.42578125" hidden="1" customWidth="1"/>
    <col min="23" max="23" width="12.28515625" hidden="1" customWidth="1"/>
    <col min="24" max="26" width="11.42578125" hidden="1" customWidth="1"/>
    <col min="27" max="28" width="11.42578125" customWidth="1"/>
  </cols>
  <sheetData>
    <row r="1" spans="2:37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2" t="s">
        <v>17</v>
      </c>
      <c r="D2" s="35" t="s">
        <v>8</v>
      </c>
      <c r="E2" s="40" t="s">
        <v>298</v>
      </c>
      <c r="F2" s="11" t="s">
        <v>299</v>
      </c>
      <c r="G2" s="20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184</v>
      </c>
      <c r="C3" s="2" t="s">
        <v>200</v>
      </c>
      <c r="D3" s="36">
        <f>+G3*E3</f>
        <v>0.5</v>
      </c>
      <c r="E3" s="41">
        <v>1</v>
      </c>
      <c r="F3" s="4"/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0.5</v>
      </c>
      <c r="H3" s="24">
        <v>0.5</v>
      </c>
      <c r="I3" s="24">
        <v>0.5</v>
      </c>
      <c r="J3" s="24">
        <v>3</v>
      </c>
      <c r="K3" s="24">
        <v>1950</v>
      </c>
      <c r="L3" s="24">
        <v>0.5</v>
      </c>
      <c r="M3" s="24">
        <v>0.5</v>
      </c>
      <c r="N3" s="24">
        <v>0.5</v>
      </c>
      <c r="O3" s="24">
        <v>0.5</v>
      </c>
      <c r="P3" s="24">
        <v>0.5</v>
      </c>
      <c r="Q3" s="24">
        <v>0.5</v>
      </c>
      <c r="R3" s="24">
        <v>0.99</v>
      </c>
      <c r="S3" s="24">
        <v>1.9</v>
      </c>
      <c r="T3" s="24">
        <v>1.9</v>
      </c>
      <c r="U3" s="24">
        <v>0.99</v>
      </c>
      <c r="V3" s="24">
        <v>0.99</v>
      </c>
      <c r="W3" s="24">
        <v>0.99</v>
      </c>
      <c r="X3" s="24">
        <v>0.99</v>
      </c>
      <c r="Y3" s="24">
        <v>0.99</v>
      </c>
      <c r="Z3" s="24">
        <v>0.99</v>
      </c>
      <c r="AA3" s="24">
        <v>0.99</v>
      </c>
      <c r="AB3" s="24">
        <v>0.17499999999999999</v>
      </c>
      <c r="AC3" s="24">
        <v>122</v>
      </c>
      <c r="AD3" s="24">
        <v>122</v>
      </c>
      <c r="AE3" s="137">
        <v>8.5</v>
      </c>
      <c r="AF3" s="24">
        <v>3</v>
      </c>
      <c r="AG3" s="156">
        <v>0.78</v>
      </c>
      <c r="AH3" s="118">
        <v>8.5</v>
      </c>
      <c r="AI3" s="24">
        <v>0.99</v>
      </c>
      <c r="AJ3" s="24">
        <v>0.99</v>
      </c>
      <c r="AK3" s="24">
        <v>0.99</v>
      </c>
    </row>
    <row r="4" spans="2:37" x14ac:dyDescent="0.25">
      <c r="B4" s="2" t="s">
        <v>700</v>
      </c>
      <c r="C4" s="2" t="s">
        <v>201</v>
      </c>
      <c r="D4" s="36">
        <f t="shared" ref="D4:D44" si="0">+G4*E4</f>
        <v>0.24</v>
      </c>
      <c r="E4" s="41">
        <v>1</v>
      </c>
      <c r="F4" s="4"/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0.24</v>
      </c>
      <c r="H4" s="24">
        <v>0.24</v>
      </c>
      <c r="I4" s="24">
        <v>0.24</v>
      </c>
      <c r="J4" s="24">
        <v>0.24</v>
      </c>
      <c r="K4" s="24">
        <v>683</v>
      </c>
      <c r="L4" s="24">
        <v>0.24</v>
      </c>
      <c r="M4" s="24">
        <v>0.24</v>
      </c>
      <c r="N4" s="24">
        <v>0.24</v>
      </c>
      <c r="O4" s="24">
        <v>0.24</v>
      </c>
      <c r="P4" s="24">
        <v>0.24</v>
      </c>
      <c r="Q4" s="24">
        <v>0.24</v>
      </c>
      <c r="R4" s="24">
        <v>0.107</v>
      </c>
      <c r="S4" s="24">
        <v>0.4</v>
      </c>
      <c r="T4" s="24">
        <v>0.4</v>
      </c>
      <c r="U4" s="24">
        <v>0.107</v>
      </c>
      <c r="V4" s="24">
        <v>0.107</v>
      </c>
      <c r="W4" s="24">
        <v>0.107</v>
      </c>
      <c r="X4" s="24">
        <v>0.107</v>
      </c>
      <c r="Y4" s="24">
        <v>0.107</v>
      </c>
      <c r="Z4" s="24">
        <v>0.107</v>
      </c>
      <c r="AA4" s="24">
        <v>0.107</v>
      </c>
      <c r="AB4" s="24">
        <v>0.03</v>
      </c>
      <c r="AC4" s="24">
        <v>1</v>
      </c>
      <c r="AD4" s="24">
        <v>1</v>
      </c>
      <c r="AE4" s="137">
        <v>0.107</v>
      </c>
      <c r="AF4" s="24">
        <v>0.24</v>
      </c>
      <c r="AG4" s="156">
        <v>9.8000000000000004E-2</v>
      </c>
      <c r="AH4" s="118">
        <v>0.107</v>
      </c>
      <c r="AI4" s="24">
        <v>0.107</v>
      </c>
      <c r="AJ4" s="24">
        <v>0.107</v>
      </c>
      <c r="AK4" s="24">
        <v>0.107</v>
      </c>
    </row>
    <row r="5" spans="2:37" x14ac:dyDescent="0.25">
      <c r="B5" s="2" t="s">
        <v>185</v>
      </c>
      <c r="C5" s="2" t="s">
        <v>202</v>
      </c>
      <c r="D5" s="36">
        <f t="shared" si="0"/>
        <v>0.14499999999999999</v>
      </c>
      <c r="E5" s="41">
        <v>1</v>
      </c>
      <c r="F5" s="4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0.14499999999999999</v>
      </c>
      <c r="H5" s="24">
        <v>0.14499999999999999</v>
      </c>
      <c r="I5" s="24">
        <v>0.14499999999999999</v>
      </c>
      <c r="J5" s="24">
        <v>0.15</v>
      </c>
      <c r="K5" s="24">
        <v>0</v>
      </c>
      <c r="L5" s="24">
        <v>0.14499999999999999</v>
      </c>
      <c r="M5" s="24">
        <v>0.14499999999999999</v>
      </c>
      <c r="N5" s="24">
        <v>0.14499999999999999</v>
      </c>
      <c r="O5" s="24">
        <v>0.14499999999999999</v>
      </c>
      <c r="P5" s="24">
        <v>0.14499999999999999</v>
      </c>
      <c r="Q5" s="24">
        <v>0.14499999999999999</v>
      </c>
      <c r="R5" s="24">
        <v>0.35899999999999999</v>
      </c>
      <c r="S5" s="24">
        <v>0.39</v>
      </c>
      <c r="T5" s="24">
        <v>0.39</v>
      </c>
      <c r="U5" s="24">
        <v>0.35899999999999999</v>
      </c>
      <c r="V5" s="24">
        <v>0.35899999999999999</v>
      </c>
      <c r="W5" s="24">
        <v>0.35899999999999999</v>
      </c>
      <c r="X5" s="24">
        <v>0.35899999999999999</v>
      </c>
      <c r="Y5" s="24">
        <v>0.35899999999999999</v>
      </c>
      <c r="Z5" s="24">
        <v>0.35899999999999999</v>
      </c>
      <c r="AA5" s="24">
        <v>0.35899999999999999</v>
      </c>
      <c r="AB5" s="24">
        <v>6.3E-2</v>
      </c>
      <c r="AC5" s="24">
        <v>0</v>
      </c>
      <c r="AD5" s="24">
        <v>0</v>
      </c>
      <c r="AE5" s="137">
        <v>0.35899999999999999</v>
      </c>
      <c r="AF5" s="24">
        <v>0.15</v>
      </c>
      <c r="AG5" s="156">
        <v>0.2</v>
      </c>
      <c r="AH5" s="118">
        <v>0.35899999999999999</v>
      </c>
      <c r="AI5" s="24">
        <v>0.35899999999999999</v>
      </c>
      <c r="AJ5" s="24">
        <v>0.35899999999999999</v>
      </c>
      <c r="AK5" s="24">
        <v>0.35899999999999999</v>
      </c>
    </row>
    <row r="6" spans="2:37" x14ac:dyDescent="0.25">
      <c r="B6" s="2" t="s">
        <v>189</v>
      </c>
      <c r="C6" s="2" t="s">
        <v>203</v>
      </c>
      <c r="D6" s="36">
        <f t="shared" si="0"/>
        <v>6</v>
      </c>
      <c r="E6" s="41">
        <v>1</v>
      </c>
      <c r="F6" s="4"/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6</v>
      </c>
      <c r="H6" s="24">
        <v>6</v>
      </c>
      <c r="I6" s="24">
        <v>6</v>
      </c>
      <c r="J6" s="24">
        <v>6</v>
      </c>
      <c r="K6" s="24">
        <v>0</v>
      </c>
      <c r="L6" s="24">
        <v>6</v>
      </c>
      <c r="M6" s="24">
        <v>6</v>
      </c>
      <c r="N6" s="24">
        <v>6</v>
      </c>
      <c r="O6" s="24">
        <v>6</v>
      </c>
      <c r="P6" s="24">
        <v>6</v>
      </c>
      <c r="Q6" s="24">
        <v>6</v>
      </c>
      <c r="R6" s="24">
        <v>6</v>
      </c>
      <c r="S6" s="24">
        <v>6</v>
      </c>
      <c r="T6" s="24">
        <v>6</v>
      </c>
      <c r="U6" s="24">
        <v>6</v>
      </c>
      <c r="V6" s="24">
        <v>6</v>
      </c>
      <c r="W6" s="24">
        <v>6</v>
      </c>
      <c r="X6" s="24">
        <v>6</v>
      </c>
      <c r="Y6" s="24">
        <v>6</v>
      </c>
      <c r="Z6" s="24">
        <v>6</v>
      </c>
      <c r="AA6" s="24">
        <v>8</v>
      </c>
      <c r="AB6" s="24">
        <v>6</v>
      </c>
      <c r="AC6" s="24">
        <v>0</v>
      </c>
      <c r="AD6" s="24">
        <v>0</v>
      </c>
      <c r="AE6" s="137">
        <v>4</v>
      </c>
      <c r="AF6" s="24">
        <v>6</v>
      </c>
      <c r="AG6" s="156">
        <v>4</v>
      </c>
      <c r="AH6" s="118">
        <v>4</v>
      </c>
      <c r="AI6" s="24">
        <v>6</v>
      </c>
      <c r="AJ6" s="24">
        <v>6</v>
      </c>
      <c r="AK6" s="24">
        <v>6</v>
      </c>
    </row>
    <row r="7" spans="2:37" x14ac:dyDescent="0.25">
      <c r="B7" s="2" t="s">
        <v>190</v>
      </c>
      <c r="C7" s="2" t="s">
        <v>204</v>
      </c>
      <c r="D7" s="36">
        <f t="shared" si="0"/>
        <v>0.05</v>
      </c>
      <c r="E7" s="41">
        <v>1</v>
      </c>
      <c r="F7" s="4"/>
      <c r="G7" s="20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0.05</v>
      </c>
      <c r="H7" s="24">
        <v>0.05</v>
      </c>
      <c r="I7" s="24">
        <v>0.05</v>
      </c>
      <c r="J7" s="24">
        <v>0.05</v>
      </c>
      <c r="K7" s="24">
        <v>0</v>
      </c>
      <c r="L7" s="24">
        <v>0.05</v>
      </c>
      <c r="M7" s="24">
        <v>0.05</v>
      </c>
      <c r="N7" s="24">
        <v>0.05</v>
      </c>
      <c r="O7" s="24">
        <v>0.05</v>
      </c>
      <c r="P7" s="24">
        <v>0.05</v>
      </c>
      <c r="Q7" s="24">
        <v>0.05</v>
      </c>
      <c r="R7" s="24">
        <v>2.4E-2</v>
      </c>
      <c r="S7" s="24">
        <v>2.4E-2</v>
      </c>
      <c r="T7" s="24">
        <v>2.4E-2</v>
      </c>
      <c r="U7" s="24">
        <v>2.4E-2</v>
      </c>
      <c r="V7" s="24">
        <v>2.4E-2</v>
      </c>
      <c r="W7" s="24">
        <v>2.4E-2</v>
      </c>
      <c r="X7" s="24">
        <v>2.4E-2</v>
      </c>
      <c r="Y7" s="24">
        <v>2.4E-2</v>
      </c>
      <c r="Z7" s="24">
        <v>2.4E-2</v>
      </c>
      <c r="AA7" s="24">
        <v>2.4E-2</v>
      </c>
      <c r="AB7" s="24">
        <v>2.4E-2</v>
      </c>
      <c r="AC7" s="24">
        <v>0</v>
      </c>
      <c r="AD7" s="24">
        <v>0</v>
      </c>
      <c r="AE7" s="137">
        <v>0.2</v>
      </c>
      <c r="AF7" s="24">
        <v>0.05</v>
      </c>
      <c r="AG7" s="156">
        <v>2.4E-2</v>
      </c>
      <c r="AH7" s="118">
        <v>0.2</v>
      </c>
      <c r="AI7" s="24">
        <v>2.4E-2</v>
      </c>
      <c r="AJ7" s="24">
        <v>2.4E-2</v>
      </c>
      <c r="AK7" s="24">
        <v>2.4E-2</v>
      </c>
    </row>
    <row r="8" spans="2:37" x14ac:dyDescent="0.25">
      <c r="B8" s="2" t="s">
        <v>186</v>
      </c>
      <c r="C8" s="2" t="s">
        <v>205</v>
      </c>
      <c r="D8" s="36">
        <f t="shared" si="0"/>
        <v>0.2</v>
      </c>
      <c r="E8" s="41">
        <v>1</v>
      </c>
      <c r="F8" s="4"/>
      <c r="G8" s="20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0.2</v>
      </c>
      <c r="H8" s="24">
        <v>0.2</v>
      </c>
      <c r="I8" s="24">
        <v>0.2</v>
      </c>
      <c r="J8" s="24">
        <v>0.4</v>
      </c>
      <c r="K8" s="24">
        <v>0</v>
      </c>
      <c r="L8" s="24">
        <v>0.2</v>
      </c>
      <c r="M8" s="24">
        <v>0.2</v>
      </c>
      <c r="N8" s="24">
        <v>0.2</v>
      </c>
      <c r="O8" s="24">
        <v>0.2</v>
      </c>
      <c r="P8" s="24">
        <v>0.2</v>
      </c>
      <c r="Q8" s="24">
        <v>0.2</v>
      </c>
      <c r="R8" s="24">
        <v>0.2</v>
      </c>
      <c r="S8" s="24">
        <v>0.35</v>
      </c>
      <c r="T8" s="24">
        <v>0.35</v>
      </c>
      <c r="U8" s="24">
        <v>0.2</v>
      </c>
      <c r="V8" s="24">
        <v>0.2</v>
      </c>
      <c r="W8" s="24">
        <v>0.2</v>
      </c>
      <c r="X8" s="24">
        <v>0.2</v>
      </c>
      <c r="Y8" s="24">
        <v>0.2</v>
      </c>
      <c r="Z8" s="24">
        <v>0.2</v>
      </c>
      <c r="AA8" s="24">
        <v>0.2</v>
      </c>
      <c r="AB8" s="24">
        <v>0.2</v>
      </c>
      <c r="AC8" s="24">
        <v>0</v>
      </c>
      <c r="AD8" s="24">
        <v>0</v>
      </c>
      <c r="AE8" s="137">
        <v>1</v>
      </c>
      <c r="AF8" s="24">
        <v>0.4</v>
      </c>
      <c r="AG8" s="156">
        <v>0.4</v>
      </c>
      <c r="AH8" s="118">
        <v>1</v>
      </c>
      <c r="AI8" s="24">
        <v>0.2</v>
      </c>
      <c r="AJ8" s="24">
        <v>0.2</v>
      </c>
      <c r="AK8" s="24">
        <v>0.2</v>
      </c>
    </row>
    <row r="9" spans="2:37" x14ac:dyDescent="0.25">
      <c r="B9" s="2" t="s">
        <v>187</v>
      </c>
      <c r="C9" s="2" t="s">
        <v>206</v>
      </c>
      <c r="D9" s="36">
        <f t="shared" si="0"/>
        <v>0.25</v>
      </c>
      <c r="E9" s="41">
        <v>1</v>
      </c>
      <c r="F9" s="4"/>
      <c r="G9" s="20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0.25</v>
      </c>
      <c r="H9" s="24">
        <v>0.25</v>
      </c>
      <c r="I9" s="24">
        <v>0.25</v>
      </c>
      <c r="J9" s="24">
        <v>0.4</v>
      </c>
      <c r="K9" s="24">
        <v>0</v>
      </c>
      <c r="L9" s="24">
        <v>0.25</v>
      </c>
      <c r="M9" s="24">
        <v>0.25</v>
      </c>
      <c r="N9" s="24">
        <v>0.25</v>
      </c>
      <c r="O9" s="24">
        <v>0.25</v>
      </c>
      <c r="P9" s="24">
        <v>0.25</v>
      </c>
      <c r="Q9" s="24">
        <v>0.25</v>
      </c>
      <c r="R9" s="24">
        <v>0.25</v>
      </c>
      <c r="S9" s="24">
        <v>6.62</v>
      </c>
      <c r="T9" s="24">
        <v>10.570539999999999</v>
      </c>
      <c r="U9" s="24">
        <v>0.25</v>
      </c>
      <c r="V9" s="24">
        <v>0.25</v>
      </c>
      <c r="W9" s="24">
        <v>0.25</v>
      </c>
      <c r="X9" s="24">
        <v>0.25</v>
      </c>
      <c r="Y9" s="24">
        <v>0.25</v>
      </c>
      <c r="Z9" s="24">
        <v>0.25</v>
      </c>
      <c r="AA9" s="24">
        <v>0.25</v>
      </c>
      <c r="AB9" s="24">
        <v>0.25</v>
      </c>
      <c r="AC9" s="24">
        <v>0</v>
      </c>
      <c r="AD9" s="24">
        <v>0</v>
      </c>
      <c r="AE9" s="137">
        <v>0.25</v>
      </c>
      <c r="AF9" s="24">
        <v>0.4</v>
      </c>
      <c r="AG9" s="156">
        <v>0.25</v>
      </c>
      <c r="AH9" s="118">
        <v>0.25</v>
      </c>
      <c r="AI9" s="24">
        <v>0.25</v>
      </c>
      <c r="AJ9" s="24">
        <v>0.25</v>
      </c>
      <c r="AK9" s="24">
        <v>0.25</v>
      </c>
    </row>
    <row r="10" spans="2:37" x14ac:dyDescent="0.25">
      <c r="B10" s="2" t="s">
        <v>188</v>
      </c>
      <c r="C10" s="2" t="s">
        <v>207</v>
      </c>
      <c r="D10" s="36">
        <f t="shared" si="0"/>
        <v>1</v>
      </c>
      <c r="E10" s="41">
        <v>1</v>
      </c>
      <c r="F10" s="4"/>
      <c r="G10" s="20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</v>
      </c>
      <c r="H10" s="24">
        <v>1.4410000000000001</v>
      </c>
      <c r="I10" s="24">
        <v>1.4410000000000001</v>
      </c>
      <c r="J10" s="24">
        <v>10</v>
      </c>
      <c r="K10" s="24">
        <v>0</v>
      </c>
      <c r="L10" s="24">
        <v>1</v>
      </c>
      <c r="M10" s="24">
        <v>1</v>
      </c>
      <c r="N10" s="24">
        <v>1</v>
      </c>
      <c r="O10" s="24">
        <v>1</v>
      </c>
      <c r="P10" s="24">
        <v>1.4410000000000001</v>
      </c>
      <c r="Q10" s="24">
        <v>1.4410000000000001</v>
      </c>
      <c r="R10" s="24">
        <v>1.4410000000000001</v>
      </c>
      <c r="S10" s="24">
        <v>0.51</v>
      </c>
      <c r="T10" s="24">
        <v>0.51</v>
      </c>
      <c r="U10" s="24">
        <v>1.4410000000000001</v>
      </c>
      <c r="V10" s="24">
        <v>1.4410000000000001</v>
      </c>
      <c r="W10" s="24">
        <v>1.4410000000000001</v>
      </c>
      <c r="X10" s="24">
        <v>1.4410000000000001</v>
      </c>
      <c r="Y10" s="24">
        <v>1.4410000000000001</v>
      </c>
      <c r="Z10" s="24">
        <v>1.4410000000000001</v>
      </c>
      <c r="AA10" s="24">
        <v>1</v>
      </c>
      <c r="AB10" s="24">
        <v>0</v>
      </c>
      <c r="AC10" s="24">
        <v>155</v>
      </c>
      <c r="AD10" s="24">
        <v>155</v>
      </c>
      <c r="AE10" s="137">
        <v>5</v>
      </c>
      <c r="AF10" s="24">
        <v>10</v>
      </c>
      <c r="AG10" s="156">
        <v>1.5</v>
      </c>
      <c r="AH10" s="118">
        <v>3</v>
      </c>
      <c r="AI10" s="24">
        <v>1.4410000000000001</v>
      </c>
      <c r="AJ10" s="24">
        <v>1.4410000000000001</v>
      </c>
      <c r="AK10" s="24">
        <v>1.4410000000000001</v>
      </c>
    </row>
    <row r="11" spans="2:37" x14ac:dyDescent="0.25">
      <c r="B11" s="2" t="s">
        <v>191</v>
      </c>
      <c r="C11" s="2" t="s">
        <v>208</v>
      </c>
      <c r="D11" s="36">
        <f t="shared" si="0"/>
        <v>0</v>
      </c>
      <c r="E11" s="41">
        <v>1</v>
      </c>
      <c r="F11" s="4"/>
      <c r="G11" s="20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0.17</v>
      </c>
      <c r="AC11" s="24">
        <v>88</v>
      </c>
      <c r="AD11" s="24">
        <v>88</v>
      </c>
      <c r="AE11" s="137">
        <v>0</v>
      </c>
      <c r="AF11" s="24">
        <v>0</v>
      </c>
      <c r="AG11" s="156">
        <v>0</v>
      </c>
      <c r="AH11" s="118">
        <v>0</v>
      </c>
      <c r="AI11" s="24">
        <v>0</v>
      </c>
      <c r="AJ11" s="24">
        <v>0</v>
      </c>
      <c r="AK11" s="24">
        <v>0</v>
      </c>
    </row>
    <row r="12" spans="2:37" x14ac:dyDescent="0.25">
      <c r="B12" s="2" t="s">
        <v>192</v>
      </c>
      <c r="C12" s="2" t="s">
        <v>209</v>
      </c>
      <c r="D12" s="36">
        <f t="shared" si="0"/>
        <v>0</v>
      </c>
      <c r="E12" s="41">
        <v>1</v>
      </c>
      <c r="F12" s="4"/>
      <c r="G12" s="20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4">
        <v>0</v>
      </c>
      <c r="I12" s="24">
        <v>0</v>
      </c>
      <c r="J12" s="24">
        <v>0</v>
      </c>
      <c r="K12" s="24">
        <v>200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9</v>
      </c>
      <c r="AD12" s="24">
        <v>9</v>
      </c>
      <c r="AE12" s="137">
        <v>0</v>
      </c>
      <c r="AF12" s="24">
        <v>0</v>
      </c>
      <c r="AG12" s="156">
        <v>0</v>
      </c>
      <c r="AH12" s="118">
        <v>0</v>
      </c>
      <c r="AI12" s="24">
        <v>0</v>
      </c>
      <c r="AJ12" s="24">
        <v>0</v>
      </c>
      <c r="AK12" s="24">
        <v>0</v>
      </c>
    </row>
    <row r="13" spans="2:37" x14ac:dyDescent="0.25">
      <c r="B13" s="2" t="s">
        <v>193</v>
      </c>
      <c r="C13" s="2" t="s">
        <v>210</v>
      </c>
      <c r="D13" s="36">
        <f t="shared" si="0"/>
        <v>0</v>
      </c>
      <c r="E13" s="41">
        <v>1</v>
      </c>
      <c r="F13" s="4"/>
      <c r="G13" s="20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0</v>
      </c>
      <c r="I13" s="24">
        <v>0</v>
      </c>
      <c r="J13" s="24">
        <v>0</v>
      </c>
      <c r="K13" s="24">
        <v>4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1</v>
      </c>
      <c r="AD13" s="24">
        <v>1</v>
      </c>
      <c r="AE13" s="137">
        <v>0</v>
      </c>
      <c r="AF13" s="24">
        <v>0</v>
      </c>
      <c r="AG13" s="156">
        <v>0</v>
      </c>
      <c r="AH13" s="118">
        <v>0</v>
      </c>
      <c r="AI13" s="24">
        <v>0</v>
      </c>
      <c r="AJ13" s="24">
        <v>0</v>
      </c>
      <c r="AK13" s="24">
        <v>0</v>
      </c>
    </row>
    <row r="14" spans="2:37" x14ac:dyDescent="0.25">
      <c r="B14" s="2" t="s">
        <v>194</v>
      </c>
      <c r="C14" s="2" t="s">
        <v>211</v>
      </c>
      <c r="D14" s="36">
        <f t="shared" si="0"/>
        <v>85</v>
      </c>
      <c r="E14" s="41">
        <v>1</v>
      </c>
      <c r="F14" s="4"/>
      <c r="G14" s="20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85</v>
      </c>
      <c r="H14" s="24">
        <v>85</v>
      </c>
      <c r="I14" s="24">
        <v>85</v>
      </c>
      <c r="J14" s="24">
        <v>85</v>
      </c>
      <c r="K14" s="24">
        <v>80</v>
      </c>
      <c r="L14" s="24">
        <v>85</v>
      </c>
      <c r="M14" s="24">
        <v>85</v>
      </c>
      <c r="N14" s="24">
        <v>85</v>
      </c>
      <c r="O14" s="24">
        <v>85</v>
      </c>
      <c r="P14" s="24">
        <v>85</v>
      </c>
      <c r="Q14" s="24">
        <v>85</v>
      </c>
      <c r="R14" s="24">
        <v>85</v>
      </c>
      <c r="S14" s="24">
        <v>0</v>
      </c>
      <c r="T14" s="24">
        <v>0</v>
      </c>
      <c r="U14" s="24">
        <v>85</v>
      </c>
      <c r="V14" s="24">
        <v>85</v>
      </c>
      <c r="W14" s="24">
        <v>85</v>
      </c>
      <c r="X14" s="24">
        <v>85</v>
      </c>
      <c r="Y14" s="24">
        <v>85</v>
      </c>
      <c r="Z14" s="24">
        <v>85</v>
      </c>
      <c r="AA14" s="24">
        <v>85</v>
      </c>
      <c r="AB14" s="24">
        <v>85</v>
      </c>
      <c r="AC14" s="24">
        <v>85</v>
      </c>
      <c r="AD14" s="24">
        <v>85</v>
      </c>
      <c r="AE14" s="137">
        <v>85</v>
      </c>
      <c r="AF14" s="24">
        <v>85</v>
      </c>
      <c r="AG14" s="156">
        <v>85</v>
      </c>
      <c r="AH14" s="118">
        <v>85</v>
      </c>
      <c r="AI14" s="24">
        <v>85</v>
      </c>
      <c r="AJ14" s="24">
        <v>85</v>
      </c>
      <c r="AK14" s="24">
        <v>85</v>
      </c>
    </row>
    <row r="15" spans="2:37" x14ac:dyDescent="0.25">
      <c r="B15" s="2" t="s">
        <v>195</v>
      </c>
      <c r="C15" s="2" t="s">
        <v>212</v>
      </c>
      <c r="D15" s="36">
        <f t="shared" si="0"/>
        <v>85</v>
      </c>
      <c r="E15" s="41">
        <v>1</v>
      </c>
      <c r="F15" s="4"/>
      <c r="G15" s="20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85</v>
      </c>
      <c r="H15" s="24">
        <v>85</v>
      </c>
      <c r="I15" s="24">
        <v>85</v>
      </c>
      <c r="J15" s="24">
        <v>85</v>
      </c>
      <c r="K15" s="24">
        <v>80</v>
      </c>
      <c r="L15" s="24">
        <v>85</v>
      </c>
      <c r="M15" s="24">
        <v>85</v>
      </c>
      <c r="N15" s="24">
        <v>85</v>
      </c>
      <c r="O15" s="24">
        <v>85</v>
      </c>
      <c r="P15" s="24">
        <v>85</v>
      </c>
      <c r="Q15" s="24">
        <v>85</v>
      </c>
      <c r="R15" s="24">
        <v>85</v>
      </c>
      <c r="S15" s="24">
        <v>0</v>
      </c>
      <c r="T15" s="24">
        <v>0</v>
      </c>
      <c r="U15" s="24">
        <v>85</v>
      </c>
      <c r="V15" s="24">
        <v>85</v>
      </c>
      <c r="W15" s="24">
        <v>85</v>
      </c>
      <c r="X15" s="24">
        <v>85</v>
      </c>
      <c r="Y15" s="24">
        <v>85</v>
      </c>
      <c r="Z15" s="24">
        <v>85</v>
      </c>
      <c r="AA15" s="24">
        <v>85</v>
      </c>
      <c r="AB15" s="24">
        <v>85</v>
      </c>
      <c r="AC15" s="24">
        <v>85</v>
      </c>
      <c r="AD15" s="24">
        <v>85</v>
      </c>
      <c r="AE15" s="137">
        <v>85</v>
      </c>
      <c r="AF15" s="24">
        <v>85</v>
      </c>
      <c r="AG15" s="156">
        <v>85</v>
      </c>
      <c r="AH15" s="118">
        <v>85</v>
      </c>
      <c r="AI15" s="24">
        <v>85</v>
      </c>
      <c r="AJ15" s="24">
        <v>85</v>
      </c>
      <c r="AK15" s="24">
        <v>85</v>
      </c>
    </row>
    <row r="16" spans="2:37" x14ac:dyDescent="0.25">
      <c r="B16" s="2" t="s">
        <v>196</v>
      </c>
      <c r="C16" s="2" t="s">
        <v>213</v>
      </c>
      <c r="D16" s="36">
        <f t="shared" si="0"/>
        <v>20</v>
      </c>
      <c r="E16" s="41">
        <v>1</v>
      </c>
      <c r="F16" s="4"/>
      <c r="G16" s="20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20</v>
      </c>
      <c r="H16" s="24">
        <v>20</v>
      </c>
      <c r="I16" s="24">
        <v>20</v>
      </c>
      <c r="J16" s="24">
        <v>20</v>
      </c>
      <c r="K16" s="24">
        <v>20000</v>
      </c>
      <c r="L16" s="24">
        <v>20</v>
      </c>
      <c r="M16" s="24">
        <v>20</v>
      </c>
      <c r="N16" s="24">
        <v>20</v>
      </c>
      <c r="O16" s="24">
        <v>20</v>
      </c>
      <c r="P16" s="24">
        <v>20</v>
      </c>
      <c r="Q16" s="24">
        <v>20</v>
      </c>
      <c r="R16" s="24">
        <v>20</v>
      </c>
      <c r="S16" s="24">
        <v>0</v>
      </c>
      <c r="T16" s="24">
        <v>0</v>
      </c>
      <c r="U16" s="24">
        <v>20</v>
      </c>
      <c r="V16" s="24">
        <v>20</v>
      </c>
      <c r="W16" s="24">
        <v>20</v>
      </c>
      <c r="X16" s="24">
        <v>20</v>
      </c>
      <c r="Y16" s="24">
        <v>20</v>
      </c>
      <c r="Z16" s="24">
        <v>20</v>
      </c>
      <c r="AA16" s="24">
        <v>20</v>
      </c>
      <c r="AB16" s="24">
        <v>20</v>
      </c>
      <c r="AC16" s="24">
        <v>20</v>
      </c>
      <c r="AD16" s="24">
        <v>20</v>
      </c>
      <c r="AE16" s="137">
        <v>20</v>
      </c>
      <c r="AF16" s="24">
        <v>20</v>
      </c>
      <c r="AG16" s="156">
        <v>20</v>
      </c>
      <c r="AH16" s="118">
        <v>20</v>
      </c>
      <c r="AI16" s="24">
        <v>20</v>
      </c>
      <c r="AJ16" s="24">
        <v>20</v>
      </c>
      <c r="AK16" s="24">
        <v>20</v>
      </c>
    </row>
    <row r="17" spans="2:37" x14ac:dyDescent="0.25">
      <c r="B17" s="2" t="s">
        <v>197</v>
      </c>
      <c r="C17" s="2" t="s">
        <v>214</v>
      </c>
      <c r="D17" s="36">
        <f t="shared" si="0"/>
        <v>1</v>
      </c>
      <c r="E17" s="41">
        <v>1</v>
      </c>
      <c r="F17" s="4"/>
      <c r="G17" s="20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1</v>
      </c>
      <c r="H17" s="24">
        <v>1</v>
      </c>
      <c r="I17" s="24">
        <v>1</v>
      </c>
      <c r="J17" s="24">
        <v>10</v>
      </c>
      <c r="K17" s="24">
        <v>37000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24">
        <v>1</v>
      </c>
      <c r="S17" s="24">
        <v>4.0599999999999996</v>
      </c>
      <c r="T17" s="24">
        <v>2.7484999999999999</v>
      </c>
      <c r="U17" s="24">
        <v>1</v>
      </c>
      <c r="V17" s="24">
        <v>1</v>
      </c>
      <c r="W17" s="24">
        <v>1</v>
      </c>
      <c r="X17" s="24">
        <v>1</v>
      </c>
      <c r="Y17" s="24">
        <v>1</v>
      </c>
      <c r="Z17" s="24">
        <v>1</v>
      </c>
      <c r="AA17" s="24">
        <v>1</v>
      </c>
      <c r="AB17" s="24">
        <f>6*0.15</f>
        <v>0.89999999999999991</v>
      </c>
      <c r="AC17" s="24">
        <v>0</v>
      </c>
      <c r="AD17" s="24">
        <v>0</v>
      </c>
      <c r="AE17" s="137">
        <v>1000</v>
      </c>
      <c r="AF17" s="24">
        <v>10</v>
      </c>
      <c r="AG17" s="156">
        <v>10</v>
      </c>
      <c r="AH17" s="118">
        <v>50</v>
      </c>
      <c r="AI17" s="24">
        <v>1</v>
      </c>
      <c r="AJ17" s="24">
        <v>1</v>
      </c>
      <c r="AK17" s="24">
        <v>1</v>
      </c>
    </row>
    <row r="18" spans="2:37" x14ac:dyDescent="0.25">
      <c r="B18" s="2" t="s">
        <v>198</v>
      </c>
      <c r="C18" s="2" t="s">
        <v>215</v>
      </c>
      <c r="D18" s="36">
        <f t="shared" si="0"/>
        <v>7</v>
      </c>
      <c r="E18" s="41">
        <v>1</v>
      </c>
      <c r="F18" s="4"/>
      <c r="G18" s="20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7</v>
      </c>
      <c r="H18" s="24">
        <v>7</v>
      </c>
      <c r="I18" s="24">
        <v>7</v>
      </c>
      <c r="J18" s="24">
        <v>1</v>
      </c>
      <c r="K18" s="24">
        <v>0</v>
      </c>
      <c r="L18" s="24">
        <v>7</v>
      </c>
      <c r="M18" s="24">
        <v>7</v>
      </c>
      <c r="N18" s="24">
        <v>7</v>
      </c>
      <c r="O18" s="24">
        <v>7</v>
      </c>
      <c r="P18" s="24">
        <v>7</v>
      </c>
      <c r="Q18" s="24">
        <v>7</v>
      </c>
      <c r="R18" s="24">
        <v>7</v>
      </c>
      <c r="S18" s="24">
        <v>8.4700000000000006</v>
      </c>
      <c r="T18" s="24">
        <v>5.7640000000000002</v>
      </c>
      <c r="U18" s="24">
        <v>7</v>
      </c>
      <c r="V18" s="24">
        <v>7</v>
      </c>
      <c r="W18" s="24">
        <v>7</v>
      </c>
      <c r="X18" s="24">
        <v>16</v>
      </c>
      <c r="Y18" s="24">
        <v>16</v>
      </c>
      <c r="Z18" s="24">
        <v>16</v>
      </c>
      <c r="AA18" s="24">
        <v>10</v>
      </c>
      <c r="AB18" s="24">
        <v>0.252</v>
      </c>
      <c r="AC18" s="24">
        <v>0</v>
      </c>
      <c r="AD18" s="24">
        <v>0</v>
      </c>
      <c r="AE18" s="137">
        <v>2</v>
      </c>
      <c r="AF18" s="24">
        <v>1</v>
      </c>
      <c r="AG18" s="156">
        <v>7.56</v>
      </c>
      <c r="AH18" s="118">
        <v>1</v>
      </c>
      <c r="AI18" s="24">
        <v>7</v>
      </c>
      <c r="AJ18" s="24">
        <v>7</v>
      </c>
      <c r="AK18" s="24">
        <v>7</v>
      </c>
    </row>
    <row r="19" spans="2:37" x14ac:dyDescent="0.25">
      <c r="B19" s="2" t="s">
        <v>199</v>
      </c>
      <c r="C19" s="2" t="s">
        <v>216</v>
      </c>
      <c r="D19" s="36">
        <f t="shared" si="0"/>
        <v>0</v>
      </c>
      <c r="E19" s="41">
        <v>1</v>
      </c>
      <c r="F19" s="4"/>
      <c r="G19" s="20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>
        <v>0</v>
      </c>
      <c r="I19" s="24">
        <v>0</v>
      </c>
      <c r="J19" s="24">
        <v>15</v>
      </c>
      <c r="K19" s="24">
        <v>50500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6.7000000000000004E-2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600</v>
      </c>
      <c r="AD19" s="24">
        <v>600</v>
      </c>
      <c r="AE19" s="137">
        <v>0</v>
      </c>
      <c r="AF19" s="24">
        <v>15</v>
      </c>
      <c r="AG19" s="156">
        <v>0</v>
      </c>
      <c r="AH19" s="118">
        <v>90</v>
      </c>
      <c r="AI19" s="24">
        <v>0</v>
      </c>
      <c r="AJ19" s="24">
        <v>0</v>
      </c>
      <c r="AK19" s="24">
        <v>0</v>
      </c>
    </row>
    <row r="20" spans="2:37" x14ac:dyDescent="0.25">
      <c r="B20" s="2" t="s">
        <v>218</v>
      </c>
      <c r="C20" s="2" t="s">
        <v>217</v>
      </c>
      <c r="D20" s="36">
        <f t="shared" si="0"/>
        <v>0</v>
      </c>
      <c r="E20" s="41">
        <v>1</v>
      </c>
      <c r="F20" s="4"/>
      <c r="G20" s="20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4">
        <v>0</v>
      </c>
      <c r="T20" s="24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14">
        <v>0</v>
      </c>
      <c r="AF20" s="21">
        <v>0</v>
      </c>
      <c r="AG20" s="115">
        <v>0</v>
      </c>
      <c r="AH20" s="113">
        <v>0</v>
      </c>
      <c r="AI20" s="21">
        <v>0</v>
      </c>
      <c r="AJ20" s="21">
        <v>0</v>
      </c>
      <c r="AK20" s="21">
        <v>0</v>
      </c>
    </row>
    <row r="21" spans="2:37" x14ac:dyDescent="0.25">
      <c r="B21" s="2" t="s">
        <v>233</v>
      </c>
      <c r="C21" s="2" t="s">
        <v>232</v>
      </c>
      <c r="D21" s="36">
        <f t="shared" si="0"/>
        <v>1</v>
      </c>
      <c r="E21" s="41">
        <v>1</v>
      </c>
      <c r="F21" s="4"/>
      <c r="G21" s="20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4">
        <v>1</v>
      </c>
      <c r="W21" s="24">
        <v>1</v>
      </c>
      <c r="X21" s="24">
        <v>1</v>
      </c>
      <c r="Y21" s="24">
        <v>1</v>
      </c>
      <c r="Z21" s="24">
        <v>1</v>
      </c>
      <c r="AA21" s="24">
        <v>1</v>
      </c>
      <c r="AB21" s="24">
        <v>1</v>
      </c>
      <c r="AC21" s="24">
        <v>1</v>
      </c>
      <c r="AD21" s="24">
        <v>1</v>
      </c>
      <c r="AE21" s="137">
        <v>2</v>
      </c>
      <c r="AF21" s="24">
        <v>1</v>
      </c>
      <c r="AG21" s="156">
        <v>1</v>
      </c>
      <c r="AH21" s="118">
        <v>1</v>
      </c>
      <c r="AI21" s="24">
        <v>1</v>
      </c>
      <c r="AJ21" s="24">
        <v>1</v>
      </c>
      <c r="AK21" s="24">
        <v>1</v>
      </c>
    </row>
    <row r="22" spans="2:37" x14ac:dyDescent="0.25">
      <c r="B22" s="2" t="s">
        <v>699</v>
      </c>
      <c r="C22" s="2" t="s">
        <v>698</v>
      </c>
      <c r="D22" s="36">
        <f t="shared" si="0"/>
        <v>160</v>
      </c>
      <c r="E22" s="41">
        <v>1</v>
      </c>
      <c r="F22" s="3" t="s">
        <v>600</v>
      </c>
      <c r="G22" s="20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160</v>
      </c>
      <c r="H22" s="24">
        <f>76/1000</f>
        <v>7.5999999999999998E-2</v>
      </c>
      <c r="I22" s="24">
        <f>76/1000</f>
        <v>7.5999999999999998E-2</v>
      </c>
      <c r="J22" s="24">
        <f>76/1000</f>
        <v>7.5999999999999998E-2</v>
      </c>
      <c r="K22" s="24">
        <v>0</v>
      </c>
      <c r="L22" s="24">
        <v>160</v>
      </c>
      <c r="M22" s="24">
        <v>160</v>
      </c>
      <c r="N22" s="24">
        <v>160</v>
      </c>
      <c r="O22" s="24">
        <v>160</v>
      </c>
      <c r="P22" s="24">
        <f>76/1000</f>
        <v>7.5999999999999998E-2</v>
      </c>
      <c r="Q22" s="24">
        <f>76/1000</f>
        <v>7.5999999999999998E-2</v>
      </c>
      <c r="R22" s="24">
        <f>76/1000</f>
        <v>7.5999999999999998E-2</v>
      </c>
      <c r="S22" s="24">
        <v>160</v>
      </c>
      <c r="T22" s="24">
        <v>160</v>
      </c>
      <c r="U22" s="24">
        <f t="shared" ref="U22:AK22" si="1">76/1000</f>
        <v>7.5999999999999998E-2</v>
      </c>
      <c r="V22" s="24">
        <f t="shared" si="1"/>
        <v>7.5999999999999998E-2</v>
      </c>
      <c r="W22" s="24">
        <f t="shared" si="1"/>
        <v>7.5999999999999998E-2</v>
      </c>
      <c r="X22" s="24">
        <f t="shared" si="1"/>
        <v>7.5999999999999998E-2</v>
      </c>
      <c r="Y22" s="24">
        <f t="shared" si="1"/>
        <v>7.5999999999999998E-2</v>
      </c>
      <c r="Z22" s="24">
        <f t="shared" si="1"/>
        <v>7.5999999999999998E-2</v>
      </c>
      <c r="AA22" s="24">
        <f t="shared" si="1"/>
        <v>7.5999999999999998E-2</v>
      </c>
      <c r="AB22" s="24">
        <f>76/1000</f>
        <v>7.5999999999999998E-2</v>
      </c>
      <c r="AC22" s="24">
        <f t="shared" si="1"/>
        <v>7.5999999999999998E-2</v>
      </c>
      <c r="AD22" s="24">
        <f t="shared" si="1"/>
        <v>7.5999999999999998E-2</v>
      </c>
      <c r="AE22" s="137">
        <v>7.5999999999999998E-2</v>
      </c>
      <c r="AF22" s="24">
        <f>76/1000</f>
        <v>7.5999999999999998E-2</v>
      </c>
      <c r="AG22" s="156">
        <f t="shared" ref="AG22" si="2">76/1000</f>
        <v>7.5999999999999998E-2</v>
      </c>
      <c r="AH22" s="118">
        <v>7.5999999999999998E-2</v>
      </c>
      <c r="AI22" s="24">
        <f t="shared" si="1"/>
        <v>7.5999999999999998E-2</v>
      </c>
      <c r="AJ22" s="24">
        <f t="shared" si="1"/>
        <v>7.5999999999999998E-2</v>
      </c>
      <c r="AK22" s="24">
        <f t="shared" si="1"/>
        <v>7.5999999999999998E-2</v>
      </c>
    </row>
    <row r="23" spans="2:37" x14ac:dyDescent="0.25">
      <c r="B23" s="2" t="s">
        <v>701</v>
      </c>
      <c r="C23" s="2" t="s">
        <v>702</v>
      </c>
      <c r="D23" s="36">
        <f t="shared" si="0"/>
        <v>200</v>
      </c>
      <c r="E23" s="41">
        <v>1</v>
      </c>
      <c r="F23" s="3" t="s">
        <v>600</v>
      </c>
      <c r="G23" s="20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200</v>
      </c>
      <c r="H23" s="24">
        <v>3.0814397803323299</v>
      </c>
      <c r="I23" s="24">
        <v>3.0814397803323299</v>
      </c>
      <c r="J23" s="24">
        <v>14</v>
      </c>
      <c r="K23" s="24">
        <v>0</v>
      </c>
      <c r="L23" s="24">
        <v>200</v>
      </c>
      <c r="M23" s="24">
        <v>200</v>
      </c>
      <c r="N23" s="24">
        <v>200</v>
      </c>
      <c r="O23" s="24">
        <v>200</v>
      </c>
      <c r="P23" s="24">
        <v>3.0814397803323299</v>
      </c>
      <c r="Q23" s="24">
        <v>3.0814397803323299</v>
      </c>
      <c r="R23" s="24">
        <v>3.0814397803323299</v>
      </c>
      <c r="S23" s="24">
        <v>200</v>
      </c>
      <c r="T23" s="24">
        <v>200</v>
      </c>
      <c r="U23" s="24">
        <v>3.0814397803323299</v>
      </c>
      <c r="V23" s="24">
        <v>3.0814397803323299</v>
      </c>
      <c r="W23" s="24">
        <v>3.0814397803323299</v>
      </c>
      <c r="X23" s="24">
        <v>3.0814397803323299</v>
      </c>
      <c r="Y23" s="24">
        <v>3.0814397803323299</v>
      </c>
      <c r="Z23" s="24">
        <v>3.0814397803323299</v>
      </c>
      <c r="AA23" s="24">
        <v>3.0814397803323299</v>
      </c>
      <c r="AB23" s="24">
        <v>1.04</v>
      </c>
      <c r="AC23" s="24">
        <v>410</v>
      </c>
      <c r="AD23" s="24">
        <v>410</v>
      </c>
      <c r="AE23" s="137">
        <v>3.0814397803323299</v>
      </c>
      <c r="AF23" s="24">
        <v>14</v>
      </c>
      <c r="AG23" s="156">
        <v>3.0814397803323299</v>
      </c>
      <c r="AH23" s="118">
        <v>3.0814397803323299</v>
      </c>
      <c r="AI23" s="24">
        <v>3.0814397803323299</v>
      </c>
      <c r="AJ23" s="24">
        <v>3.0814397803323299</v>
      </c>
      <c r="AK23" s="24">
        <v>3.0814397803323299</v>
      </c>
    </row>
    <row r="24" spans="2:37" x14ac:dyDescent="0.25">
      <c r="B24" s="2" t="s">
        <v>709</v>
      </c>
      <c r="C24" s="2" t="s">
        <v>703</v>
      </c>
      <c r="D24" s="36">
        <f t="shared" si="0"/>
        <v>333</v>
      </c>
      <c r="E24" s="41">
        <v>1</v>
      </c>
      <c r="F24" s="3" t="s">
        <v>600</v>
      </c>
      <c r="G24" s="20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333</v>
      </c>
      <c r="H24" s="24">
        <v>0</v>
      </c>
      <c r="I24" s="24">
        <v>0</v>
      </c>
      <c r="J24" s="24">
        <v>10</v>
      </c>
      <c r="K24" s="24">
        <v>0</v>
      </c>
      <c r="L24" s="24">
        <v>333</v>
      </c>
      <c r="M24" s="24">
        <v>333</v>
      </c>
      <c r="N24" s="24">
        <v>333</v>
      </c>
      <c r="O24" s="24">
        <v>333</v>
      </c>
      <c r="P24" s="24">
        <v>0</v>
      </c>
      <c r="Q24" s="24">
        <v>0</v>
      </c>
      <c r="R24" s="24">
        <v>0</v>
      </c>
      <c r="S24" s="24">
        <v>333</v>
      </c>
      <c r="T24" s="24">
        <v>333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6.8000000000000005E-2</v>
      </c>
      <c r="AC24" s="24">
        <v>77</v>
      </c>
      <c r="AD24" s="24">
        <v>77</v>
      </c>
      <c r="AE24" s="137">
        <v>50</v>
      </c>
      <c r="AF24" s="24">
        <v>10</v>
      </c>
      <c r="AG24" s="156">
        <v>3</v>
      </c>
      <c r="AH24" s="118">
        <v>10</v>
      </c>
      <c r="AI24" s="24">
        <v>0</v>
      </c>
      <c r="AJ24" s="24">
        <v>0</v>
      </c>
      <c r="AK24" s="24">
        <v>0</v>
      </c>
    </row>
    <row r="25" spans="2:37" x14ac:dyDescent="0.25">
      <c r="B25" s="2" t="s">
        <v>710</v>
      </c>
      <c r="C25" s="2" t="s">
        <v>704</v>
      </c>
      <c r="D25" s="36">
        <f t="shared" si="0"/>
        <v>5</v>
      </c>
      <c r="E25" s="41">
        <v>1</v>
      </c>
      <c r="F25" s="3" t="s">
        <v>600</v>
      </c>
      <c r="G25" s="20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5</v>
      </c>
      <c r="H25" s="24">
        <v>5</v>
      </c>
      <c r="I25" s="24">
        <v>0</v>
      </c>
      <c r="J25" s="24">
        <v>5</v>
      </c>
      <c r="K25" s="24">
        <v>0</v>
      </c>
      <c r="L25" s="24">
        <v>5</v>
      </c>
      <c r="M25" s="24">
        <v>5</v>
      </c>
      <c r="N25" s="24">
        <v>5</v>
      </c>
      <c r="O25" s="24">
        <v>5</v>
      </c>
      <c r="P25" s="24">
        <v>0</v>
      </c>
      <c r="Q25" s="24">
        <v>0</v>
      </c>
      <c r="R25" s="24">
        <v>0</v>
      </c>
      <c r="S25" s="24">
        <v>5</v>
      </c>
      <c r="T25" s="24">
        <v>5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0.05</v>
      </c>
      <c r="AC25" s="24">
        <v>36</v>
      </c>
      <c r="AD25" s="24">
        <v>36</v>
      </c>
      <c r="AE25" s="137">
        <v>0</v>
      </c>
      <c r="AF25" s="24">
        <v>5</v>
      </c>
      <c r="AG25" s="156">
        <v>0</v>
      </c>
      <c r="AH25" s="118">
        <v>0</v>
      </c>
      <c r="AI25" s="24">
        <v>0</v>
      </c>
      <c r="AJ25" s="24">
        <v>0</v>
      </c>
      <c r="AK25" s="24">
        <v>0</v>
      </c>
    </row>
    <row r="26" spans="2:37" x14ac:dyDescent="0.25">
      <c r="B26" s="2" t="s">
        <v>711</v>
      </c>
      <c r="C26" s="2" t="s">
        <v>705</v>
      </c>
      <c r="D26" s="36">
        <f t="shared" si="0"/>
        <v>20</v>
      </c>
      <c r="E26" s="41">
        <v>1</v>
      </c>
      <c r="F26" s="3" t="s">
        <v>600</v>
      </c>
      <c r="G26" s="20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20</v>
      </c>
      <c r="H26" s="24">
        <v>20</v>
      </c>
      <c r="I26" s="24">
        <v>0</v>
      </c>
      <c r="J26" s="24">
        <v>20</v>
      </c>
      <c r="K26" s="24">
        <v>0</v>
      </c>
      <c r="L26" s="24">
        <v>20</v>
      </c>
      <c r="M26" s="24">
        <v>20</v>
      </c>
      <c r="N26" s="24">
        <v>20</v>
      </c>
      <c r="O26" s="24">
        <v>20</v>
      </c>
      <c r="P26" s="24">
        <v>0</v>
      </c>
      <c r="Q26" s="24">
        <v>0</v>
      </c>
      <c r="R26" s="24">
        <v>0</v>
      </c>
      <c r="S26" s="24">
        <v>20</v>
      </c>
      <c r="T26" s="24">
        <v>20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137">
        <v>0</v>
      </c>
      <c r="AF26" s="24">
        <v>20</v>
      </c>
      <c r="AG26" s="156">
        <v>0</v>
      </c>
      <c r="AH26" s="118">
        <v>0</v>
      </c>
      <c r="AI26" s="24">
        <v>0</v>
      </c>
      <c r="AJ26" s="24">
        <v>0</v>
      </c>
      <c r="AK26" s="24">
        <v>0</v>
      </c>
    </row>
    <row r="27" spans="2:37" x14ac:dyDescent="0.25">
      <c r="B27" s="2" t="s">
        <v>712</v>
      </c>
      <c r="C27" s="2" t="s">
        <v>706</v>
      </c>
      <c r="D27" s="36">
        <f t="shared" si="0"/>
        <v>3.8500000000000001E-3</v>
      </c>
      <c r="E27" s="41">
        <v>1</v>
      </c>
      <c r="F27" s="3" t="s">
        <v>600</v>
      </c>
      <c r="G27" s="20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3.8500000000000001E-3</v>
      </c>
      <c r="H27" s="24">
        <v>3.8500000000000001E-3</v>
      </c>
      <c r="I27" s="24">
        <v>1.4820547907972801</v>
      </c>
      <c r="J27" s="24">
        <v>3.8500000000000001E-3</v>
      </c>
      <c r="K27" s="24">
        <v>0</v>
      </c>
      <c r="L27" s="24">
        <v>3.8500000000000001E-3</v>
      </c>
      <c r="M27" s="24">
        <v>3.8500000000000001E-3</v>
      </c>
      <c r="N27" s="24">
        <v>3.8500000000000001E-3</v>
      </c>
      <c r="O27" s="24">
        <v>3.8500000000000001E-3</v>
      </c>
      <c r="P27" s="24">
        <v>1.4820547907972801</v>
      </c>
      <c r="Q27" s="24">
        <v>1.4820547907972801</v>
      </c>
      <c r="R27" s="24">
        <v>1.4820547907972801</v>
      </c>
      <c r="S27" s="24">
        <v>3.8500000000000001E-3</v>
      </c>
      <c r="T27" s="24">
        <v>3.8500000000000001E-3</v>
      </c>
      <c r="U27" s="24">
        <v>1.4820547907972801</v>
      </c>
      <c r="V27" s="24">
        <v>1.4820547907972801</v>
      </c>
      <c r="W27" s="24">
        <v>1.4820547907972801</v>
      </c>
      <c r="X27" s="24">
        <v>1.4820547907972801</v>
      </c>
      <c r="Y27" s="24">
        <v>1.4820547907972801</v>
      </c>
      <c r="Z27" s="24">
        <v>1.4820547907972801</v>
      </c>
      <c r="AA27" s="24">
        <v>1.4820547907972801</v>
      </c>
      <c r="AB27" s="24">
        <v>0</v>
      </c>
      <c r="AC27" s="24">
        <v>0</v>
      </c>
      <c r="AD27" s="24">
        <v>0</v>
      </c>
      <c r="AE27" s="137">
        <v>15</v>
      </c>
      <c r="AF27" s="24">
        <v>3.8500000000000001E-3</v>
      </c>
      <c r="AG27" s="156">
        <v>1.5</v>
      </c>
      <c r="AH27" s="118">
        <v>3</v>
      </c>
      <c r="AI27" s="24">
        <v>1.4820547907972801</v>
      </c>
      <c r="AJ27" s="24">
        <v>1.4820547907972801</v>
      </c>
      <c r="AK27" s="24">
        <v>1.4820547907972801</v>
      </c>
    </row>
    <row r="28" spans="2:37" x14ac:dyDescent="0.25">
      <c r="B28" s="2" t="s">
        <v>1523</v>
      </c>
      <c r="C28" s="2" t="s">
        <v>1524</v>
      </c>
      <c r="D28" s="36">
        <f t="shared" ref="D28" si="3">+G28*E28</f>
        <v>3.8500000000000001E-3</v>
      </c>
      <c r="E28" s="41">
        <v>1</v>
      </c>
      <c r="F28" s="3" t="s">
        <v>600</v>
      </c>
      <c r="G28" s="20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3.8500000000000001E-3</v>
      </c>
      <c r="H28" s="24">
        <v>3.8500000000000001E-3</v>
      </c>
      <c r="I28" s="24">
        <v>1.4820547907972801</v>
      </c>
      <c r="J28" s="24">
        <v>3.8500000000000001E-3</v>
      </c>
      <c r="K28" s="24">
        <v>0</v>
      </c>
      <c r="L28" s="24">
        <v>3.8500000000000001E-3</v>
      </c>
      <c r="M28" s="24">
        <v>3.8500000000000001E-3</v>
      </c>
      <c r="N28" s="24">
        <v>3.8500000000000001E-3</v>
      </c>
      <c r="O28" s="24">
        <v>3.8500000000000001E-3</v>
      </c>
      <c r="P28" s="24">
        <v>1.4820547907972801</v>
      </c>
      <c r="Q28" s="24">
        <v>1.4820547907972801</v>
      </c>
      <c r="R28" s="24">
        <v>1.4820547907972801</v>
      </c>
      <c r="S28" s="24">
        <v>3.8500000000000001E-3</v>
      </c>
      <c r="T28" s="24">
        <v>3.8500000000000001E-3</v>
      </c>
      <c r="U28" s="24">
        <v>1.4820547907972801</v>
      </c>
      <c r="V28" s="24">
        <v>1.4820547907972801</v>
      </c>
      <c r="W28" s="24">
        <v>1.4820547907972801</v>
      </c>
      <c r="X28" s="24">
        <v>1.4820547907972801</v>
      </c>
      <c r="Y28" s="24">
        <v>1.4820547907972801</v>
      </c>
      <c r="Z28" s="24">
        <v>1.4820547907972801</v>
      </c>
      <c r="AA28" s="24">
        <v>1.4820547907972801</v>
      </c>
      <c r="AB28" s="24">
        <v>0</v>
      </c>
      <c r="AC28" s="24">
        <v>0</v>
      </c>
      <c r="AD28" s="24">
        <v>0</v>
      </c>
      <c r="AE28" s="137">
        <v>15</v>
      </c>
      <c r="AF28" s="24">
        <v>3.8500000000000001E-3</v>
      </c>
      <c r="AG28" s="156">
        <v>1.4820547907972801</v>
      </c>
      <c r="AH28" s="118">
        <v>3</v>
      </c>
      <c r="AI28" s="24">
        <v>1.4820547907972801</v>
      </c>
      <c r="AJ28" s="24">
        <v>1.4820547907972801</v>
      </c>
      <c r="AK28" s="24">
        <v>1.4820547907972801</v>
      </c>
    </row>
    <row r="29" spans="2:37" x14ac:dyDescent="0.25">
      <c r="B29" s="2" t="s">
        <v>713</v>
      </c>
      <c r="C29" s="2" t="s">
        <v>707</v>
      </c>
      <c r="D29" s="36">
        <f t="shared" si="0"/>
        <v>0</v>
      </c>
      <c r="E29" s="41">
        <v>1</v>
      </c>
      <c r="F29" s="3" t="s">
        <v>600</v>
      </c>
      <c r="G29" s="20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0</v>
      </c>
      <c r="H29" s="24">
        <v>3.2536180686604199</v>
      </c>
      <c r="I29" s="24">
        <v>3.2536180686604199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3.2536180686604199</v>
      </c>
      <c r="Q29" s="24">
        <v>3.2536180686604199</v>
      </c>
      <c r="R29" s="24">
        <v>3.2536180686604199</v>
      </c>
      <c r="S29" s="24">
        <v>0</v>
      </c>
      <c r="T29" s="24">
        <v>0</v>
      </c>
      <c r="U29" s="24">
        <v>3.2536180686604199</v>
      </c>
      <c r="V29" s="24">
        <v>3.2536180686604199</v>
      </c>
      <c r="W29" s="24">
        <v>3.2536180686604199</v>
      </c>
      <c r="X29" s="24">
        <v>3.2536180686604199</v>
      </c>
      <c r="Y29" s="24">
        <v>3.2536180686604199</v>
      </c>
      <c r="Z29" s="24">
        <v>3.2536180686604199</v>
      </c>
      <c r="AA29" s="24">
        <v>3.2536180686604199</v>
      </c>
      <c r="AB29" s="24">
        <v>0.8</v>
      </c>
      <c r="AC29" s="24">
        <v>858</v>
      </c>
      <c r="AD29" s="24">
        <v>858</v>
      </c>
      <c r="AE29" s="137">
        <v>30</v>
      </c>
      <c r="AF29" s="24">
        <v>0</v>
      </c>
      <c r="AG29" s="156">
        <v>5</v>
      </c>
      <c r="AH29" s="118">
        <v>15</v>
      </c>
      <c r="AI29" s="24">
        <v>3.2536180686604199</v>
      </c>
      <c r="AJ29" s="24">
        <v>3.2536180686604199</v>
      </c>
      <c r="AK29" s="24">
        <v>3.2536180686604199</v>
      </c>
    </row>
    <row r="30" spans="2:37" x14ac:dyDescent="0.25">
      <c r="B30" s="2" t="s">
        <v>714</v>
      </c>
      <c r="C30" s="2" t="s">
        <v>708</v>
      </c>
      <c r="D30" s="36">
        <f t="shared" si="0"/>
        <v>0</v>
      </c>
      <c r="E30" s="41">
        <v>1</v>
      </c>
      <c r="F30" s="3" t="s">
        <v>600</v>
      </c>
      <c r="G30" s="20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0</v>
      </c>
      <c r="H30" s="24">
        <v>0.6</v>
      </c>
      <c r="I30" s="24">
        <v>0.6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0.6</v>
      </c>
      <c r="Q30" s="24">
        <v>0.6</v>
      </c>
      <c r="R30" s="24">
        <v>0.6</v>
      </c>
      <c r="S30" s="24">
        <v>0</v>
      </c>
      <c r="T30" s="24">
        <v>0</v>
      </c>
      <c r="U30" s="24">
        <v>0.6</v>
      </c>
      <c r="V30" s="24">
        <v>0.6</v>
      </c>
      <c r="W30" s="24">
        <v>0.6</v>
      </c>
      <c r="X30" s="24">
        <v>0.6</v>
      </c>
      <c r="Y30" s="24">
        <v>0.6</v>
      </c>
      <c r="Z30" s="24">
        <v>0.6</v>
      </c>
      <c r="AA30" s="24">
        <v>0.6</v>
      </c>
      <c r="AB30" s="24">
        <v>0</v>
      </c>
      <c r="AC30" s="24">
        <v>2</v>
      </c>
      <c r="AD30" s="24">
        <v>2</v>
      </c>
      <c r="AE30" s="137">
        <v>0.6</v>
      </c>
      <c r="AF30" s="24">
        <v>0</v>
      </c>
      <c r="AG30" s="156">
        <v>0.6</v>
      </c>
      <c r="AH30" s="118">
        <v>0.6</v>
      </c>
      <c r="AI30" s="24">
        <v>0.6</v>
      </c>
      <c r="AJ30" s="24">
        <v>0.6</v>
      </c>
      <c r="AK30" s="24">
        <v>0.6</v>
      </c>
    </row>
    <row r="31" spans="2:37" x14ac:dyDescent="0.25">
      <c r="B31" s="2" t="s">
        <v>722</v>
      </c>
      <c r="C31" s="2" t="s">
        <v>715</v>
      </c>
      <c r="D31" s="36">
        <f t="shared" si="0"/>
        <v>7.2999999999999995E-2</v>
      </c>
      <c r="E31" s="41">
        <v>1</v>
      </c>
      <c r="F31" s="3" t="s">
        <v>721</v>
      </c>
      <c r="G31" s="20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7.2999999999999995E-2</v>
      </c>
      <c r="H31" s="36">
        <v>9.2409999999999997</v>
      </c>
      <c r="I31" s="36">
        <v>9.2409999999999997</v>
      </c>
      <c r="J31" s="36">
        <v>2.1040000000000001</v>
      </c>
      <c r="K31" s="36">
        <f>611903*1.355817962</f>
        <v>829629.07840168593</v>
      </c>
      <c r="L31" s="36"/>
      <c r="M31" s="36">
        <v>7.2999999999999995E-2</v>
      </c>
      <c r="N31" s="36"/>
      <c r="O31" s="36"/>
      <c r="P31" s="36">
        <v>9.2409999999999997</v>
      </c>
      <c r="Q31" s="36">
        <v>9.2409999999999997</v>
      </c>
      <c r="R31" s="36">
        <v>9.2409999999999997</v>
      </c>
      <c r="S31" s="36"/>
      <c r="T31" s="36"/>
      <c r="U31" s="36">
        <v>1247394.9756</v>
      </c>
      <c r="V31" s="36">
        <v>9.2409999999999997</v>
      </c>
      <c r="W31" s="36">
        <v>29.108000000000001</v>
      </c>
      <c r="X31" s="36">
        <v>43.71</v>
      </c>
      <c r="Y31" s="36">
        <v>43.71</v>
      </c>
      <c r="Z31" s="36">
        <v>9.2409999999999997</v>
      </c>
      <c r="AA31" s="36">
        <v>6.6396100000000002</v>
      </c>
      <c r="AB31" s="36">
        <v>0.46200000000000002</v>
      </c>
      <c r="AC31" s="128">
        <v>7465.2460000000001</v>
      </c>
      <c r="AD31" s="128">
        <v>7465.2460000000001</v>
      </c>
      <c r="AE31" s="36">
        <v>9.0127500000000005</v>
      </c>
      <c r="AF31" s="36">
        <v>2.1040000000000001</v>
      </c>
      <c r="AG31" s="36">
        <v>1.05098</v>
      </c>
      <c r="AH31" s="166">
        <v>5.6607000000000003</v>
      </c>
      <c r="AI31" s="36">
        <v>1247394.9756</v>
      </c>
      <c r="AJ31" s="36">
        <v>1247394.9756</v>
      </c>
      <c r="AK31" s="36">
        <v>1247394.9756</v>
      </c>
    </row>
    <row r="32" spans="2:37" x14ac:dyDescent="0.25">
      <c r="B32" s="2" t="s">
        <v>723</v>
      </c>
      <c r="C32" s="2" t="s">
        <v>716</v>
      </c>
      <c r="D32" s="36">
        <f t="shared" si="0"/>
        <v>0.55700000000000005</v>
      </c>
      <c r="E32" s="41">
        <v>1</v>
      </c>
      <c r="F32" s="3" t="s">
        <v>721</v>
      </c>
      <c r="G32" s="20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0.55700000000000005</v>
      </c>
      <c r="H32" s="36">
        <v>1.236</v>
      </c>
      <c r="I32" s="36">
        <v>1.236</v>
      </c>
      <c r="J32" s="36">
        <v>12.419</v>
      </c>
      <c r="K32" s="36">
        <f>1735389*1.355817962</f>
        <v>2352871.5772572178</v>
      </c>
      <c r="L32" s="36"/>
      <c r="M32" s="36">
        <v>0.55700000000000005</v>
      </c>
      <c r="N32" s="36"/>
      <c r="O32" s="36"/>
      <c r="P32" s="36">
        <v>1.236</v>
      </c>
      <c r="Q32" s="36">
        <v>1.236</v>
      </c>
      <c r="R32" s="36">
        <v>1.236</v>
      </c>
      <c r="S32" s="36"/>
      <c r="T32" s="36"/>
      <c r="U32" s="36">
        <v>3672667.1546</v>
      </c>
      <c r="V32" s="36">
        <v>1.236</v>
      </c>
      <c r="W32" s="36">
        <v>42.668999999999997</v>
      </c>
      <c r="X32" s="36">
        <v>49.38</v>
      </c>
      <c r="Y32" s="36">
        <v>49.38</v>
      </c>
      <c r="Z32" s="36">
        <v>1.236</v>
      </c>
      <c r="AA32" s="36">
        <v>0.57489000000000001</v>
      </c>
      <c r="AB32" s="36">
        <v>0.41499999999999998</v>
      </c>
      <c r="AC32" s="36">
        <v>12161.478999999999</v>
      </c>
      <c r="AD32" s="36">
        <v>12161.478999999999</v>
      </c>
      <c r="AE32" s="36">
        <v>46.78</v>
      </c>
      <c r="AF32" s="36">
        <v>12.419</v>
      </c>
      <c r="AG32" s="36">
        <v>3.0449999999999999</v>
      </c>
      <c r="AH32" s="166">
        <v>88.126999999999995</v>
      </c>
      <c r="AI32" s="36">
        <v>3672667.1546</v>
      </c>
      <c r="AJ32" s="36">
        <v>3672667.1546</v>
      </c>
      <c r="AK32" s="36">
        <v>3672667.1546</v>
      </c>
    </row>
    <row r="33" spans="2:37" x14ac:dyDescent="0.25">
      <c r="B33" s="2" t="s">
        <v>724</v>
      </c>
      <c r="C33" s="2" t="s">
        <v>717</v>
      </c>
      <c r="D33" s="36">
        <f t="shared" si="0"/>
        <v>0.61399999999999999</v>
      </c>
      <c r="E33" s="41">
        <v>1</v>
      </c>
      <c r="F33" s="3" t="s">
        <v>721</v>
      </c>
      <c r="G33" s="20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0.61399999999999999</v>
      </c>
      <c r="H33" s="36">
        <v>10.118</v>
      </c>
      <c r="I33" s="36">
        <v>10.118</v>
      </c>
      <c r="J33" s="36">
        <v>14.396000000000001</v>
      </c>
      <c r="K33" s="36">
        <f>2301293*1.355817962</f>
        <v>3120134.3852248657</v>
      </c>
      <c r="L33" s="36"/>
      <c r="M33" s="36">
        <v>0.61399999999999999</v>
      </c>
      <c r="N33" s="36"/>
      <c r="O33" s="36"/>
      <c r="P33" s="36">
        <v>10.118</v>
      </c>
      <c r="Q33" s="36">
        <v>10.118</v>
      </c>
      <c r="R33" s="36">
        <v>10.118</v>
      </c>
      <c r="S33" s="36"/>
      <c r="T33" s="36"/>
      <c r="U33" s="36">
        <v>4747536.2428000001</v>
      </c>
      <c r="V33" s="36">
        <v>10.118</v>
      </c>
      <c r="W33" s="36">
        <v>69.253</v>
      </c>
      <c r="X33" s="36">
        <v>89.73</v>
      </c>
      <c r="Y33" s="36">
        <v>89.73</v>
      </c>
      <c r="Z33" s="36">
        <v>10.118</v>
      </c>
      <c r="AA33" s="36">
        <v>7.2090800000000002</v>
      </c>
      <c r="AB33" s="36">
        <v>0.83</v>
      </c>
      <c r="AC33" s="36">
        <v>17675.132000000001</v>
      </c>
      <c r="AD33" s="36">
        <v>17675.132000000001</v>
      </c>
      <c r="AE33" s="36">
        <v>50.75</v>
      </c>
      <c r="AF33" s="36">
        <v>14.396000000000001</v>
      </c>
      <c r="AG33" s="36">
        <v>3.96</v>
      </c>
      <c r="AH33" s="166">
        <v>91.785300000000007</v>
      </c>
      <c r="AI33" s="36">
        <v>4747536.2428000001</v>
      </c>
      <c r="AJ33" s="36">
        <v>4747536.2428000001</v>
      </c>
      <c r="AK33" s="36">
        <v>4747536.2428000001</v>
      </c>
    </row>
    <row r="34" spans="2:37" x14ac:dyDescent="0.25">
      <c r="B34" s="2" t="s">
        <v>725</v>
      </c>
      <c r="C34" s="2" t="s">
        <v>718</v>
      </c>
      <c r="D34" s="36">
        <f t="shared" si="0"/>
        <v>-5.2150000000000005E-4</v>
      </c>
      <c r="E34" s="41">
        <v>1</v>
      </c>
      <c r="F34" s="3" t="s">
        <v>721</v>
      </c>
      <c r="G34" s="20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-5.2150000000000005E-4</v>
      </c>
      <c r="H34" s="36">
        <v>-4.4999999999999998E-2</v>
      </c>
      <c r="I34" s="36">
        <v>-4.4999999999999998E-2</v>
      </c>
      <c r="J34" s="36">
        <v>0</v>
      </c>
      <c r="K34" s="36">
        <v>0</v>
      </c>
      <c r="L34" s="36"/>
      <c r="M34" s="185">
        <v>-5.2150000000000005E-4</v>
      </c>
      <c r="N34" s="36"/>
      <c r="O34" s="36"/>
      <c r="P34" s="36">
        <v>-4.4999999999999998E-2</v>
      </c>
      <c r="Q34" s="36">
        <v>-4.4999999999999998E-2</v>
      </c>
      <c r="R34" s="36">
        <v>-4.4999999999999998E-2</v>
      </c>
      <c r="S34" s="36"/>
      <c r="T34" s="36"/>
      <c r="U34" s="36">
        <v>0</v>
      </c>
      <c r="V34" s="36">
        <v>0</v>
      </c>
      <c r="W34" s="36">
        <v>0.19500000000000001</v>
      </c>
      <c r="X34" s="36">
        <v>0.191</v>
      </c>
      <c r="Y34" s="36">
        <v>0.191</v>
      </c>
      <c r="Z34" s="36">
        <v>-4.4999999999999998E-2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166">
        <v>0</v>
      </c>
      <c r="AI34" s="36">
        <v>0</v>
      </c>
      <c r="AJ34" s="36">
        <v>0</v>
      </c>
      <c r="AK34" s="36">
        <v>0</v>
      </c>
    </row>
    <row r="35" spans="2:37" x14ac:dyDescent="0.25">
      <c r="B35" s="2" t="s">
        <v>726</v>
      </c>
      <c r="C35" s="2" t="s">
        <v>719</v>
      </c>
      <c r="D35" s="36">
        <f t="shared" si="0"/>
        <v>-4.0000000000000001E-3</v>
      </c>
      <c r="E35" s="41">
        <v>1</v>
      </c>
      <c r="F35" s="3" t="s">
        <v>721</v>
      </c>
      <c r="G35" s="20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-4.0000000000000001E-3</v>
      </c>
      <c r="H35" s="36">
        <v>0.154</v>
      </c>
      <c r="I35" s="36">
        <v>0.154</v>
      </c>
      <c r="J35" s="36">
        <v>-0.1</v>
      </c>
      <c r="K35" s="36">
        <v>0</v>
      </c>
      <c r="L35" s="36"/>
      <c r="M35" s="36">
        <v>-4.0000000000000001E-3</v>
      </c>
      <c r="N35" s="36"/>
      <c r="O35" s="36"/>
      <c r="P35" s="36">
        <v>0.154</v>
      </c>
      <c r="Q35" s="36">
        <v>0.154</v>
      </c>
      <c r="R35" s="36">
        <v>0.154</v>
      </c>
      <c r="S35" s="36"/>
      <c r="T35" s="36"/>
      <c r="U35" s="36">
        <v>0</v>
      </c>
      <c r="V35" s="36">
        <v>0</v>
      </c>
      <c r="W35" s="36">
        <v>1.8169999999999999</v>
      </c>
      <c r="X35" s="36">
        <v>1.87968</v>
      </c>
      <c r="Y35" s="36">
        <v>1.87968</v>
      </c>
      <c r="Z35" s="36">
        <v>0.154</v>
      </c>
      <c r="AA35" s="36">
        <v>3.9500000000000004E-3</v>
      </c>
      <c r="AB35" s="36">
        <v>5.2900000000000003E-2</v>
      </c>
      <c r="AC35" s="36">
        <v>1521.47</v>
      </c>
      <c r="AD35" s="36">
        <v>1521.47</v>
      </c>
      <c r="AE35" s="36">
        <v>-8.4499999999999993</v>
      </c>
      <c r="AF35" s="36">
        <v>-0.1</v>
      </c>
      <c r="AG35" s="36">
        <v>-0.53390000000000004</v>
      </c>
      <c r="AH35" s="166">
        <v>-2.44103</v>
      </c>
      <c r="AI35" s="36">
        <v>0</v>
      </c>
      <c r="AJ35" s="36">
        <v>0</v>
      </c>
      <c r="AK35" s="36">
        <v>0</v>
      </c>
    </row>
    <row r="36" spans="2:37" x14ac:dyDescent="0.25">
      <c r="B36" s="2" t="s">
        <v>727</v>
      </c>
      <c r="C36" s="2" t="s">
        <v>720</v>
      </c>
      <c r="D36" s="36">
        <f t="shared" si="0"/>
        <v>9.7999999999999997E-5</v>
      </c>
      <c r="E36" s="41">
        <v>1</v>
      </c>
      <c r="F36" s="3" t="s">
        <v>721</v>
      </c>
      <c r="G36" s="20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9.7999999999999997E-5</v>
      </c>
      <c r="H36" s="36">
        <v>-8.6999999999999994E-2</v>
      </c>
      <c r="I36" s="36">
        <v>-8.6999999999999994E-2</v>
      </c>
      <c r="J36" s="36">
        <v>0</v>
      </c>
      <c r="K36" s="36">
        <v>0</v>
      </c>
      <c r="L36" s="36"/>
      <c r="M36" s="185">
        <v>9.7999999999999997E-5</v>
      </c>
      <c r="N36" s="36"/>
      <c r="O36" s="36"/>
      <c r="P36" s="36">
        <v>-8.6999999999999994E-2</v>
      </c>
      <c r="Q36" s="36">
        <v>-8.6999999999999994E-2</v>
      </c>
      <c r="R36" s="36">
        <v>-8.6999999999999994E-2</v>
      </c>
      <c r="S36" s="36"/>
      <c r="T36" s="36"/>
      <c r="U36" s="36">
        <v>0</v>
      </c>
      <c r="V36" s="36">
        <v>0</v>
      </c>
      <c r="W36" s="36">
        <v>2.4E-2</v>
      </c>
      <c r="X36" s="36">
        <v>2.4667999999999999E-2</v>
      </c>
      <c r="Y36" s="36">
        <v>2.4667999999999999E-2</v>
      </c>
      <c r="Z36" s="36">
        <v>-8.6999999999999994E-2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118">
        <v>0</v>
      </c>
      <c r="AI36" s="36">
        <v>0</v>
      </c>
      <c r="AJ36" s="36">
        <v>0</v>
      </c>
      <c r="AK36" s="36">
        <v>0</v>
      </c>
    </row>
    <row r="37" spans="2:37" x14ac:dyDescent="0.25">
      <c r="B37" s="2" t="s">
        <v>729</v>
      </c>
      <c r="C37" s="2" t="s">
        <v>728</v>
      </c>
      <c r="D37" s="36">
        <f>+G37*E37</f>
        <v>0</v>
      </c>
      <c r="E37" s="41">
        <v>1</v>
      </c>
      <c r="F37" s="3"/>
      <c r="G37" s="20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137">
        <v>0</v>
      </c>
      <c r="AF37" s="24">
        <v>0</v>
      </c>
      <c r="AG37" s="156">
        <v>0</v>
      </c>
      <c r="AH37" s="118">
        <v>0</v>
      </c>
      <c r="AI37" s="24">
        <v>0</v>
      </c>
      <c r="AJ37" s="24">
        <v>0</v>
      </c>
      <c r="AK37" s="24">
        <v>0</v>
      </c>
    </row>
    <row r="38" spans="2:37" x14ac:dyDescent="0.25">
      <c r="B38" s="2" t="s">
        <v>827</v>
      </c>
      <c r="C38" s="2" t="s">
        <v>828</v>
      </c>
      <c r="D38" s="36">
        <f t="shared" si="0"/>
        <v>1</v>
      </c>
      <c r="E38" s="41">
        <v>1</v>
      </c>
      <c r="F38" s="3"/>
      <c r="G38" s="20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1</v>
      </c>
      <c r="H38" s="24">
        <v>0</v>
      </c>
      <c r="I38" s="24">
        <v>0</v>
      </c>
      <c r="J38" s="24">
        <v>1</v>
      </c>
      <c r="K38" s="24">
        <v>1</v>
      </c>
      <c r="L38" s="24">
        <v>0</v>
      </c>
      <c r="M38" s="24">
        <v>1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1</v>
      </c>
      <c r="V38" s="24">
        <v>1</v>
      </c>
      <c r="W38" s="24">
        <v>1</v>
      </c>
      <c r="X38" s="24">
        <v>1</v>
      </c>
      <c r="Y38" s="24">
        <v>1</v>
      </c>
      <c r="Z38" s="24">
        <v>1</v>
      </c>
      <c r="AA38" s="24">
        <v>0</v>
      </c>
      <c r="AB38" s="24">
        <v>1</v>
      </c>
      <c r="AC38" s="24">
        <v>1</v>
      </c>
      <c r="AD38" s="24">
        <v>1</v>
      </c>
      <c r="AE38" s="137">
        <v>1</v>
      </c>
      <c r="AF38" s="24">
        <v>1</v>
      </c>
      <c r="AG38" s="156">
        <v>1</v>
      </c>
      <c r="AH38" s="118">
        <v>1</v>
      </c>
      <c r="AI38" s="24">
        <v>1</v>
      </c>
      <c r="AJ38" s="24">
        <v>1</v>
      </c>
      <c r="AK38" s="24">
        <v>1</v>
      </c>
    </row>
    <row r="39" spans="2:37" x14ac:dyDescent="0.25">
      <c r="B39" s="2" t="s">
        <v>829</v>
      </c>
      <c r="C39" s="2" t="s">
        <v>835</v>
      </c>
      <c r="D39" s="36">
        <f t="shared" si="0"/>
        <v>6.4</v>
      </c>
      <c r="E39" s="41">
        <v>1</v>
      </c>
      <c r="F39" s="3" t="s">
        <v>600</v>
      </c>
      <c r="G39" s="20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6.4</v>
      </c>
      <c r="H39" s="36">
        <v>20</v>
      </c>
      <c r="I39" s="119">
        <v>20</v>
      </c>
      <c r="J39" s="36">
        <f t="shared" ref="J39" si="4">+J40+J41+J43+J44</f>
        <v>40</v>
      </c>
      <c r="K39" s="24">
        <v>141000</v>
      </c>
      <c r="L39" s="36">
        <f t="shared" ref="L39" si="5">+L40+L41+L43+L44</f>
        <v>0</v>
      </c>
      <c r="M39" s="36">
        <v>6.4</v>
      </c>
      <c r="N39" s="36">
        <f t="shared" ref="N39" si="6">+N40+N41+N43+N44</f>
        <v>0</v>
      </c>
      <c r="O39" s="36">
        <f t="shared" ref="O39" si="7">+O40+O41+O43+O44</f>
        <v>0</v>
      </c>
      <c r="P39" s="36">
        <f t="shared" ref="P39:Q39" si="8">+P40+P41+P43+P44</f>
        <v>0</v>
      </c>
      <c r="Q39" s="36">
        <f t="shared" si="8"/>
        <v>0</v>
      </c>
      <c r="R39" s="36">
        <v>20</v>
      </c>
      <c r="S39" s="36">
        <f t="shared" ref="S39" si="9">+S40+S41+S43+S44</f>
        <v>0</v>
      </c>
      <c r="T39" s="36">
        <f t="shared" ref="T39" si="10">+T40+T41+T43+T44</f>
        <v>0</v>
      </c>
      <c r="U39" s="36">
        <f>+U40+U41+U43+U44</f>
        <v>71381</v>
      </c>
      <c r="V39" s="36">
        <f t="shared" ref="V39:X39" si="11">+V40+V41+V43+V44</f>
        <v>71381</v>
      </c>
      <c r="W39" s="36">
        <f t="shared" si="11"/>
        <v>75</v>
      </c>
      <c r="X39" s="36">
        <f t="shared" si="11"/>
        <v>120</v>
      </c>
      <c r="Y39" s="36">
        <f t="shared" ref="Y39" si="12">+Y40+Y41+Y43+Y44</f>
        <v>120</v>
      </c>
      <c r="Z39" s="36">
        <v>24.42</v>
      </c>
      <c r="AA39" s="36">
        <f>+AA44+AA43+AA41+AA40</f>
        <v>19</v>
      </c>
      <c r="AB39" s="36">
        <f>+AB44+AB43+AB41+AB40</f>
        <v>4</v>
      </c>
      <c r="AC39" s="36">
        <v>3629</v>
      </c>
      <c r="AD39" s="36">
        <f t="shared" ref="AD39:AI39" si="13">+AD40+AD41+AD43+AD44</f>
        <v>6838</v>
      </c>
      <c r="AE39" s="36">
        <f t="shared" si="13"/>
        <v>1205</v>
      </c>
      <c r="AF39" s="36">
        <f t="shared" ref="AF39" si="14">+AF40+AF41+AF43+AF44</f>
        <v>40</v>
      </c>
      <c r="AG39" s="36">
        <f>+AG40+AG41+AG43+AG44</f>
        <v>27.56</v>
      </c>
      <c r="AH39" s="36">
        <f>+AH40+AH41+AH43+AH44</f>
        <v>240</v>
      </c>
      <c r="AI39" s="36">
        <f t="shared" si="13"/>
        <v>71381</v>
      </c>
      <c r="AJ39" s="36">
        <f>+AJ40+AJ41+AJ43+AJ44</f>
        <v>71381</v>
      </c>
      <c r="AK39" s="36">
        <f t="shared" ref="AK39" si="15">+AK40+AK41+AK43+AK44</f>
        <v>71381</v>
      </c>
    </row>
    <row r="40" spans="2:37" x14ac:dyDescent="0.25">
      <c r="B40" s="2" t="s">
        <v>834</v>
      </c>
      <c r="C40" s="2" t="s">
        <v>836</v>
      </c>
      <c r="D40" s="36">
        <f t="shared" si="0"/>
        <v>1.5680000000000005</v>
      </c>
      <c r="E40" s="41">
        <v>1</v>
      </c>
      <c r="F40" s="3" t="s">
        <v>600</v>
      </c>
      <c r="G40" s="20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1.5680000000000005</v>
      </c>
      <c r="H40" s="36">
        <v>12</v>
      </c>
      <c r="I40" s="119">
        <v>12</v>
      </c>
      <c r="J40" s="36">
        <v>15</v>
      </c>
      <c r="K40" s="24">
        <v>78600</v>
      </c>
      <c r="L40" s="36"/>
      <c r="M40" s="36">
        <f>+M39-M43-M44</f>
        <v>1.5680000000000005</v>
      </c>
      <c r="N40" s="36"/>
      <c r="O40" s="36"/>
      <c r="P40" s="36"/>
      <c r="Q40" s="36"/>
      <c r="R40" s="36">
        <v>12</v>
      </c>
      <c r="S40" s="36"/>
      <c r="T40" s="36"/>
      <c r="U40" s="36">
        <v>38349</v>
      </c>
      <c r="V40" s="36">
        <v>38349</v>
      </c>
      <c r="W40" s="36">
        <v>50</v>
      </c>
      <c r="X40" s="36">
        <f>91</f>
        <v>91</v>
      </c>
      <c r="Y40" s="36">
        <f>91</f>
        <v>91</v>
      </c>
      <c r="Z40" s="36">
        <v>20.22</v>
      </c>
      <c r="AA40" s="36">
        <v>10</v>
      </c>
      <c r="AB40" s="36">
        <v>2.8</v>
      </c>
      <c r="AC40" s="36">
        <v>1832</v>
      </c>
      <c r="AD40" s="36">
        <v>4500</v>
      </c>
      <c r="AE40" s="139">
        <v>200</v>
      </c>
      <c r="AF40" s="36">
        <v>15</v>
      </c>
      <c r="AG40" s="139">
        <v>10</v>
      </c>
      <c r="AH40" s="118">
        <v>100</v>
      </c>
      <c r="AI40" s="36">
        <v>38349</v>
      </c>
      <c r="AJ40" s="36">
        <v>38349</v>
      </c>
      <c r="AK40" s="36">
        <v>38349</v>
      </c>
    </row>
    <row r="41" spans="2:37" x14ac:dyDescent="0.25">
      <c r="B41" s="2" t="s">
        <v>833</v>
      </c>
      <c r="C41" s="2" t="s">
        <v>837</v>
      </c>
      <c r="D41" s="36">
        <f t="shared" si="0"/>
        <v>0</v>
      </c>
      <c r="E41" s="41">
        <v>1</v>
      </c>
      <c r="F41" s="3" t="s">
        <v>600</v>
      </c>
      <c r="G41" s="20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0</v>
      </c>
      <c r="H41" s="36">
        <v>0</v>
      </c>
      <c r="I41" s="119">
        <v>0</v>
      </c>
      <c r="J41" s="36">
        <v>0</v>
      </c>
      <c r="K41" s="24">
        <v>320</v>
      </c>
      <c r="L41" s="36"/>
      <c r="M41" s="36">
        <v>0</v>
      </c>
      <c r="N41" s="36"/>
      <c r="O41" s="36"/>
      <c r="P41" s="36"/>
      <c r="Q41" s="36"/>
      <c r="R41" s="36">
        <v>0</v>
      </c>
      <c r="S41" s="36"/>
      <c r="T41" s="36"/>
      <c r="U41" s="36">
        <v>635</v>
      </c>
      <c r="V41" s="36">
        <v>635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100</v>
      </c>
      <c r="AD41" s="36">
        <v>100</v>
      </c>
      <c r="AE41" s="139">
        <v>0</v>
      </c>
      <c r="AF41" s="36">
        <v>0</v>
      </c>
      <c r="AG41" s="139">
        <v>0</v>
      </c>
      <c r="AH41" s="118">
        <v>0</v>
      </c>
      <c r="AI41" s="36">
        <v>635</v>
      </c>
      <c r="AJ41" s="36">
        <v>635</v>
      </c>
      <c r="AK41" s="36">
        <v>635</v>
      </c>
    </row>
    <row r="42" spans="2:37" x14ac:dyDescent="0.25">
      <c r="B42" s="2" t="s">
        <v>830</v>
      </c>
      <c r="C42" s="2" t="s">
        <v>838</v>
      </c>
      <c r="D42" s="36">
        <f>+G42*E42</f>
        <v>5.44</v>
      </c>
      <c r="E42" s="41">
        <v>1</v>
      </c>
      <c r="F42" s="3" t="s">
        <v>600</v>
      </c>
      <c r="G42" s="20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5.44</v>
      </c>
      <c r="H42" s="36">
        <v>20</v>
      </c>
      <c r="I42" s="119">
        <v>20</v>
      </c>
      <c r="J42" s="36">
        <v>0</v>
      </c>
      <c r="K42" s="24">
        <v>123000</v>
      </c>
      <c r="L42" s="36"/>
      <c r="M42" s="36">
        <f>+M39*0.85</f>
        <v>5.44</v>
      </c>
      <c r="N42" s="36"/>
      <c r="O42" s="36"/>
      <c r="P42" s="36"/>
      <c r="Q42" s="36"/>
      <c r="R42" s="36">
        <v>20</v>
      </c>
      <c r="S42" s="36"/>
      <c r="T42" s="36"/>
      <c r="U42" s="36">
        <f>+U39*0.85</f>
        <v>60673.85</v>
      </c>
      <c r="V42" s="36">
        <f t="shared" ref="V42:AC42" si="16">+V39*0.85</f>
        <v>60673.85</v>
      </c>
      <c r="W42" s="36">
        <f t="shared" si="16"/>
        <v>63.75</v>
      </c>
      <c r="X42" s="36">
        <f t="shared" si="16"/>
        <v>102</v>
      </c>
      <c r="Y42" s="36">
        <f t="shared" si="16"/>
        <v>102</v>
      </c>
      <c r="Z42" s="36">
        <f t="shared" si="16"/>
        <v>20.757000000000001</v>
      </c>
      <c r="AA42" s="36">
        <f t="shared" si="16"/>
        <v>16.149999999999999</v>
      </c>
      <c r="AB42" s="36">
        <f t="shared" si="16"/>
        <v>3.4</v>
      </c>
      <c r="AC42" s="36">
        <f t="shared" si="16"/>
        <v>3084.65</v>
      </c>
      <c r="AD42" s="36">
        <f t="shared" ref="AD42" si="17">+AD39*0.85</f>
        <v>5812.3</v>
      </c>
      <c r="AE42" s="139">
        <f t="shared" ref="AE42:AI42" si="18">+AE39*0.85</f>
        <v>1024.25</v>
      </c>
      <c r="AF42" s="139">
        <f t="shared" si="18"/>
        <v>34</v>
      </c>
      <c r="AG42" s="139">
        <f>+AG39*0.85</f>
        <v>23.425999999999998</v>
      </c>
      <c r="AH42" s="139">
        <f>+AH39*0.85</f>
        <v>204</v>
      </c>
      <c r="AI42" s="36">
        <f t="shared" si="18"/>
        <v>60673.85</v>
      </c>
      <c r="AJ42" s="36">
        <f>+AJ39*0.85</f>
        <v>60673.85</v>
      </c>
      <c r="AK42" s="36">
        <f t="shared" ref="AK42" si="19">+AK39*0.85</f>
        <v>60673.85</v>
      </c>
    </row>
    <row r="43" spans="2:37" x14ac:dyDescent="0.25">
      <c r="B43" s="2" t="s">
        <v>831</v>
      </c>
      <c r="C43" s="2" t="s">
        <v>839</v>
      </c>
      <c r="D43" s="36">
        <f t="shared" si="0"/>
        <v>1.96</v>
      </c>
      <c r="E43" s="41">
        <v>1</v>
      </c>
      <c r="F43" s="3" t="s">
        <v>600</v>
      </c>
      <c r="G43" s="20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1.96</v>
      </c>
      <c r="H43" s="36">
        <v>6</v>
      </c>
      <c r="I43" s="119">
        <v>6</v>
      </c>
      <c r="J43" s="36">
        <v>15</v>
      </c>
      <c r="K43" s="24">
        <v>50500</v>
      </c>
      <c r="L43" s="36"/>
      <c r="M43" s="36">
        <v>1.96</v>
      </c>
      <c r="N43" s="36"/>
      <c r="O43" s="36"/>
      <c r="P43" s="36"/>
      <c r="Q43" s="36"/>
      <c r="R43" s="36">
        <v>6</v>
      </c>
      <c r="S43" s="36"/>
      <c r="T43" s="36"/>
      <c r="U43" s="36">
        <v>16068</v>
      </c>
      <c r="V43" s="36">
        <v>16068</v>
      </c>
      <c r="W43" s="36">
        <v>15</v>
      </c>
      <c r="X43" s="36">
        <v>15</v>
      </c>
      <c r="Y43" s="36">
        <v>15</v>
      </c>
      <c r="Z43" s="36">
        <v>3.2</v>
      </c>
      <c r="AA43" s="36">
        <v>8</v>
      </c>
      <c r="AB43" s="36">
        <v>0</v>
      </c>
      <c r="AC43" s="36">
        <v>600</v>
      </c>
      <c r="AD43" s="36">
        <v>1638</v>
      </c>
      <c r="AE43" s="139">
        <v>5</v>
      </c>
      <c r="AF43" s="36">
        <v>15</v>
      </c>
      <c r="AG43" s="139">
        <v>7.56</v>
      </c>
      <c r="AH43" s="118">
        <v>90</v>
      </c>
      <c r="AI43" s="36">
        <v>16068</v>
      </c>
      <c r="AJ43" s="36">
        <v>16068</v>
      </c>
      <c r="AK43" s="36">
        <v>16068</v>
      </c>
    </row>
    <row r="44" spans="2:37" x14ac:dyDescent="0.25">
      <c r="B44" s="2" t="s">
        <v>832</v>
      </c>
      <c r="C44" s="2" t="s">
        <v>840</v>
      </c>
      <c r="D44" s="36">
        <f t="shared" si="0"/>
        <v>2.8719999999999999</v>
      </c>
      <c r="E44" s="41">
        <v>1</v>
      </c>
      <c r="F44" s="3" t="s">
        <v>600</v>
      </c>
      <c r="G44" s="20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2.8719999999999999</v>
      </c>
      <c r="H44" s="36">
        <v>2</v>
      </c>
      <c r="I44" s="119">
        <v>2</v>
      </c>
      <c r="J44" s="36">
        <v>10</v>
      </c>
      <c r="K44" s="24">
        <v>37000</v>
      </c>
      <c r="L44" s="36"/>
      <c r="M44" s="36">
        <f>1.5+1.127+0.245</f>
        <v>2.8719999999999999</v>
      </c>
      <c r="N44" s="36"/>
      <c r="O44" s="36"/>
      <c r="P44" s="36"/>
      <c r="Q44" s="36"/>
      <c r="R44" s="36">
        <v>2</v>
      </c>
      <c r="S44" s="36"/>
      <c r="T44" s="36"/>
      <c r="U44" s="36">
        <v>16329</v>
      </c>
      <c r="V44" s="36">
        <v>16329</v>
      </c>
      <c r="W44" s="36">
        <v>10</v>
      </c>
      <c r="X44" s="36">
        <f>3.5*4</f>
        <v>14</v>
      </c>
      <c r="Y44" s="36">
        <f>3.5*4</f>
        <v>14</v>
      </c>
      <c r="Z44" s="36">
        <v>1</v>
      </c>
      <c r="AA44" s="36">
        <v>1</v>
      </c>
      <c r="AB44" s="36">
        <f>0.15*8</f>
        <v>1.2</v>
      </c>
      <c r="AC44" s="36">
        <v>1200</v>
      </c>
      <c r="AD44" s="36">
        <v>600</v>
      </c>
      <c r="AE44" s="139">
        <v>1000</v>
      </c>
      <c r="AF44" s="36">
        <v>10</v>
      </c>
      <c r="AG44" s="139">
        <v>10</v>
      </c>
      <c r="AH44" s="118">
        <v>50</v>
      </c>
      <c r="AI44" s="36">
        <v>16329</v>
      </c>
      <c r="AJ44" s="36">
        <v>16329</v>
      </c>
      <c r="AK44" s="36">
        <v>16329</v>
      </c>
    </row>
    <row r="45" spans="2:37" x14ac:dyDescent="0.25">
      <c r="B45" s="2" t="s">
        <v>940</v>
      </c>
      <c r="C45" s="2" t="s">
        <v>942</v>
      </c>
      <c r="D45" s="36">
        <f t="shared" ref="D45:D46" si="20">+G45*E45</f>
        <v>1</v>
      </c>
      <c r="E45" s="41">
        <v>1</v>
      </c>
      <c r="F45" s="3" t="s">
        <v>600</v>
      </c>
      <c r="G45" s="20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1</v>
      </c>
      <c r="H45" s="36">
        <v>1</v>
      </c>
      <c r="I45" s="119">
        <v>1</v>
      </c>
      <c r="J45" s="36">
        <v>1</v>
      </c>
      <c r="K45" s="24">
        <v>0.36</v>
      </c>
      <c r="L45" s="36">
        <v>1</v>
      </c>
      <c r="M45" s="36">
        <v>1</v>
      </c>
      <c r="N45" s="36">
        <v>1</v>
      </c>
      <c r="O45" s="36">
        <v>1</v>
      </c>
      <c r="P45" s="36">
        <v>1</v>
      </c>
      <c r="Q45" s="36">
        <v>1</v>
      </c>
      <c r="R45" s="36">
        <v>1</v>
      </c>
      <c r="S45" s="36"/>
      <c r="T45" s="36"/>
      <c r="U45" s="36">
        <v>0.25</v>
      </c>
      <c r="V45" s="36">
        <v>1</v>
      </c>
      <c r="W45" s="36">
        <v>1</v>
      </c>
      <c r="X45" s="36">
        <v>1</v>
      </c>
      <c r="Y45" s="36">
        <v>1</v>
      </c>
      <c r="Z45" s="36">
        <v>1</v>
      </c>
      <c r="AA45" s="36">
        <v>1</v>
      </c>
      <c r="AB45" s="36">
        <v>1</v>
      </c>
      <c r="AC45" s="36">
        <v>1</v>
      </c>
      <c r="AD45" s="36">
        <v>0.25</v>
      </c>
      <c r="AE45" s="139">
        <v>1</v>
      </c>
      <c r="AF45" s="36">
        <v>1</v>
      </c>
      <c r="AG45" s="139">
        <v>1</v>
      </c>
      <c r="AH45" s="118">
        <v>0.25</v>
      </c>
      <c r="AI45" s="36">
        <v>0.25</v>
      </c>
      <c r="AJ45" s="36">
        <v>0.25</v>
      </c>
      <c r="AK45" s="36">
        <v>0.25</v>
      </c>
    </row>
    <row r="46" spans="2:37" x14ac:dyDescent="0.25">
      <c r="B46" s="2" t="s">
        <v>941</v>
      </c>
      <c r="C46" s="2" t="s">
        <v>943</v>
      </c>
      <c r="D46" s="36">
        <f t="shared" si="20"/>
        <v>1</v>
      </c>
      <c r="E46" s="41">
        <v>1</v>
      </c>
      <c r="F46" s="3" t="s">
        <v>600</v>
      </c>
      <c r="G46" s="20">
        <f>+IF(EXACT('3AC_Data'!$D$8,1),H46,IF(EXACT('3AC_Data'!$D$8,2),I46,IF(EXACT('3AC_Data'!$D$8,3),J46,IF(EXACT('3AC_Data'!$D$8,4),K46,IF(EXACT('3AC_Data'!$D$8,5),L46,IF(EXACT('3AC_Data'!$D$8,6),M46,IF(EXACT('3AC_Data'!$D$8,7),N46,IF(EXACT('3AC_Data'!$D$8,8),O46,IF(EXACT('3AC_Data'!$D$8,9),P46,IF(EXACT('3AC_Data'!$D$8,10),Q46,IF(EXACT('3AC_Data'!$D$8,11),R46,IF(EXACT('3AC_Data'!$D$8,12),S46,IF(EXACT('3AC_Data'!$D$8,13),T46,IF(EXACT('3AC_Data'!$D$8,14),U46,IF(EXACT('3AC_Data'!$D$8,15),V46,IF(EXACT('3AC_Data'!$D$8,16),W46,IF(EXACT('3AC_Data'!$D$8,17),X46,IF(EXACT('3AC_Data'!$D$8,18),Y46,IF(EXACT('3AC_Data'!$D$8,19),Z46,IF(EXACT('3AC_Data'!$D$8,20),AA46,IF(EXACT('3AC_Data'!$D$8,21),AB46,IF(EXACT('3AC_Data'!$D$8,22),AC46,IF(EXACT('3AC_Data'!$D$8,23),AD46,IF(EXACT('3AC_Data'!$D$8,24),AE46,IF(EXACT('3AC_Data'!$D$8,25),AF46,IF(EXACT('3AC_Data'!$D$8,26),AG46,IF(EXACT('3AC_Data'!$D$8,27),AH46,IF(EXACT('3AC_Data'!$D$8,28),AI46,IF(EXACT('3AC_Data'!$D$8,29),AJ46,IF(EXACT('3AC_Data'!$D$8,30),AK46))))))))))))))))))))))))))))))</f>
        <v>1</v>
      </c>
      <c r="H46" s="36">
        <v>1</v>
      </c>
      <c r="I46" s="119">
        <v>1</v>
      </c>
      <c r="J46" s="36">
        <v>1</v>
      </c>
      <c r="K46" s="24">
        <v>0.26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  <c r="R46" s="36">
        <v>1</v>
      </c>
      <c r="S46" s="36"/>
      <c r="T46" s="36"/>
      <c r="U46" s="36">
        <v>0.25</v>
      </c>
      <c r="V46" s="36">
        <v>1</v>
      </c>
      <c r="W46" s="36">
        <v>1</v>
      </c>
      <c r="X46" s="36">
        <v>1</v>
      </c>
      <c r="Y46" s="36">
        <v>1</v>
      </c>
      <c r="Z46" s="36">
        <v>1</v>
      </c>
      <c r="AA46" s="36">
        <v>1</v>
      </c>
      <c r="AB46" s="36">
        <v>1</v>
      </c>
      <c r="AC46" s="36">
        <v>1</v>
      </c>
      <c r="AD46" s="36">
        <v>1</v>
      </c>
      <c r="AE46" s="139">
        <v>1</v>
      </c>
      <c r="AF46" s="36">
        <v>1</v>
      </c>
      <c r="AG46" s="139">
        <v>1</v>
      </c>
      <c r="AH46" s="118">
        <v>0.25</v>
      </c>
      <c r="AI46" s="36">
        <v>0.25</v>
      </c>
      <c r="AJ46" s="36">
        <v>0.25</v>
      </c>
      <c r="AK46" s="36">
        <v>0.25</v>
      </c>
    </row>
    <row r="47" spans="2:37" x14ac:dyDescent="0.25">
      <c r="B47" s="2" t="s">
        <v>1231</v>
      </c>
      <c r="C47" s="2" t="s">
        <v>1232</v>
      </c>
      <c r="D47" s="36">
        <f t="shared" ref="D47" si="21">+G47*E47</f>
        <v>0</v>
      </c>
      <c r="E47" s="41">
        <v>1</v>
      </c>
      <c r="F47" s="3" t="s">
        <v>600</v>
      </c>
      <c r="G47" s="20">
        <f>+IF(EXACT('3AC_Data'!$D$8,1),H47,IF(EXACT('3AC_Data'!$D$8,2),I47,IF(EXACT('3AC_Data'!$D$8,3),J47,IF(EXACT('3AC_Data'!$D$8,4),K47,IF(EXACT('3AC_Data'!$D$8,5),L47,IF(EXACT('3AC_Data'!$D$8,6),M47,IF(EXACT('3AC_Data'!$D$8,7),N47,IF(EXACT('3AC_Data'!$D$8,8),O47,IF(EXACT('3AC_Data'!$D$8,9),P47,IF(EXACT('3AC_Data'!$D$8,10),Q47,IF(EXACT('3AC_Data'!$D$8,11),R47,IF(EXACT('3AC_Data'!$D$8,12),S47,IF(EXACT('3AC_Data'!$D$8,13),T47,IF(EXACT('3AC_Data'!$D$8,14),U47,IF(EXACT('3AC_Data'!$D$8,15),V47,IF(EXACT('3AC_Data'!$D$8,16),W47,IF(EXACT('3AC_Data'!$D$8,17),X47,IF(EXACT('3AC_Data'!$D$8,18),Y47,IF(EXACT('3AC_Data'!$D$8,19),Z47,IF(EXACT('3AC_Data'!$D$8,20),AA47,IF(EXACT('3AC_Data'!$D$8,21),AB47,IF(EXACT('3AC_Data'!$D$8,22),AC47,IF(EXACT('3AC_Data'!$D$8,23),AD47,IF(EXACT('3AC_Data'!$D$8,24),AE47,IF(EXACT('3AC_Data'!$D$8,25),AF47,IF(EXACT('3AC_Data'!$D$8,26),AG47,IF(EXACT('3AC_Data'!$D$8,27),AH47,IF(EXACT('3AC_Data'!$D$8,28),AI47,IF(EXACT('3AC_Data'!$D$8,29),AJ47,IF(EXACT('3AC_Data'!$D$8,30),AK47))))))))))))))))))))))))))))))</f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1</v>
      </c>
      <c r="Y47" s="36">
        <v>1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139">
        <v>0</v>
      </c>
      <c r="AF47" s="36">
        <v>0</v>
      </c>
      <c r="AG47" s="139">
        <v>0</v>
      </c>
      <c r="AH47" s="118">
        <v>0</v>
      </c>
      <c r="AI47" s="36">
        <v>0</v>
      </c>
      <c r="AJ47" s="36">
        <v>0</v>
      </c>
      <c r="AK47" s="36">
        <v>0</v>
      </c>
    </row>
    <row r="48" spans="2:37" x14ac:dyDescent="0.25">
      <c r="AB48" s="12"/>
    </row>
    <row r="49" spans="2:3" x14ac:dyDescent="0.25">
      <c r="B49" s="187" t="s">
        <v>185</v>
      </c>
      <c r="C49" s="187"/>
    </row>
    <row r="50" spans="2:3" x14ac:dyDescent="0.25">
      <c r="B50" s="9" t="str">
        <f>+B3</f>
        <v>Mass of engine (kg)</v>
      </c>
      <c r="C50" s="9" t="s">
        <v>9</v>
      </c>
    </row>
    <row r="51" spans="2:3" x14ac:dyDescent="0.25">
      <c r="B51" s="9" t="str">
        <f>+B4</f>
        <v>Mass of propeller (kg)</v>
      </c>
      <c r="C51" s="9" t="s">
        <v>9</v>
      </c>
    </row>
    <row r="52" spans="2:3" x14ac:dyDescent="0.25">
      <c r="B52" s="9" t="str">
        <f>+B5</f>
        <v>Mass of ESC (kg)</v>
      </c>
      <c r="C52" s="9" t="s">
        <v>9</v>
      </c>
    </row>
    <row r="53" spans="2:3" x14ac:dyDescent="0.25">
      <c r="B53" s="9" t="str">
        <f>+B6</f>
        <v xml:space="preserve">Number of servos </v>
      </c>
      <c r="C53" s="9" t="s">
        <v>9</v>
      </c>
    </row>
    <row r="54" spans="2:3" x14ac:dyDescent="0.25">
      <c r="B54" s="9" t="str">
        <f t="shared" ref="B54:B66" si="22">+B8</f>
        <v>Mass of electronic wiring (kg)</v>
      </c>
      <c r="C54" s="9" t="s">
        <v>9</v>
      </c>
    </row>
    <row r="55" spans="2:3" x14ac:dyDescent="0.25">
      <c r="B55" s="9" t="str">
        <f t="shared" si="22"/>
        <v>Mass of misc (kg)</v>
      </c>
      <c r="C55" s="9" t="s">
        <v>9</v>
      </c>
    </row>
    <row r="56" spans="2:3" x14ac:dyDescent="0.25">
      <c r="B56" s="9" t="str">
        <f t="shared" si="22"/>
        <v>Mass of Systems (kg)</v>
      </c>
      <c r="C56" s="9" t="s">
        <v>9</v>
      </c>
    </row>
    <row r="57" spans="2:3" x14ac:dyDescent="0.25">
      <c r="B57" s="9" t="str">
        <f t="shared" si="22"/>
        <v>Mass of landing gear (kg)</v>
      </c>
      <c r="C57" s="9" t="s">
        <v>9</v>
      </c>
    </row>
    <row r="58" spans="2:3" x14ac:dyDescent="0.25">
      <c r="B58" s="9" t="str">
        <f t="shared" si="22"/>
        <v>Number of Passangers</v>
      </c>
      <c r="C58" s="9" t="s">
        <v>9</v>
      </c>
    </row>
    <row r="59" spans="2:3" x14ac:dyDescent="0.25">
      <c r="B59" s="9" t="str">
        <f t="shared" si="22"/>
        <v>Number of Crew</v>
      </c>
      <c r="C59" s="9" t="s">
        <v>9</v>
      </c>
    </row>
    <row r="60" spans="2:3" x14ac:dyDescent="0.25">
      <c r="B60" s="9" t="str">
        <f t="shared" si="22"/>
        <v>Mass per Passenger (kg)</v>
      </c>
      <c r="C60" s="9" t="s">
        <v>9</v>
      </c>
    </row>
    <row r="61" spans="2:3" x14ac:dyDescent="0.25">
      <c r="B61" s="9" t="str">
        <f t="shared" si="22"/>
        <v>Mass per Crew  (kg)</v>
      </c>
      <c r="C61" s="9" t="s">
        <v>9</v>
      </c>
    </row>
    <row r="62" spans="2:3" x14ac:dyDescent="0.25">
      <c r="B62" s="9" t="str">
        <f t="shared" si="22"/>
        <v>Mass of luggage (kg)</v>
      </c>
      <c r="C62" s="9" t="s">
        <v>9</v>
      </c>
    </row>
    <row r="63" spans="2:3" x14ac:dyDescent="0.25">
      <c r="B63" s="9" t="str">
        <f t="shared" si="22"/>
        <v>Mass of payload cargo (kg)</v>
      </c>
      <c r="C63" s="9" t="s">
        <v>9</v>
      </c>
    </row>
    <row r="64" spans="2:3" x14ac:dyDescent="0.25">
      <c r="B64" s="9" t="str">
        <f t="shared" si="22"/>
        <v>Mass of batteries (kg)</v>
      </c>
      <c r="C64" s="9" t="s">
        <v>9</v>
      </c>
    </row>
    <row r="65" spans="2:3" x14ac:dyDescent="0.25">
      <c r="B65" s="9" t="str">
        <f t="shared" si="22"/>
        <v>Mass of fuel (kg)</v>
      </c>
      <c r="C65" s="9" t="s">
        <v>9</v>
      </c>
    </row>
    <row r="66" spans="2:3" x14ac:dyDescent="0.25">
      <c r="B66" s="9" t="str">
        <f t="shared" si="22"/>
        <v>Determination of Landing Gear Estimation if available</v>
      </c>
      <c r="C66" s="9" t="s">
        <v>9</v>
      </c>
    </row>
    <row r="67" spans="2:3" x14ac:dyDescent="0.25">
      <c r="B67" s="4">
        <v>0</v>
      </c>
      <c r="C67" s="8" t="s">
        <v>219</v>
      </c>
    </row>
    <row r="68" spans="2:3" x14ac:dyDescent="0.25">
      <c r="B68" s="4">
        <v>1</v>
      </c>
      <c r="C68" s="8" t="s">
        <v>220</v>
      </c>
    </row>
    <row r="69" spans="2:3" x14ac:dyDescent="0.25">
      <c r="B69" s="9" t="str">
        <f t="shared" ref="B69:B75" si="23">+B21</f>
        <v>Fudge Factor that increments the weight estimation</v>
      </c>
      <c r="C69" s="9" t="s">
        <v>9</v>
      </c>
    </row>
    <row r="70" spans="2:3" x14ac:dyDescent="0.25">
      <c r="B70" s="9" t="str">
        <f t="shared" si="23"/>
        <v>Mass of one A123 cell</v>
      </c>
      <c r="C70" s="9" t="s">
        <v>9</v>
      </c>
    </row>
    <row r="71" spans="2:3" x14ac:dyDescent="0.25">
      <c r="B71" s="9" t="str">
        <f t="shared" si="23"/>
        <v>Mass of wing</v>
      </c>
      <c r="C71" s="9" t="s">
        <v>9</v>
      </c>
    </row>
    <row r="72" spans="2:3" x14ac:dyDescent="0.25">
      <c r="B72" s="9" t="str">
        <f t="shared" si="23"/>
        <v>Mass of HTP</v>
      </c>
      <c r="C72" s="9" t="s">
        <v>9</v>
      </c>
    </row>
    <row r="73" spans="2:3" x14ac:dyDescent="0.25">
      <c r="B73" s="9" t="str">
        <f t="shared" si="23"/>
        <v>Mass of VTP</v>
      </c>
      <c r="C73" s="9" t="s">
        <v>9</v>
      </c>
    </row>
    <row r="74" spans="2:3" x14ac:dyDescent="0.25">
      <c r="B74" s="9" t="str">
        <f t="shared" si="23"/>
        <v>Mass of Canard</v>
      </c>
      <c r="C74" s="9" t="s">
        <v>9</v>
      </c>
    </row>
    <row r="75" spans="2:3" x14ac:dyDescent="0.25">
      <c r="B75" s="9" t="str">
        <f t="shared" si="23"/>
        <v>Mass of V tail</v>
      </c>
      <c r="C75" s="9" t="s">
        <v>9</v>
      </c>
    </row>
    <row r="76" spans="2:3" x14ac:dyDescent="0.25">
      <c r="B76" s="9" t="str">
        <f t="shared" ref="B76:B84" si="24">+B29</f>
        <v>Mass of Fuselage &amp; fairing</v>
      </c>
      <c r="C76" s="9" t="s">
        <v>9</v>
      </c>
    </row>
    <row r="77" spans="2:3" x14ac:dyDescent="0.25">
      <c r="B77" s="9" t="str">
        <f t="shared" si="24"/>
        <v>Mass of prop nacelle</v>
      </c>
      <c r="C77" s="9" t="s">
        <v>9</v>
      </c>
    </row>
    <row r="78" spans="2:3" x14ac:dyDescent="0.25">
      <c r="B78" s="9" t="str">
        <f t="shared" si="24"/>
        <v>Moments of Inertia Ixx</v>
      </c>
      <c r="C78" s="9" t="s">
        <v>9</v>
      </c>
    </row>
    <row r="79" spans="2:3" x14ac:dyDescent="0.25">
      <c r="B79" s="9" t="str">
        <f t="shared" si="24"/>
        <v>Moments of Inertia Iyy</v>
      </c>
      <c r="C79" s="9" t="s">
        <v>9</v>
      </c>
    </row>
    <row r="80" spans="2:3" x14ac:dyDescent="0.25">
      <c r="B80" s="9" t="str">
        <f t="shared" si="24"/>
        <v>Moments of Inertia Izz</v>
      </c>
      <c r="C80" s="9" t="s">
        <v>9</v>
      </c>
    </row>
    <row r="81" spans="2:3" x14ac:dyDescent="0.25">
      <c r="B81" s="9" t="str">
        <f t="shared" si="24"/>
        <v>Moments of Inertia Ixy</v>
      </c>
      <c r="C81" s="9" t="s">
        <v>9</v>
      </c>
    </row>
    <row r="82" spans="2:3" x14ac:dyDescent="0.25">
      <c r="B82" s="9" t="str">
        <f t="shared" si="24"/>
        <v>Moments of Inertia Ixz</v>
      </c>
      <c r="C82" s="9" t="s">
        <v>9</v>
      </c>
    </row>
    <row r="83" spans="2:3" x14ac:dyDescent="0.25">
      <c r="B83" s="9" t="str">
        <f t="shared" si="24"/>
        <v>Moments of Inertia Iyz</v>
      </c>
      <c r="C83" s="9" t="s">
        <v>9</v>
      </c>
    </row>
    <row r="84" spans="2:3" x14ac:dyDescent="0.25">
      <c r="B84" s="9" t="str">
        <f t="shared" si="24"/>
        <v>Determination of Moments of innertia from literature</v>
      </c>
      <c r="C84" s="9" t="s">
        <v>9</v>
      </c>
    </row>
    <row r="85" spans="2:3" x14ac:dyDescent="0.25">
      <c r="B85" s="4">
        <v>0</v>
      </c>
      <c r="C85" s="8" t="s">
        <v>730</v>
      </c>
    </row>
    <row r="86" spans="2:3" x14ac:dyDescent="0.25">
      <c r="B86" s="4">
        <v>1</v>
      </c>
      <c r="C86" s="8" t="s">
        <v>731</v>
      </c>
    </row>
  </sheetData>
  <mergeCells count="1">
    <mergeCell ref="B49:C49"/>
  </mergeCells>
  <dataValidations count="1">
    <dataValidation type="list" allowBlank="1" showInputMessage="1" showErrorMessage="1" sqref="H20:J20 L20:R20 U20:AK20" xr:uid="{99FAE025-8B68-4794-BBA6-F66861DD18CE}">
      <formula1>$B$67:$B$68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B00B-2F4F-4DE5-B7DF-6199A7B11150}">
  <sheetPr codeName="Sheet6"/>
  <dimension ref="A1:AK63"/>
  <sheetViews>
    <sheetView topLeftCell="C1" workbookViewId="0">
      <selection activeCell="M29" sqref="M29"/>
    </sheetView>
  </sheetViews>
  <sheetFormatPr baseColWidth="10" defaultColWidth="11.42578125" defaultRowHeight="15" x14ac:dyDescent="0.25"/>
  <cols>
    <col min="1" max="1" width="3" customWidth="1"/>
    <col min="2" max="2" width="87.85546875" bestFit="1" customWidth="1"/>
    <col min="3" max="3" width="24.28515625" bestFit="1" customWidth="1"/>
    <col min="4" max="4" width="23.7109375" customWidth="1"/>
    <col min="5" max="5" width="6.140625" customWidth="1"/>
    <col min="6" max="6" width="5.5703125" bestFit="1" customWidth="1"/>
    <col min="7" max="7" width="24.5703125" bestFit="1" customWidth="1"/>
    <col min="8" max="8" width="24.5703125" customWidth="1"/>
    <col min="9" max="9" width="24.5703125" style="7" customWidth="1"/>
    <col min="10" max="13" width="24.5703125" customWidth="1"/>
    <col min="14" max="15" width="24.5703125" hidden="1" customWidth="1"/>
    <col min="16" max="16" width="22.5703125" hidden="1" customWidth="1"/>
    <col min="17" max="18" width="24.5703125" hidden="1" customWidth="1"/>
    <col min="19" max="20" width="22.42578125" hidden="1" customWidth="1"/>
    <col min="21" max="22" width="22.5703125" hidden="1" customWidth="1"/>
    <col min="23" max="24" width="24.7109375" hidden="1" customWidth="1"/>
    <col min="25" max="26" width="24.5703125" hidden="1" customWidth="1"/>
    <col min="27" max="27" width="26" hidden="1" customWidth="1"/>
    <col min="28" max="28" width="36.7109375" hidden="1" customWidth="1"/>
    <col min="29" max="30" width="24.5703125" hidden="1" customWidth="1"/>
    <col min="31" max="37" width="24.5703125" bestFit="1" customWidth="1"/>
  </cols>
  <sheetData>
    <row r="1" spans="2:37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6" t="s">
        <v>17</v>
      </c>
      <c r="D2" s="34" t="s">
        <v>8</v>
      </c>
      <c r="E2" s="35" t="s">
        <v>1385</v>
      </c>
      <c r="F2" s="6" t="s">
        <v>299</v>
      </c>
      <c r="G2" s="20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523</v>
      </c>
      <c r="C3" s="2" t="s">
        <v>221</v>
      </c>
      <c r="D3" s="36">
        <f>+G3</f>
        <v>9</v>
      </c>
      <c r="E3" s="36"/>
      <c r="F3" s="4"/>
      <c r="G3" s="20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9</v>
      </c>
      <c r="H3" s="24">
        <v>9</v>
      </c>
      <c r="I3" s="24">
        <v>9</v>
      </c>
      <c r="J3" s="24">
        <v>96</v>
      </c>
      <c r="K3" s="24">
        <v>9</v>
      </c>
      <c r="L3" s="24">
        <v>9</v>
      </c>
      <c r="M3" s="24">
        <v>9</v>
      </c>
      <c r="N3" s="24">
        <v>9</v>
      </c>
      <c r="O3" s="24">
        <v>9</v>
      </c>
      <c r="P3" s="24">
        <v>9</v>
      </c>
      <c r="Q3" s="24">
        <v>9</v>
      </c>
      <c r="R3" s="24">
        <v>9</v>
      </c>
      <c r="S3" s="24">
        <v>97</v>
      </c>
      <c r="T3" s="24">
        <v>97</v>
      </c>
      <c r="U3" s="24">
        <v>9</v>
      </c>
      <c r="V3" s="24">
        <v>9</v>
      </c>
      <c r="W3" s="24">
        <v>9</v>
      </c>
      <c r="X3" s="24">
        <v>9</v>
      </c>
      <c r="Y3" s="24">
        <v>9</v>
      </c>
      <c r="Z3" s="24">
        <v>9</v>
      </c>
      <c r="AA3" s="24">
        <v>9</v>
      </c>
      <c r="AB3" s="24">
        <v>9</v>
      </c>
      <c r="AC3" s="24">
        <v>9</v>
      </c>
      <c r="AD3" s="24">
        <v>9</v>
      </c>
      <c r="AE3" s="24">
        <v>96</v>
      </c>
      <c r="AF3" s="24">
        <v>96</v>
      </c>
      <c r="AG3" s="24">
        <v>9</v>
      </c>
      <c r="AH3" s="24">
        <v>9</v>
      </c>
      <c r="AI3" s="24">
        <v>9</v>
      </c>
      <c r="AJ3" s="24">
        <v>9</v>
      </c>
      <c r="AK3" s="24">
        <v>9</v>
      </c>
    </row>
    <row r="4" spans="2:37" x14ac:dyDescent="0.25">
      <c r="B4" s="2" t="s">
        <v>227</v>
      </c>
      <c r="C4" s="2" t="s">
        <v>222</v>
      </c>
      <c r="D4" s="36">
        <f t="shared" ref="D4:D17" si="0">+G4</f>
        <v>50</v>
      </c>
      <c r="E4" s="36"/>
      <c r="F4" s="4"/>
      <c r="G4" s="20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50</v>
      </c>
      <c r="H4" s="24">
        <v>50</v>
      </c>
      <c r="I4" s="24">
        <v>50</v>
      </c>
      <c r="J4" s="24">
        <v>67</v>
      </c>
      <c r="K4" s="24">
        <v>50</v>
      </c>
      <c r="L4" s="24">
        <v>50</v>
      </c>
      <c r="M4" s="24">
        <v>50</v>
      </c>
      <c r="N4" s="24">
        <v>50</v>
      </c>
      <c r="O4" s="24">
        <v>50</v>
      </c>
      <c r="P4" s="24">
        <v>50</v>
      </c>
      <c r="Q4" s="24">
        <v>50</v>
      </c>
      <c r="R4" s="24">
        <v>50</v>
      </c>
      <c r="S4" s="24">
        <v>67</v>
      </c>
      <c r="T4" s="24">
        <v>67</v>
      </c>
      <c r="U4" s="24">
        <v>50</v>
      </c>
      <c r="V4" s="24">
        <v>50</v>
      </c>
      <c r="W4" s="24">
        <v>50</v>
      </c>
      <c r="X4" s="24">
        <v>50</v>
      </c>
      <c r="Y4" s="24">
        <v>50</v>
      </c>
      <c r="Z4" s="24">
        <v>50</v>
      </c>
      <c r="AA4" s="24">
        <v>50</v>
      </c>
      <c r="AB4" s="24">
        <v>50</v>
      </c>
      <c r="AC4" s="24">
        <v>50</v>
      </c>
      <c r="AD4" s="24">
        <v>50</v>
      </c>
      <c r="AE4" s="24">
        <v>67</v>
      </c>
      <c r="AF4" s="24">
        <v>67</v>
      </c>
      <c r="AG4" s="24">
        <v>50</v>
      </c>
      <c r="AH4" s="24">
        <v>50</v>
      </c>
      <c r="AI4" s="24">
        <v>50</v>
      </c>
      <c r="AJ4" s="24">
        <v>50</v>
      </c>
      <c r="AK4" s="24">
        <v>50</v>
      </c>
    </row>
    <row r="5" spans="2:37" x14ac:dyDescent="0.25">
      <c r="B5" s="2" t="s">
        <v>228</v>
      </c>
      <c r="C5" s="2" t="s">
        <v>223</v>
      </c>
      <c r="D5" s="36">
        <f t="shared" si="0"/>
        <v>5</v>
      </c>
      <c r="E5" s="36"/>
      <c r="F5" s="4"/>
      <c r="G5" s="20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5</v>
      </c>
      <c r="H5" s="24">
        <v>5</v>
      </c>
      <c r="I5" s="24">
        <v>5</v>
      </c>
      <c r="J5" s="24">
        <v>5</v>
      </c>
      <c r="K5" s="24">
        <v>5</v>
      </c>
      <c r="L5" s="24">
        <v>5</v>
      </c>
      <c r="M5" s="24">
        <v>5</v>
      </c>
      <c r="N5" s="24">
        <v>5</v>
      </c>
      <c r="O5" s="24">
        <v>5</v>
      </c>
      <c r="P5" s="24">
        <v>5</v>
      </c>
      <c r="Q5" s="24">
        <v>5</v>
      </c>
      <c r="R5" s="24">
        <v>5</v>
      </c>
      <c r="S5" s="24">
        <v>6</v>
      </c>
      <c r="T5" s="24">
        <v>6</v>
      </c>
      <c r="U5" s="24">
        <v>5</v>
      </c>
      <c r="V5" s="24">
        <v>5</v>
      </c>
      <c r="W5" s="24">
        <v>5</v>
      </c>
      <c r="X5" s="24">
        <v>5</v>
      </c>
      <c r="Y5" s="24">
        <v>5</v>
      </c>
      <c r="Z5" s="24">
        <v>5</v>
      </c>
      <c r="AA5" s="24">
        <v>5</v>
      </c>
      <c r="AB5" s="24">
        <v>5</v>
      </c>
      <c r="AC5" s="24">
        <v>5</v>
      </c>
      <c r="AD5" s="24">
        <v>5</v>
      </c>
      <c r="AE5" s="24">
        <v>5</v>
      </c>
      <c r="AF5" s="24">
        <v>5</v>
      </c>
      <c r="AG5" s="24">
        <v>5</v>
      </c>
      <c r="AH5" s="24">
        <v>5</v>
      </c>
      <c r="AI5" s="24">
        <v>5</v>
      </c>
      <c r="AJ5" s="24">
        <v>5</v>
      </c>
      <c r="AK5" s="24">
        <v>5</v>
      </c>
    </row>
    <row r="6" spans="2:37" x14ac:dyDescent="0.25">
      <c r="B6" s="2" t="s">
        <v>229</v>
      </c>
      <c r="C6" s="2" t="s">
        <v>224</v>
      </c>
      <c r="D6" s="36">
        <f t="shared" si="0"/>
        <v>1</v>
      </c>
      <c r="E6" s="36"/>
      <c r="F6" s="4"/>
      <c r="G6" s="20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1</v>
      </c>
      <c r="H6" s="24">
        <v>1</v>
      </c>
      <c r="I6" s="24">
        <v>1</v>
      </c>
      <c r="J6" s="24">
        <v>0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>
        <v>0</v>
      </c>
      <c r="T6" s="24"/>
      <c r="U6" s="24">
        <v>1</v>
      </c>
      <c r="V6" s="24">
        <v>1</v>
      </c>
      <c r="W6" s="24">
        <v>1</v>
      </c>
      <c r="X6" s="24">
        <v>1</v>
      </c>
      <c r="Y6" s="24">
        <v>1</v>
      </c>
      <c r="Z6" s="24">
        <v>1</v>
      </c>
      <c r="AA6" s="24">
        <v>1</v>
      </c>
      <c r="AB6" s="24">
        <v>1</v>
      </c>
      <c r="AC6" s="24">
        <v>1</v>
      </c>
      <c r="AD6" s="24">
        <v>1</v>
      </c>
      <c r="AE6" s="24">
        <v>0</v>
      </c>
      <c r="AF6" s="24">
        <v>0</v>
      </c>
      <c r="AG6" s="24">
        <v>1</v>
      </c>
      <c r="AH6" s="24">
        <v>1</v>
      </c>
      <c r="AI6" s="24">
        <v>1</v>
      </c>
      <c r="AJ6" s="24">
        <v>1</v>
      </c>
      <c r="AK6" s="24">
        <v>1</v>
      </c>
    </row>
    <row r="7" spans="2:37" x14ac:dyDescent="0.25">
      <c r="B7" s="2" t="s">
        <v>791</v>
      </c>
      <c r="C7" s="2" t="s">
        <v>225</v>
      </c>
      <c r="D7" s="36" t="str">
        <f t="shared" si="0"/>
        <v>Fuselage_DATA_scaled.txt</v>
      </c>
      <c r="E7" s="36"/>
      <c r="F7" s="4"/>
      <c r="G7" s="20" t="str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Fuselage_DATA_scaled.txt</v>
      </c>
      <c r="H7" s="24" t="s">
        <v>226</v>
      </c>
      <c r="I7" s="24" t="s">
        <v>226</v>
      </c>
      <c r="J7" s="24" t="s">
        <v>623</v>
      </c>
      <c r="K7" s="24" t="s">
        <v>226</v>
      </c>
      <c r="L7" s="24" t="s">
        <v>226</v>
      </c>
      <c r="M7" s="24" t="s">
        <v>226</v>
      </c>
      <c r="N7" s="24" t="s">
        <v>226</v>
      </c>
      <c r="O7" s="24" t="s">
        <v>226</v>
      </c>
      <c r="P7" s="24" t="s">
        <v>226</v>
      </c>
      <c r="Q7" s="24" t="s">
        <v>226</v>
      </c>
      <c r="R7" s="24" t="s">
        <v>226</v>
      </c>
      <c r="S7" s="24" t="s">
        <v>674</v>
      </c>
      <c r="T7" s="24" t="s">
        <v>674</v>
      </c>
      <c r="U7" s="24" t="s">
        <v>226</v>
      </c>
      <c r="V7" s="24" t="s">
        <v>226</v>
      </c>
      <c r="W7" s="24" t="s">
        <v>226</v>
      </c>
      <c r="X7" s="24" t="s">
        <v>226</v>
      </c>
      <c r="Y7" s="24" t="s">
        <v>226</v>
      </c>
      <c r="Z7" s="24" t="s">
        <v>226</v>
      </c>
      <c r="AA7" s="24" t="s">
        <v>226</v>
      </c>
      <c r="AB7" s="24" t="s">
        <v>226</v>
      </c>
      <c r="AC7" s="24" t="s">
        <v>226</v>
      </c>
      <c r="AD7" s="24" t="s">
        <v>226</v>
      </c>
      <c r="AE7" s="24" t="s">
        <v>623</v>
      </c>
      <c r="AF7" s="24" t="s">
        <v>623</v>
      </c>
      <c r="AG7" s="24" t="s">
        <v>226</v>
      </c>
      <c r="AH7" s="24" t="s">
        <v>226</v>
      </c>
      <c r="AI7" s="24" t="s">
        <v>226</v>
      </c>
      <c r="AJ7" s="24" t="s">
        <v>226</v>
      </c>
      <c r="AK7" s="24" t="s">
        <v>226</v>
      </c>
    </row>
    <row r="8" spans="2:37" x14ac:dyDescent="0.25">
      <c r="B8" s="2" t="s">
        <v>793</v>
      </c>
      <c r="C8" s="2" t="s">
        <v>794</v>
      </c>
      <c r="D8" s="36" t="str">
        <f t="shared" si="0"/>
        <v>AC_Milvus_ASCII_v6.stl</v>
      </c>
      <c r="E8" s="36"/>
      <c r="F8" s="4"/>
      <c r="G8" s="20" t="str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AC_Milvus_ASCII_v6.stl</v>
      </c>
      <c r="H8" s="24" t="s">
        <v>810</v>
      </c>
      <c r="I8" s="24" t="s">
        <v>810</v>
      </c>
      <c r="J8" s="24" t="s">
        <v>938</v>
      </c>
      <c r="K8" s="24" t="s">
        <v>1282</v>
      </c>
      <c r="L8" s="24" t="s">
        <v>810</v>
      </c>
      <c r="M8" s="24" t="s">
        <v>1734</v>
      </c>
      <c r="N8" s="24" t="s">
        <v>810</v>
      </c>
      <c r="O8" s="24" t="s">
        <v>810</v>
      </c>
      <c r="P8" s="24" t="s">
        <v>810</v>
      </c>
      <c r="Q8" s="24" t="s">
        <v>810</v>
      </c>
      <c r="R8" s="24" t="s">
        <v>868</v>
      </c>
      <c r="S8" s="24" t="s">
        <v>810</v>
      </c>
      <c r="T8" s="24" t="s">
        <v>810</v>
      </c>
      <c r="U8" s="24" t="s">
        <v>1325</v>
      </c>
      <c r="V8" s="24" t="s">
        <v>869</v>
      </c>
      <c r="W8" s="24" t="s">
        <v>917</v>
      </c>
      <c r="X8" s="24" t="s">
        <v>951</v>
      </c>
      <c r="Y8" s="24" t="s">
        <v>951</v>
      </c>
      <c r="Z8" s="24" t="s">
        <v>1325</v>
      </c>
      <c r="AA8" s="24" t="s">
        <v>1362</v>
      </c>
      <c r="AB8" s="24" t="s">
        <v>1730</v>
      </c>
      <c r="AC8" s="24" t="s">
        <v>1714</v>
      </c>
      <c r="AD8" s="24" t="s">
        <v>1715</v>
      </c>
      <c r="AE8" s="24" t="s">
        <v>1637</v>
      </c>
      <c r="AF8" s="24" t="s">
        <v>1637</v>
      </c>
      <c r="AG8" s="24" t="s">
        <v>1731</v>
      </c>
      <c r="AH8" s="167" t="s">
        <v>1649</v>
      </c>
      <c r="AI8" s="24" t="s">
        <v>1325</v>
      </c>
      <c r="AJ8" s="24" t="s">
        <v>1325</v>
      </c>
      <c r="AK8" s="24" t="s">
        <v>1325</v>
      </c>
    </row>
    <row r="9" spans="2:37" x14ac:dyDescent="0.25">
      <c r="B9" s="2" t="s">
        <v>792</v>
      </c>
      <c r="C9" s="2" t="s">
        <v>795</v>
      </c>
      <c r="D9" s="36" t="str">
        <f t="shared" si="0"/>
        <v>fuselage_Milvus_ASCII_v4.stl</v>
      </c>
      <c r="E9" s="36"/>
      <c r="F9" s="4"/>
      <c r="G9" s="20" t="str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fuselage_Milvus_ASCII_v4.stl</v>
      </c>
      <c r="H9" s="24" t="s">
        <v>811</v>
      </c>
      <c r="I9" s="24" t="s">
        <v>811</v>
      </c>
      <c r="J9" s="24" t="s">
        <v>939</v>
      </c>
      <c r="K9" s="24" t="s">
        <v>1283</v>
      </c>
      <c r="L9" s="24" t="s">
        <v>811</v>
      </c>
      <c r="M9" s="24" t="s">
        <v>1735</v>
      </c>
      <c r="N9" s="24" t="s">
        <v>811</v>
      </c>
      <c r="O9" s="24" t="s">
        <v>811</v>
      </c>
      <c r="P9" s="24" t="s">
        <v>811</v>
      </c>
      <c r="Q9" s="24" t="s">
        <v>811</v>
      </c>
      <c r="R9" s="24" t="s">
        <v>867</v>
      </c>
      <c r="S9" s="24" t="s">
        <v>811</v>
      </c>
      <c r="T9" s="24" t="s">
        <v>811</v>
      </c>
      <c r="U9" s="24" t="s">
        <v>1326</v>
      </c>
      <c r="V9" s="24" t="s">
        <v>867</v>
      </c>
      <c r="W9" s="24" t="s">
        <v>917</v>
      </c>
      <c r="X9" s="24" t="s">
        <v>917</v>
      </c>
      <c r="Y9" s="24" t="s">
        <v>917</v>
      </c>
      <c r="Z9" s="24" t="s">
        <v>1326</v>
      </c>
      <c r="AA9" s="24" t="s">
        <v>1361</v>
      </c>
      <c r="AB9" s="24" t="s">
        <v>1729</v>
      </c>
      <c r="AC9" s="24" t="s">
        <v>1732</v>
      </c>
      <c r="AD9" s="24" t="s">
        <v>1716</v>
      </c>
      <c r="AE9" s="24" t="s">
        <v>1638</v>
      </c>
      <c r="AF9" s="24" t="s">
        <v>1638</v>
      </c>
      <c r="AG9" s="24" t="s">
        <v>1646</v>
      </c>
      <c r="AH9" s="167" t="s">
        <v>1650</v>
      </c>
      <c r="AI9" s="24" t="s">
        <v>1326</v>
      </c>
      <c r="AJ9" s="24" t="s">
        <v>1326</v>
      </c>
      <c r="AK9" s="24" t="s">
        <v>1326</v>
      </c>
    </row>
    <row r="10" spans="2:37" x14ac:dyDescent="0.25">
      <c r="B10" s="2" t="s">
        <v>803</v>
      </c>
      <c r="C10" s="2" t="s">
        <v>796</v>
      </c>
      <c r="D10" s="36" t="str">
        <f t="shared" si="0"/>
        <v>wing1_MILVIUS.stl</v>
      </c>
      <c r="E10" s="36"/>
      <c r="F10" s="4"/>
      <c r="G10" s="20" t="str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wing1_MILVIUS.stl</v>
      </c>
      <c r="H10" s="24" t="s">
        <v>814</v>
      </c>
      <c r="I10" s="24" t="s">
        <v>814</v>
      </c>
      <c r="J10" s="24" t="s">
        <v>814</v>
      </c>
      <c r="K10" s="24" t="s">
        <v>814</v>
      </c>
      <c r="L10" s="24" t="s">
        <v>814</v>
      </c>
      <c r="M10" s="24" t="s">
        <v>1242</v>
      </c>
      <c r="N10" s="24" t="s">
        <v>814</v>
      </c>
      <c r="O10" s="24" t="s">
        <v>814</v>
      </c>
      <c r="P10" s="24" t="s">
        <v>814</v>
      </c>
      <c r="Q10" s="24" t="s">
        <v>814</v>
      </c>
      <c r="R10" s="24" t="s">
        <v>814</v>
      </c>
      <c r="S10" s="24" t="s">
        <v>814</v>
      </c>
      <c r="T10" s="24" t="s">
        <v>814</v>
      </c>
      <c r="U10" s="24" t="s">
        <v>814</v>
      </c>
      <c r="V10" s="24" t="s">
        <v>814</v>
      </c>
      <c r="W10" s="24" t="s">
        <v>814</v>
      </c>
      <c r="X10" s="24" t="s">
        <v>814</v>
      </c>
      <c r="Y10" s="24" t="s">
        <v>814</v>
      </c>
      <c r="Z10" s="24" t="s">
        <v>814</v>
      </c>
      <c r="AA10" s="24" t="s">
        <v>1362</v>
      </c>
      <c r="AB10" s="24" t="s">
        <v>814</v>
      </c>
      <c r="AC10" s="24" t="s">
        <v>814</v>
      </c>
      <c r="AD10" s="24" t="s">
        <v>814</v>
      </c>
      <c r="AE10" s="24" t="s">
        <v>1636</v>
      </c>
      <c r="AF10" s="24" t="s">
        <v>1636</v>
      </c>
      <c r="AG10" s="24" t="s">
        <v>1644</v>
      </c>
      <c r="AH10" s="167" t="s">
        <v>1644</v>
      </c>
      <c r="AI10" s="24" t="s">
        <v>814</v>
      </c>
      <c r="AJ10" s="24" t="s">
        <v>814</v>
      </c>
      <c r="AK10" s="24" t="s">
        <v>814</v>
      </c>
    </row>
    <row r="11" spans="2:37" x14ac:dyDescent="0.25">
      <c r="B11" s="2" t="s">
        <v>809</v>
      </c>
      <c r="C11" s="2" t="s">
        <v>797</v>
      </c>
      <c r="D11" s="36" t="str">
        <f t="shared" si="0"/>
        <v>wing2_MILVIUS.stl</v>
      </c>
      <c r="E11" s="36"/>
      <c r="F11" s="4"/>
      <c r="G11" s="20" t="str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wing2_MILVIUS.stl</v>
      </c>
      <c r="H11" s="24" t="s">
        <v>814</v>
      </c>
      <c r="I11" s="24" t="s">
        <v>814</v>
      </c>
      <c r="J11" s="24" t="s">
        <v>814</v>
      </c>
      <c r="K11" s="24" t="s">
        <v>814</v>
      </c>
      <c r="L11" s="24" t="s">
        <v>814</v>
      </c>
      <c r="M11" s="24" t="s">
        <v>1243</v>
      </c>
      <c r="N11" s="24" t="s">
        <v>814</v>
      </c>
      <c r="O11" s="24" t="s">
        <v>814</v>
      </c>
      <c r="P11" s="24" t="s">
        <v>814</v>
      </c>
      <c r="Q11" s="24" t="s">
        <v>814</v>
      </c>
      <c r="R11" s="24" t="s">
        <v>814</v>
      </c>
      <c r="S11" s="24" t="s">
        <v>814</v>
      </c>
      <c r="T11" s="24" t="s">
        <v>814</v>
      </c>
      <c r="U11" s="24" t="s">
        <v>814</v>
      </c>
      <c r="V11" s="24" t="s">
        <v>814</v>
      </c>
      <c r="W11" s="24" t="s">
        <v>814</v>
      </c>
      <c r="X11" s="24" t="s">
        <v>814</v>
      </c>
      <c r="Y11" s="24" t="s">
        <v>814</v>
      </c>
      <c r="Z11" s="24" t="s">
        <v>814</v>
      </c>
      <c r="AA11" s="24" t="s">
        <v>1362</v>
      </c>
      <c r="AB11" s="24" t="s">
        <v>814</v>
      </c>
      <c r="AC11" s="24" t="s">
        <v>814</v>
      </c>
      <c r="AD11" s="24" t="s">
        <v>814</v>
      </c>
      <c r="AE11" s="24" t="s">
        <v>1636</v>
      </c>
      <c r="AF11" s="24" t="s">
        <v>1636</v>
      </c>
      <c r="AG11" s="24" t="s">
        <v>1644</v>
      </c>
      <c r="AH11" s="167" t="s">
        <v>1644</v>
      </c>
      <c r="AI11" s="24" t="s">
        <v>814</v>
      </c>
      <c r="AJ11" s="24" t="s">
        <v>814</v>
      </c>
      <c r="AK11" s="24" t="s">
        <v>814</v>
      </c>
    </row>
    <row r="12" spans="2:37" x14ac:dyDescent="0.25">
      <c r="B12" s="2" t="s">
        <v>804</v>
      </c>
      <c r="C12" s="2" t="s">
        <v>798</v>
      </c>
      <c r="D12" s="36" t="str">
        <f t="shared" si="0"/>
        <v>HTP_A320.stl</v>
      </c>
      <c r="E12" s="36"/>
      <c r="F12" s="4"/>
      <c r="G12" s="20" t="str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HTP_A320.stl</v>
      </c>
      <c r="H12" s="24" t="s">
        <v>812</v>
      </c>
      <c r="I12" s="24" t="s">
        <v>812</v>
      </c>
      <c r="J12" s="24" t="s">
        <v>812</v>
      </c>
      <c r="K12" s="24" t="s">
        <v>812</v>
      </c>
      <c r="L12" s="24" t="s">
        <v>812</v>
      </c>
      <c r="M12" s="24" t="s">
        <v>812</v>
      </c>
      <c r="N12" s="24" t="s">
        <v>812</v>
      </c>
      <c r="O12" s="24" t="s">
        <v>812</v>
      </c>
      <c r="P12" s="24" t="s">
        <v>812</v>
      </c>
      <c r="Q12" s="24" t="s">
        <v>812</v>
      </c>
      <c r="R12" s="24" t="s">
        <v>812</v>
      </c>
      <c r="S12" s="24" t="s">
        <v>812</v>
      </c>
      <c r="T12" s="24" t="s">
        <v>812</v>
      </c>
      <c r="U12" s="24" t="s">
        <v>812</v>
      </c>
      <c r="V12" s="24" t="s">
        <v>812</v>
      </c>
      <c r="W12" s="24" t="s">
        <v>812</v>
      </c>
      <c r="X12" s="24" t="s">
        <v>812</v>
      </c>
      <c r="Y12" s="24" t="s">
        <v>812</v>
      </c>
      <c r="Z12" s="24" t="s">
        <v>812</v>
      </c>
      <c r="AA12" s="24" t="s">
        <v>1362</v>
      </c>
      <c r="AB12" s="24" t="s">
        <v>812</v>
      </c>
      <c r="AC12" s="24" t="s">
        <v>812</v>
      </c>
      <c r="AD12" s="24" t="s">
        <v>812</v>
      </c>
      <c r="AE12" s="24" t="s">
        <v>1636</v>
      </c>
      <c r="AF12" s="24" t="s">
        <v>1636</v>
      </c>
      <c r="AG12" s="24" t="s">
        <v>1644</v>
      </c>
      <c r="AH12" s="167" t="s">
        <v>1644</v>
      </c>
      <c r="AI12" s="24" t="s">
        <v>812</v>
      </c>
      <c r="AJ12" s="24" t="s">
        <v>812</v>
      </c>
      <c r="AK12" s="24" t="s">
        <v>812</v>
      </c>
    </row>
    <row r="13" spans="2:37" x14ac:dyDescent="0.25">
      <c r="B13" s="2" t="s">
        <v>805</v>
      </c>
      <c r="C13" s="2" t="s">
        <v>799</v>
      </c>
      <c r="D13" s="36" t="str">
        <f t="shared" si="0"/>
        <v>VTP_A320.stl</v>
      </c>
      <c r="E13" s="36"/>
      <c r="F13" s="4"/>
      <c r="G13" s="20" t="str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VTP_A320.stl</v>
      </c>
      <c r="H13" s="24" t="s">
        <v>813</v>
      </c>
      <c r="I13" s="24" t="s">
        <v>813</v>
      </c>
      <c r="J13" s="24" t="s">
        <v>813</v>
      </c>
      <c r="K13" s="24" t="s">
        <v>813</v>
      </c>
      <c r="L13" s="24" t="s">
        <v>813</v>
      </c>
      <c r="M13" s="24" t="s">
        <v>813</v>
      </c>
      <c r="N13" s="24" t="s">
        <v>813</v>
      </c>
      <c r="O13" s="24" t="s">
        <v>813</v>
      </c>
      <c r="P13" s="24" t="s">
        <v>813</v>
      </c>
      <c r="Q13" s="24" t="s">
        <v>813</v>
      </c>
      <c r="R13" s="24" t="s">
        <v>813</v>
      </c>
      <c r="S13" s="24" t="s">
        <v>813</v>
      </c>
      <c r="T13" s="24" t="s">
        <v>813</v>
      </c>
      <c r="U13" s="24" t="s">
        <v>813</v>
      </c>
      <c r="V13" s="24" t="s">
        <v>813</v>
      </c>
      <c r="W13" s="24" t="s">
        <v>813</v>
      </c>
      <c r="X13" s="24" t="s">
        <v>813</v>
      </c>
      <c r="Y13" s="24" t="s">
        <v>813</v>
      </c>
      <c r="Z13" s="24" t="s">
        <v>813</v>
      </c>
      <c r="AA13" s="24" t="s">
        <v>1362</v>
      </c>
      <c r="AB13" s="24" t="s">
        <v>813</v>
      </c>
      <c r="AC13" s="24" t="s">
        <v>813</v>
      </c>
      <c r="AD13" s="24" t="s">
        <v>813</v>
      </c>
      <c r="AE13" s="24" t="s">
        <v>1635</v>
      </c>
      <c r="AF13" s="24" t="s">
        <v>1635</v>
      </c>
      <c r="AG13" s="24" t="s">
        <v>1645</v>
      </c>
      <c r="AH13" s="167" t="s">
        <v>1645</v>
      </c>
      <c r="AI13" s="24" t="s">
        <v>813</v>
      </c>
      <c r="AJ13" s="24" t="s">
        <v>813</v>
      </c>
      <c r="AK13" s="24" t="s">
        <v>813</v>
      </c>
    </row>
    <row r="14" spans="2:37" x14ac:dyDescent="0.25">
      <c r="B14" s="2" t="s">
        <v>806</v>
      </c>
      <c r="C14" s="2" t="s">
        <v>800</v>
      </c>
      <c r="D14" s="36" t="str">
        <f t="shared" si="0"/>
        <v>Vtail_MILVIUS.stl</v>
      </c>
      <c r="E14" s="36"/>
      <c r="F14" s="4"/>
      <c r="G14" s="20" t="str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Vtail_MILVIUS.stl</v>
      </c>
      <c r="H14" s="24" t="s">
        <v>813</v>
      </c>
      <c r="I14" s="24" t="s">
        <v>813</v>
      </c>
      <c r="J14" s="24" t="s">
        <v>813</v>
      </c>
      <c r="K14" s="24" t="s">
        <v>813</v>
      </c>
      <c r="L14" s="24" t="s">
        <v>813</v>
      </c>
      <c r="M14" s="24" t="s">
        <v>1244</v>
      </c>
      <c r="N14" s="24" t="s">
        <v>813</v>
      </c>
      <c r="O14" s="24" t="s">
        <v>813</v>
      </c>
      <c r="P14" s="24" t="s">
        <v>813</v>
      </c>
      <c r="Q14" s="24" t="s">
        <v>813</v>
      </c>
      <c r="R14" s="24" t="s">
        <v>813</v>
      </c>
      <c r="S14" s="24" t="s">
        <v>813</v>
      </c>
      <c r="T14" s="24" t="s">
        <v>813</v>
      </c>
      <c r="U14" s="24" t="s">
        <v>813</v>
      </c>
      <c r="V14" s="24" t="s">
        <v>813</v>
      </c>
      <c r="W14" s="24" t="s">
        <v>813</v>
      </c>
      <c r="X14" s="24" t="s">
        <v>813</v>
      </c>
      <c r="Y14" s="24" t="s">
        <v>813</v>
      </c>
      <c r="Z14" s="24" t="s">
        <v>813</v>
      </c>
      <c r="AA14" s="24" t="s">
        <v>1362</v>
      </c>
      <c r="AB14" s="24" t="s">
        <v>813</v>
      </c>
      <c r="AC14" s="24" t="s">
        <v>813</v>
      </c>
      <c r="AD14" s="24" t="s">
        <v>813</v>
      </c>
      <c r="AE14" s="24" t="s">
        <v>1635</v>
      </c>
      <c r="AF14" s="24" t="s">
        <v>1635</v>
      </c>
      <c r="AG14" s="24" t="s">
        <v>1645</v>
      </c>
      <c r="AH14" s="167" t="s">
        <v>1645</v>
      </c>
      <c r="AI14" s="24" t="s">
        <v>813</v>
      </c>
      <c r="AJ14" s="24" t="s">
        <v>813</v>
      </c>
      <c r="AK14" s="24" t="s">
        <v>813</v>
      </c>
    </row>
    <row r="15" spans="2:37" x14ac:dyDescent="0.25">
      <c r="B15" s="2" t="s">
        <v>1525</v>
      </c>
      <c r="C15" s="2" t="s">
        <v>1526</v>
      </c>
      <c r="D15" s="36" t="str">
        <f t="shared" ref="D15" si="1">+G15</f>
        <v>Vtail_MILVIUS.stl</v>
      </c>
      <c r="E15" s="36"/>
      <c r="F15" s="4"/>
      <c r="G15" s="20" t="str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Vtail_MILVIUS.stl</v>
      </c>
      <c r="H15" s="24" t="s">
        <v>813</v>
      </c>
      <c r="I15" s="24" t="s">
        <v>813</v>
      </c>
      <c r="J15" s="24" t="s">
        <v>813</v>
      </c>
      <c r="K15" s="24" t="s">
        <v>813</v>
      </c>
      <c r="L15" s="24" t="s">
        <v>813</v>
      </c>
      <c r="M15" s="24" t="s">
        <v>1244</v>
      </c>
      <c r="N15" s="24" t="s">
        <v>813</v>
      </c>
      <c r="O15" s="24" t="s">
        <v>813</v>
      </c>
      <c r="P15" s="24" t="s">
        <v>813</v>
      </c>
      <c r="Q15" s="24" t="s">
        <v>813</v>
      </c>
      <c r="R15" s="24" t="s">
        <v>813</v>
      </c>
      <c r="S15" s="24" t="s">
        <v>813</v>
      </c>
      <c r="T15" s="24" t="s">
        <v>813</v>
      </c>
      <c r="U15" s="24" t="s">
        <v>813</v>
      </c>
      <c r="V15" s="24" t="s">
        <v>813</v>
      </c>
      <c r="W15" s="24" t="s">
        <v>813</v>
      </c>
      <c r="X15" s="24" t="s">
        <v>813</v>
      </c>
      <c r="Y15" s="24" t="s">
        <v>813</v>
      </c>
      <c r="Z15" s="24" t="s">
        <v>813</v>
      </c>
      <c r="AA15" s="24" t="s">
        <v>1362</v>
      </c>
      <c r="AB15" s="24" t="s">
        <v>813</v>
      </c>
      <c r="AC15" s="24" t="s">
        <v>813</v>
      </c>
      <c r="AD15" s="24" t="s">
        <v>813</v>
      </c>
      <c r="AE15" s="24" t="s">
        <v>1635</v>
      </c>
      <c r="AF15" s="24" t="s">
        <v>1635</v>
      </c>
      <c r="AG15" s="24" t="s">
        <v>1645</v>
      </c>
      <c r="AH15" s="167" t="s">
        <v>1645</v>
      </c>
      <c r="AI15" s="24" t="s">
        <v>813</v>
      </c>
      <c r="AJ15" s="24" t="s">
        <v>813</v>
      </c>
      <c r="AK15" s="24" t="s">
        <v>813</v>
      </c>
    </row>
    <row r="16" spans="2:37" x14ac:dyDescent="0.25">
      <c r="B16" s="2" t="s">
        <v>807</v>
      </c>
      <c r="C16" s="38" t="s">
        <v>801</v>
      </c>
      <c r="D16" s="36" t="str">
        <f t="shared" si="0"/>
        <v>wing_A320.stl</v>
      </c>
      <c r="E16" s="36"/>
      <c r="F16" s="4"/>
      <c r="G16" s="20" t="str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wing_A320.stl</v>
      </c>
      <c r="H16" s="24" t="s">
        <v>814</v>
      </c>
      <c r="I16" s="24" t="s">
        <v>814</v>
      </c>
      <c r="J16" s="24" t="s">
        <v>814</v>
      </c>
      <c r="K16" s="24" t="s">
        <v>814</v>
      </c>
      <c r="L16" s="24" t="s">
        <v>814</v>
      </c>
      <c r="M16" s="24" t="s">
        <v>814</v>
      </c>
      <c r="N16" s="24" t="s">
        <v>814</v>
      </c>
      <c r="O16" s="24" t="s">
        <v>814</v>
      </c>
      <c r="P16" s="24" t="s">
        <v>814</v>
      </c>
      <c r="Q16" s="24" t="s">
        <v>814</v>
      </c>
      <c r="R16" s="24" t="s">
        <v>814</v>
      </c>
      <c r="S16" s="24" t="s">
        <v>814</v>
      </c>
      <c r="T16" s="24" t="s">
        <v>814</v>
      </c>
      <c r="U16" s="24" t="s">
        <v>814</v>
      </c>
      <c r="V16" s="24" t="s">
        <v>814</v>
      </c>
      <c r="W16" s="24" t="s">
        <v>814</v>
      </c>
      <c r="X16" s="24" t="s">
        <v>814</v>
      </c>
      <c r="Y16" s="24" t="s">
        <v>814</v>
      </c>
      <c r="Z16" s="24" t="s">
        <v>814</v>
      </c>
      <c r="AA16" s="24" t="s">
        <v>1362</v>
      </c>
      <c r="AB16" s="24" t="s">
        <v>814</v>
      </c>
      <c r="AC16" s="24" t="s">
        <v>814</v>
      </c>
      <c r="AD16" s="24" t="s">
        <v>814</v>
      </c>
      <c r="AE16" s="24" t="s">
        <v>1635</v>
      </c>
      <c r="AF16" s="24" t="s">
        <v>1635</v>
      </c>
      <c r="AG16" s="24" t="s">
        <v>1644</v>
      </c>
      <c r="AH16" s="167" t="s">
        <v>1644</v>
      </c>
      <c r="AI16" s="24" t="s">
        <v>814</v>
      </c>
      <c r="AJ16" s="24" t="s">
        <v>814</v>
      </c>
      <c r="AK16" s="24" t="s">
        <v>814</v>
      </c>
    </row>
    <row r="17" spans="1:37" x14ac:dyDescent="0.25">
      <c r="B17" s="6" t="s">
        <v>808</v>
      </c>
      <c r="C17" s="38" t="s">
        <v>802</v>
      </c>
      <c r="D17" s="37" t="str">
        <f t="shared" si="0"/>
        <v>wing_A320.stl</v>
      </c>
      <c r="E17" s="37"/>
      <c r="F17" s="42"/>
      <c r="G17" s="20" t="str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wing_A320.stl</v>
      </c>
      <c r="H17" s="30" t="s">
        <v>814</v>
      </c>
      <c r="I17" s="30" t="s">
        <v>814</v>
      </c>
      <c r="J17" s="30" t="s">
        <v>814</v>
      </c>
      <c r="K17" s="30" t="s">
        <v>814</v>
      </c>
      <c r="L17" s="30" t="s">
        <v>814</v>
      </c>
      <c r="M17" s="30" t="s">
        <v>814</v>
      </c>
      <c r="N17" s="30" t="s">
        <v>814</v>
      </c>
      <c r="O17" s="30" t="s">
        <v>814</v>
      </c>
      <c r="P17" s="30" t="s">
        <v>814</v>
      </c>
      <c r="Q17" s="30" t="s">
        <v>814</v>
      </c>
      <c r="R17" s="30" t="s">
        <v>814</v>
      </c>
      <c r="S17" s="30" t="s">
        <v>814</v>
      </c>
      <c r="T17" s="30" t="s">
        <v>814</v>
      </c>
      <c r="U17" s="30" t="s">
        <v>814</v>
      </c>
      <c r="V17" s="30" t="s">
        <v>814</v>
      </c>
      <c r="W17" s="30" t="s">
        <v>814</v>
      </c>
      <c r="X17" s="30" t="s">
        <v>814</v>
      </c>
      <c r="Y17" s="30" t="s">
        <v>814</v>
      </c>
      <c r="Z17" s="30" t="s">
        <v>814</v>
      </c>
      <c r="AA17" s="24" t="s">
        <v>1362</v>
      </c>
      <c r="AB17" s="125" t="s">
        <v>814</v>
      </c>
      <c r="AC17" s="30" t="s">
        <v>814</v>
      </c>
      <c r="AD17" s="30" t="s">
        <v>814</v>
      </c>
      <c r="AE17" s="24" t="s">
        <v>1636</v>
      </c>
      <c r="AF17" s="24" t="s">
        <v>1636</v>
      </c>
      <c r="AG17" s="24" t="s">
        <v>1644</v>
      </c>
      <c r="AH17" s="167" t="s">
        <v>1644</v>
      </c>
      <c r="AI17" s="30" t="s">
        <v>814</v>
      </c>
      <c r="AJ17" s="30" t="s">
        <v>814</v>
      </c>
      <c r="AK17" s="30" t="s">
        <v>814</v>
      </c>
    </row>
    <row r="18" spans="1:37" x14ac:dyDescent="0.25">
      <c r="A18" s="12"/>
      <c r="B18" s="2" t="s">
        <v>849</v>
      </c>
      <c r="C18" s="2" t="s">
        <v>848</v>
      </c>
      <c r="D18" s="36">
        <f t="shared" ref="D18:D23" si="2">+G18</f>
        <v>1E-4</v>
      </c>
      <c r="E18" s="36"/>
      <c r="F18" s="4"/>
      <c r="G18" s="20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1E-4</v>
      </c>
      <c r="H18" s="24">
        <v>1E-3</v>
      </c>
      <c r="I18" s="24">
        <v>1E-3</v>
      </c>
      <c r="J18" s="24">
        <v>1E-3</v>
      </c>
      <c r="K18" s="24">
        <v>1</v>
      </c>
      <c r="L18" s="24">
        <v>1</v>
      </c>
      <c r="M18" s="24">
        <v>1E-4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4">
        <v>1E-3</v>
      </c>
      <c r="AC18" s="24">
        <f>0.05*0.9479</f>
        <v>4.7395E-2</v>
      </c>
      <c r="AD18" s="24">
        <v>1E-3</v>
      </c>
      <c r="AE18" s="24">
        <v>1E-3</v>
      </c>
      <c r="AF18" s="24">
        <v>1E-3</v>
      </c>
      <c r="AG18" s="24">
        <v>1</v>
      </c>
      <c r="AH18" s="24">
        <v>1</v>
      </c>
      <c r="AI18" s="24">
        <v>1</v>
      </c>
      <c r="AJ18" s="24">
        <v>1</v>
      </c>
      <c r="AK18" s="24">
        <v>1</v>
      </c>
    </row>
    <row r="19" spans="1:37" x14ac:dyDescent="0.25">
      <c r="A19" s="12"/>
      <c r="B19" s="2" t="s">
        <v>1640</v>
      </c>
      <c r="C19" s="2" t="s">
        <v>1639</v>
      </c>
      <c r="D19" s="36">
        <f t="shared" ref="D19:D20" si="3">+G19</f>
        <v>1E-4</v>
      </c>
      <c r="E19" s="36"/>
      <c r="F19" s="4"/>
      <c r="G19" s="20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1E-4</v>
      </c>
      <c r="H19" s="24">
        <v>1E-3</v>
      </c>
      <c r="I19" s="24">
        <v>1E-3</v>
      </c>
      <c r="J19" s="24">
        <v>1E-3</v>
      </c>
      <c r="K19" s="24">
        <v>1</v>
      </c>
      <c r="L19" s="24">
        <v>1</v>
      </c>
      <c r="M19" s="24">
        <v>1E-4</v>
      </c>
      <c r="N19" s="24">
        <v>1</v>
      </c>
      <c r="O19" s="24">
        <v>1</v>
      </c>
      <c r="P19" s="24">
        <v>1</v>
      </c>
      <c r="Q19" s="24">
        <v>1</v>
      </c>
      <c r="R19" s="24">
        <v>1</v>
      </c>
      <c r="S19" s="24">
        <v>1</v>
      </c>
      <c r="T19" s="24">
        <v>1</v>
      </c>
      <c r="U19" s="24">
        <v>1</v>
      </c>
      <c r="V19" s="24">
        <v>1</v>
      </c>
      <c r="W19" s="24">
        <v>1</v>
      </c>
      <c r="X19" s="24">
        <v>1</v>
      </c>
      <c r="Y19" s="24">
        <v>1</v>
      </c>
      <c r="Z19" s="24">
        <v>1</v>
      </c>
      <c r="AA19" s="24">
        <v>1</v>
      </c>
      <c r="AB19" s="24">
        <v>1E-3</v>
      </c>
      <c r="AC19" s="24">
        <v>0.01</v>
      </c>
      <c r="AD19" s="24">
        <v>1E-3</v>
      </c>
      <c r="AE19" s="24" t="s">
        <v>1733</v>
      </c>
      <c r="AF19" s="24">
        <v>1</v>
      </c>
      <c r="AG19" s="24">
        <v>1</v>
      </c>
      <c r="AH19" s="24">
        <v>1E-3</v>
      </c>
      <c r="AI19" s="24">
        <v>1</v>
      </c>
      <c r="AJ19" s="24">
        <v>1</v>
      </c>
      <c r="AK19" s="24">
        <v>1</v>
      </c>
    </row>
    <row r="20" spans="1:37" x14ac:dyDescent="0.25">
      <c r="A20" s="12"/>
      <c r="B20" s="2" t="s">
        <v>1712</v>
      </c>
      <c r="C20" s="2" t="s">
        <v>1713</v>
      </c>
      <c r="D20" s="36">
        <f t="shared" si="3"/>
        <v>1</v>
      </c>
      <c r="E20" s="36"/>
      <c r="F20" s="4"/>
      <c r="G20" s="20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1</v>
      </c>
      <c r="H20" s="24">
        <v>0</v>
      </c>
      <c r="I20" s="24">
        <v>0</v>
      </c>
      <c r="J20" s="24">
        <v>1</v>
      </c>
      <c r="K20" s="24">
        <v>1</v>
      </c>
      <c r="L20" s="24">
        <v>0</v>
      </c>
      <c r="M20" s="24">
        <v>1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1</v>
      </c>
      <c r="V20" s="24">
        <v>1</v>
      </c>
      <c r="W20" s="24">
        <v>0</v>
      </c>
      <c r="X20" s="24">
        <v>0</v>
      </c>
      <c r="Y20" s="24">
        <v>0</v>
      </c>
      <c r="Z20" s="24">
        <v>1</v>
      </c>
      <c r="AA20" s="24">
        <v>0</v>
      </c>
      <c r="AB20" s="24">
        <v>1</v>
      </c>
      <c r="AC20" s="24">
        <v>1</v>
      </c>
      <c r="AD20" s="24">
        <v>1</v>
      </c>
      <c r="AE20" s="127">
        <v>1</v>
      </c>
      <c r="AF20" s="127">
        <v>1</v>
      </c>
      <c r="AG20" s="127">
        <v>1</v>
      </c>
      <c r="AH20" s="24">
        <v>1</v>
      </c>
      <c r="AI20" s="24">
        <v>1</v>
      </c>
      <c r="AJ20" s="24">
        <v>1</v>
      </c>
      <c r="AK20" s="24">
        <v>1</v>
      </c>
    </row>
    <row r="21" spans="1:37" x14ac:dyDescent="0.25">
      <c r="A21" s="12"/>
      <c r="B21" s="2" t="s">
        <v>950</v>
      </c>
      <c r="C21" s="2" t="s">
        <v>850</v>
      </c>
      <c r="D21" s="36">
        <f t="shared" si="2"/>
        <v>1</v>
      </c>
      <c r="E21" s="36"/>
      <c r="F21" s="4"/>
      <c r="G21" s="20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1</v>
      </c>
      <c r="H21" s="24">
        <v>0</v>
      </c>
      <c r="I21" s="24">
        <v>0</v>
      </c>
      <c r="J21" s="24">
        <v>1</v>
      </c>
      <c r="K21" s="24">
        <v>1</v>
      </c>
      <c r="L21" s="24">
        <v>0</v>
      </c>
      <c r="M21" s="24">
        <v>1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1</v>
      </c>
      <c r="V21" s="24">
        <v>1</v>
      </c>
      <c r="W21" s="24">
        <v>0</v>
      </c>
      <c r="X21" s="24">
        <v>0</v>
      </c>
      <c r="Y21" s="24">
        <v>0</v>
      </c>
      <c r="Z21" s="24">
        <v>1</v>
      </c>
      <c r="AA21" s="24">
        <v>0</v>
      </c>
      <c r="AB21" s="24">
        <v>1</v>
      </c>
      <c r="AC21" s="24">
        <v>1</v>
      </c>
      <c r="AD21" s="24">
        <v>1</v>
      </c>
      <c r="AE21" s="127">
        <v>1</v>
      </c>
      <c r="AF21" s="127">
        <v>1</v>
      </c>
      <c r="AG21" s="127">
        <v>1</v>
      </c>
      <c r="AH21" s="24">
        <v>1</v>
      </c>
      <c r="AI21" s="24">
        <v>1</v>
      </c>
      <c r="AJ21" s="24">
        <v>1</v>
      </c>
      <c r="AK21" s="24">
        <v>1</v>
      </c>
    </row>
    <row r="22" spans="1:37" x14ac:dyDescent="0.25">
      <c r="A22" s="12"/>
      <c r="B22" s="2" t="s">
        <v>1710</v>
      </c>
      <c r="C22" s="2" t="s">
        <v>1711</v>
      </c>
      <c r="D22" s="36">
        <f t="shared" ref="D22" si="4">+G22</f>
        <v>1</v>
      </c>
      <c r="E22" s="36"/>
      <c r="F22" s="4"/>
      <c r="G22" s="20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1</v>
      </c>
      <c r="H22" s="24">
        <v>0</v>
      </c>
      <c r="I22" s="24">
        <v>0</v>
      </c>
      <c r="J22" s="24">
        <v>1</v>
      </c>
      <c r="K22" s="24">
        <v>1</v>
      </c>
      <c r="L22" s="24">
        <v>0</v>
      </c>
      <c r="M22" s="24">
        <v>1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1</v>
      </c>
      <c r="V22" s="24">
        <v>1</v>
      </c>
      <c r="W22" s="24">
        <v>0</v>
      </c>
      <c r="X22" s="24">
        <v>0</v>
      </c>
      <c r="Y22" s="24">
        <v>0</v>
      </c>
      <c r="Z22" s="24">
        <v>1</v>
      </c>
      <c r="AA22" s="24">
        <v>0</v>
      </c>
      <c r="AB22" s="24">
        <v>1</v>
      </c>
      <c r="AC22" s="24">
        <v>1</v>
      </c>
      <c r="AD22" s="24">
        <v>1</v>
      </c>
      <c r="AE22" s="127">
        <v>1</v>
      </c>
      <c r="AF22" s="127">
        <v>1</v>
      </c>
      <c r="AG22" s="127">
        <v>1</v>
      </c>
      <c r="AH22" s="24">
        <v>1</v>
      </c>
      <c r="AI22" s="24">
        <v>1</v>
      </c>
      <c r="AJ22" s="24">
        <v>1</v>
      </c>
      <c r="AK22" s="24">
        <v>1</v>
      </c>
    </row>
    <row r="23" spans="1:37" x14ac:dyDescent="0.25">
      <c r="A23" s="12"/>
      <c r="B23" s="2" t="s">
        <v>865</v>
      </c>
      <c r="C23" s="2" t="s">
        <v>866</v>
      </c>
      <c r="D23" s="36">
        <f t="shared" si="2"/>
        <v>0</v>
      </c>
      <c r="E23" s="36"/>
      <c r="F23" s="4"/>
      <c r="G23" s="20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24">
        <v>0</v>
      </c>
      <c r="I23" s="24">
        <v>0</v>
      </c>
      <c r="J23" s="24">
        <v>0</v>
      </c>
      <c r="K23" s="24">
        <v>0</v>
      </c>
      <c r="L23" s="24">
        <v>1</v>
      </c>
      <c r="M23" s="24">
        <v>0</v>
      </c>
      <c r="N23" s="24">
        <v>1</v>
      </c>
      <c r="O23" s="24">
        <v>1</v>
      </c>
      <c r="P23" s="24">
        <v>1</v>
      </c>
      <c r="Q23" s="24">
        <v>1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1</v>
      </c>
      <c r="AC23" s="24">
        <v>0</v>
      </c>
      <c r="AD23" s="24">
        <v>0</v>
      </c>
      <c r="AE23" s="127">
        <v>0</v>
      </c>
      <c r="AF23" s="127">
        <v>0</v>
      </c>
      <c r="AG23" s="127">
        <v>0</v>
      </c>
      <c r="AH23" s="24">
        <v>0</v>
      </c>
      <c r="AI23" s="24">
        <v>0</v>
      </c>
      <c r="AJ23" s="24">
        <v>0</v>
      </c>
      <c r="AK23" s="24">
        <v>0</v>
      </c>
    </row>
    <row r="24" spans="1:37" x14ac:dyDescent="0.25">
      <c r="A24" s="12"/>
      <c r="B24" s="2" t="s">
        <v>1390</v>
      </c>
      <c r="C24" s="2" t="s">
        <v>1391</v>
      </c>
      <c r="D24" s="36">
        <f t="shared" ref="D24:D25" si="5">+G24</f>
        <v>0</v>
      </c>
      <c r="E24" s="36"/>
      <c r="F24" s="4"/>
      <c r="G24" s="20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24">
        <v>0</v>
      </c>
      <c r="I24" s="24">
        <v>0</v>
      </c>
      <c r="J24" s="24">
        <v>0</v>
      </c>
      <c r="K24" s="24">
        <v>0</v>
      </c>
      <c r="L24" s="24">
        <v>1</v>
      </c>
      <c r="M24" s="24">
        <v>0</v>
      </c>
      <c r="N24" s="24">
        <v>1</v>
      </c>
      <c r="O24" s="24">
        <v>1</v>
      </c>
      <c r="P24" s="24">
        <v>1</v>
      </c>
      <c r="Q24" s="24">
        <v>1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1</v>
      </c>
      <c r="AC24" s="24">
        <v>0</v>
      </c>
      <c r="AD24" s="24">
        <v>0</v>
      </c>
      <c r="AE24" s="127">
        <v>0</v>
      </c>
      <c r="AF24" s="127">
        <v>0</v>
      </c>
      <c r="AG24" s="127">
        <v>0</v>
      </c>
      <c r="AH24" s="24">
        <v>0</v>
      </c>
      <c r="AI24" s="24">
        <v>0</v>
      </c>
      <c r="AJ24" s="24">
        <v>0</v>
      </c>
      <c r="AK24" s="24">
        <v>0</v>
      </c>
    </row>
    <row r="25" spans="1:37" x14ac:dyDescent="0.25">
      <c r="A25" s="12"/>
      <c r="B25" s="2" t="s">
        <v>1393</v>
      </c>
      <c r="C25" s="2" t="s">
        <v>1392</v>
      </c>
      <c r="D25" s="36">
        <f t="shared" si="5"/>
        <v>0</v>
      </c>
      <c r="E25" s="36"/>
      <c r="F25" s="4"/>
      <c r="G25" s="20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1</v>
      </c>
      <c r="AC25" s="24">
        <v>0</v>
      </c>
      <c r="AD25" s="24">
        <v>0</v>
      </c>
      <c r="AE25" s="127">
        <v>0</v>
      </c>
      <c r="AF25" s="127">
        <v>0</v>
      </c>
      <c r="AG25" s="127">
        <v>0</v>
      </c>
      <c r="AH25" s="24">
        <v>0</v>
      </c>
      <c r="AI25" s="24">
        <v>0</v>
      </c>
      <c r="AJ25" s="24">
        <v>0</v>
      </c>
      <c r="AK25" s="24">
        <v>0</v>
      </c>
    </row>
    <row r="26" spans="1:37" x14ac:dyDescent="0.25">
      <c r="A26" s="12"/>
      <c r="B26" s="2" t="s">
        <v>1476</v>
      </c>
      <c r="C26" s="2" t="s">
        <v>1475</v>
      </c>
      <c r="D26" s="36">
        <f t="shared" ref="D26" si="6">+G26</f>
        <v>0</v>
      </c>
      <c r="E26" s="36"/>
      <c r="F26" s="4"/>
      <c r="G26" s="20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1</v>
      </c>
      <c r="AC26" s="24">
        <v>0</v>
      </c>
      <c r="AD26" s="24">
        <v>0</v>
      </c>
      <c r="AE26" s="127">
        <v>0</v>
      </c>
      <c r="AF26" s="127">
        <v>0</v>
      </c>
      <c r="AG26" s="127">
        <v>0</v>
      </c>
      <c r="AH26" s="24">
        <v>0</v>
      </c>
      <c r="AI26" s="24">
        <v>0</v>
      </c>
      <c r="AJ26" s="24">
        <v>0</v>
      </c>
      <c r="AK26" s="24">
        <v>0</v>
      </c>
    </row>
    <row r="27" spans="1:37" x14ac:dyDescent="0.25">
      <c r="A27" s="12"/>
      <c r="B27" s="2" t="s">
        <v>1737</v>
      </c>
      <c r="C27" s="2" t="s">
        <v>1736</v>
      </c>
      <c r="D27" s="36">
        <f t="shared" ref="D27" si="7">+G27</f>
        <v>1</v>
      </c>
      <c r="E27" s="36"/>
      <c r="F27" s="4"/>
      <c r="G27" s="20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1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1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1</v>
      </c>
      <c r="AC27" s="24">
        <v>0</v>
      </c>
      <c r="AD27" s="24">
        <v>0</v>
      </c>
      <c r="AE27" s="127">
        <v>0</v>
      </c>
      <c r="AF27" s="127">
        <v>0</v>
      </c>
      <c r="AG27" s="127">
        <v>0</v>
      </c>
      <c r="AH27" s="24">
        <v>0</v>
      </c>
      <c r="AI27" s="24">
        <v>0</v>
      </c>
      <c r="AJ27" s="24">
        <v>0</v>
      </c>
      <c r="AK27" s="24">
        <v>0</v>
      </c>
    </row>
    <row r="28" spans="1:37" x14ac:dyDescent="0.25">
      <c r="G28" s="1"/>
      <c r="H28" s="5"/>
      <c r="I28" s="5"/>
      <c r="J28" s="5"/>
      <c r="K28" s="5"/>
      <c r="L28" s="5"/>
      <c r="M28" s="5"/>
      <c r="N28" s="5"/>
      <c r="O28" s="5"/>
    </row>
    <row r="29" spans="1:37" x14ac:dyDescent="0.25">
      <c r="B29" s="187" t="s">
        <v>2</v>
      </c>
      <c r="C29" s="187"/>
      <c r="G29" s="1"/>
      <c r="H29" s="5"/>
      <c r="I29" s="5"/>
      <c r="J29" s="5"/>
      <c r="K29" s="5"/>
      <c r="L29" s="5"/>
      <c r="M29" s="5"/>
      <c r="N29" s="5"/>
      <c r="O29" s="5"/>
    </row>
    <row r="30" spans="1:37" x14ac:dyDescent="0.25">
      <c r="B30" s="9" t="str">
        <f>+B3</f>
        <v>Number of sections (x coordinate) (eliminated 1 for convergence)</v>
      </c>
      <c r="C30" s="9" t="s">
        <v>9</v>
      </c>
      <c r="H30" s="5"/>
      <c r="I30" s="5"/>
      <c r="J30" s="5"/>
      <c r="K30" s="5"/>
      <c r="L30" s="5"/>
      <c r="M30" s="5"/>
      <c r="N30" s="5"/>
      <c r="O30" s="5"/>
    </row>
    <row r="31" spans="1:37" x14ac:dyDescent="0.25">
      <c r="B31" s="9" t="str">
        <f>+B4</f>
        <v>number of elements per section (y and z coordinates)</v>
      </c>
      <c r="C31" s="9" t="s">
        <v>9</v>
      </c>
      <c r="H31" s="5"/>
      <c r="I31" s="5"/>
      <c r="J31" s="5"/>
      <c r="K31" s="5"/>
      <c r="L31" s="5"/>
      <c r="M31" s="5"/>
      <c r="N31" s="5"/>
      <c r="O31" s="5"/>
    </row>
    <row r="32" spans="1:37" x14ac:dyDescent="0.25">
      <c r="B32" s="9" t="str">
        <f t="shared" ref="B32:B35" si="8">+B5</f>
        <v>lineas a partir desde donde empieza a leer</v>
      </c>
      <c r="C32" s="9" t="s">
        <v>9</v>
      </c>
      <c r="E32" s="120"/>
      <c r="H32" s="5"/>
      <c r="I32" s="5"/>
      <c r="J32" s="5"/>
      <c r="K32" s="5"/>
      <c r="L32" s="5"/>
      <c r="M32" s="5"/>
      <c r="N32" s="5"/>
      <c r="O32" s="5"/>
    </row>
    <row r="33" spans="2:13" x14ac:dyDescent="0.25">
      <c r="B33" s="9" t="str">
        <f t="shared" si="8"/>
        <v>Generates Fuselage mesh from CAD STL</v>
      </c>
      <c r="C33" s="9" t="s">
        <v>9</v>
      </c>
      <c r="H33" s="1"/>
      <c r="M33" s="5"/>
    </row>
    <row r="34" spans="2:13" x14ac:dyDescent="0.25">
      <c r="B34" s="9" t="str">
        <f t="shared" si="8"/>
        <v>Defines file to be used for the Fuselage geometry - XFLR5</v>
      </c>
      <c r="C34" s="9" t="s">
        <v>9</v>
      </c>
      <c r="H34" s="1"/>
      <c r="M34" s="5"/>
    </row>
    <row r="35" spans="2:13" x14ac:dyDescent="0.25">
      <c r="B35" s="9" t="str">
        <f t="shared" si="8"/>
        <v>Defines file to be used for the complete aircraft - STL</v>
      </c>
      <c r="C35" s="9" t="s">
        <v>9</v>
      </c>
      <c r="M35" s="5"/>
    </row>
    <row r="36" spans="2:13" x14ac:dyDescent="0.25">
      <c r="H36" s="5"/>
      <c r="M36" s="5"/>
    </row>
    <row r="38" spans="2:13" x14ac:dyDescent="0.25">
      <c r="H38" s="1"/>
    </row>
    <row r="39" spans="2:13" x14ac:dyDescent="0.25">
      <c r="H39" s="1"/>
    </row>
    <row r="41" spans="2:13" x14ac:dyDescent="0.25">
      <c r="H41" s="1"/>
    </row>
    <row r="42" spans="2:13" x14ac:dyDescent="0.25">
      <c r="H42" s="1"/>
    </row>
    <row r="60" spans="4:6" x14ac:dyDescent="0.25">
      <c r="D60" s="5"/>
      <c r="E60" s="5"/>
      <c r="F60" s="5"/>
    </row>
    <row r="61" spans="4:6" x14ac:dyDescent="0.25">
      <c r="D61" s="5"/>
      <c r="E61" s="5"/>
      <c r="F61" s="5"/>
    </row>
    <row r="62" spans="4:6" x14ac:dyDescent="0.25">
      <c r="D62" s="5"/>
      <c r="E62" s="5"/>
      <c r="F62" s="5"/>
    </row>
    <row r="63" spans="4:6" x14ac:dyDescent="0.25">
      <c r="D63" s="5"/>
      <c r="E63" s="5"/>
      <c r="F63" s="5"/>
    </row>
  </sheetData>
  <mergeCells count="1">
    <mergeCell ref="B29:C29"/>
  </mergeCells>
  <dataValidations disablePrompts="1" count="4">
    <dataValidation type="list" allowBlank="1" showInputMessage="1" showErrorMessage="1" sqref="D60:F60" xr:uid="{3BB888F7-809A-45D6-8666-991C68432CDB}">
      <formula1>#REF!</formula1>
    </dataValidation>
    <dataValidation type="list" allowBlank="1" showInputMessage="1" showErrorMessage="1" sqref="D61:F61" xr:uid="{DB434475-95A3-4F17-BE30-C1B9A5B91BD0}">
      <formula1>$H$36:$H$36</formula1>
    </dataValidation>
    <dataValidation type="list" allowBlank="1" showInputMessage="1" showErrorMessage="1" sqref="D62:F62" xr:uid="{DDF228E8-987C-4D5C-A71E-2AD37E608187}">
      <formula1>$H$38:$H$39</formula1>
    </dataValidation>
    <dataValidation type="list" allowBlank="1" showInputMessage="1" showErrorMessage="1" sqref="D63:F63" xr:uid="{92D1CBB0-F82D-4F49-9805-83998628FB0F}">
      <formula1>$H$41:$H$42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96C3-A0F9-4077-8B2B-C6C6F12148B3}">
  <sheetPr codeName="Sheet7"/>
  <dimension ref="B1:AK57"/>
  <sheetViews>
    <sheetView workbookViewId="0">
      <selection activeCell="AG3" sqref="AG3:AG15"/>
    </sheetView>
  </sheetViews>
  <sheetFormatPr baseColWidth="10" defaultColWidth="11.42578125" defaultRowHeight="15" x14ac:dyDescent="0.25"/>
  <cols>
    <col min="1" max="1" width="3" customWidth="1"/>
    <col min="2" max="2" width="70.28515625" customWidth="1"/>
    <col min="3" max="3" width="16.5703125" customWidth="1"/>
    <col min="4" max="4" width="9.28515625" bestFit="1" customWidth="1"/>
    <col min="5" max="6" width="9.28515625" customWidth="1"/>
    <col min="7" max="7" width="12.42578125" bestFit="1" customWidth="1"/>
    <col min="8" max="8" width="10" hidden="1" customWidth="1"/>
    <col min="9" max="9" width="10" style="7" hidden="1" customWidth="1"/>
    <col min="10" max="10" width="10" customWidth="1"/>
    <col min="11" max="15" width="10" hidden="1" customWidth="1"/>
    <col min="16" max="26" width="11.42578125" hidden="1" customWidth="1"/>
    <col min="27" max="28" width="0" hidden="1" customWidth="1"/>
  </cols>
  <sheetData>
    <row r="1" spans="2:37" x14ac:dyDescent="0.25"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2" t="s">
        <v>17</v>
      </c>
      <c r="D2" s="34" t="s">
        <v>8</v>
      </c>
      <c r="E2" s="34" t="s">
        <v>1385</v>
      </c>
      <c r="F2" s="3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143</v>
      </c>
      <c r="C3" s="2" t="s">
        <v>137</v>
      </c>
      <c r="D3" s="36">
        <f>+G3</f>
        <v>100</v>
      </c>
      <c r="E3" s="36"/>
      <c r="F3" s="4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100</v>
      </c>
      <c r="H3" s="24">
        <v>100</v>
      </c>
      <c r="I3" s="24">
        <v>100</v>
      </c>
      <c r="J3" s="24">
        <v>1000</v>
      </c>
      <c r="K3" s="24">
        <v>100</v>
      </c>
      <c r="L3" s="24">
        <v>100</v>
      </c>
      <c r="M3" s="24">
        <v>100</v>
      </c>
      <c r="N3" s="24">
        <v>100</v>
      </c>
      <c r="O3" s="24">
        <v>100</v>
      </c>
      <c r="P3" s="24">
        <v>100</v>
      </c>
      <c r="Q3" s="24">
        <v>100</v>
      </c>
      <c r="R3" s="24">
        <v>100</v>
      </c>
      <c r="S3" s="24">
        <v>720</v>
      </c>
      <c r="T3" s="24">
        <v>720</v>
      </c>
      <c r="U3" s="24">
        <v>2000</v>
      </c>
      <c r="V3" s="24">
        <v>100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100</v>
      </c>
      <c r="AC3" s="24">
        <v>0</v>
      </c>
      <c r="AD3" s="24">
        <v>0</v>
      </c>
      <c r="AE3" s="137">
        <v>4000</v>
      </c>
      <c r="AF3" s="24">
        <v>1000</v>
      </c>
      <c r="AG3" s="156">
        <v>2000</v>
      </c>
      <c r="AH3" s="24">
        <v>2000</v>
      </c>
      <c r="AI3" s="24">
        <v>2000</v>
      </c>
      <c r="AJ3" s="24">
        <v>2000</v>
      </c>
      <c r="AK3" s="24">
        <v>2000</v>
      </c>
    </row>
    <row r="4" spans="2:37" x14ac:dyDescent="0.25">
      <c r="B4" s="2" t="s">
        <v>144</v>
      </c>
      <c r="C4" s="2" t="s">
        <v>138</v>
      </c>
      <c r="D4" s="36">
        <f t="shared" ref="D4:D10" si="0">+G4</f>
        <v>0.5</v>
      </c>
      <c r="E4" s="36"/>
      <c r="F4" s="4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0.5</v>
      </c>
      <c r="H4" s="24">
        <v>0.5</v>
      </c>
      <c r="I4" s="24">
        <v>0.5</v>
      </c>
      <c r="J4" s="24">
        <v>0</v>
      </c>
      <c r="K4" s="24">
        <v>0.5</v>
      </c>
      <c r="L4" s="24">
        <v>0.5</v>
      </c>
      <c r="M4" s="24">
        <v>0.5</v>
      </c>
      <c r="N4" s="24">
        <v>0.5</v>
      </c>
      <c r="O4" s="24">
        <v>0.5</v>
      </c>
      <c r="P4" s="24">
        <v>0.5</v>
      </c>
      <c r="Q4" s="24">
        <v>0.5</v>
      </c>
      <c r="R4" s="24">
        <v>0.5</v>
      </c>
      <c r="S4" s="24">
        <v>0</v>
      </c>
      <c r="T4" s="24">
        <v>0</v>
      </c>
      <c r="U4" s="24">
        <v>120</v>
      </c>
      <c r="V4" s="24">
        <v>0.5</v>
      </c>
      <c r="W4" s="24">
        <v>0.5</v>
      </c>
      <c r="X4" s="24">
        <v>0.5</v>
      </c>
      <c r="Y4" s="24">
        <v>0.5</v>
      </c>
      <c r="Z4" s="24">
        <v>0.5</v>
      </c>
      <c r="AA4" s="24">
        <v>0.5</v>
      </c>
      <c r="AB4" s="24">
        <v>10</v>
      </c>
      <c r="AC4" s="24">
        <v>120</v>
      </c>
      <c r="AD4" s="24">
        <v>120</v>
      </c>
      <c r="AE4" s="137">
        <v>120</v>
      </c>
      <c r="AF4" s="24">
        <v>0</v>
      </c>
      <c r="AG4" s="156">
        <v>120</v>
      </c>
      <c r="AH4" s="24">
        <v>120</v>
      </c>
      <c r="AI4" s="24">
        <v>120</v>
      </c>
      <c r="AJ4" s="24">
        <v>120</v>
      </c>
      <c r="AK4" s="24">
        <v>120</v>
      </c>
    </row>
    <row r="5" spans="2:37" x14ac:dyDescent="0.25">
      <c r="B5" s="2" t="s">
        <v>145</v>
      </c>
      <c r="C5" s="2" t="s">
        <v>139</v>
      </c>
      <c r="D5" s="36">
        <f t="shared" si="0"/>
        <v>200</v>
      </c>
      <c r="E5" s="36"/>
      <c r="F5" s="4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200</v>
      </c>
      <c r="H5" s="24">
        <v>200</v>
      </c>
      <c r="I5" s="24">
        <v>200</v>
      </c>
      <c r="J5" s="24">
        <v>1000</v>
      </c>
      <c r="K5" s="24">
        <v>200</v>
      </c>
      <c r="L5" s="24">
        <v>200</v>
      </c>
      <c r="M5" s="24">
        <v>200</v>
      </c>
      <c r="N5" s="24">
        <v>200</v>
      </c>
      <c r="O5" s="24">
        <v>200</v>
      </c>
      <c r="P5" s="24">
        <v>200</v>
      </c>
      <c r="Q5" s="24">
        <v>200</v>
      </c>
      <c r="R5" s="24">
        <v>200</v>
      </c>
      <c r="S5" s="24">
        <v>720</v>
      </c>
      <c r="T5" s="24">
        <v>720</v>
      </c>
      <c r="U5" s="24">
        <v>1000</v>
      </c>
      <c r="V5" s="24">
        <v>200</v>
      </c>
      <c r="W5" s="24">
        <v>2438</v>
      </c>
      <c r="X5" s="24">
        <v>4876.8</v>
      </c>
      <c r="Y5" s="24">
        <v>4876.8</v>
      </c>
      <c r="Z5" s="24">
        <v>500</v>
      </c>
      <c r="AA5" s="24">
        <v>1000</v>
      </c>
      <c r="AB5" s="24">
        <v>50</v>
      </c>
      <c r="AC5" s="24">
        <v>3048</v>
      </c>
      <c r="AD5" s="24">
        <v>3048</v>
      </c>
      <c r="AE5" s="137">
        <v>4000</v>
      </c>
      <c r="AF5" s="24">
        <v>1000</v>
      </c>
      <c r="AG5" s="156">
        <v>1000</v>
      </c>
      <c r="AH5" s="24">
        <v>1000</v>
      </c>
      <c r="AI5" s="24">
        <v>1000</v>
      </c>
      <c r="AJ5" s="24">
        <v>1000</v>
      </c>
      <c r="AK5" s="24">
        <v>1000</v>
      </c>
    </row>
    <row r="6" spans="2:37" x14ac:dyDescent="0.25">
      <c r="B6" s="2" t="s">
        <v>146</v>
      </c>
      <c r="C6" s="2" t="s">
        <v>140</v>
      </c>
      <c r="D6" s="36">
        <f t="shared" si="0"/>
        <v>30</v>
      </c>
      <c r="E6" s="36"/>
      <c r="F6" s="4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30</v>
      </c>
      <c r="H6" s="24">
        <v>30</v>
      </c>
      <c r="I6" s="24">
        <v>30</v>
      </c>
      <c r="J6" s="24">
        <v>60</v>
      </c>
      <c r="K6" s="24">
        <v>30</v>
      </c>
      <c r="L6" s="24">
        <v>30</v>
      </c>
      <c r="M6" s="24">
        <v>30</v>
      </c>
      <c r="N6" s="24">
        <v>30</v>
      </c>
      <c r="O6" s="24">
        <v>30</v>
      </c>
      <c r="P6" s="24">
        <v>15</v>
      </c>
      <c r="Q6" s="24">
        <v>15</v>
      </c>
      <c r="R6" s="24">
        <v>15</v>
      </c>
      <c r="S6" s="24">
        <v>32</v>
      </c>
      <c r="T6" s="24">
        <v>32</v>
      </c>
      <c r="U6" s="121">
        <v>164</v>
      </c>
      <c r="V6" s="24">
        <v>15</v>
      </c>
      <c r="W6" s="24">
        <v>30</v>
      </c>
      <c r="X6" s="24">
        <v>33.119999999999997</v>
      </c>
      <c r="Y6" s="24">
        <v>33.119999999999997</v>
      </c>
      <c r="Z6" s="24">
        <v>20</v>
      </c>
      <c r="AA6" s="24">
        <v>15</v>
      </c>
      <c r="AB6" s="24">
        <v>16</v>
      </c>
      <c r="AC6" s="121">
        <v>90</v>
      </c>
      <c r="AD6" s="121">
        <v>90</v>
      </c>
      <c r="AE6" s="140">
        <v>200</v>
      </c>
      <c r="AF6" s="24">
        <v>60</v>
      </c>
      <c r="AG6" s="160">
        <v>30</v>
      </c>
      <c r="AH6" s="24">
        <v>175</v>
      </c>
      <c r="AI6" s="121">
        <v>164</v>
      </c>
      <c r="AJ6" s="121">
        <v>164</v>
      </c>
      <c r="AK6" s="121">
        <v>164</v>
      </c>
    </row>
    <row r="7" spans="2:37" x14ac:dyDescent="0.25">
      <c r="B7" s="2" t="s">
        <v>147</v>
      </c>
      <c r="C7" s="2" t="s">
        <v>141</v>
      </c>
      <c r="D7" s="36">
        <f t="shared" si="0"/>
        <v>37.5</v>
      </c>
      <c r="E7" s="36"/>
      <c r="F7" s="4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37.5</v>
      </c>
      <c r="H7" s="24">
        <f>+H6*1.25</f>
        <v>37.5</v>
      </c>
      <c r="I7" s="24">
        <f t="shared" ref="I7:P7" si="1">+I6*1.25</f>
        <v>37.5</v>
      </c>
      <c r="J7" s="24">
        <f t="shared" si="1"/>
        <v>75</v>
      </c>
      <c r="K7" s="24">
        <f t="shared" si="1"/>
        <v>37.5</v>
      </c>
      <c r="L7" s="24">
        <f t="shared" si="1"/>
        <v>37.5</v>
      </c>
      <c r="M7" s="24">
        <f t="shared" si="1"/>
        <v>37.5</v>
      </c>
      <c r="N7" s="24">
        <f t="shared" si="1"/>
        <v>37.5</v>
      </c>
      <c r="O7" s="24">
        <f t="shared" si="1"/>
        <v>37.5</v>
      </c>
      <c r="P7" s="24">
        <f t="shared" si="1"/>
        <v>18.75</v>
      </c>
      <c r="Q7" s="24">
        <f t="shared" ref="Q7:R7" si="2">+Q6*1.25</f>
        <v>18.75</v>
      </c>
      <c r="R7" s="24">
        <f t="shared" si="2"/>
        <v>18.75</v>
      </c>
      <c r="S7" s="24">
        <v>32</v>
      </c>
      <c r="T7" s="24">
        <v>32</v>
      </c>
      <c r="U7" s="24">
        <f t="shared" ref="U7:V7" si="3">+U6*1.25</f>
        <v>205</v>
      </c>
      <c r="V7" s="24">
        <f t="shared" si="3"/>
        <v>18.75</v>
      </c>
      <c r="W7" s="24">
        <f t="shared" ref="W7:X7" si="4">+W6*1.25</f>
        <v>37.5</v>
      </c>
      <c r="X7" s="24">
        <f t="shared" si="4"/>
        <v>41.4</v>
      </c>
      <c r="Y7" s="24">
        <f t="shared" ref="Y7:AC7" si="5">+Y6*1.25</f>
        <v>41.4</v>
      </c>
      <c r="Z7" s="24">
        <f t="shared" si="5"/>
        <v>25</v>
      </c>
      <c r="AA7" s="24">
        <f t="shared" si="5"/>
        <v>18.75</v>
      </c>
      <c r="AB7" s="24">
        <f t="shared" si="5"/>
        <v>20</v>
      </c>
      <c r="AC7" s="24">
        <f t="shared" si="5"/>
        <v>112.5</v>
      </c>
      <c r="AD7" s="24">
        <f t="shared" ref="AD7:AE7" si="6">+AD6*1.25</f>
        <v>112.5</v>
      </c>
      <c r="AE7" s="24">
        <f t="shared" si="6"/>
        <v>250</v>
      </c>
      <c r="AF7" s="24">
        <f t="shared" ref="AF7" si="7">+AF6*1.25</f>
        <v>75</v>
      </c>
      <c r="AG7" s="156">
        <v>35</v>
      </c>
      <c r="AH7" s="24">
        <v>200</v>
      </c>
      <c r="AI7" s="24">
        <f t="shared" ref="AI7:AK7" si="8">+AI6*1.25</f>
        <v>205</v>
      </c>
      <c r="AJ7" s="24">
        <f t="shared" si="8"/>
        <v>205</v>
      </c>
      <c r="AK7" s="24">
        <f t="shared" si="8"/>
        <v>205</v>
      </c>
    </row>
    <row r="8" spans="2:37" x14ac:dyDescent="0.25">
      <c r="B8" s="2" t="s">
        <v>148</v>
      </c>
      <c r="C8" s="2" t="s">
        <v>142</v>
      </c>
      <c r="D8" s="36">
        <f t="shared" si="0"/>
        <v>22</v>
      </c>
      <c r="E8" s="36"/>
      <c r="F8" s="4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22</v>
      </c>
      <c r="H8" s="24">
        <v>22</v>
      </c>
      <c r="I8" s="24">
        <v>22</v>
      </c>
      <c r="J8" s="24">
        <f>50*1000</f>
        <v>50000</v>
      </c>
      <c r="K8" s="24">
        <v>22</v>
      </c>
      <c r="L8" s="24">
        <v>22</v>
      </c>
      <c r="M8" s="24">
        <v>22</v>
      </c>
      <c r="N8" s="24">
        <v>22</v>
      </c>
      <c r="O8" s="24">
        <v>22</v>
      </c>
      <c r="P8" s="24">
        <v>22</v>
      </c>
      <c r="Q8" s="24">
        <v>22</v>
      </c>
      <c r="R8" s="24">
        <v>22</v>
      </c>
      <c r="S8" s="24">
        <v>50000</v>
      </c>
      <c r="T8" s="24">
        <v>50000</v>
      </c>
      <c r="U8" s="24">
        <v>5000400</v>
      </c>
      <c r="V8" s="24">
        <v>22</v>
      </c>
      <c r="W8" s="24">
        <v>20000</v>
      </c>
      <c r="X8" s="24">
        <v>20000</v>
      </c>
      <c r="Y8" s="24">
        <v>20000</v>
      </c>
      <c r="Z8" s="24">
        <v>5000</v>
      </c>
      <c r="AA8" s="24">
        <v>20000</v>
      </c>
      <c r="AB8" s="24">
        <v>2000</v>
      </c>
      <c r="AC8" s="24">
        <v>1000000</v>
      </c>
      <c r="AD8" s="24">
        <v>1000000</v>
      </c>
      <c r="AE8" s="137">
        <v>100000</v>
      </c>
      <c r="AF8" s="24">
        <f>50*1000</f>
        <v>50000</v>
      </c>
      <c r="AG8" s="156">
        <v>55000</v>
      </c>
      <c r="AH8" s="24">
        <v>600000</v>
      </c>
      <c r="AI8" s="24">
        <v>5000400</v>
      </c>
      <c r="AJ8" s="24">
        <v>5000400</v>
      </c>
      <c r="AK8" s="24">
        <v>5000400</v>
      </c>
    </row>
    <row r="9" spans="2:37" x14ac:dyDescent="0.25">
      <c r="B9" s="2" t="s">
        <v>149</v>
      </c>
      <c r="C9" s="2" t="s">
        <v>136</v>
      </c>
      <c r="D9" s="36">
        <f t="shared" si="0"/>
        <v>60</v>
      </c>
      <c r="E9" s="36"/>
      <c r="F9" s="4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60</v>
      </c>
      <c r="H9" s="24">
        <v>60</v>
      </c>
      <c r="I9" s="24">
        <v>60</v>
      </c>
      <c r="J9" s="24">
        <v>60</v>
      </c>
      <c r="K9" s="24">
        <v>60</v>
      </c>
      <c r="L9" s="24">
        <v>60</v>
      </c>
      <c r="M9" s="24">
        <v>60</v>
      </c>
      <c r="N9" s="24">
        <v>60</v>
      </c>
      <c r="O9" s="24">
        <v>60</v>
      </c>
      <c r="P9" s="24">
        <v>60</v>
      </c>
      <c r="Q9" s="24">
        <v>60</v>
      </c>
      <c r="R9" s="24">
        <v>60</v>
      </c>
      <c r="S9" s="24">
        <v>90</v>
      </c>
      <c r="T9" s="24">
        <v>90</v>
      </c>
      <c r="U9" s="24">
        <v>360</v>
      </c>
      <c r="V9" s="24">
        <v>60</v>
      </c>
      <c r="W9" s="24">
        <v>360</v>
      </c>
      <c r="X9" s="24">
        <v>360</v>
      </c>
      <c r="Y9" s="24">
        <v>360</v>
      </c>
      <c r="Z9" s="24">
        <v>15</v>
      </c>
      <c r="AA9" s="24">
        <v>360</v>
      </c>
      <c r="AB9" s="24">
        <v>60</v>
      </c>
      <c r="AC9" s="24">
        <v>360</v>
      </c>
      <c r="AD9" s="24">
        <v>360</v>
      </c>
      <c r="AE9" s="137">
        <v>60</v>
      </c>
      <c r="AF9" s="24">
        <v>60</v>
      </c>
      <c r="AG9" s="156">
        <v>30</v>
      </c>
      <c r="AH9" s="24">
        <v>60</v>
      </c>
      <c r="AI9" s="24">
        <v>360</v>
      </c>
      <c r="AJ9" s="24">
        <v>360</v>
      </c>
      <c r="AK9" s="24">
        <v>360</v>
      </c>
    </row>
    <row r="10" spans="2:37" x14ac:dyDescent="0.25">
      <c r="B10" s="2" t="s">
        <v>266</v>
      </c>
      <c r="C10" s="2" t="s">
        <v>265</v>
      </c>
      <c r="D10" s="36">
        <f t="shared" si="0"/>
        <v>1.2</v>
      </c>
      <c r="E10" s="36"/>
      <c r="F10" s="4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1.2</v>
      </c>
      <c r="H10" s="24">
        <v>1.2</v>
      </c>
      <c r="I10" s="24">
        <v>1.2</v>
      </c>
      <c r="J10" s="24">
        <v>1.2</v>
      </c>
      <c r="K10" s="24">
        <v>1.2</v>
      </c>
      <c r="L10" s="24">
        <v>1.2</v>
      </c>
      <c r="M10" s="24">
        <v>1.2</v>
      </c>
      <c r="N10" s="24">
        <v>1.2</v>
      </c>
      <c r="O10" s="24">
        <v>1.2</v>
      </c>
      <c r="P10" s="24">
        <v>1.2</v>
      </c>
      <c r="Q10" s="24">
        <v>1.2</v>
      </c>
      <c r="R10" s="24">
        <v>1.2</v>
      </c>
      <c r="S10" s="24">
        <v>1.2</v>
      </c>
      <c r="T10" s="24">
        <v>1.2</v>
      </c>
      <c r="U10" s="24">
        <v>1.2</v>
      </c>
      <c r="V10" s="24">
        <v>1.2</v>
      </c>
      <c r="W10" s="24">
        <v>1.2</v>
      </c>
      <c r="X10" s="24">
        <v>1.2</v>
      </c>
      <c r="Y10" s="24">
        <v>1.2</v>
      </c>
      <c r="Z10" s="24">
        <v>1.2</v>
      </c>
      <c r="AA10" s="24">
        <v>1.2</v>
      </c>
      <c r="AB10" s="24">
        <v>1.2</v>
      </c>
      <c r="AC10" s="24">
        <v>1.2</v>
      </c>
      <c r="AD10" s="24">
        <v>1.2</v>
      </c>
      <c r="AE10" s="137">
        <v>1.2</v>
      </c>
      <c r="AF10" s="24">
        <v>1.2</v>
      </c>
      <c r="AG10" s="156">
        <v>1.2</v>
      </c>
      <c r="AH10" s="24">
        <v>1.2</v>
      </c>
      <c r="AI10" s="24">
        <v>1.2</v>
      </c>
      <c r="AJ10" s="24">
        <v>1.2</v>
      </c>
      <c r="AK10" s="24">
        <v>1.2</v>
      </c>
    </row>
    <row r="11" spans="2:37" x14ac:dyDescent="0.25">
      <c r="B11" s="2" t="s">
        <v>930</v>
      </c>
      <c r="C11" s="2" t="s">
        <v>933</v>
      </c>
      <c r="D11" s="36">
        <f t="shared" ref="D11:D15" si="9">+G11</f>
        <v>1</v>
      </c>
      <c r="E11" s="36"/>
      <c r="F11" s="4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1</v>
      </c>
      <c r="W11" s="24">
        <v>1</v>
      </c>
      <c r="X11" s="24">
        <v>1</v>
      </c>
      <c r="Y11" s="24">
        <v>1</v>
      </c>
      <c r="Z11" s="24">
        <v>1</v>
      </c>
      <c r="AA11" s="24">
        <v>1</v>
      </c>
      <c r="AB11" s="24">
        <v>1</v>
      </c>
      <c r="AC11" s="24">
        <v>1</v>
      </c>
      <c r="AD11" s="24">
        <v>1</v>
      </c>
      <c r="AE11" s="137">
        <v>1</v>
      </c>
      <c r="AF11" s="24">
        <v>1</v>
      </c>
      <c r="AG11" s="156">
        <v>1</v>
      </c>
      <c r="AH11" s="24">
        <v>1</v>
      </c>
      <c r="AI11" s="24">
        <v>1</v>
      </c>
      <c r="AJ11" s="24">
        <v>1</v>
      </c>
      <c r="AK11" s="24">
        <v>1</v>
      </c>
    </row>
    <row r="12" spans="2:37" x14ac:dyDescent="0.25">
      <c r="B12" s="2" t="s">
        <v>931</v>
      </c>
      <c r="C12" s="2" t="s">
        <v>934</v>
      </c>
      <c r="D12" s="36">
        <f t="shared" si="9"/>
        <v>0</v>
      </c>
      <c r="E12" s="36"/>
      <c r="F12" s="4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4">
        <v>0</v>
      </c>
      <c r="I12" s="21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137">
        <v>0</v>
      </c>
      <c r="AF12" s="24">
        <v>0</v>
      </c>
      <c r="AG12" s="156">
        <v>0</v>
      </c>
      <c r="AH12" s="24">
        <v>0</v>
      </c>
      <c r="AI12" s="24">
        <v>0</v>
      </c>
      <c r="AJ12" s="24">
        <v>0</v>
      </c>
      <c r="AK12" s="24">
        <v>0</v>
      </c>
    </row>
    <row r="13" spans="2:37" x14ac:dyDescent="0.25">
      <c r="B13" s="2" t="s">
        <v>932</v>
      </c>
      <c r="C13" s="2" t="s">
        <v>935</v>
      </c>
      <c r="D13" s="36">
        <f t="shared" si="9"/>
        <v>0</v>
      </c>
      <c r="E13" s="36"/>
      <c r="F13" s="4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0</v>
      </c>
      <c r="I13" s="21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137">
        <v>0</v>
      </c>
      <c r="AF13" s="24">
        <v>0</v>
      </c>
      <c r="AG13" s="156">
        <v>0</v>
      </c>
      <c r="AH13" s="24">
        <v>0</v>
      </c>
      <c r="AI13" s="24">
        <v>0</v>
      </c>
      <c r="AJ13" s="24">
        <v>0</v>
      </c>
      <c r="AK13" s="24">
        <v>0</v>
      </c>
    </row>
    <row r="14" spans="2:37" x14ac:dyDescent="0.25">
      <c r="B14" s="2" t="s">
        <v>617</v>
      </c>
      <c r="C14" s="2" t="s">
        <v>1384</v>
      </c>
      <c r="D14" s="36">
        <f t="shared" si="9"/>
        <v>10</v>
      </c>
      <c r="E14" s="36"/>
      <c r="F14" s="4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10</v>
      </c>
      <c r="H14" s="24">
        <v>10</v>
      </c>
      <c r="I14" s="24">
        <v>10</v>
      </c>
      <c r="J14" s="24">
        <v>10</v>
      </c>
      <c r="K14" s="24">
        <v>10</v>
      </c>
      <c r="L14" s="24">
        <v>10</v>
      </c>
      <c r="M14" s="24">
        <v>10</v>
      </c>
      <c r="N14" s="24">
        <v>10</v>
      </c>
      <c r="O14" s="24">
        <v>10</v>
      </c>
      <c r="P14" s="24">
        <v>10</v>
      </c>
      <c r="Q14" s="24">
        <v>10</v>
      </c>
      <c r="R14" s="24">
        <v>10</v>
      </c>
      <c r="S14" s="24">
        <v>10</v>
      </c>
      <c r="T14" s="24">
        <v>10</v>
      </c>
      <c r="U14" s="24">
        <v>10</v>
      </c>
      <c r="V14" s="24">
        <v>10</v>
      </c>
      <c r="W14" s="24">
        <v>10</v>
      </c>
      <c r="X14" s="24">
        <v>10</v>
      </c>
      <c r="Y14" s="24">
        <v>10</v>
      </c>
      <c r="Z14" s="24">
        <v>10</v>
      </c>
      <c r="AA14" s="24">
        <v>10</v>
      </c>
      <c r="AB14" s="24">
        <v>10</v>
      </c>
      <c r="AC14" s="24">
        <v>10</v>
      </c>
      <c r="AD14" s="24">
        <v>10</v>
      </c>
      <c r="AE14" s="137">
        <v>10</v>
      </c>
      <c r="AF14" s="24">
        <v>10</v>
      </c>
      <c r="AG14" s="156">
        <v>10</v>
      </c>
      <c r="AH14" s="24">
        <v>10</v>
      </c>
      <c r="AI14" s="24">
        <v>10</v>
      </c>
      <c r="AJ14" s="24">
        <v>10</v>
      </c>
      <c r="AK14" s="24">
        <v>10</v>
      </c>
    </row>
    <row r="15" spans="2:37" x14ac:dyDescent="0.25">
      <c r="B15" s="2" t="s">
        <v>618</v>
      </c>
      <c r="C15" s="2" t="s">
        <v>1383</v>
      </c>
      <c r="D15" s="36">
        <f t="shared" si="9"/>
        <v>10</v>
      </c>
      <c r="E15" s="36"/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10</v>
      </c>
      <c r="H15" s="24">
        <v>10</v>
      </c>
      <c r="I15" s="24">
        <v>10</v>
      </c>
      <c r="J15" s="24">
        <v>10</v>
      </c>
      <c r="K15" s="24">
        <v>10</v>
      </c>
      <c r="L15" s="24">
        <v>10</v>
      </c>
      <c r="M15" s="24">
        <v>10</v>
      </c>
      <c r="N15" s="24">
        <v>10</v>
      </c>
      <c r="O15" s="24">
        <v>10</v>
      </c>
      <c r="P15" s="24">
        <v>10</v>
      </c>
      <c r="Q15" s="24">
        <v>10</v>
      </c>
      <c r="R15" s="24">
        <v>10</v>
      </c>
      <c r="S15" s="24">
        <v>10</v>
      </c>
      <c r="T15" s="24">
        <v>10</v>
      </c>
      <c r="U15" s="24">
        <v>10</v>
      </c>
      <c r="V15" s="24">
        <v>10</v>
      </c>
      <c r="W15" s="24">
        <v>10</v>
      </c>
      <c r="X15" s="24">
        <v>10</v>
      </c>
      <c r="Y15" s="24">
        <v>10</v>
      </c>
      <c r="Z15" s="24">
        <v>10</v>
      </c>
      <c r="AA15" s="24">
        <v>12</v>
      </c>
      <c r="AB15" s="24">
        <v>11</v>
      </c>
      <c r="AC15" s="24">
        <v>10</v>
      </c>
      <c r="AD15" s="24">
        <v>10</v>
      </c>
      <c r="AE15" s="137">
        <v>10</v>
      </c>
      <c r="AF15" s="24">
        <v>10</v>
      </c>
      <c r="AG15" s="156">
        <v>10</v>
      </c>
      <c r="AH15" s="24">
        <v>10</v>
      </c>
      <c r="AI15" s="24">
        <v>10</v>
      </c>
      <c r="AJ15" s="24">
        <v>10</v>
      </c>
      <c r="AK15" s="24">
        <v>10</v>
      </c>
    </row>
    <row r="16" spans="2:37" x14ac:dyDescent="0.25">
      <c r="D16" s="5"/>
      <c r="E16" s="5"/>
      <c r="F16" s="5"/>
    </row>
    <row r="17" spans="2:8" x14ac:dyDescent="0.25">
      <c r="D17" s="5"/>
      <c r="E17" s="5"/>
      <c r="F17" s="5"/>
    </row>
    <row r="18" spans="2:8" x14ac:dyDescent="0.25">
      <c r="B18" s="187" t="s">
        <v>2</v>
      </c>
      <c r="C18" s="187"/>
    </row>
    <row r="19" spans="2:8" x14ac:dyDescent="0.25">
      <c r="B19" s="9" t="str">
        <f t="shared" ref="B19:B27" si="10">+B3</f>
        <v>Preliminar Performance conditions: Climb altitude (m)</v>
      </c>
      <c r="C19" s="9" t="s">
        <v>9</v>
      </c>
    </row>
    <row r="20" spans="2:8" x14ac:dyDescent="0.25">
      <c r="B20" s="9" t="str">
        <f t="shared" si="10"/>
        <v>Preliminar Performance conditions: Endurance in Hoovering (min)</v>
      </c>
      <c r="C20" s="9" t="s">
        <v>9</v>
      </c>
    </row>
    <row r="21" spans="2:8" x14ac:dyDescent="0.25">
      <c r="B21" s="9" t="str">
        <f t="shared" si="10"/>
        <v>Preliminar Performance conditions: Cruise initial altitude (m)</v>
      </c>
      <c r="C21" s="9" t="s">
        <v>9</v>
      </c>
    </row>
    <row r="22" spans="2:8" x14ac:dyDescent="0.25">
      <c r="B22" s="9" t="str">
        <f t="shared" si="10"/>
        <v>Preliminar Performance conditions: Cruise initial airspeed (m/s)</v>
      </c>
      <c r="C22" s="9" t="s">
        <v>9</v>
      </c>
      <c r="H22" s="1"/>
    </row>
    <row r="23" spans="2:8" x14ac:dyDescent="0.25">
      <c r="B23" s="9" t="str">
        <f t="shared" si="10"/>
        <v>Preliminar Performance conditions: Cruise max speed</v>
      </c>
      <c r="C23" s="9" t="s">
        <v>9</v>
      </c>
      <c r="H23" s="1"/>
    </row>
    <row r="24" spans="2:8" x14ac:dyDescent="0.25">
      <c r="B24" s="9" t="str">
        <f t="shared" si="10"/>
        <v>Preliminar Performance conditions: Cruise Range (m)</v>
      </c>
      <c r="C24" s="9" t="s">
        <v>9</v>
      </c>
    </row>
    <row r="25" spans="2:8" x14ac:dyDescent="0.25">
      <c r="B25" s="9" t="str">
        <f t="shared" si="10"/>
        <v>Preliminar Performance conditions: Cruise Endurance (min)</v>
      </c>
      <c r="C25" s="9" t="s">
        <v>9</v>
      </c>
      <c r="H25" s="5"/>
    </row>
    <row r="26" spans="2:8" x14ac:dyDescent="0.25">
      <c r="B26" s="9" t="str">
        <f t="shared" si="10"/>
        <v xml:space="preserve">Flight Safety Margin - normal </v>
      </c>
      <c r="C26" s="9" t="s">
        <v>9</v>
      </c>
      <c r="H26" s="5"/>
    </row>
    <row r="27" spans="2:8" ht="13.9" customHeight="1" x14ac:dyDescent="0.25">
      <c r="B27" s="9" t="str">
        <f t="shared" si="10"/>
        <v xml:space="preserve">Flight Condition - Cruise </v>
      </c>
      <c r="C27" s="9" t="s">
        <v>9</v>
      </c>
    </row>
    <row r="28" spans="2:8" ht="13.9" customHeight="1" x14ac:dyDescent="0.25">
      <c r="B28" s="23">
        <v>0</v>
      </c>
      <c r="C28" s="9" t="s">
        <v>936</v>
      </c>
    </row>
    <row r="29" spans="2:8" ht="13.9" customHeight="1" x14ac:dyDescent="0.25">
      <c r="B29" s="23">
        <v>1</v>
      </c>
      <c r="C29" s="9" t="s">
        <v>937</v>
      </c>
    </row>
    <row r="30" spans="2:8" x14ac:dyDescent="0.25">
      <c r="B30" s="9" t="str">
        <f>+B12</f>
        <v>Flight Condition - TakeOff</v>
      </c>
      <c r="C30" s="9" t="s">
        <v>9</v>
      </c>
      <c r="H30" s="1"/>
    </row>
    <row r="31" spans="2:8" x14ac:dyDescent="0.25">
      <c r="B31" s="23">
        <v>0</v>
      </c>
      <c r="C31" s="9" t="s">
        <v>936</v>
      </c>
      <c r="H31" s="1"/>
    </row>
    <row r="32" spans="2:8" x14ac:dyDescent="0.25">
      <c r="B32" s="23">
        <v>1</v>
      </c>
      <c r="C32" s="9" t="s">
        <v>937</v>
      </c>
      <c r="H32" s="1"/>
    </row>
    <row r="33" spans="2:8" x14ac:dyDescent="0.25">
      <c r="B33" s="9" t="str">
        <f>+B13</f>
        <v>Flight Condition - Climb</v>
      </c>
      <c r="C33" s="9" t="s">
        <v>9</v>
      </c>
      <c r="H33" s="1"/>
    </row>
    <row r="34" spans="2:8" x14ac:dyDescent="0.25">
      <c r="B34" s="23">
        <v>0</v>
      </c>
      <c r="C34" s="9" t="s">
        <v>936</v>
      </c>
    </row>
    <row r="35" spans="2:8" x14ac:dyDescent="0.25">
      <c r="B35" s="23">
        <v>1</v>
      </c>
      <c r="C35" s="9" t="s">
        <v>937</v>
      </c>
      <c r="H35" s="1"/>
    </row>
    <row r="36" spans="2:8" x14ac:dyDescent="0.25">
      <c r="B36" s="2"/>
      <c r="C36" s="2"/>
      <c r="H36" s="1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  <row r="57" spans="4:6" x14ac:dyDescent="0.25">
      <c r="D57" s="5"/>
      <c r="E57" s="5"/>
      <c r="F57" s="5"/>
    </row>
  </sheetData>
  <mergeCells count="1">
    <mergeCell ref="B18:C18"/>
  </mergeCells>
  <dataValidations count="4">
    <dataValidation type="list" allowBlank="1" showInputMessage="1" showErrorMessage="1" sqref="D57:F57" xr:uid="{6BA032E5-8A0C-4019-AE3B-82C7018F01F8}">
      <formula1>$H$35:$H$36</formula1>
    </dataValidation>
    <dataValidation type="list" allowBlank="1" showInputMessage="1" showErrorMessage="1" sqref="D56:F56" xr:uid="{F4FF8FBB-19E2-4B6E-B21B-4A8C3D29A605}">
      <formula1>$H$30:$H$33</formula1>
    </dataValidation>
    <dataValidation type="list" allowBlank="1" showInputMessage="1" showErrorMessage="1" sqref="D55:F55" xr:uid="{41709683-73CD-4F28-9495-1F986EEBC001}">
      <formula1>$H$26:$H$26</formula1>
    </dataValidation>
    <dataValidation type="list" allowBlank="1" showInputMessage="1" showErrorMessage="1" sqref="D54:F54" xr:uid="{655E0305-1764-44E2-9A65-4C2D4937E4A6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7D98-070C-40DB-9A63-43E6E6BB219E}">
  <sheetPr codeName="Sheet8"/>
  <dimension ref="B1:AK88"/>
  <sheetViews>
    <sheetView topLeftCell="B1" zoomScale="80" zoomScaleNormal="80" workbookViewId="0">
      <selection activeCell="AC23" sqref="AC23"/>
    </sheetView>
  </sheetViews>
  <sheetFormatPr baseColWidth="10" defaultColWidth="11.42578125" defaultRowHeight="15" x14ac:dyDescent="0.25"/>
  <cols>
    <col min="1" max="1" width="5.140625" customWidth="1"/>
    <col min="2" max="2" width="71.85546875" bestFit="1" customWidth="1"/>
    <col min="3" max="3" width="39.140625" bestFit="1" customWidth="1"/>
    <col min="4" max="4" width="17.7109375" bestFit="1" customWidth="1"/>
    <col min="5" max="5" width="7.7109375" bestFit="1" customWidth="1"/>
    <col min="6" max="6" width="5.5703125" bestFit="1" customWidth="1"/>
    <col min="7" max="7" width="18.5703125" customWidth="1"/>
    <col min="8" max="9" width="15.28515625" hidden="1" customWidth="1"/>
    <col min="10" max="10" width="15.28515625" customWidth="1"/>
    <col min="11" max="11" width="18.140625" hidden="1" customWidth="1"/>
    <col min="12" max="12" width="13.85546875" hidden="1" customWidth="1"/>
    <col min="13" max="13" width="13.85546875" customWidth="1"/>
    <col min="14" max="15" width="13.85546875" hidden="1" customWidth="1"/>
    <col min="16" max="17" width="15.28515625" hidden="1" customWidth="1"/>
    <col min="18" max="18" width="17.5703125" hidden="1" customWidth="1"/>
    <col min="19" max="21" width="13.85546875" hidden="1" customWidth="1"/>
    <col min="22" max="22" width="14.42578125" hidden="1" customWidth="1"/>
    <col min="23" max="23" width="14.5703125" hidden="1" customWidth="1"/>
    <col min="24" max="24" width="16.7109375" hidden="1" customWidth="1"/>
    <col min="25" max="27" width="11.42578125" hidden="1" customWidth="1"/>
    <col min="28" max="28" width="17.28515625" hidden="1" customWidth="1"/>
    <col min="29" max="29" width="21.5703125" bestFit="1" customWidth="1"/>
    <col min="30" max="30" width="13.85546875" bestFit="1" customWidth="1"/>
    <col min="31" max="31" width="22.42578125" bestFit="1" customWidth="1"/>
    <col min="32" max="37" width="13.85546875" bestFit="1" customWidth="1"/>
  </cols>
  <sheetData>
    <row r="1" spans="2:37" x14ac:dyDescent="0.25">
      <c r="D1" s="12"/>
      <c r="E1" s="12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6" t="s">
        <v>17</v>
      </c>
      <c r="D2" s="34" t="s">
        <v>8</v>
      </c>
      <c r="E2" s="35" t="s">
        <v>1385</v>
      </c>
      <c r="F2" s="6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129" t="s">
        <v>1181</v>
      </c>
      <c r="C3" s="129" t="s">
        <v>236</v>
      </c>
      <c r="D3" s="36">
        <f t="shared" ref="D3:D25" si="0">+G3</f>
        <v>1</v>
      </c>
      <c r="E3" s="36"/>
      <c r="F3" s="4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4">
        <v>2</v>
      </c>
      <c r="I3" s="24">
        <v>14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14</v>
      </c>
      <c r="Q3" s="24">
        <v>14</v>
      </c>
      <c r="R3" s="24">
        <v>2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97">
        <v>1</v>
      </c>
      <c r="AH3" s="24">
        <v>1</v>
      </c>
      <c r="AI3" s="24">
        <v>1</v>
      </c>
      <c r="AJ3" s="24">
        <v>1</v>
      </c>
      <c r="AK3" s="24">
        <v>1</v>
      </c>
    </row>
    <row r="4" spans="2:37" x14ac:dyDescent="0.25">
      <c r="B4" s="129" t="s">
        <v>1530</v>
      </c>
      <c r="C4" s="129" t="s">
        <v>1529</v>
      </c>
      <c r="D4" s="36">
        <f t="shared" si="0"/>
        <v>0</v>
      </c>
      <c r="E4" s="36"/>
      <c r="F4" s="4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3</v>
      </c>
      <c r="I4" s="24">
        <v>23</v>
      </c>
      <c r="J4" s="24">
        <v>7</v>
      </c>
      <c r="K4" s="24">
        <v>2</v>
      </c>
      <c r="L4" s="24">
        <v>2</v>
      </c>
      <c r="M4" s="24">
        <v>0</v>
      </c>
      <c r="N4" s="24">
        <v>2</v>
      </c>
      <c r="O4" s="24">
        <v>2</v>
      </c>
      <c r="P4" s="24">
        <v>23</v>
      </c>
      <c r="Q4" s="24">
        <v>23</v>
      </c>
      <c r="R4" s="24">
        <v>4</v>
      </c>
      <c r="S4" s="24">
        <v>2</v>
      </c>
      <c r="T4" s="24">
        <v>2</v>
      </c>
      <c r="U4" s="24">
        <v>2</v>
      </c>
      <c r="V4" s="24">
        <v>5</v>
      </c>
      <c r="W4" s="24">
        <v>2</v>
      </c>
      <c r="X4" s="24">
        <v>2</v>
      </c>
      <c r="Y4" s="24">
        <v>2</v>
      </c>
      <c r="Z4" s="24">
        <v>2</v>
      </c>
      <c r="AA4" s="24">
        <v>1</v>
      </c>
      <c r="AB4" s="24">
        <v>2</v>
      </c>
      <c r="AC4" s="24">
        <v>6</v>
      </c>
      <c r="AD4" s="24">
        <v>5</v>
      </c>
      <c r="AE4" s="24">
        <v>0</v>
      </c>
      <c r="AF4" s="24">
        <v>7</v>
      </c>
      <c r="AG4" s="97">
        <v>0</v>
      </c>
      <c r="AH4" s="24">
        <v>0</v>
      </c>
      <c r="AI4" s="24">
        <v>2</v>
      </c>
      <c r="AJ4" s="24">
        <v>2</v>
      </c>
      <c r="AK4" s="24">
        <v>2</v>
      </c>
    </row>
    <row r="5" spans="2:37" x14ac:dyDescent="0.25">
      <c r="B5" s="129" t="s">
        <v>1507</v>
      </c>
      <c r="C5" s="129" t="s">
        <v>1508</v>
      </c>
      <c r="D5" s="36">
        <f t="shared" ref="D5:D6" si="1">+G5</f>
        <v>3</v>
      </c>
      <c r="E5" s="36"/>
      <c r="F5" s="4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3</v>
      </c>
      <c r="H5" s="24">
        <v>3</v>
      </c>
      <c r="I5" s="24">
        <v>23</v>
      </c>
      <c r="J5" s="24">
        <v>7</v>
      </c>
      <c r="K5" s="24">
        <v>0</v>
      </c>
      <c r="L5" s="24">
        <v>0</v>
      </c>
      <c r="M5" s="24">
        <v>3</v>
      </c>
      <c r="N5" s="24">
        <v>0</v>
      </c>
      <c r="O5" s="24">
        <v>0</v>
      </c>
      <c r="P5" s="24">
        <v>23</v>
      </c>
      <c r="Q5" s="24">
        <v>23</v>
      </c>
      <c r="R5" s="24">
        <v>4</v>
      </c>
      <c r="S5" s="24">
        <v>2</v>
      </c>
      <c r="T5" s="24">
        <v>2</v>
      </c>
      <c r="U5" s="24">
        <v>0</v>
      </c>
      <c r="V5" s="24">
        <v>5</v>
      </c>
      <c r="W5" s="24">
        <v>2</v>
      </c>
      <c r="X5" s="24">
        <v>2</v>
      </c>
      <c r="Y5" s="24">
        <v>2</v>
      </c>
      <c r="Z5" s="24">
        <v>2</v>
      </c>
      <c r="AA5" s="24">
        <v>1</v>
      </c>
      <c r="AB5" s="24">
        <v>2</v>
      </c>
      <c r="AC5" s="24">
        <v>0</v>
      </c>
      <c r="AD5" s="24">
        <v>0</v>
      </c>
      <c r="AE5" s="24">
        <v>3</v>
      </c>
      <c r="AF5" s="24">
        <v>7</v>
      </c>
      <c r="AG5" s="97">
        <v>3</v>
      </c>
      <c r="AH5" s="24">
        <v>3</v>
      </c>
      <c r="AI5" s="24">
        <v>0</v>
      </c>
      <c r="AJ5" s="24">
        <v>0</v>
      </c>
      <c r="AK5" s="24">
        <v>0</v>
      </c>
    </row>
    <row r="6" spans="2:37" x14ac:dyDescent="0.25">
      <c r="B6" s="129" t="s">
        <v>1509</v>
      </c>
      <c r="C6" s="129" t="s">
        <v>1510</v>
      </c>
      <c r="D6" s="36">
        <f t="shared" si="1"/>
        <v>0</v>
      </c>
      <c r="E6" s="36"/>
      <c r="F6" s="4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/>
      <c r="W6" s="24"/>
      <c r="X6" s="24"/>
      <c r="Y6" s="24"/>
      <c r="Z6" s="24"/>
      <c r="AA6" s="24">
        <v>0</v>
      </c>
      <c r="AB6" s="24"/>
      <c r="AC6" s="24">
        <v>0</v>
      </c>
      <c r="AD6" s="24">
        <v>0</v>
      </c>
      <c r="AE6" s="24">
        <v>5</v>
      </c>
      <c r="AF6" s="24">
        <v>7</v>
      </c>
      <c r="AG6" s="97">
        <v>0</v>
      </c>
      <c r="AH6" s="24">
        <v>0</v>
      </c>
      <c r="AI6" s="24">
        <v>0</v>
      </c>
      <c r="AJ6" s="24">
        <v>0</v>
      </c>
      <c r="AK6" s="24">
        <v>0</v>
      </c>
    </row>
    <row r="7" spans="2:37" x14ac:dyDescent="0.25">
      <c r="B7" s="129" t="s">
        <v>1531</v>
      </c>
      <c r="C7" s="129" t="s">
        <v>1528</v>
      </c>
      <c r="D7" s="36">
        <f t="shared" si="0"/>
        <v>1</v>
      </c>
      <c r="E7" s="36"/>
      <c r="F7" s="4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2</v>
      </c>
      <c r="V7" s="24">
        <v>2</v>
      </c>
      <c r="W7" s="24">
        <v>1</v>
      </c>
      <c r="X7" s="24">
        <v>1</v>
      </c>
      <c r="Y7" s="24">
        <v>1</v>
      </c>
      <c r="Z7" s="24">
        <v>1</v>
      </c>
      <c r="AA7" s="24">
        <v>1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97">
        <v>0</v>
      </c>
      <c r="AH7" s="24">
        <v>0</v>
      </c>
      <c r="AI7" s="24">
        <v>2</v>
      </c>
      <c r="AJ7" s="24">
        <v>2</v>
      </c>
      <c r="AK7" s="24">
        <v>2</v>
      </c>
    </row>
    <row r="8" spans="2:37" x14ac:dyDescent="0.25">
      <c r="B8" s="129" t="s">
        <v>1182</v>
      </c>
      <c r="C8" s="129" t="s">
        <v>824</v>
      </c>
      <c r="D8" s="36">
        <f t="shared" si="0"/>
        <v>0</v>
      </c>
      <c r="E8" s="36"/>
      <c r="F8" s="4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24">
        <v>0</v>
      </c>
      <c r="I8" s="24">
        <v>0</v>
      </c>
      <c r="J8" s="24">
        <v>0</v>
      </c>
      <c r="K8" s="24">
        <v>3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3</v>
      </c>
      <c r="V8" s="24">
        <v>5</v>
      </c>
      <c r="W8" s="24">
        <v>3</v>
      </c>
      <c r="X8" s="24">
        <v>3</v>
      </c>
      <c r="Y8" s="24">
        <v>3</v>
      </c>
      <c r="Z8" s="24">
        <v>3</v>
      </c>
      <c r="AA8" s="24">
        <v>2</v>
      </c>
      <c r="AB8" s="24">
        <v>3</v>
      </c>
      <c r="AC8" s="24">
        <v>7</v>
      </c>
      <c r="AD8" s="24">
        <v>9</v>
      </c>
      <c r="AE8" s="24">
        <v>0</v>
      </c>
      <c r="AF8" s="24">
        <v>0</v>
      </c>
      <c r="AG8" s="97">
        <v>0</v>
      </c>
      <c r="AH8" s="24">
        <v>0</v>
      </c>
      <c r="AI8" s="24">
        <v>3</v>
      </c>
      <c r="AJ8" s="24">
        <v>3</v>
      </c>
      <c r="AK8" s="24">
        <v>3</v>
      </c>
    </row>
    <row r="9" spans="2:37" x14ac:dyDescent="0.25">
      <c r="B9" s="130" t="s">
        <v>1538</v>
      </c>
      <c r="C9" s="130" t="s">
        <v>1534</v>
      </c>
      <c r="D9" s="36">
        <f t="shared" si="0"/>
        <v>2</v>
      </c>
      <c r="E9" s="36"/>
      <c r="F9" s="4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2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2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/>
      <c r="W9" s="24"/>
      <c r="X9" s="24"/>
      <c r="Y9" s="24"/>
      <c r="Z9" s="24"/>
      <c r="AA9" s="24"/>
      <c r="AB9" s="24"/>
      <c r="AC9" s="24">
        <v>0</v>
      </c>
      <c r="AD9" s="24">
        <v>4</v>
      </c>
      <c r="AE9" s="24">
        <v>2</v>
      </c>
      <c r="AF9" s="24">
        <v>0</v>
      </c>
      <c r="AG9" s="97">
        <v>2</v>
      </c>
      <c r="AH9" s="24">
        <v>2</v>
      </c>
      <c r="AI9" s="24">
        <v>0</v>
      </c>
      <c r="AJ9" s="24">
        <v>0</v>
      </c>
      <c r="AK9" s="24">
        <v>0</v>
      </c>
    </row>
    <row r="10" spans="2:37" x14ac:dyDescent="0.25">
      <c r="B10" s="130" t="s">
        <v>1539</v>
      </c>
      <c r="C10" s="130" t="s">
        <v>1535</v>
      </c>
      <c r="D10" s="36">
        <f t="shared" si="0"/>
        <v>0</v>
      </c>
      <c r="E10" s="36"/>
      <c r="F10" s="4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/>
      <c r="W10" s="24"/>
      <c r="X10" s="24"/>
      <c r="Y10" s="24"/>
      <c r="Z10" s="24"/>
      <c r="AA10" s="24"/>
      <c r="AB10" s="24"/>
      <c r="AC10" s="24">
        <v>0</v>
      </c>
      <c r="AD10" s="24">
        <v>7</v>
      </c>
      <c r="AE10" s="24">
        <v>0</v>
      </c>
      <c r="AF10" s="24">
        <v>0</v>
      </c>
      <c r="AG10" s="97">
        <v>0</v>
      </c>
      <c r="AH10" s="24">
        <v>0</v>
      </c>
      <c r="AI10" s="24">
        <v>0</v>
      </c>
      <c r="AJ10" s="24">
        <v>0</v>
      </c>
      <c r="AK10" s="24">
        <v>0</v>
      </c>
    </row>
    <row r="11" spans="2:37" x14ac:dyDescent="0.25">
      <c r="B11" s="130" t="s">
        <v>1333</v>
      </c>
      <c r="C11" s="130" t="s">
        <v>1334</v>
      </c>
      <c r="D11" s="36">
        <f t="shared" si="0"/>
        <v>4</v>
      </c>
      <c r="E11" s="36"/>
      <c r="F11" s="4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4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4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/>
      <c r="W11" s="24"/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7</v>
      </c>
      <c r="AD11" s="24">
        <v>0</v>
      </c>
      <c r="AE11" s="24">
        <v>4</v>
      </c>
      <c r="AF11" s="24">
        <v>0</v>
      </c>
      <c r="AG11" s="97">
        <v>4</v>
      </c>
      <c r="AH11" s="24">
        <v>4</v>
      </c>
      <c r="AI11" s="24">
        <v>0</v>
      </c>
      <c r="AJ11" s="24">
        <v>0</v>
      </c>
      <c r="AK11" s="24">
        <v>0</v>
      </c>
    </row>
    <row r="12" spans="2:37" x14ac:dyDescent="0.25">
      <c r="B12" s="130" t="s">
        <v>1333</v>
      </c>
      <c r="C12" s="130" t="s">
        <v>1511</v>
      </c>
      <c r="D12" s="36">
        <f t="shared" si="0"/>
        <v>0</v>
      </c>
      <c r="E12" s="36"/>
      <c r="F12" s="4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/>
      <c r="W12" s="24"/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7</v>
      </c>
      <c r="AD12" s="24">
        <v>0</v>
      </c>
      <c r="AE12" s="24">
        <v>6</v>
      </c>
      <c r="AF12" s="24">
        <v>0</v>
      </c>
      <c r="AG12" s="97">
        <v>0</v>
      </c>
      <c r="AH12" s="24">
        <v>0</v>
      </c>
      <c r="AI12" s="24">
        <v>0</v>
      </c>
      <c r="AJ12" s="24">
        <v>0</v>
      </c>
      <c r="AK12" s="24">
        <v>0</v>
      </c>
    </row>
    <row r="13" spans="2:37" x14ac:dyDescent="0.25">
      <c r="B13" s="130" t="s">
        <v>1531</v>
      </c>
      <c r="C13" s="130" t="s">
        <v>1536</v>
      </c>
      <c r="D13" s="36">
        <f t="shared" si="0"/>
        <v>2</v>
      </c>
      <c r="E13" s="36"/>
      <c r="F13" s="4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2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2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/>
      <c r="W13" s="24"/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97">
        <v>0</v>
      </c>
      <c r="AH13" s="24">
        <v>0</v>
      </c>
      <c r="AI13" s="24">
        <v>0</v>
      </c>
      <c r="AJ13" s="24">
        <v>0</v>
      </c>
      <c r="AK13" s="24">
        <v>0</v>
      </c>
    </row>
    <row r="14" spans="2:37" x14ac:dyDescent="0.25">
      <c r="B14" s="130" t="s">
        <v>1182</v>
      </c>
      <c r="C14" s="130" t="s">
        <v>1537</v>
      </c>
      <c r="D14" s="36">
        <f t="shared" si="0"/>
        <v>0</v>
      </c>
      <c r="E14" s="36"/>
      <c r="F14" s="4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/>
      <c r="W14" s="24"/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9</v>
      </c>
      <c r="AE14" s="24">
        <v>0</v>
      </c>
      <c r="AF14" s="24">
        <v>0</v>
      </c>
      <c r="AG14" s="97">
        <v>0</v>
      </c>
      <c r="AH14" s="24">
        <v>0</v>
      </c>
      <c r="AI14" s="24">
        <v>0</v>
      </c>
      <c r="AJ14" s="24">
        <v>0</v>
      </c>
      <c r="AK14" s="24">
        <v>0</v>
      </c>
    </row>
    <row r="15" spans="2:37" x14ac:dyDescent="0.25">
      <c r="B15" s="129" t="s">
        <v>1183</v>
      </c>
      <c r="C15" s="129" t="s">
        <v>1187</v>
      </c>
      <c r="D15" s="36">
        <f t="shared" si="0"/>
        <v>1</v>
      </c>
      <c r="E15" s="36"/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1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1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13</v>
      </c>
      <c r="V15" s="24"/>
      <c r="W15" s="24"/>
      <c r="X15" s="24"/>
      <c r="Y15" s="24"/>
      <c r="Z15" s="24"/>
      <c r="AA15" s="24"/>
      <c r="AB15" s="24"/>
      <c r="AC15" s="24">
        <v>2</v>
      </c>
      <c r="AD15" s="24">
        <v>1</v>
      </c>
      <c r="AE15" s="24">
        <v>0</v>
      </c>
      <c r="AF15" s="24">
        <v>0</v>
      </c>
      <c r="AG15" s="97">
        <v>0</v>
      </c>
      <c r="AH15" s="24">
        <v>0</v>
      </c>
      <c r="AI15" s="24">
        <v>13</v>
      </c>
      <c r="AJ15" s="24">
        <v>13</v>
      </c>
      <c r="AK15" s="24">
        <v>13</v>
      </c>
    </row>
    <row r="16" spans="2:37" x14ac:dyDescent="0.25">
      <c r="B16" s="129" t="s">
        <v>1184</v>
      </c>
      <c r="C16" s="129" t="s">
        <v>1532</v>
      </c>
      <c r="D16" s="36">
        <f t="shared" si="0"/>
        <v>0</v>
      </c>
      <c r="E16" s="36"/>
      <c r="F16" s="4"/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14</v>
      </c>
      <c r="V16" s="24"/>
      <c r="W16" s="24"/>
      <c r="X16" s="24"/>
      <c r="Y16" s="24"/>
      <c r="Z16" s="24"/>
      <c r="AA16" s="24"/>
      <c r="AB16" s="24"/>
      <c r="AC16" s="24">
        <v>5</v>
      </c>
      <c r="AD16" s="24">
        <v>5</v>
      </c>
      <c r="AE16" s="24">
        <v>0</v>
      </c>
      <c r="AF16" s="24">
        <v>0</v>
      </c>
      <c r="AG16" s="97">
        <v>0</v>
      </c>
      <c r="AH16" s="24">
        <v>0</v>
      </c>
      <c r="AI16" s="24">
        <v>14</v>
      </c>
      <c r="AJ16" s="24">
        <v>14</v>
      </c>
      <c r="AK16" s="24">
        <v>14</v>
      </c>
    </row>
    <row r="17" spans="2:37" x14ac:dyDescent="0.25">
      <c r="B17" s="129" t="s">
        <v>1512</v>
      </c>
      <c r="C17" s="129" t="s">
        <v>1513</v>
      </c>
      <c r="D17" s="36">
        <f t="shared" ref="D17:D18" si="2">+G17</f>
        <v>3</v>
      </c>
      <c r="E17" s="36"/>
      <c r="F17" s="4"/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3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3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14</v>
      </c>
      <c r="V17" s="24"/>
      <c r="W17" s="24"/>
      <c r="X17" s="24"/>
      <c r="Y17" s="24"/>
      <c r="Z17" s="24"/>
      <c r="AA17" s="24"/>
      <c r="AB17" s="24"/>
      <c r="AC17" s="24">
        <v>5</v>
      </c>
      <c r="AD17" s="24">
        <v>0</v>
      </c>
      <c r="AE17" s="24">
        <v>0</v>
      </c>
      <c r="AF17" s="24">
        <v>0</v>
      </c>
      <c r="AG17" s="97">
        <v>0</v>
      </c>
      <c r="AH17" s="24">
        <v>0</v>
      </c>
      <c r="AI17" s="24">
        <v>14</v>
      </c>
      <c r="AJ17" s="24">
        <v>14</v>
      </c>
      <c r="AK17" s="24">
        <v>14</v>
      </c>
    </row>
    <row r="18" spans="2:37" x14ac:dyDescent="0.25">
      <c r="B18" s="129" t="s">
        <v>1514</v>
      </c>
      <c r="C18" s="129" t="s">
        <v>1515</v>
      </c>
      <c r="D18" s="36">
        <f t="shared" si="2"/>
        <v>0</v>
      </c>
      <c r="E18" s="36"/>
      <c r="F18" s="4"/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14</v>
      </c>
      <c r="V18" s="24"/>
      <c r="W18" s="24"/>
      <c r="X18" s="24"/>
      <c r="Y18" s="24"/>
      <c r="Z18" s="24"/>
      <c r="AA18" s="24"/>
      <c r="AB18" s="24"/>
      <c r="AC18" s="24">
        <v>5</v>
      </c>
      <c r="AD18" s="24">
        <v>0</v>
      </c>
      <c r="AE18" s="24">
        <v>0</v>
      </c>
      <c r="AF18" s="24">
        <v>0</v>
      </c>
      <c r="AG18" s="97">
        <v>0</v>
      </c>
      <c r="AH18" s="24">
        <v>0</v>
      </c>
      <c r="AI18" s="24">
        <v>14</v>
      </c>
      <c r="AJ18" s="24">
        <v>14</v>
      </c>
      <c r="AK18" s="24">
        <v>14</v>
      </c>
    </row>
    <row r="19" spans="2:37" x14ac:dyDescent="0.25">
      <c r="B19" s="129" t="s">
        <v>1185</v>
      </c>
      <c r="C19" s="129" t="s">
        <v>1533</v>
      </c>
      <c r="D19" s="36">
        <f t="shared" si="0"/>
        <v>1</v>
      </c>
      <c r="E19" s="36"/>
      <c r="F19" s="4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1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1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14</v>
      </c>
      <c r="V19" s="24"/>
      <c r="W19" s="24"/>
      <c r="X19" s="24"/>
      <c r="Y19" s="24"/>
      <c r="Z19" s="24"/>
      <c r="AA19" s="24"/>
      <c r="AB19" s="24"/>
      <c r="AC19" s="24">
        <v>2</v>
      </c>
      <c r="AD19" s="24">
        <v>0</v>
      </c>
      <c r="AE19" s="24">
        <v>0</v>
      </c>
      <c r="AF19" s="24">
        <v>0</v>
      </c>
      <c r="AG19" s="97">
        <v>0</v>
      </c>
      <c r="AH19" s="24">
        <v>0</v>
      </c>
      <c r="AI19" s="24">
        <v>14</v>
      </c>
      <c r="AJ19" s="24">
        <v>14</v>
      </c>
      <c r="AK19" s="24">
        <v>14</v>
      </c>
    </row>
    <row r="20" spans="2:37" x14ac:dyDescent="0.25">
      <c r="B20" s="129" t="s">
        <v>1186</v>
      </c>
      <c r="C20" s="129" t="s">
        <v>1188</v>
      </c>
      <c r="D20" s="36">
        <f t="shared" si="0"/>
        <v>0</v>
      </c>
      <c r="E20" s="36"/>
      <c r="F20" s="4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3</v>
      </c>
      <c r="V20" s="24"/>
      <c r="W20" s="24"/>
      <c r="X20" s="24"/>
      <c r="Y20" s="24"/>
      <c r="Z20" s="24"/>
      <c r="AA20" s="24"/>
      <c r="AB20" s="24"/>
      <c r="AC20" s="127">
        <v>7</v>
      </c>
      <c r="AD20" s="24">
        <v>9</v>
      </c>
      <c r="AE20" s="24">
        <v>0</v>
      </c>
      <c r="AF20" s="24">
        <v>0</v>
      </c>
      <c r="AG20" s="97">
        <v>0</v>
      </c>
      <c r="AH20" s="24">
        <v>0</v>
      </c>
      <c r="AI20" s="24">
        <v>3</v>
      </c>
      <c r="AJ20" s="24">
        <v>3</v>
      </c>
      <c r="AK20" s="24">
        <v>3</v>
      </c>
    </row>
    <row r="21" spans="2:37" x14ac:dyDescent="0.25">
      <c r="B21" s="130" t="s">
        <v>239</v>
      </c>
      <c r="C21" s="130" t="s">
        <v>237</v>
      </c>
      <c r="D21" s="36">
        <f t="shared" si="0"/>
        <v>0</v>
      </c>
      <c r="E21" s="36"/>
      <c r="F21" s="4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24">
        <v>4</v>
      </c>
      <c r="I21" s="24">
        <v>4</v>
      </c>
      <c r="J21" s="24">
        <v>0</v>
      </c>
      <c r="K21" s="24">
        <v>0</v>
      </c>
      <c r="L21" s="24">
        <v>1</v>
      </c>
      <c r="M21" s="24">
        <v>0</v>
      </c>
      <c r="N21" s="24">
        <v>0</v>
      </c>
      <c r="O21" s="24">
        <v>0</v>
      </c>
      <c r="P21" s="24">
        <v>4</v>
      </c>
      <c r="Q21" s="24">
        <v>4</v>
      </c>
      <c r="R21" s="24">
        <v>4</v>
      </c>
      <c r="S21" s="24">
        <v>1</v>
      </c>
      <c r="T21" s="24">
        <v>1</v>
      </c>
      <c r="U21" s="24">
        <v>0</v>
      </c>
      <c r="V21" s="24">
        <v>0</v>
      </c>
      <c r="W21" s="24">
        <v>2</v>
      </c>
      <c r="X21" s="24">
        <v>2</v>
      </c>
      <c r="Y21" s="24">
        <v>2</v>
      </c>
      <c r="Z21" s="24">
        <v>2</v>
      </c>
      <c r="AA21" s="24">
        <v>0</v>
      </c>
      <c r="AB21" s="24">
        <v>0</v>
      </c>
      <c r="AC21" s="24">
        <v>0</v>
      </c>
      <c r="AD21" s="24">
        <v>3</v>
      </c>
      <c r="AE21" s="24">
        <v>0</v>
      </c>
      <c r="AF21" s="24">
        <v>0</v>
      </c>
      <c r="AG21" s="97">
        <v>0</v>
      </c>
      <c r="AH21" s="24">
        <v>0</v>
      </c>
      <c r="AI21" s="24">
        <v>0</v>
      </c>
      <c r="AJ21" s="24">
        <v>0</v>
      </c>
      <c r="AK21" s="24">
        <v>0</v>
      </c>
    </row>
    <row r="22" spans="2:37" x14ac:dyDescent="0.25">
      <c r="B22" s="130" t="s">
        <v>240</v>
      </c>
      <c r="C22" s="130" t="s">
        <v>1540</v>
      </c>
      <c r="D22" s="36">
        <f t="shared" si="0"/>
        <v>0</v>
      </c>
      <c r="E22" s="36"/>
      <c r="F22" s="4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0</v>
      </c>
      <c r="H22" s="24">
        <v>-3</v>
      </c>
      <c r="I22" s="24">
        <v>-6</v>
      </c>
      <c r="J22" s="24">
        <v>-4.5</v>
      </c>
      <c r="K22" s="24">
        <v>-1</v>
      </c>
      <c r="L22" s="24">
        <v>-1</v>
      </c>
      <c r="M22" s="24">
        <v>0</v>
      </c>
      <c r="N22" s="24">
        <v>-1</v>
      </c>
      <c r="O22" s="24">
        <v>-1</v>
      </c>
      <c r="P22" s="24">
        <v>-3</v>
      </c>
      <c r="Q22" s="24">
        <v>-3</v>
      </c>
      <c r="R22" s="24">
        <v>0</v>
      </c>
      <c r="S22" s="24">
        <v>1</v>
      </c>
      <c r="T22" s="24">
        <v>1</v>
      </c>
      <c r="U22" s="24">
        <v>0</v>
      </c>
      <c r="V22" s="24">
        <v>0</v>
      </c>
      <c r="W22" s="24">
        <v>4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-4.5</v>
      </c>
      <c r="AG22" s="97">
        <v>0</v>
      </c>
      <c r="AH22" s="24">
        <v>0</v>
      </c>
      <c r="AI22" s="24">
        <v>0</v>
      </c>
      <c r="AJ22" s="24">
        <v>0</v>
      </c>
      <c r="AK22" s="24">
        <v>0</v>
      </c>
    </row>
    <row r="23" spans="2:37" x14ac:dyDescent="0.25">
      <c r="B23" s="130" t="s">
        <v>1516</v>
      </c>
      <c r="C23" s="130" t="s">
        <v>1517</v>
      </c>
      <c r="D23" s="36">
        <f t="shared" ref="D23:D24" si="3">+G23</f>
        <v>0</v>
      </c>
      <c r="E23" s="36"/>
      <c r="F23" s="4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24">
        <v>-3</v>
      </c>
      <c r="I23" s="24">
        <v>-6</v>
      </c>
      <c r="J23" s="24">
        <v>-4.5</v>
      </c>
      <c r="K23" s="24">
        <v>-1</v>
      </c>
      <c r="L23" s="24">
        <v>-1</v>
      </c>
      <c r="M23" s="24">
        <v>0</v>
      </c>
      <c r="N23" s="24">
        <v>-1</v>
      </c>
      <c r="O23" s="24">
        <v>-1</v>
      </c>
      <c r="P23" s="24">
        <v>-3</v>
      </c>
      <c r="Q23" s="24">
        <v>-3</v>
      </c>
      <c r="R23" s="24">
        <v>0</v>
      </c>
      <c r="S23" s="24">
        <v>1</v>
      </c>
      <c r="T23" s="24">
        <v>1</v>
      </c>
      <c r="U23" s="24">
        <v>0</v>
      </c>
      <c r="V23" s="24">
        <v>0</v>
      </c>
      <c r="W23" s="24">
        <v>4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-4.5</v>
      </c>
      <c r="AG23" s="97">
        <v>-2</v>
      </c>
      <c r="AH23" s="24">
        <v>0</v>
      </c>
      <c r="AI23" s="24">
        <v>0</v>
      </c>
      <c r="AJ23" s="24">
        <v>0</v>
      </c>
      <c r="AK23" s="24">
        <v>0</v>
      </c>
    </row>
    <row r="24" spans="2:37" x14ac:dyDescent="0.25">
      <c r="B24" s="130" t="s">
        <v>1518</v>
      </c>
      <c r="C24" s="130" t="s">
        <v>1519</v>
      </c>
      <c r="D24" s="36">
        <f t="shared" si="3"/>
        <v>0</v>
      </c>
      <c r="E24" s="36"/>
      <c r="F24" s="4"/>
      <c r="G24" s="15">
        <f>+IF(EXACT('3AC_Data'!$D$8,1),H24,IF(EXACT('3AC_Data'!$D$8,2),I24,IF(EXACT('3AC_Data'!$D$8,3),J24,IF(EXACT('3AC_Data'!$D$8,4),K24,IF(EXACT('3AC_Data'!$D$8,5),L24,IF(EXACT('3AC_Data'!$D$8,6),M24,IF(EXACT('3AC_Data'!$D$8,7),N24,IF(EXACT('3AC_Data'!$D$8,8),O24,IF(EXACT('3AC_Data'!$D$8,9),P24,IF(EXACT('3AC_Data'!$D$8,10),Q24,IF(EXACT('3AC_Data'!$D$8,11),R24,IF(EXACT('3AC_Data'!$D$8,12),S24,IF(EXACT('3AC_Data'!$D$8,13),T24,IF(EXACT('3AC_Data'!$D$8,14),U24,IF(EXACT('3AC_Data'!$D$8,15),V24,IF(EXACT('3AC_Data'!$D$8,16),W24,IF(EXACT('3AC_Data'!$D$8,17),X24,IF(EXACT('3AC_Data'!$D$8,18),Y24,IF(EXACT('3AC_Data'!$D$8,19),Z24,IF(EXACT('3AC_Data'!$D$8,20),AA24,IF(EXACT('3AC_Data'!$D$8,21),AB24,IF(EXACT('3AC_Data'!$D$8,22),AC24,IF(EXACT('3AC_Data'!$D$8,23),AD24,IF(EXACT('3AC_Data'!$D$8,24),AE24,IF(EXACT('3AC_Data'!$D$8,25),AF24,IF(EXACT('3AC_Data'!$D$8,26),AG24,IF(EXACT('3AC_Data'!$D$8,27),AH24,IF(EXACT('3AC_Data'!$D$8,28),AI24,IF(EXACT('3AC_Data'!$D$8,29),AJ24,IF(EXACT('3AC_Data'!$D$8,30),AK24))))))))))))))))))))))))))))))</f>
        <v>0</v>
      </c>
      <c r="H24" s="24">
        <v>-3</v>
      </c>
      <c r="I24" s="24">
        <v>-6</v>
      </c>
      <c r="J24" s="24">
        <v>-4.5</v>
      </c>
      <c r="K24" s="24">
        <v>-1</v>
      </c>
      <c r="L24" s="24">
        <v>-1</v>
      </c>
      <c r="M24" s="24">
        <v>0</v>
      </c>
      <c r="N24" s="24">
        <v>-1</v>
      </c>
      <c r="O24" s="24">
        <v>-1</v>
      </c>
      <c r="P24" s="24">
        <v>-3</v>
      </c>
      <c r="Q24" s="24">
        <v>-3</v>
      </c>
      <c r="R24" s="24">
        <v>0</v>
      </c>
      <c r="S24" s="24">
        <v>1</v>
      </c>
      <c r="T24" s="24">
        <v>1</v>
      </c>
      <c r="U24" s="24">
        <v>0</v>
      </c>
      <c r="V24" s="24">
        <v>0</v>
      </c>
      <c r="W24" s="24">
        <v>4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-4.5</v>
      </c>
      <c r="AG24" s="97">
        <v>0</v>
      </c>
      <c r="AH24" s="24">
        <v>0</v>
      </c>
      <c r="AI24" s="24">
        <v>0</v>
      </c>
      <c r="AJ24" s="24">
        <v>0</v>
      </c>
      <c r="AK24" s="24">
        <v>0</v>
      </c>
    </row>
    <row r="25" spans="2:37" x14ac:dyDescent="0.25">
      <c r="B25" s="130" t="s">
        <v>241</v>
      </c>
      <c r="C25" s="130" t="s">
        <v>1541</v>
      </c>
      <c r="D25" s="36">
        <f t="shared" si="0"/>
        <v>0</v>
      </c>
      <c r="E25" s="36"/>
      <c r="F25" s="4"/>
      <c r="G25" s="15">
        <f>+IF(EXACT('3AC_Data'!$D$8,1),H25,IF(EXACT('3AC_Data'!$D$8,2),I25,IF(EXACT('3AC_Data'!$D$8,3),J25,IF(EXACT('3AC_Data'!$D$8,4),K25,IF(EXACT('3AC_Data'!$D$8,5),L25,IF(EXACT('3AC_Data'!$D$8,6),M25,IF(EXACT('3AC_Data'!$D$8,7),N25,IF(EXACT('3AC_Data'!$D$8,8),O25,IF(EXACT('3AC_Data'!$D$8,9),P25,IF(EXACT('3AC_Data'!$D$8,10),Q25,IF(EXACT('3AC_Data'!$D$8,11),R25,IF(EXACT('3AC_Data'!$D$8,12),S25,IF(EXACT('3AC_Data'!$D$8,13),T25,IF(EXACT('3AC_Data'!$D$8,14),U25,IF(EXACT('3AC_Data'!$D$8,15),V25,IF(EXACT('3AC_Data'!$D$8,16),W25,IF(EXACT('3AC_Data'!$D$8,17),X25,IF(EXACT('3AC_Data'!$D$8,18),Y25,IF(EXACT('3AC_Data'!$D$8,19),Z25,IF(EXACT('3AC_Data'!$D$8,20),AA25,IF(EXACT('3AC_Data'!$D$8,21),AB25,IF(EXACT('3AC_Data'!$D$8,22),AC25,IF(EXACT('3AC_Data'!$D$8,23),AD25,IF(EXACT('3AC_Data'!$D$8,24),AE25,IF(EXACT('3AC_Data'!$D$8,25),AF25,IF(EXACT('3AC_Data'!$D$8,26),AG25,IF(EXACT('3AC_Data'!$D$8,27),AH25,IF(EXACT('3AC_Data'!$D$8,28),AI25,IF(EXACT('3AC_Data'!$D$8,29),AJ25,IF(EXACT('3AC_Data'!$D$8,30),AK25))))))))))))))))))))))))))))))</f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97">
        <v>0</v>
      </c>
      <c r="AH25" s="24">
        <v>0</v>
      </c>
      <c r="AI25" s="24">
        <v>0</v>
      </c>
      <c r="AJ25" s="24">
        <v>0</v>
      </c>
      <c r="AK25" s="24">
        <v>0</v>
      </c>
    </row>
    <row r="26" spans="2:37" x14ac:dyDescent="0.25">
      <c r="B26" s="130" t="s">
        <v>825</v>
      </c>
      <c r="C26" s="130" t="s">
        <v>826</v>
      </c>
      <c r="D26" s="36">
        <f t="shared" ref="D26" si="4">+G26</f>
        <v>0</v>
      </c>
      <c r="E26" s="36"/>
      <c r="F26" s="4"/>
      <c r="G26" s="15">
        <f>+IF(EXACT('3AC_Data'!$D$8,1),H26,IF(EXACT('3AC_Data'!$D$8,2),I26,IF(EXACT('3AC_Data'!$D$8,3),J26,IF(EXACT('3AC_Data'!$D$8,4),K26,IF(EXACT('3AC_Data'!$D$8,5),L26,IF(EXACT('3AC_Data'!$D$8,6),M26,IF(EXACT('3AC_Data'!$D$8,7),N26,IF(EXACT('3AC_Data'!$D$8,8),O26,IF(EXACT('3AC_Data'!$D$8,9),P26,IF(EXACT('3AC_Data'!$D$8,10),Q26,IF(EXACT('3AC_Data'!$D$8,11),R26,IF(EXACT('3AC_Data'!$D$8,12),S26,IF(EXACT('3AC_Data'!$D$8,13),T26,IF(EXACT('3AC_Data'!$D$8,14),U26,IF(EXACT('3AC_Data'!$D$8,15),V26,IF(EXACT('3AC_Data'!$D$8,16),W26,IF(EXACT('3AC_Data'!$D$8,17),X26,IF(EXACT('3AC_Data'!$D$8,18),Y26,IF(EXACT('3AC_Data'!$D$8,19),Z26,IF(EXACT('3AC_Data'!$D$8,20),AA26,IF(EXACT('3AC_Data'!$D$8,21),AB26,IF(EXACT('3AC_Data'!$D$8,22),AC26,IF(EXACT('3AC_Data'!$D$8,23),AD26,IF(EXACT('3AC_Data'!$D$8,24),AE26,IF(EXACT('3AC_Data'!$D$8,25),AF26,IF(EXACT('3AC_Data'!$D$8,26),AG26,IF(EXACT('3AC_Data'!$D$8,27),AH26,IF(EXACT('3AC_Data'!$D$8,28),AI26,IF(EXACT('3AC_Data'!$D$8,29),AJ26,IF(EXACT('3AC_Data'!$D$8,30),AK26))))))))))))))))))))))))))))))</f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97">
        <v>0</v>
      </c>
      <c r="AH26" s="24">
        <v>0</v>
      </c>
      <c r="AI26" s="24">
        <v>0</v>
      </c>
      <c r="AJ26" s="24">
        <v>0</v>
      </c>
      <c r="AK26" s="24">
        <v>0</v>
      </c>
    </row>
    <row r="27" spans="2:37" x14ac:dyDescent="0.25">
      <c r="B27" s="129" t="s">
        <v>873</v>
      </c>
      <c r="C27" s="129" t="s">
        <v>870</v>
      </c>
      <c r="D27" s="36" t="str">
        <f t="shared" ref="D27:D38" si="5">+G27</f>
        <v>St_CYR_24.dat</v>
      </c>
      <c r="E27" s="36"/>
      <c r="F27" s="4"/>
      <c r="G27" s="15" t="str">
        <f>+IF(EXACT('3AC_Data'!$D$8,1),H27,IF(EXACT('3AC_Data'!$D$8,2),I27,IF(EXACT('3AC_Data'!$D$8,3),J27,IF(EXACT('3AC_Data'!$D$8,4),K27,IF(EXACT('3AC_Data'!$D$8,5),L27,IF(EXACT('3AC_Data'!$D$8,6),M27,IF(EXACT('3AC_Data'!$D$8,7),N27,IF(EXACT('3AC_Data'!$D$8,8),O27,IF(EXACT('3AC_Data'!$D$8,9),P27,IF(EXACT('3AC_Data'!$D$8,10),Q27,IF(EXACT('3AC_Data'!$D$8,11),R27,IF(EXACT('3AC_Data'!$D$8,12),S27,IF(EXACT('3AC_Data'!$D$8,13),T27,IF(EXACT('3AC_Data'!$D$8,14),U27,IF(EXACT('3AC_Data'!$D$8,15),V27,IF(EXACT('3AC_Data'!$D$8,16),W27,IF(EXACT('3AC_Data'!$D$8,17),X27,IF(EXACT('3AC_Data'!$D$8,18),Y27,IF(EXACT('3AC_Data'!$D$8,19),Z27,IF(EXACT('3AC_Data'!$D$8,20),AA27,IF(EXACT('3AC_Data'!$D$8,21),AB27,IF(EXACT('3AC_Data'!$D$8,22),AC27,IF(EXACT('3AC_Data'!$D$8,23),AD27,IF(EXACT('3AC_Data'!$D$8,24),AE27,IF(EXACT('3AC_Data'!$D$8,25),AF27,IF(EXACT('3AC_Data'!$D$8,26),AG27,IF(EXACT('3AC_Data'!$D$8,27),AH27,IF(EXACT('3AC_Data'!$D$8,28),AI27,IF(EXACT('3AC_Data'!$D$8,29),AJ27,IF(EXACT('3AC_Data'!$D$8,30),AK27))))))))))))))))))))))))))))))</f>
        <v>St_CYR_24.dat</v>
      </c>
      <c r="H27" s="2" t="s">
        <v>886</v>
      </c>
      <c r="I27" s="2" t="s">
        <v>886</v>
      </c>
      <c r="J27" s="2" t="s">
        <v>892</v>
      </c>
      <c r="K27" s="2" t="s">
        <v>1280</v>
      </c>
      <c r="L27" s="2" t="s">
        <v>887</v>
      </c>
      <c r="M27" s="2" t="s">
        <v>892</v>
      </c>
      <c r="N27" s="2" t="s">
        <v>887</v>
      </c>
      <c r="O27" s="2" t="s">
        <v>887</v>
      </c>
      <c r="P27" s="2" t="s">
        <v>886</v>
      </c>
      <c r="Q27" s="2" t="s">
        <v>886</v>
      </c>
      <c r="R27" s="2" t="s">
        <v>886</v>
      </c>
      <c r="S27" s="2" t="s">
        <v>893</v>
      </c>
      <c r="T27" s="2" t="s">
        <v>893</v>
      </c>
      <c r="U27" s="2" t="s">
        <v>887</v>
      </c>
      <c r="V27" s="2" t="s">
        <v>886</v>
      </c>
      <c r="W27" s="2" t="s">
        <v>892</v>
      </c>
      <c r="X27" s="2" t="s">
        <v>892</v>
      </c>
      <c r="Y27" s="2" t="s">
        <v>892</v>
      </c>
      <c r="Z27" s="2" t="s">
        <v>892</v>
      </c>
      <c r="AA27" s="2" t="s">
        <v>1353</v>
      </c>
      <c r="AB27" s="2" t="s">
        <v>1387</v>
      </c>
      <c r="AC27" s="2" t="s">
        <v>1413</v>
      </c>
      <c r="AD27" s="2" t="s">
        <v>1413</v>
      </c>
      <c r="AE27" s="2" t="s">
        <v>1632</v>
      </c>
      <c r="AF27" s="2" t="s">
        <v>892</v>
      </c>
      <c r="AG27" s="2" t="s">
        <v>1632</v>
      </c>
      <c r="AH27" s="2" t="s">
        <v>1632</v>
      </c>
      <c r="AI27" s="2" t="s">
        <v>887</v>
      </c>
      <c r="AJ27" s="2" t="s">
        <v>887</v>
      </c>
      <c r="AK27" s="2" t="s">
        <v>887</v>
      </c>
    </row>
    <row r="28" spans="2:37" x14ac:dyDescent="0.25">
      <c r="B28" s="129" t="s">
        <v>872</v>
      </c>
      <c r="C28" s="129" t="s">
        <v>871</v>
      </c>
      <c r="D28" s="36" t="str">
        <f t="shared" si="5"/>
        <v>St_CYR_24.dat</v>
      </c>
      <c r="E28" s="36"/>
      <c r="F28" s="4"/>
      <c r="G28" s="15" t="str">
        <f>+IF(EXACT('3AC_Data'!$D$8,1),H28,IF(EXACT('3AC_Data'!$D$8,2),I28,IF(EXACT('3AC_Data'!$D$8,3),J28,IF(EXACT('3AC_Data'!$D$8,4),K28,IF(EXACT('3AC_Data'!$D$8,5),L28,IF(EXACT('3AC_Data'!$D$8,6),M28,IF(EXACT('3AC_Data'!$D$8,7),N28,IF(EXACT('3AC_Data'!$D$8,8),O28,IF(EXACT('3AC_Data'!$D$8,9),P28,IF(EXACT('3AC_Data'!$D$8,10),Q28,IF(EXACT('3AC_Data'!$D$8,11),R28,IF(EXACT('3AC_Data'!$D$8,12),S28,IF(EXACT('3AC_Data'!$D$8,13),T28,IF(EXACT('3AC_Data'!$D$8,14),U28,IF(EXACT('3AC_Data'!$D$8,15),V28,IF(EXACT('3AC_Data'!$D$8,16),W28,IF(EXACT('3AC_Data'!$D$8,17),X28,IF(EXACT('3AC_Data'!$D$8,18),Y28,IF(EXACT('3AC_Data'!$D$8,19),Z28,IF(EXACT('3AC_Data'!$D$8,20),AA28,IF(EXACT('3AC_Data'!$D$8,21),AB28,IF(EXACT('3AC_Data'!$D$8,22),AC28,IF(EXACT('3AC_Data'!$D$8,23),AD28,IF(EXACT('3AC_Data'!$D$8,24),AE28,IF(EXACT('3AC_Data'!$D$8,25),AF28,IF(EXACT('3AC_Data'!$D$8,26),AG28,IF(EXACT('3AC_Data'!$D$8,27),AH28,IF(EXACT('3AC_Data'!$D$8,28),AI28,IF(EXACT('3AC_Data'!$D$8,29),AJ28,IF(EXACT('3AC_Data'!$D$8,30),AK28))))))))))))))))))))))))))))))</f>
        <v>St_CYR_24.dat</v>
      </c>
      <c r="H28" s="2" t="s">
        <v>886</v>
      </c>
      <c r="I28" s="2" t="s">
        <v>886</v>
      </c>
      <c r="J28" s="2" t="s">
        <v>892</v>
      </c>
      <c r="K28" s="2" t="s">
        <v>1280</v>
      </c>
      <c r="L28" s="2" t="s">
        <v>888</v>
      </c>
      <c r="M28" s="2" t="s">
        <v>892</v>
      </c>
      <c r="N28" s="2" t="s">
        <v>888</v>
      </c>
      <c r="O28" s="2" t="s">
        <v>888</v>
      </c>
      <c r="P28" s="2" t="s">
        <v>886</v>
      </c>
      <c r="Q28" s="2" t="s">
        <v>886</v>
      </c>
      <c r="R28" s="2" t="s">
        <v>886</v>
      </c>
      <c r="S28" s="2" t="s">
        <v>893</v>
      </c>
      <c r="T28" s="2" t="s">
        <v>893</v>
      </c>
      <c r="U28" s="2" t="s">
        <v>888</v>
      </c>
      <c r="V28" s="2" t="s">
        <v>886</v>
      </c>
      <c r="W28" s="2" t="s">
        <v>892</v>
      </c>
      <c r="X28" s="2" t="s">
        <v>892</v>
      </c>
      <c r="Y28" s="2" t="s">
        <v>892</v>
      </c>
      <c r="Z28" s="2" t="s">
        <v>892</v>
      </c>
      <c r="AA28" s="2" t="s">
        <v>1353</v>
      </c>
      <c r="AB28" s="2" t="s">
        <v>1387</v>
      </c>
      <c r="AC28" s="2" t="s">
        <v>1414</v>
      </c>
      <c r="AD28" s="2" t="s">
        <v>1414</v>
      </c>
      <c r="AE28" s="2" t="s">
        <v>1632</v>
      </c>
      <c r="AF28" s="2" t="s">
        <v>892</v>
      </c>
      <c r="AG28" s="2" t="s">
        <v>1632</v>
      </c>
      <c r="AH28" s="2" t="s">
        <v>1632</v>
      </c>
      <c r="AI28" s="2" t="s">
        <v>888</v>
      </c>
      <c r="AJ28" s="2" t="s">
        <v>888</v>
      </c>
      <c r="AK28" s="2" t="s">
        <v>888</v>
      </c>
    </row>
    <row r="29" spans="2:37" x14ac:dyDescent="0.25">
      <c r="B29" s="129" t="s">
        <v>876</v>
      </c>
      <c r="C29" s="129" t="s">
        <v>880</v>
      </c>
      <c r="D29" s="36" t="str">
        <f t="shared" ref="D29:D36" si="6">+G29</f>
        <v>NACA_0007.dat</v>
      </c>
      <c r="E29" s="36"/>
      <c r="F29" s="4"/>
      <c r="G29" s="15" t="str">
        <f>+IF(EXACT('3AC_Data'!$D$8,1),H29,IF(EXACT('3AC_Data'!$D$8,2),I29,IF(EXACT('3AC_Data'!$D$8,3),J29,IF(EXACT('3AC_Data'!$D$8,4),K29,IF(EXACT('3AC_Data'!$D$8,5),L29,IF(EXACT('3AC_Data'!$D$8,6),M29,IF(EXACT('3AC_Data'!$D$8,7),N29,IF(EXACT('3AC_Data'!$D$8,8),O29,IF(EXACT('3AC_Data'!$D$8,9),P29,IF(EXACT('3AC_Data'!$D$8,10),Q29,IF(EXACT('3AC_Data'!$D$8,11),R29,IF(EXACT('3AC_Data'!$D$8,12),S29,IF(EXACT('3AC_Data'!$D$8,13),T29,IF(EXACT('3AC_Data'!$D$8,14),U29,IF(EXACT('3AC_Data'!$D$8,15),V29,IF(EXACT('3AC_Data'!$D$8,16),W29,IF(EXACT('3AC_Data'!$D$8,17),X29,IF(EXACT('3AC_Data'!$D$8,18),Y29,IF(EXACT('3AC_Data'!$D$8,19),Z29,IF(EXACT('3AC_Data'!$D$8,20),AA29,IF(EXACT('3AC_Data'!$D$8,21),AB29,IF(EXACT('3AC_Data'!$D$8,22),AC29,IF(EXACT('3AC_Data'!$D$8,23),AD29,IF(EXACT('3AC_Data'!$D$8,24),AE29,IF(EXACT('3AC_Data'!$D$8,25),AF29,IF(EXACT('3AC_Data'!$D$8,26),AG29,IF(EXACT('3AC_Data'!$D$8,27),AH29,IF(EXACT('3AC_Data'!$D$8,28),AI29,IF(EXACT('3AC_Data'!$D$8,29),AJ29,IF(EXACT('3AC_Data'!$D$8,30),AK29))))))))))))))))))))))))))))))</f>
        <v>NACA_0007.dat</v>
      </c>
      <c r="H29" s="2" t="s">
        <v>895</v>
      </c>
      <c r="I29" s="2" t="s">
        <v>895</v>
      </c>
      <c r="J29" s="2" t="s">
        <v>895</v>
      </c>
      <c r="K29" s="2" t="s">
        <v>1281</v>
      </c>
      <c r="L29" s="2" t="s">
        <v>889</v>
      </c>
      <c r="M29" s="2" t="s">
        <v>1247</v>
      </c>
      <c r="N29" s="2" t="s">
        <v>889</v>
      </c>
      <c r="O29" s="2" t="s">
        <v>889</v>
      </c>
      <c r="P29" s="2" t="s">
        <v>895</v>
      </c>
      <c r="Q29" s="2" t="s">
        <v>895</v>
      </c>
      <c r="R29" s="2" t="s">
        <v>895</v>
      </c>
      <c r="S29" s="2" t="s">
        <v>895</v>
      </c>
      <c r="T29" s="2" t="s">
        <v>895</v>
      </c>
      <c r="U29" s="2" t="s">
        <v>889</v>
      </c>
      <c r="V29" s="2" t="s">
        <v>895</v>
      </c>
      <c r="W29" s="2" t="s">
        <v>891</v>
      </c>
      <c r="X29" s="2" t="s">
        <v>891</v>
      </c>
      <c r="Y29" s="2" t="s">
        <v>891</v>
      </c>
      <c r="Z29" s="2" t="s">
        <v>891</v>
      </c>
      <c r="AA29" s="2" t="s">
        <v>1354</v>
      </c>
      <c r="AB29" s="2" t="s">
        <v>1388</v>
      </c>
      <c r="AC29" s="2" t="s">
        <v>1415</v>
      </c>
      <c r="AD29" s="2" t="s">
        <v>1415</v>
      </c>
      <c r="AE29" s="2" t="s">
        <v>895</v>
      </c>
      <c r="AF29" s="2" t="s">
        <v>895</v>
      </c>
      <c r="AG29" s="95" t="s">
        <v>895</v>
      </c>
      <c r="AH29" s="2" t="s">
        <v>889</v>
      </c>
      <c r="AI29" s="2" t="s">
        <v>889</v>
      </c>
      <c r="AJ29" s="2" t="s">
        <v>889</v>
      </c>
      <c r="AK29" s="2" t="s">
        <v>889</v>
      </c>
    </row>
    <row r="30" spans="2:37" x14ac:dyDescent="0.25">
      <c r="B30" s="129" t="s">
        <v>877</v>
      </c>
      <c r="C30" s="129" t="s">
        <v>881</v>
      </c>
      <c r="D30" s="36" t="str">
        <f t="shared" si="6"/>
        <v>NACA_0007.dat</v>
      </c>
      <c r="E30" s="36"/>
      <c r="F30" s="4"/>
      <c r="G30" s="15" t="str">
        <f>+IF(EXACT('3AC_Data'!$D$8,1),H30,IF(EXACT('3AC_Data'!$D$8,2),I30,IF(EXACT('3AC_Data'!$D$8,3),J30,IF(EXACT('3AC_Data'!$D$8,4),K30,IF(EXACT('3AC_Data'!$D$8,5),L30,IF(EXACT('3AC_Data'!$D$8,6),M30,IF(EXACT('3AC_Data'!$D$8,7),N30,IF(EXACT('3AC_Data'!$D$8,8),O30,IF(EXACT('3AC_Data'!$D$8,9),P30,IF(EXACT('3AC_Data'!$D$8,10),Q30,IF(EXACT('3AC_Data'!$D$8,11),R30,IF(EXACT('3AC_Data'!$D$8,12),S30,IF(EXACT('3AC_Data'!$D$8,13),T30,IF(EXACT('3AC_Data'!$D$8,14),U30,IF(EXACT('3AC_Data'!$D$8,15),V30,IF(EXACT('3AC_Data'!$D$8,16),W30,IF(EXACT('3AC_Data'!$D$8,17),X30,IF(EXACT('3AC_Data'!$D$8,18),Y30,IF(EXACT('3AC_Data'!$D$8,19),Z30,IF(EXACT('3AC_Data'!$D$8,20),AA30,IF(EXACT('3AC_Data'!$D$8,21),AB30,IF(EXACT('3AC_Data'!$D$8,22),AC30,IF(EXACT('3AC_Data'!$D$8,23),AD30,IF(EXACT('3AC_Data'!$D$8,24),AE30,IF(EXACT('3AC_Data'!$D$8,25),AF30,IF(EXACT('3AC_Data'!$D$8,26),AG30,IF(EXACT('3AC_Data'!$D$8,27),AH30,IF(EXACT('3AC_Data'!$D$8,28),AI30,IF(EXACT('3AC_Data'!$D$8,29),AJ30,IF(EXACT('3AC_Data'!$D$8,30),AK30))))))))))))))))))))))))))))))</f>
        <v>NACA_0007.dat</v>
      </c>
      <c r="H30" s="2" t="s">
        <v>895</v>
      </c>
      <c r="I30" s="2" t="s">
        <v>895</v>
      </c>
      <c r="J30" s="2" t="s">
        <v>895</v>
      </c>
      <c r="K30" s="2" t="s">
        <v>1281</v>
      </c>
      <c r="L30" s="2" t="s">
        <v>889</v>
      </c>
      <c r="M30" s="2" t="s">
        <v>1247</v>
      </c>
      <c r="N30" s="2" t="s">
        <v>889</v>
      </c>
      <c r="O30" s="2" t="s">
        <v>889</v>
      </c>
      <c r="P30" s="2" t="s">
        <v>895</v>
      </c>
      <c r="Q30" s="2" t="s">
        <v>895</v>
      </c>
      <c r="R30" s="2" t="s">
        <v>895</v>
      </c>
      <c r="S30" s="2" t="s">
        <v>895</v>
      </c>
      <c r="T30" s="2" t="s">
        <v>895</v>
      </c>
      <c r="U30" s="2" t="s">
        <v>889</v>
      </c>
      <c r="V30" s="2" t="s">
        <v>895</v>
      </c>
      <c r="W30" s="2" t="s">
        <v>891</v>
      </c>
      <c r="X30" s="2" t="s">
        <v>891</v>
      </c>
      <c r="Y30" s="2" t="s">
        <v>891</v>
      </c>
      <c r="Z30" s="2" t="s">
        <v>891</v>
      </c>
      <c r="AA30" s="2" t="s">
        <v>1354</v>
      </c>
      <c r="AB30" s="2" t="s">
        <v>1388</v>
      </c>
      <c r="AC30" s="2" t="s">
        <v>1415</v>
      </c>
      <c r="AD30" s="2" t="s">
        <v>1415</v>
      </c>
      <c r="AE30" s="2" t="s">
        <v>895</v>
      </c>
      <c r="AF30" s="2" t="s">
        <v>895</v>
      </c>
      <c r="AG30" s="95" t="s">
        <v>895</v>
      </c>
      <c r="AH30" s="2" t="s">
        <v>889</v>
      </c>
      <c r="AI30" s="2" t="s">
        <v>889</v>
      </c>
      <c r="AJ30" s="2" t="s">
        <v>889</v>
      </c>
      <c r="AK30" s="2" t="s">
        <v>889</v>
      </c>
    </row>
    <row r="31" spans="2:37" x14ac:dyDescent="0.25">
      <c r="B31" s="129" t="s">
        <v>884</v>
      </c>
      <c r="C31" s="129" t="s">
        <v>1542</v>
      </c>
      <c r="D31" s="36" t="str">
        <f t="shared" si="6"/>
        <v>NACA_0007.dat</v>
      </c>
      <c r="E31" s="36"/>
      <c r="F31" s="4"/>
      <c r="G31" s="15" t="str">
        <f>+IF(EXACT('3AC_Data'!$D$8,1),H31,IF(EXACT('3AC_Data'!$D$8,2),I31,IF(EXACT('3AC_Data'!$D$8,3),J31,IF(EXACT('3AC_Data'!$D$8,4),K31,IF(EXACT('3AC_Data'!$D$8,5),L31,IF(EXACT('3AC_Data'!$D$8,6),M31,IF(EXACT('3AC_Data'!$D$8,7),N31,IF(EXACT('3AC_Data'!$D$8,8),O31,IF(EXACT('3AC_Data'!$D$8,9),P31,IF(EXACT('3AC_Data'!$D$8,10),Q31,IF(EXACT('3AC_Data'!$D$8,11),R31,IF(EXACT('3AC_Data'!$D$8,12),S31,IF(EXACT('3AC_Data'!$D$8,13),T31,IF(EXACT('3AC_Data'!$D$8,14),U31,IF(EXACT('3AC_Data'!$D$8,15),V31,IF(EXACT('3AC_Data'!$D$8,16),W31,IF(EXACT('3AC_Data'!$D$8,17),X31,IF(EXACT('3AC_Data'!$D$8,18),Y31,IF(EXACT('3AC_Data'!$D$8,19),Z31,IF(EXACT('3AC_Data'!$D$8,20),AA31,IF(EXACT('3AC_Data'!$D$8,21),AB31,IF(EXACT('3AC_Data'!$D$8,22),AC31,IF(EXACT('3AC_Data'!$D$8,23),AD31,IF(EXACT('3AC_Data'!$D$8,24),AE31,IF(EXACT('3AC_Data'!$D$8,25),AF31,IF(EXACT('3AC_Data'!$D$8,26),AG31,IF(EXACT('3AC_Data'!$D$8,27),AH31,IF(EXACT('3AC_Data'!$D$8,28),AI31,IF(EXACT('3AC_Data'!$D$8,29),AJ31,IF(EXACT('3AC_Data'!$D$8,30),AK31))))))))))))))))))))))))))))))</f>
        <v>NACA_0007.dat</v>
      </c>
      <c r="H31" s="2" t="s">
        <v>890</v>
      </c>
      <c r="I31" s="2" t="s">
        <v>890</v>
      </c>
      <c r="J31" s="2" t="s">
        <v>890</v>
      </c>
      <c r="K31" s="2" t="s">
        <v>1281</v>
      </c>
      <c r="L31" s="2" t="s">
        <v>889</v>
      </c>
      <c r="M31" s="2" t="s">
        <v>1247</v>
      </c>
      <c r="N31" s="2" t="s">
        <v>889</v>
      </c>
      <c r="O31" s="2" t="s">
        <v>889</v>
      </c>
      <c r="P31" s="2" t="s">
        <v>890</v>
      </c>
      <c r="Q31" s="2" t="s">
        <v>890</v>
      </c>
      <c r="R31" s="2" t="s">
        <v>890</v>
      </c>
      <c r="S31" s="2" t="s">
        <v>890</v>
      </c>
      <c r="T31" s="2" t="s">
        <v>890</v>
      </c>
      <c r="U31" s="2" t="s">
        <v>889</v>
      </c>
      <c r="V31" s="2" t="s">
        <v>895</v>
      </c>
      <c r="W31" s="2" t="s">
        <v>895</v>
      </c>
      <c r="X31" s="2" t="s">
        <v>895</v>
      </c>
      <c r="Y31" s="2" t="s">
        <v>895</v>
      </c>
      <c r="Z31" s="2" t="s">
        <v>895</v>
      </c>
      <c r="AA31" s="2" t="s">
        <v>895</v>
      </c>
      <c r="AB31" s="2" t="s">
        <v>890</v>
      </c>
      <c r="AC31" s="2" t="s">
        <v>1415</v>
      </c>
      <c r="AD31" s="2" t="s">
        <v>1415</v>
      </c>
      <c r="AE31" s="2" t="s">
        <v>890</v>
      </c>
      <c r="AF31" s="2" t="s">
        <v>890</v>
      </c>
      <c r="AG31" s="2" t="s">
        <v>890</v>
      </c>
      <c r="AH31" s="2" t="s">
        <v>889</v>
      </c>
      <c r="AI31" s="2" t="s">
        <v>889</v>
      </c>
      <c r="AJ31" s="2" t="s">
        <v>889</v>
      </c>
      <c r="AK31" s="2" t="s">
        <v>889</v>
      </c>
    </row>
    <row r="32" spans="2:37" x14ac:dyDescent="0.25">
      <c r="B32" s="131" t="s">
        <v>885</v>
      </c>
      <c r="C32" s="131" t="s">
        <v>1543</v>
      </c>
      <c r="D32" s="36" t="str">
        <f t="shared" si="6"/>
        <v>NACA_0007.dat</v>
      </c>
      <c r="E32" s="36"/>
      <c r="F32" s="4"/>
      <c r="G32" s="15" t="str">
        <f>+IF(EXACT('3AC_Data'!$D$8,1),H32,IF(EXACT('3AC_Data'!$D$8,2),I32,IF(EXACT('3AC_Data'!$D$8,3),J32,IF(EXACT('3AC_Data'!$D$8,4),K32,IF(EXACT('3AC_Data'!$D$8,5),L32,IF(EXACT('3AC_Data'!$D$8,6),M32,IF(EXACT('3AC_Data'!$D$8,7),N32,IF(EXACT('3AC_Data'!$D$8,8),O32,IF(EXACT('3AC_Data'!$D$8,9),P32,IF(EXACT('3AC_Data'!$D$8,10),Q32,IF(EXACT('3AC_Data'!$D$8,11),R32,IF(EXACT('3AC_Data'!$D$8,12),S32,IF(EXACT('3AC_Data'!$D$8,13),T32,IF(EXACT('3AC_Data'!$D$8,14),U32,IF(EXACT('3AC_Data'!$D$8,15),V32,IF(EXACT('3AC_Data'!$D$8,16),W32,IF(EXACT('3AC_Data'!$D$8,17),X32,IF(EXACT('3AC_Data'!$D$8,18),Y32,IF(EXACT('3AC_Data'!$D$8,19),Z32,IF(EXACT('3AC_Data'!$D$8,20),AA32,IF(EXACT('3AC_Data'!$D$8,21),AB32,IF(EXACT('3AC_Data'!$D$8,22),AC32,IF(EXACT('3AC_Data'!$D$8,23),AD32,IF(EXACT('3AC_Data'!$D$8,24),AE32,IF(EXACT('3AC_Data'!$D$8,25),AF32,IF(EXACT('3AC_Data'!$D$8,26),AG32,IF(EXACT('3AC_Data'!$D$8,27),AH32,IF(EXACT('3AC_Data'!$D$8,28),AI32,IF(EXACT('3AC_Data'!$D$8,29),AJ32,IF(EXACT('3AC_Data'!$D$8,30),AK32))))))))))))))))))))))))))))))</f>
        <v>NACA_0007.dat</v>
      </c>
      <c r="H32" s="2" t="s">
        <v>890</v>
      </c>
      <c r="I32" s="2" t="s">
        <v>890</v>
      </c>
      <c r="J32" s="2" t="s">
        <v>890</v>
      </c>
      <c r="K32" s="2" t="s">
        <v>1281</v>
      </c>
      <c r="L32" s="2" t="s">
        <v>889</v>
      </c>
      <c r="M32" s="2" t="s">
        <v>1247</v>
      </c>
      <c r="N32" s="2" t="s">
        <v>889</v>
      </c>
      <c r="O32" s="2" t="s">
        <v>889</v>
      </c>
      <c r="P32" s="2" t="s">
        <v>890</v>
      </c>
      <c r="Q32" s="2" t="s">
        <v>890</v>
      </c>
      <c r="R32" s="2" t="s">
        <v>890</v>
      </c>
      <c r="S32" s="2" t="s">
        <v>890</v>
      </c>
      <c r="T32" s="2" t="s">
        <v>890</v>
      </c>
      <c r="U32" s="2" t="s">
        <v>889</v>
      </c>
      <c r="V32" s="2" t="s">
        <v>895</v>
      </c>
      <c r="W32" s="2" t="s">
        <v>895</v>
      </c>
      <c r="X32" s="2" t="s">
        <v>895</v>
      </c>
      <c r="Y32" s="2" t="s">
        <v>895</v>
      </c>
      <c r="Z32" s="2" t="s">
        <v>895</v>
      </c>
      <c r="AA32" s="2" t="s">
        <v>895</v>
      </c>
      <c r="AB32" s="2" t="s">
        <v>890</v>
      </c>
      <c r="AC32" s="2" t="s">
        <v>1415</v>
      </c>
      <c r="AD32" s="2" t="s">
        <v>1415</v>
      </c>
      <c r="AE32" s="2" t="s">
        <v>890</v>
      </c>
      <c r="AF32" s="2" t="s">
        <v>890</v>
      </c>
      <c r="AG32" s="2" t="s">
        <v>890</v>
      </c>
      <c r="AH32" s="2" t="s">
        <v>889</v>
      </c>
      <c r="AI32" s="2" t="s">
        <v>889</v>
      </c>
      <c r="AJ32" s="2" t="s">
        <v>889</v>
      </c>
      <c r="AK32" s="2" t="s">
        <v>889</v>
      </c>
    </row>
    <row r="33" spans="2:37" x14ac:dyDescent="0.25">
      <c r="B33" s="129" t="s">
        <v>884</v>
      </c>
      <c r="C33" s="129" t="s">
        <v>1544</v>
      </c>
      <c r="D33" s="36" t="str">
        <f t="shared" si="6"/>
        <v>NACA_0007.dat</v>
      </c>
      <c r="E33" s="36"/>
      <c r="F33" s="4"/>
      <c r="G33" s="15" t="str">
        <f>+IF(EXACT('3AC_Data'!$D$8,1),H33,IF(EXACT('3AC_Data'!$D$8,2),I33,IF(EXACT('3AC_Data'!$D$8,3),J33,IF(EXACT('3AC_Data'!$D$8,4),K33,IF(EXACT('3AC_Data'!$D$8,5),L33,IF(EXACT('3AC_Data'!$D$8,6),M33,IF(EXACT('3AC_Data'!$D$8,7),N33,IF(EXACT('3AC_Data'!$D$8,8),O33,IF(EXACT('3AC_Data'!$D$8,9),P33,IF(EXACT('3AC_Data'!$D$8,10),Q33,IF(EXACT('3AC_Data'!$D$8,11),R33,IF(EXACT('3AC_Data'!$D$8,12),S33,IF(EXACT('3AC_Data'!$D$8,13),T33,IF(EXACT('3AC_Data'!$D$8,14),U33,IF(EXACT('3AC_Data'!$D$8,15),V33,IF(EXACT('3AC_Data'!$D$8,16),W33,IF(EXACT('3AC_Data'!$D$8,17),X33,IF(EXACT('3AC_Data'!$D$8,18),Y33,IF(EXACT('3AC_Data'!$D$8,19),Z33,IF(EXACT('3AC_Data'!$D$8,20),AA33,IF(EXACT('3AC_Data'!$D$8,21),AB33,IF(EXACT('3AC_Data'!$D$8,22),AC33,IF(EXACT('3AC_Data'!$D$8,23),AD33,IF(EXACT('3AC_Data'!$D$8,24),AE33,IF(EXACT('3AC_Data'!$D$8,25),AF33,IF(EXACT('3AC_Data'!$D$8,26),AG33,IF(EXACT('3AC_Data'!$D$8,27),AH33,IF(EXACT('3AC_Data'!$D$8,28),AI33,IF(EXACT('3AC_Data'!$D$8,29),AJ33,IF(EXACT('3AC_Data'!$D$8,30),AK33))))))))))))))))))))))))))))))</f>
        <v>NACA_0007.dat</v>
      </c>
      <c r="H33" s="2" t="s">
        <v>890</v>
      </c>
      <c r="I33" s="2" t="s">
        <v>890</v>
      </c>
      <c r="J33" s="2" t="s">
        <v>890</v>
      </c>
      <c r="K33" s="2" t="s">
        <v>1281</v>
      </c>
      <c r="L33" s="2" t="s">
        <v>889</v>
      </c>
      <c r="M33" s="2" t="s">
        <v>1247</v>
      </c>
      <c r="N33" s="2" t="s">
        <v>889</v>
      </c>
      <c r="O33" s="2" t="s">
        <v>889</v>
      </c>
      <c r="P33" s="2" t="s">
        <v>890</v>
      </c>
      <c r="Q33" s="2" t="s">
        <v>890</v>
      </c>
      <c r="R33" s="2" t="s">
        <v>890</v>
      </c>
      <c r="S33" s="2" t="s">
        <v>890</v>
      </c>
      <c r="T33" s="2" t="s">
        <v>890</v>
      </c>
      <c r="U33" s="2" t="s">
        <v>889</v>
      </c>
      <c r="V33" s="2" t="s">
        <v>895</v>
      </c>
      <c r="W33" s="2" t="s">
        <v>895</v>
      </c>
      <c r="X33" s="2" t="s">
        <v>895</v>
      </c>
      <c r="Y33" s="2" t="s">
        <v>895</v>
      </c>
      <c r="Z33" s="2" t="s">
        <v>895</v>
      </c>
      <c r="AA33" s="2" t="s">
        <v>895</v>
      </c>
      <c r="AB33" s="2" t="s">
        <v>890</v>
      </c>
      <c r="AC33" s="2" t="s">
        <v>1415</v>
      </c>
      <c r="AD33" s="2" t="s">
        <v>1415</v>
      </c>
      <c r="AE33" s="2" t="s">
        <v>890</v>
      </c>
      <c r="AF33" s="2" t="s">
        <v>890</v>
      </c>
      <c r="AG33" s="2" t="s">
        <v>890</v>
      </c>
      <c r="AH33" s="2" t="s">
        <v>889</v>
      </c>
      <c r="AI33" s="2" t="s">
        <v>889</v>
      </c>
      <c r="AJ33" s="2" t="s">
        <v>889</v>
      </c>
      <c r="AK33" s="2" t="s">
        <v>889</v>
      </c>
    </row>
    <row r="34" spans="2:37" x14ac:dyDescent="0.25">
      <c r="B34" s="131" t="s">
        <v>885</v>
      </c>
      <c r="C34" s="131" t="s">
        <v>1545</v>
      </c>
      <c r="D34" s="36" t="str">
        <f t="shared" si="6"/>
        <v>NACA_0007.dat</v>
      </c>
      <c r="E34" s="36"/>
      <c r="F34" s="4"/>
      <c r="G34" s="15" t="str">
        <f>+IF(EXACT('3AC_Data'!$D$8,1),H34,IF(EXACT('3AC_Data'!$D$8,2),I34,IF(EXACT('3AC_Data'!$D$8,3),J34,IF(EXACT('3AC_Data'!$D$8,4),K34,IF(EXACT('3AC_Data'!$D$8,5),L34,IF(EXACT('3AC_Data'!$D$8,6),M34,IF(EXACT('3AC_Data'!$D$8,7),N34,IF(EXACT('3AC_Data'!$D$8,8),O34,IF(EXACT('3AC_Data'!$D$8,9),P34,IF(EXACT('3AC_Data'!$D$8,10),Q34,IF(EXACT('3AC_Data'!$D$8,11),R34,IF(EXACT('3AC_Data'!$D$8,12),S34,IF(EXACT('3AC_Data'!$D$8,13),T34,IF(EXACT('3AC_Data'!$D$8,14),U34,IF(EXACT('3AC_Data'!$D$8,15),V34,IF(EXACT('3AC_Data'!$D$8,16),W34,IF(EXACT('3AC_Data'!$D$8,17),X34,IF(EXACT('3AC_Data'!$D$8,18),Y34,IF(EXACT('3AC_Data'!$D$8,19),Z34,IF(EXACT('3AC_Data'!$D$8,20),AA34,IF(EXACT('3AC_Data'!$D$8,21),AB34,IF(EXACT('3AC_Data'!$D$8,22),AC34,IF(EXACT('3AC_Data'!$D$8,23),AD34,IF(EXACT('3AC_Data'!$D$8,24),AE34,IF(EXACT('3AC_Data'!$D$8,25),AF34,IF(EXACT('3AC_Data'!$D$8,26),AG34,IF(EXACT('3AC_Data'!$D$8,27),AH34,IF(EXACT('3AC_Data'!$D$8,28),AI34,IF(EXACT('3AC_Data'!$D$8,29),AJ34,IF(EXACT('3AC_Data'!$D$8,30),AK34))))))))))))))))))))))))))))))</f>
        <v>NACA_0007.dat</v>
      </c>
      <c r="H34" s="2" t="s">
        <v>890</v>
      </c>
      <c r="I34" s="2" t="s">
        <v>890</v>
      </c>
      <c r="J34" s="2" t="s">
        <v>890</v>
      </c>
      <c r="K34" s="2" t="s">
        <v>1281</v>
      </c>
      <c r="L34" s="2" t="s">
        <v>889</v>
      </c>
      <c r="M34" s="2" t="s">
        <v>1247</v>
      </c>
      <c r="N34" s="2" t="s">
        <v>889</v>
      </c>
      <c r="O34" s="2" t="s">
        <v>889</v>
      </c>
      <c r="P34" s="2" t="s">
        <v>890</v>
      </c>
      <c r="Q34" s="2" t="s">
        <v>890</v>
      </c>
      <c r="R34" s="2" t="s">
        <v>890</v>
      </c>
      <c r="S34" s="2" t="s">
        <v>890</v>
      </c>
      <c r="T34" s="2" t="s">
        <v>890</v>
      </c>
      <c r="U34" s="2" t="s">
        <v>889</v>
      </c>
      <c r="V34" s="2" t="s">
        <v>895</v>
      </c>
      <c r="W34" s="2" t="s">
        <v>895</v>
      </c>
      <c r="X34" s="2" t="s">
        <v>895</v>
      </c>
      <c r="Y34" s="2" t="s">
        <v>895</v>
      </c>
      <c r="Z34" s="2" t="s">
        <v>895</v>
      </c>
      <c r="AA34" s="2" t="s">
        <v>895</v>
      </c>
      <c r="AB34" s="2" t="s">
        <v>890</v>
      </c>
      <c r="AC34" s="2" t="s">
        <v>1415</v>
      </c>
      <c r="AD34" s="2" t="s">
        <v>1415</v>
      </c>
      <c r="AE34" s="2" t="s">
        <v>890</v>
      </c>
      <c r="AF34" s="2" t="s">
        <v>890</v>
      </c>
      <c r="AG34" s="2" t="s">
        <v>890</v>
      </c>
      <c r="AH34" s="2" t="s">
        <v>889</v>
      </c>
      <c r="AI34" s="2" t="s">
        <v>889</v>
      </c>
      <c r="AJ34" s="2" t="s">
        <v>889</v>
      </c>
      <c r="AK34" s="2" t="s">
        <v>889</v>
      </c>
    </row>
    <row r="35" spans="2:37" x14ac:dyDescent="0.25">
      <c r="B35" s="129" t="s">
        <v>874</v>
      </c>
      <c r="C35" s="129" t="s">
        <v>1630</v>
      </c>
      <c r="D35" s="36" t="str">
        <f t="shared" si="6"/>
        <v>St_CYR_24.dat</v>
      </c>
      <c r="E35" s="36"/>
      <c r="F35" s="4"/>
      <c r="G35" s="15" t="str">
        <f>+IF(EXACT('3AC_Data'!$D$8,1),H35,IF(EXACT('3AC_Data'!$D$8,2),I35,IF(EXACT('3AC_Data'!$D$8,3),J35,IF(EXACT('3AC_Data'!$D$8,4),K35,IF(EXACT('3AC_Data'!$D$8,5),L35,IF(EXACT('3AC_Data'!$D$8,6),M35,IF(EXACT('3AC_Data'!$D$8,7),N35,IF(EXACT('3AC_Data'!$D$8,8),O35,IF(EXACT('3AC_Data'!$D$8,9),P35,IF(EXACT('3AC_Data'!$D$8,10),Q35,IF(EXACT('3AC_Data'!$D$8,11),R35,IF(EXACT('3AC_Data'!$D$8,12),S35,IF(EXACT('3AC_Data'!$D$8,13),T35,IF(EXACT('3AC_Data'!$D$8,14),U35,IF(EXACT('3AC_Data'!$D$8,15),V35,IF(EXACT('3AC_Data'!$D$8,16),W35,IF(EXACT('3AC_Data'!$D$8,17),X35,IF(EXACT('3AC_Data'!$D$8,18),Y35,IF(EXACT('3AC_Data'!$D$8,19),Z35,IF(EXACT('3AC_Data'!$D$8,20),AA35,IF(EXACT('3AC_Data'!$D$8,21),AB35,IF(EXACT('3AC_Data'!$D$8,22),AC35,IF(EXACT('3AC_Data'!$D$8,23),AD35,IF(EXACT('3AC_Data'!$D$8,24),AE35,IF(EXACT('3AC_Data'!$D$8,25),AF35,IF(EXACT('3AC_Data'!$D$8,26),AG35,IF(EXACT('3AC_Data'!$D$8,27),AH35,IF(EXACT('3AC_Data'!$D$8,28),AI35,IF(EXACT('3AC_Data'!$D$8,29),AJ35,IF(EXACT('3AC_Data'!$D$8,30),AK35))))))))))))))))))))))))))))))</f>
        <v>St_CYR_24.dat</v>
      </c>
      <c r="H35" s="2" t="s">
        <v>895</v>
      </c>
      <c r="I35" s="2" t="s">
        <v>895</v>
      </c>
      <c r="J35" s="2" t="s">
        <v>895</v>
      </c>
      <c r="K35" s="2" t="s">
        <v>895</v>
      </c>
      <c r="L35" s="2" t="s">
        <v>887</v>
      </c>
      <c r="M35" s="2" t="s">
        <v>892</v>
      </c>
      <c r="N35" s="2" t="s">
        <v>895</v>
      </c>
      <c r="O35" s="2" t="s">
        <v>895</v>
      </c>
      <c r="P35" s="2" t="s">
        <v>895</v>
      </c>
      <c r="Q35" s="2" t="s">
        <v>895</v>
      </c>
      <c r="R35" s="2" t="s">
        <v>895</v>
      </c>
      <c r="S35" s="2" t="s">
        <v>895</v>
      </c>
      <c r="T35" s="2" t="s">
        <v>895</v>
      </c>
      <c r="U35" s="2" t="s">
        <v>895</v>
      </c>
      <c r="V35" s="2" t="s">
        <v>886</v>
      </c>
      <c r="W35" s="2" t="s">
        <v>895</v>
      </c>
      <c r="X35" s="2" t="s">
        <v>895</v>
      </c>
      <c r="Y35" s="2" t="s">
        <v>895</v>
      </c>
      <c r="Z35" s="2" t="s">
        <v>895</v>
      </c>
      <c r="AA35" s="2" t="s">
        <v>895</v>
      </c>
      <c r="AB35" s="2" t="s">
        <v>895</v>
      </c>
      <c r="AC35" s="2" t="s">
        <v>895</v>
      </c>
      <c r="AD35" s="2" t="s">
        <v>895</v>
      </c>
      <c r="AE35" s="2" t="s">
        <v>895</v>
      </c>
      <c r="AF35" s="2" t="s">
        <v>895</v>
      </c>
      <c r="AG35" s="95" t="s">
        <v>895</v>
      </c>
      <c r="AH35" s="2" t="s">
        <v>895</v>
      </c>
      <c r="AI35" s="2" t="s">
        <v>895</v>
      </c>
      <c r="AJ35" s="2" t="s">
        <v>895</v>
      </c>
      <c r="AK35" s="2" t="s">
        <v>895</v>
      </c>
    </row>
    <row r="36" spans="2:37" x14ac:dyDescent="0.25">
      <c r="B36" s="129" t="s">
        <v>875</v>
      </c>
      <c r="C36" s="129" t="s">
        <v>1631</v>
      </c>
      <c r="D36" s="36" t="str">
        <f t="shared" si="6"/>
        <v>St_CYR_24.dat</v>
      </c>
      <c r="E36" s="36"/>
      <c r="F36" s="4"/>
      <c r="G36" s="15" t="str">
        <f>+IF(EXACT('3AC_Data'!$D$8,1),H36,IF(EXACT('3AC_Data'!$D$8,2),I36,IF(EXACT('3AC_Data'!$D$8,3),J36,IF(EXACT('3AC_Data'!$D$8,4),K36,IF(EXACT('3AC_Data'!$D$8,5),L36,IF(EXACT('3AC_Data'!$D$8,6),M36,IF(EXACT('3AC_Data'!$D$8,7),N36,IF(EXACT('3AC_Data'!$D$8,8),O36,IF(EXACT('3AC_Data'!$D$8,9),P36,IF(EXACT('3AC_Data'!$D$8,10),Q36,IF(EXACT('3AC_Data'!$D$8,11),R36,IF(EXACT('3AC_Data'!$D$8,12),S36,IF(EXACT('3AC_Data'!$D$8,13),T36,IF(EXACT('3AC_Data'!$D$8,14),U36,IF(EXACT('3AC_Data'!$D$8,15),V36,IF(EXACT('3AC_Data'!$D$8,16),W36,IF(EXACT('3AC_Data'!$D$8,17),X36,IF(EXACT('3AC_Data'!$D$8,18),Y36,IF(EXACT('3AC_Data'!$D$8,19),Z36,IF(EXACT('3AC_Data'!$D$8,20),AA36,IF(EXACT('3AC_Data'!$D$8,21),AB36,IF(EXACT('3AC_Data'!$D$8,22),AC36,IF(EXACT('3AC_Data'!$D$8,23),AD36,IF(EXACT('3AC_Data'!$D$8,24),AE36,IF(EXACT('3AC_Data'!$D$8,25),AF36,IF(EXACT('3AC_Data'!$D$8,26),AG36,IF(EXACT('3AC_Data'!$D$8,27),AH36,IF(EXACT('3AC_Data'!$D$8,28),AI36,IF(EXACT('3AC_Data'!$D$8,29),AJ36,IF(EXACT('3AC_Data'!$D$8,30),AK36))))))))))))))))))))))))))))))</f>
        <v>St_CYR_24.dat</v>
      </c>
      <c r="H36" s="2" t="s">
        <v>895</v>
      </c>
      <c r="I36" s="2" t="s">
        <v>895</v>
      </c>
      <c r="J36" s="2" t="s">
        <v>895</v>
      </c>
      <c r="K36" s="2" t="s">
        <v>895</v>
      </c>
      <c r="L36" s="2" t="s">
        <v>888</v>
      </c>
      <c r="M36" s="2" t="s">
        <v>892</v>
      </c>
      <c r="N36" s="2" t="s">
        <v>895</v>
      </c>
      <c r="O36" s="2" t="s">
        <v>895</v>
      </c>
      <c r="P36" s="2" t="s">
        <v>895</v>
      </c>
      <c r="Q36" s="2" t="s">
        <v>895</v>
      </c>
      <c r="R36" s="2" t="s">
        <v>895</v>
      </c>
      <c r="S36" s="2" t="s">
        <v>895</v>
      </c>
      <c r="T36" s="2" t="s">
        <v>895</v>
      </c>
      <c r="U36" s="2" t="s">
        <v>895</v>
      </c>
      <c r="V36" s="2" t="s">
        <v>886</v>
      </c>
      <c r="W36" s="2" t="s">
        <v>895</v>
      </c>
      <c r="X36" s="2" t="s">
        <v>895</v>
      </c>
      <c r="Y36" s="2" t="s">
        <v>895</v>
      </c>
      <c r="Z36" s="2" t="s">
        <v>895</v>
      </c>
      <c r="AA36" s="2" t="s">
        <v>895</v>
      </c>
      <c r="AB36" s="2" t="s">
        <v>895</v>
      </c>
      <c r="AC36" s="2" t="s">
        <v>895</v>
      </c>
      <c r="AD36" s="2" t="s">
        <v>895</v>
      </c>
      <c r="AE36" s="2" t="s">
        <v>895</v>
      </c>
      <c r="AF36" s="2" t="s">
        <v>895</v>
      </c>
      <c r="AG36" s="95" t="s">
        <v>895</v>
      </c>
      <c r="AH36" s="2" t="s">
        <v>895</v>
      </c>
      <c r="AI36" s="2" t="s">
        <v>895</v>
      </c>
      <c r="AJ36" s="2" t="s">
        <v>895</v>
      </c>
      <c r="AK36" s="2" t="s">
        <v>895</v>
      </c>
    </row>
    <row r="37" spans="2:37" x14ac:dyDescent="0.25">
      <c r="B37" s="129" t="s">
        <v>878</v>
      </c>
      <c r="C37" s="129" t="s">
        <v>882</v>
      </c>
      <c r="D37" s="36" t="str">
        <f t="shared" si="5"/>
        <v>NACA_0007.dat</v>
      </c>
      <c r="E37" s="36"/>
      <c r="F37" s="4"/>
      <c r="G37" s="15" t="str">
        <f>+IF(EXACT('3AC_Data'!$D$8,1),H37,IF(EXACT('3AC_Data'!$D$8,2),I37,IF(EXACT('3AC_Data'!$D$8,3),J37,IF(EXACT('3AC_Data'!$D$8,4),K37,IF(EXACT('3AC_Data'!$D$8,5),L37,IF(EXACT('3AC_Data'!$D$8,6),M37,IF(EXACT('3AC_Data'!$D$8,7),N37,IF(EXACT('3AC_Data'!$D$8,8),O37,IF(EXACT('3AC_Data'!$D$8,9),P37,IF(EXACT('3AC_Data'!$D$8,10),Q37,IF(EXACT('3AC_Data'!$D$8,11),R37,IF(EXACT('3AC_Data'!$D$8,12),S37,IF(EXACT('3AC_Data'!$D$8,13),T37,IF(EXACT('3AC_Data'!$D$8,14),U37,IF(EXACT('3AC_Data'!$D$8,15),V37,IF(EXACT('3AC_Data'!$D$8,16),W37,IF(EXACT('3AC_Data'!$D$8,17),X37,IF(EXACT('3AC_Data'!$D$8,18),Y37,IF(EXACT('3AC_Data'!$D$8,19),Z37,IF(EXACT('3AC_Data'!$D$8,20),AA37,IF(EXACT('3AC_Data'!$D$8,21),AB37,IF(EXACT('3AC_Data'!$D$8,22),AC37,IF(EXACT('3AC_Data'!$D$8,23),AD37,IF(EXACT('3AC_Data'!$D$8,24),AE37,IF(EXACT('3AC_Data'!$D$8,25),AF37,IF(EXACT('3AC_Data'!$D$8,26),AG37,IF(EXACT('3AC_Data'!$D$8,27),AH37,IF(EXACT('3AC_Data'!$D$8,28),AI37,IF(EXACT('3AC_Data'!$D$8,29),AJ37,IF(EXACT('3AC_Data'!$D$8,30),AK37))))))))))))))))))))))))))))))</f>
        <v>NACA_0007.dat</v>
      </c>
      <c r="H37" s="2" t="s">
        <v>895</v>
      </c>
      <c r="I37" s="2" t="s">
        <v>895</v>
      </c>
      <c r="J37" s="2" t="s">
        <v>895</v>
      </c>
      <c r="K37" s="2" t="s">
        <v>1281</v>
      </c>
      <c r="L37" s="2" t="s">
        <v>889</v>
      </c>
      <c r="M37" s="2" t="s">
        <v>1247</v>
      </c>
      <c r="N37" s="2" t="s">
        <v>889</v>
      </c>
      <c r="O37" s="2" t="s">
        <v>889</v>
      </c>
      <c r="P37" s="2" t="s">
        <v>895</v>
      </c>
      <c r="Q37" s="2" t="s">
        <v>895</v>
      </c>
      <c r="R37" s="2" t="s">
        <v>895</v>
      </c>
      <c r="S37" s="2" t="s">
        <v>895</v>
      </c>
      <c r="T37" s="2" t="s">
        <v>895</v>
      </c>
      <c r="U37" s="2" t="s">
        <v>889</v>
      </c>
      <c r="V37" s="2" t="s">
        <v>890</v>
      </c>
      <c r="W37" s="2" t="s">
        <v>891</v>
      </c>
      <c r="X37" s="2" t="s">
        <v>891</v>
      </c>
      <c r="Y37" s="2" t="s">
        <v>891</v>
      </c>
      <c r="Z37" s="2" t="s">
        <v>891</v>
      </c>
      <c r="AA37" s="2" t="s">
        <v>1354</v>
      </c>
      <c r="AB37" s="2" t="s">
        <v>1388</v>
      </c>
      <c r="AC37" s="2" t="s">
        <v>1415</v>
      </c>
      <c r="AD37" s="2" t="s">
        <v>1415</v>
      </c>
      <c r="AE37" s="2" t="s">
        <v>895</v>
      </c>
      <c r="AF37" s="2" t="s">
        <v>895</v>
      </c>
      <c r="AG37" s="95" t="s">
        <v>895</v>
      </c>
      <c r="AH37" s="2" t="s">
        <v>889</v>
      </c>
      <c r="AI37" s="2" t="s">
        <v>889</v>
      </c>
      <c r="AJ37" s="2" t="s">
        <v>889</v>
      </c>
      <c r="AK37" s="2" t="s">
        <v>889</v>
      </c>
    </row>
    <row r="38" spans="2:37" x14ac:dyDescent="0.25">
      <c r="B38" s="129" t="s">
        <v>879</v>
      </c>
      <c r="C38" s="129" t="s">
        <v>883</v>
      </c>
      <c r="D38" s="36" t="str">
        <f t="shared" si="5"/>
        <v>NACA_0007.dat</v>
      </c>
      <c r="E38" s="36"/>
      <c r="F38" s="4"/>
      <c r="G38" s="15" t="str">
        <f>+IF(EXACT('3AC_Data'!$D$8,1),H38,IF(EXACT('3AC_Data'!$D$8,2),I38,IF(EXACT('3AC_Data'!$D$8,3),J38,IF(EXACT('3AC_Data'!$D$8,4),K38,IF(EXACT('3AC_Data'!$D$8,5),L38,IF(EXACT('3AC_Data'!$D$8,6),M38,IF(EXACT('3AC_Data'!$D$8,7),N38,IF(EXACT('3AC_Data'!$D$8,8),O38,IF(EXACT('3AC_Data'!$D$8,9),P38,IF(EXACT('3AC_Data'!$D$8,10),Q38,IF(EXACT('3AC_Data'!$D$8,11),R38,IF(EXACT('3AC_Data'!$D$8,12),S38,IF(EXACT('3AC_Data'!$D$8,13),T38,IF(EXACT('3AC_Data'!$D$8,14),U38,IF(EXACT('3AC_Data'!$D$8,15),V38,IF(EXACT('3AC_Data'!$D$8,16),W38,IF(EXACT('3AC_Data'!$D$8,17),X38,IF(EXACT('3AC_Data'!$D$8,18),Y38,IF(EXACT('3AC_Data'!$D$8,19),Z38,IF(EXACT('3AC_Data'!$D$8,20),AA38,IF(EXACT('3AC_Data'!$D$8,21),AB38,IF(EXACT('3AC_Data'!$D$8,22),AC38,IF(EXACT('3AC_Data'!$D$8,23),AD38,IF(EXACT('3AC_Data'!$D$8,24),AE38,IF(EXACT('3AC_Data'!$D$8,25),AF38,IF(EXACT('3AC_Data'!$D$8,26),AG38,IF(EXACT('3AC_Data'!$D$8,27),AH38,IF(EXACT('3AC_Data'!$D$8,28),AI38,IF(EXACT('3AC_Data'!$D$8,29),AJ38,IF(EXACT('3AC_Data'!$D$8,30),AK38))))))))))))))))))))))))))))))</f>
        <v>NACA_0007.dat</v>
      </c>
      <c r="H38" s="2" t="s">
        <v>895</v>
      </c>
      <c r="I38" s="2" t="s">
        <v>895</v>
      </c>
      <c r="J38" s="2" t="s">
        <v>895</v>
      </c>
      <c r="K38" s="2" t="s">
        <v>1281</v>
      </c>
      <c r="L38" s="2" t="s">
        <v>889</v>
      </c>
      <c r="M38" s="2" t="s">
        <v>1247</v>
      </c>
      <c r="N38" s="2" t="s">
        <v>889</v>
      </c>
      <c r="O38" s="2" t="s">
        <v>889</v>
      </c>
      <c r="P38" s="2" t="s">
        <v>895</v>
      </c>
      <c r="Q38" s="2" t="s">
        <v>895</v>
      </c>
      <c r="R38" s="2" t="s">
        <v>895</v>
      </c>
      <c r="S38" s="2" t="s">
        <v>895</v>
      </c>
      <c r="T38" s="2" t="s">
        <v>895</v>
      </c>
      <c r="U38" s="2" t="s">
        <v>889</v>
      </c>
      <c r="V38" s="2" t="s">
        <v>890</v>
      </c>
      <c r="W38" s="2" t="s">
        <v>891</v>
      </c>
      <c r="X38" s="2" t="s">
        <v>891</v>
      </c>
      <c r="Y38" s="2" t="s">
        <v>891</v>
      </c>
      <c r="Z38" s="2" t="s">
        <v>891</v>
      </c>
      <c r="AA38" s="2" t="s">
        <v>1354</v>
      </c>
      <c r="AB38" s="2" t="s">
        <v>1388</v>
      </c>
      <c r="AC38" s="2" t="s">
        <v>1415</v>
      </c>
      <c r="AD38" s="2" t="s">
        <v>1415</v>
      </c>
      <c r="AE38" s="2" t="s">
        <v>895</v>
      </c>
      <c r="AF38" s="2" t="s">
        <v>895</v>
      </c>
      <c r="AG38" s="95" t="s">
        <v>895</v>
      </c>
      <c r="AH38" s="2" t="s">
        <v>889</v>
      </c>
      <c r="AI38" s="2" t="s">
        <v>889</v>
      </c>
      <c r="AJ38" s="2" t="s">
        <v>889</v>
      </c>
      <c r="AK38" s="2" t="s">
        <v>889</v>
      </c>
    </row>
    <row r="39" spans="2:37" x14ac:dyDescent="0.25">
      <c r="B39" s="130" t="s">
        <v>736</v>
      </c>
      <c r="C39" s="130" t="s">
        <v>737</v>
      </c>
      <c r="D39" s="36">
        <f>+G39</f>
        <v>1</v>
      </c>
      <c r="E39" s="36"/>
      <c r="F39" s="4"/>
      <c r="G39" s="15">
        <f>+IF(EXACT('3AC_Data'!$D$8,1),H39,IF(EXACT('3AC_Data'!$D$8,2),I39,IF(EXACT('3AC_Data'!$D$8,3),J39,IF(EXACT('3AC_Data'!$D$8,4),K39,IF(EXACT('3AC_Data'!$D$8,5),L39,IF(EXACT('3AC_Data'!$D$8,6),M39,IF(EXACT('3AC_Data'!$D$8,7),N39,IF(EXACT('3AC_Data'!$D$8,8),O39,IF(EXACT('3AC_Data'!$D$8,9),P39,IF(EXACT('3AC_Data'!$D$8,10),Q39,IF(EXACT('3AC_Data'!$D$8,11),R39,IF(EXACT('3AC_Data'!$D$8,12),S39,IF(EXACT('3AC_Data'!$D$8,13),T39,IF(EXACT('3AC_Data'!$D$8,14),U39,IF(EXACT('3AC_Data'!$D$8,15),V39,IF(EXACT('3AC_Data'!$D$8,16),W39,IF(EXACT('3AC_Data'!$D$8,17),X39,IF(EXACT('3AC_Data'!$D$8,18),Y39,IF(EXACT('3AC_Data'!$D$8,19),Z39,IF(EXACT('3AC_Data'!$D$8,20),AA39,IF(EXACT('3AC_Data'!$D$8,21),AB39,IF(EXACT('3AC_Data'!$D$8,22),AC39,IF(EXACT('3AC_Data'!$D$8,23),AD39,IF(EXACT('3AC_Data'!$D$8,24),AE39,IF(EXACT('3AC_Data'!$D$8,25),AF39,IF(EXACT('3AC_Data'!$D$8,26),AG39,IF(EXACT('3AC_Data'!$D$8,27),AH39,IF(EXACT('3AC_Data'!$D$8,28),AI39,IF(EXACT('3AC_Data'!$D$8,29),AJ39,IF(EXACT('3AC_Data'!$D$8,30),AK39))))))))))))))))))))))))))))))</f>
        <v>1</v>
      </c>
      <c r="H39" s="24">
        <v>1</v>
      </c>
      <c r="I39" s="24">
        <v>1</v>
      </c>
      <c r="J39" s="24">
        <v>1</v>
      </c>
      <c r="K39" s="24">
        <v>1</v>
      </c>
      <c r="L39" s="24">
        <v>1</v>
      </c>
      <c r="M39" s="24">
        <v>1</v>
      </c>
      <c r="N39" s="24">
        <v>1</v>
      </c>
      <c r="O39" s="24">
        <v>1</v>
      </c>
      <c r="P39" s="24">
        <v>1</v>
      </c>
      <c r="Q39" s="24">
        <v>1</v>
      </c>
      <c r="R39" s="24">
        <v>1</v>
      </c>
      <c r="S39" s="24">
        <v>1</v>
      </c>
      <c r="T39" s="24">
        <v>1</v>
      </c>
      <c r="U39" s="24">
        <v>3</v>
      </c>
      <c r="V39" s="24">
        <v>1</v>
      </c>
      <c r="W39" s="24">
        <v>1</v>
      </c>
      <c r="X39" s="24">
        <v>1</v>
      </c>
      <c r="Y39" s="24">
        <v>1</v>
      </c>
      <c r="Z39" s="24">
        <v>1</v>
      </c>
      <c r="AA39" s="24">
        <v>1</v>
      </c>
      <c r="AB39" s="24">
        <v>1</v>
      </c>
      <c r="AC39" s="24">
        <v>3</v>
      </c>
      <c r="AD39" s="24">
        <v>3</v>
      </c>
      <c r="AE39" s="24">
        <v>1</v>
      </c>
      <c r="AF39" s="24">
        <v>1</v>
      </c>
      <c r="AG39" s="97">
        <v>1</v>
      </c>
      <c r="AH39" s="24">
        <v>1</v>
      </c>
      <c r="AI39" s="24">
        <v>3</v>
      </c>
      <c r="AJ39" s="24">
        <v>3</v>
      </c>
      <c r="AK39" s="24">
        <v>3</v>
      </c>
    </row>
    <row r="40" spans="2:37" x14ac:dyDescent="0.25">
      <c r="B40" s="130" t="s">
        <v>859</v>
      </c>
      <c r="C40" s="130" t="s">
        <v>861</v>
      </c>
      <c r="D40" s="36">
        <f t="shared" ref="D40:D41" si="7">+G40</f>
        <v>0</v>
      </c>
      <c r="E40" s="36"/>
      <c r="F40" s="4"/>
      <c r="G40" s="15">
        <f>+IF(EXACT('3AC_Data'!$D$8,1),H40,IF(EXACT('3AC_Data'!$D$8,2),I40,IF(EXACT('3AC_Data'!$D$8,3),J40,IF(EXACT('3AC_Data'!$D$8,4),K40,IF(EXACT('3AC_Data'!$D$8,5),L40,IF(EXACT('3AC_Data'!$D$8,6),M40,IF(EXACT('3AC_Data'!$D$8,7),N40,IF(EXACT('3AC_Data'!$D$8,8),O40,IF(EXACT('3AC_Data'!$D$8,9),P40,IF(EXACT('3AC_Data'!$D$8,10),Q40,IF(EXACT('3AC_Data'!$D$8,11),R40,IF(EXACT('3AC_Data'!$D$8,12),S40,IF(EXACT('3AC_Data'!$D$8,13),T40,IF(EXACT('3AC_Data'!$D$8,14),U40,IF(EXACT('3AC_Data'!$D$8,15),V40,IF(EXACT('3AC_Data'!$D$8,16),W40,IF(EXACT('3AC_Data'!$D$8,17),X40,IF(EXACT('3AC_Data'!$D$8,18),Y40,IF(EXACT('3AC_Data'!$D$8,19),Z40,IF(EXACT('3AC_Data'!$D$8,20),AA40,IF(EXACT('3AC_Data'!$D$8,21),AB40,IF(EXACT('3AC_Data'!$D$8,22),AC40,IF(EXACT('3AC_Data'!$D$8,23),AD40,IF(EXACT('3AC_Data'!$D$8,24),AE40,IF(EXACT('3AC_Data'!$D$8,25),AF40,IF(EXACT('3AC_Data'!$D$8,26),AG40,IF(EXACT('3AC_Data'!$D$8,27),AH40,IF(EXACT('3AC_Data'!$D$8,28),AI40,IF(EXACT('3AC_Data'!$D$8,29),AJ40,IF(EXACT('3AC_Data'!$D$8,30),AK40))))))))))))))))))))))))))))))</f>
        <v>0</v>
      </c>
      <c r="H40" s="4">
        <v>0</v>
      </c>
      <c r="I40" s="4">
        <v>1</v>
      </c>
      <c r="J40" s="4">
        <v>0</v>
      </c>
      <c r="K40" s="4">
        <v>0</v>
      </c>
      <c r="L40" s="4">
        <v>1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>
        <v>0</v>
      </c>
      <c r="S40" s="4">
        <v>1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97">
        <v>0</v>
      </c>
      <c r="AH40" s="4">
        <v>0</v>
      </c>
      <c r="AI40" s="4">
        <v>0</v>
      </c>
      <c r="AJ40" s="4">
        <v>0</v>
      </c>
      <c r="AK40" s="4">
        <v>0</v>
      </c>
    </row>
    <row r="41" spans="2:37" x14ac:dyDescent="0.25">
      <c r="B41" s="130" t="s">
        <v>860</v>
      </c>
      <c r="C41" s="130" t="s">
        <v>862</v>
      </c>
      <c r="D41" s="36">
        <f t="shared" si="7"/>
        <v>1</v>
      </c>
      <c r="E41" s="36"/>
      <c r="F41" s="4"/>
      <c r="G41" s="15">
        <f>+IF(EXACT('3AC_Data'!$D$8,1),H41,IF(EXACT('3AC_Data'!$D$8,2),I41,IF(EXACT('3AC_Data'!$D$8,3),J41,IF(EXACT('3AC_Data'!$D$8,4),K41,IF(EXACT('3AC_Data'!$D$8,5),L41,IF(EXACT('3AC_Data'!$D$8,6),M41,IF(EXACT('3AC_Data'!$D$8,7),N41,IF(EXACT('3AC_Data'!$D$8,8),O41,IF(EXACT('3AC_Data'!$D$8,9),P41,IF(EXACT('3AC_Data'!$D$8,10),Q41,IF(EXACT('3AC_Data'!$D$8,11),R41,IF(EXACT('3AC_Data'!$D$8,12),S41,IF(EXACT('3AC_Data'!$D$8,13),T41,IF(EXACT('3AC_Data'!$D$8,14),U41,IF(EXACT('3AC_Data'!$D$8,15),V41,IF(EXACT('3AC_Data'!$D$8,16),W41,IF(EXACT('3AC_Data'!$D$8,17),X41,IF(EXACT('3AC_Data'!$D$8,18),Y41,IF(EXACT('3AC_Data'!$D$8,19),Z41,IF(EXACT('3AC_Data'!$D$8,20),AA41,IF(EXACT('3AC_Data'!$D$8,21),AB41,IF(EXACT('3AC_Data'!$D$8,22),AC41,IF(EXACT('3AC_Data'!$D$8,23),AD41,IF(EXACT('3AC_Data'!$D$8,24),AE41,IF(EXACT('3AC_Data'!$D$8,25),AF41,IF(EXACT('3AC_Data'!$D$8,26),AG41,IF(EXACT('3AC_Data'!$D$8,27),AH41,IF(EXACT('3AC_Data'!$D$8,28),AI41,IF(EXACT('3AC_Data'!$D$8,29),AJ41,IF(EXACT('3AC_Data'!$D$8,30),AK41))))))))))))))))))))))))))))))</f>
        <v>1</v>
      </c>
      <c r="H41" s="4">
        <v>1</v>
      </c>
      <c r="I41" s="4">
        <v>0</v>
      </c>
      <c r="J41" s="4">
        <v>1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4">
        <v>0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97">
        <v>1</v>
      </c>
      <c r="AH41" s="4">
        <v>1</v>
      </c>
      <c r="AI41" s="4">
        <v>1</v>
      </c>
      <c r="AJ41" s="4">
        <v>1</v>
      </c>
      <c r="AK41" s="4">
        <v>1</v>
      </c>
    </row>
    <row r="42" spans="2:37" x14ac:dyDescent="0.25">
      <c r="B42" s="132" t="s">
        <v>924</v>
      </c>
      <c r="C42" s="132" t="s">
        <v>925</v>
      </c>
      <c r="D42" s="36">
        <f t="shared" ref="D42" si="8">+G42</f>
        <v>1</v>
      </c>
      <c r="E42" s="36"/>
      <c r="F42" s="4"/>
      <c r="G42" s="15">
        <f>+IF(EXACT('3AC_Data'!$D$8,1),H42,IF(EXACT('3AC_Data'!$D$8,2),I42,IF(EXACT('3AC_Data'!$D$8,3),J42,IF(EXACT('3AC_Data'!$D$8,4),K42,IF(EXACT('3AC_Data'!$D$8,5),L42,IF(EXACT('3AC_Data'!$D$8,6),M42,IF(EXACT('3AC_Data'!$D$8,7),N42,IF(EXACT('3AC_Data'!$D$8,8),O42,IF(EXACT('3AC_Data'!$D$8,9),P42,IF(EXACT('3AC_Data'!$D$8,10),Q42,IF(EXACT('3AC_Data'!$D$8,11),R42,IF(EXACT('3AC_Data'!$D$8,12),S42,IF(EXACT('3AC_Data'!$D$8,13),T42,IF(EXACT('3AC_Data'!$D$8,14),U42,IF(EXACT('3AC_Data'!$D$8,15),V42,IF(EXACT('3AC_Data'!$D$8,16),W42,IF(EXACT('3AC_Data'!$D$8,17),X42,IF(EXACT('3AC_Data'!$D$8,18),Y42,IF(EXACT('3AC_Data'!$D$8,19),Z42,IF(EXACT('3AC_Data'!$D$8,20),AA42,IF(EXACT('3AC_Data'!$D$8,21),AB42,IF(EXACT('3AC_Data'!$D$8,22),AC42,IF(EXACT('3AC_Data'!$D$8,23),AD42,IF(EXACT('3AC_Data'!$D$8,24),AE42,IF(EXACT('3AC_Data'!$D$8,25),AF42,IF(EXACT('3AC_Data'!$D$8,26),AG42,IF(EXACT('3AC_Data'!$D$8,27),AH42,IF(EXACT('3AC_Data'!$D$8,28),AI42,IF(EXACT('3AC_Data'!$D$8,29),AJ42,IF(EXACT('3AC_Data'!$D$8,30),AK42))))))))))))))))))))))))))))))</f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0</v>
      </c>
      <c r="T42" s="4">
        <v>0</v>
      </c>
      <c r="U42" s="4">
        <v>1</v>
      </c>
      <c r="V42" s="4">
        <v>1</v>
      </c>
      <c r="W42" s="4">
        <v>3</v>
      </c>
      <c r="X42" s="4">
        <v>3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97">
        <v>1</v>
      </c>
      <c r="AH42" s="4">
        <v>1</v>
      </c>
      <c r="AI42" s="4">
        <v>1</v>
      </c>
      <c r="AJ42" s="4">
        <v>1</v>
      </c>
      <c r="AK42" s="4">
        <v>1</v>
      </c>
    </row>
    <row r="43" spans="2:37" x14ac:dyDescent="0.25">
      <c r="B43" s="130" t="s">
        <v>1206</v>
      </c>
      <c r="C43" s="130" t="s">
        <v>1206</v>
      </c>
      <c r="D43" s="36">
        <f t="shared" ref="D43" si="9">+G43</f>
        <v>1</v>
      </c>
      <c r="E43" s="36"/>
      <c r="F43" s="4"/>
      <c r="G43" s="15">
        <f>+IF(EXACT('3AC_Data'!$D$8,1),H43,IF(EXACT('3AC_Data'!$D$8,2),I43,IF(EXACT('3AC_Data'!$D$8,3),J43,IF(EXACT('3AC_Data'!$D$8,4),K43,IF(EXACT('3AC_Data'!$D$8,5),L43,IF(EXACT('3AC_Data'!$D$8,6),M43,IF(EXACT('3AC_Data'!$D$8,7),N43,IF(EXACT('3AC_Data'!$D$8,8),O43,IF(EXACT('3AC_Data'!$D$8,9),P43,IF(EXACT('3AC_Data'!$D$8,10),Q43,IF(EXACT('3AC_Data'!$D$8,11),R43,IF(EXACT('3AC_Data'!$D$8,12),S43,IF(EXACT('3AC_Data'!$D$8,13),T43,IF(EXACT('3AC_Data'!$D$8,14),U43,IF(EXACT('3AC_Data'!$D$8,15),V43,IF(EXACT('3AC_Data'!$D$8,16),W43,IF(EXACT('3AC_Data'!$D$8,17),X43,IF(EXACT('3AC_Data'!$D$8,18),Y43,IF(EXACT('3AC_Data'!$D$8,19),Z43,IF(EXACT('3AC_Data'!$D$8,20),AA43,IF(EXACT('3AC_Data'!$D$8,21),AB43,IF(EXACT('3AC_Data'!$D$8,22),AC43,IF(EXACT('3AC_Data'!$D$8,23),AD43,IF(EXACT('3AC_Data'!$D$8,24),AE43,IF(EXACT('3AC_Data'!$D$8,25),AF43,IF(EXACT('3AC_Data'!$D$8,26),AG43,IF(EXACT('3AC_Data'!$D$8,27),AH43,IF(EXACT('3AC_Data'!$D$8,28),AI43,IF(EXACT('3AC_Data'!$D$8,29),AJ43,IF(EXACT('3AC_Data'!$D$8,30),AK43))))))))))))))))))))))))))))))</f>
        <v>1</v>
      </c>
      <c r="H43" s="4">
        <v>1</v>
      </c>
      <c r="I43" s="4">
        <v>1</v>
      </c>
      <c r="J43" s="3">
        <v>1</v>
      </c>
      <c r="K43" s="4">
        <v>0</v>
      </c>
      <c r="L43" s="4">
        <v>1</v>
      </c>
      <c r="M43" s="3">
        <v>1</v>
      </c>
      <c r="N43" s="4">
        <v>1</v>
      </c>
      <c r="O43" s="4">
        <v>1</v>
      </c>
      <c r="P43" s="4">
        <v>1</v>
      </c>
      <c r="Q43" s="4">
        <v>1</v>
      </c>
      <c r="R43" s="3">
        <v>1</v>
      </c>
      <c r="S43" s="4"/>
      <c r="T43" s="4"/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4">
        <v>1</v>
      </c>
      <c r="AC43" s="3">
        <v>1</v>
      </c>
      <c r="AD43" s="3">
        <v>1</v>
      </c>
      <c r="AE43" s="3">
        <v>1</v>
      </c>
      <c r="AF43" s="3">
        <v>1</v>
      </c>
      <c r="AG43" s="93">
        <v>1</v>
      </c>
      <c r="AH43" s="3">
        <v>1</v>
      </c>
      <c r="AI43" s="3">
        <v>1</v>
      </c>
      <c r="AJ43" s="3">
        <v>1</v>
      </c>
      <c r="AK43" s="3">
        <v>1</v>
      </c>
    </row>
    <row r="44" spans="2:37" x14ac:dyDescent="0.25">
      <c r="B44" s="130" t="s">
        <v>1623</v>
      </c>
      <c r="C44" s="130" t="s">
        <v>1622</v>
      </c>
      <c r="D44" s="36">
        <f t="shared" ref="D44" si="10">+G44</f>
        <v>0</v>
      </c>
      <c r="E44" s="36"/>
      <c r="F44" s="4"/>
      <c r="G44" s="15">
        <f>+IF(EXACT('3AC_Data'!$D$8,1),H44,IF(EXACT('3AC_Data'!$D$8,2),I44,IF(EXACT('3AC_Data'!$D$8,3),J44,IF(EXACT('3AC_Data'!$D$8,4),K44,IF(EXACT('3AC_Data'!$D$8,5),L44,IF(EXACT('3AC_Data'!$D$8,6),M44,IF(EXACT('3AC_Data'!$D$8,7),N44,IF(EXACT('3AC_Data'!$D$8,8),O44,IF(EXACT('3AC_Data'!$D$8,9),P44,IF(EXACT('3AC_Data'!$D$8,10),Q44,IF(EXACT('3AC_Data'!$D$8,11),R44,IF(EXACT('3AC_Data'!$D$8,12),S44,IF(EXACT('3AC_Data'!$D$8,13),T44,IF(EXACT('3AC_Data'!$D$8,14),U44,IF(EXACT('3AC_Data'!$D$8,15),V44,IF(EXACT('3AC_Data'!$D$8,16),W44,IF(EXACT('3AC_Data'!$D$8,17),X44,IF(EXACT('3AC_Data'!$D$8,18),Y44,IF(EXACT('3AC_Data'!$D$8,19),Z44,IF(EXACT('3AC_Data'!$D$8,20),AA44,IF(EXACT('3AC_Data'!$D$8,21),AB44,IF(EXACT('3AC_Data'!$D$8,22),AC44,IF(EXACT('3AC_Data'!$D$8,23),AD44,IF(EXACT('3AC_Data'!$D$8,24),AE44,IF(EXACT('3AC_Data'!$D$8,25),AF44,IF(EXACT('3AC_Data'!$D$8,26),AG44,IF(EXACT('3AC_Data'!$D$8,27),AH44,IF(EXACT('3AC_Data'!$D$8,28),AI44,IF(EXACT('3AC_Data'!$D$8,29),AJ44,IF(EXACT('3AC_Data'!$D$8,30),AK44))))))))))))))))))))))))))))))</f>
        <v>0</v>
      </c>
      <c r="H44" s="4">
        <v>1</v>
      </c>
      <c r="I44" s="4">
        <v>1</v>
      </c>
      <c r="J44" s="4">
        <v>0</v>
      </c>
      <c r="K44" s="4">
        <v>0</v>
      </c>
      <c r="L44" s="4">
        <v>1</v>
      </c>
      <c r="M44" s="4">
        <v>0</v>
      </c>
      <c r="N44" s="4">
        <v>1</v>
      </c>
      <c r="O44" s="4">
        <v>1</v>
      </c>
      <c r="P44" s="4">
        <v>1</v>
      </c>
      <c r="Q44" s="4">
        <v>1</v>
      </c>
      <c r="R44" s="4">
        <v>0</v>
      </c>
      <c r="S44" s="4"/>
      <c r="T44" s="4"/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4">
        <v>1</v>
      </c>
      <c r="AC44" s="3">
        <v>1</v>
      </c>
      <c r="AD44" s="3">
        <v>1</v>
      </c>
      <c r="AE44" s="4">
        <v>0</v>
      </c>
      <c r="AF44" s="4">
        <v>0</v>
      </c>
      <c r="AG44" s="97">
        <v>0</v>
      </c>
      <c r="AH44" s="3">
        <v>0</v>
      </c>
      <c r="AI44" s="3">
        <v>1</v>
      </c>
      <c r="AJ44" s="3">
        <v>1</v>
      </c>
      <c r="AK44" s="3">
        <v>1</v>
      </c>
    </row>
    <row r="45" spans="2:37" x14ac:dyDescent="0.25">
      <c r="B45" s="130" t="s">
        <v>1633</v>
      </c>
      <c r="C45" s="130" t="s">
        <v>1634</v>
      </c>
      <c r="D45" s="36">
        <f t="shared" ref="D45" si="11">+G45</f>
        <v>0</v>
      </c>
      <c r="E45" s="36"/>
      <c r="F45" s="4"/>
      <c r="G45" s="15">
        <f>+IF(EXACT('3AC_Data'!$D$8,1),H45,IF(EXACT('3AC_Data'!$D$8,2),I45,IF(EXACT('3AC_Data'!$D$8,3),J45,IF(EXACT('3AC_Data'!$D$8,4),K45,IF(EXACT('3AC_Data'!$D$8,5),L45,IF(EXACT('3AC_Data'!$D$8,6),M45,IF(EXACT('3AC_Data'!$D$8,7),N45,IF(EXACT('3AC_Data'!$D$8,8),O45,IF(EXACT('3AC_Data'!$D$8,9),P45,IF(EXACT('3AC_Data'!$D$8,10),Q45,IF(EXACT('3AC_Data'!$D$8,11),R45,IF(EXACT('3AC_Data'!$D$8,12),S45,IF(EXACT('3AC_Data'!$D$8,13),T45,IF(EXACT('3AC_Data'!$D$8,14),U45,IF(EXACT('3AC_Data'!$D$8,15),V45,IF(EXACT('3AC_Data'!$D$8,16),W45,IF(EXACT('3AC_Data'!$D$8,17),X45,IF(EXACT('3AC_Data'!$D$8,18),Y45,IF(EXACT('3AC_Data'!$D$8,19),Z45,IF(EXACT('3AC_Data'!$D$8,20),AA45,IF(EXACT('3AC_Data'!$D$8,21),AB45,IF(EXACT('3AC_Data'!$D$8,22),AC45,IF(EXACT('3AC_Data'!$D$8,23),AD45,IF(EXACT('3AC_Data'!$D$8,24),AE45,IF(EXACT('3AC_Data'!$D$8,25),AF45,IF(EXACT('3AC_Data'!$D$8,26),AG45,IF(EXACT('3AC_Data'!$D$8,27),AH45,IF(EXACT('3AC_Data'!$D$8,28),AI45,IF(EXACT('3AC_Data'!$D$8,29),AJ45,IF(EXACT('3AC_Data'!$D$8,30),AK45))))))))))))))))))))))))))))))</f>
        <v>0</v>
      </c>
      <c r="H45" s="4">
        <v>1</v>
      </c>
      <c r="I45" s="4">
        <v>1</v>
      </c>
      <c r="J45" s="4">
        <v>0</v>
      </c>
      <c r="K45" s="4">
        <v>0</v>
      </c>
      <c r="L45" s="4">
        <v>1</v>
      </c>
      <c r="M45" s="4">
        <v>0</v>
      </c>
      <c r="N45" s="4">
        <v>1</v>
      </c>
      <c r="O45" s="4">
        <v>1</v>
      </c>
      <c r="P45" s="4">
        <v>1</v>
      </c>
      <c r="Q45" s="4">
        <v>1</v>
      </c>
      <c r="R45" s="4">
        <v>0</v>
      </c>
      <c r="S45" s="4"/>
      <c r="T45" s="4"/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4">
        <v>1</v>
      </c>
      <c r="AC45" s="3">
        <v>1</v>
      </c>
      <c r="AD45" s="3">
        <v>1</v>
      </c>
      <c r="AE45" s="4">
        <v>1</v>
      </c>
      <c r="AF45" s="4">
        <v>0</v>
      </c>
      <c r="AG45" s="97">
        <v>1</v>
      </c>
      <c r="AH45" s="3">
        <v>1</v>
      </c>
      <c r="AI45" s="3">
        <v>0</v>
      </c>
      <c r="AJ45" s="3">
        <v>0</v>
      </c>
      <c r="AK45" s="3">
        <v>0</v>
      </c>
    </row>
    <row r="46" spans="2:37" x14ac:dyDescent="0.25">
      <c r="AE46" s="126"/>
    </row>
    <row r="47" spans="2:37" x14ac:dyDescent="0.25">
      <c r="B47" s="187" t="s">
        <v>2</v>
      </c>
      <c r="C47" s="187"/>
    </row>
    <row r="48" spans="2:37" x14ac:dyDescent="0.25">
      <c r="B48" s="9" t="str">
        <f>+B3</f>
        <v>Selection of TXT that are used for the aerodynamic analysis (w1) - LLT</v>
      </c>
      <c r="C48" s="9" t="s">
        <v>9</v>
      </c>
      <c r="T48" t="s">
        <v>894</v>
      </c>
    </row>
    <row r="49" spans="2:3" x14ac:dyDescent="0.25">
      <c r="B49" s="9" t="str">
        <f>+B4</f>
        <v>Selection of TXT that are used for the aerodynamic analysis (HTP)- LLT</v>
      </c>
      <c r="C49" s="9" t="s">
        <v>9</v>
      </c>
    </row>
    <row r="50" spans="2:3" x14ac:dyDescent="0.25">
      <c r="B50" s="9" t="str">
        <f>+B7</f>
        <v>Selection of TXT that are used for the aerodynamic analysis (can)- LLT</v>
      </c>
      <c r="C50" s="9" t="s">
        <v>9</v>
      </c>
    </row>
    <row r="51" spans="2:3" x14ac:dyDescent="0.25">
      <c r="B51" s="9" t="str">
        <f>+B21</f>
        <v>Selects the AoA of each surface relative to fuselage line (w1)</v>
      </c>
      <c r="C51" s="9" t="s">
        <v>9</v>
      </c>
    </row>
    <row r="52" spans="2:3" x14ac:dyDescent="0.25">
      <c r="B52" s="9" t="str">
        <f>+B22</f>
        <v>Selects the AoA of each surface relative to fuselage line (w2)</v>
      </c>
      <c r="C52" s="9" t="s">
        <v>9</v>
      </c>
    </row>
    <row r="53" spans="2:3" x14ac:dyDescent="0.25">
      <c r="B53" s="9" t="str">
        <f>+B25</f>
        <v>Selects the AoA of each surface relative to fuselage line (w3)</v>
      </c>
      <c r="C53" s="9" t="s">
        <v>9</v>
      </c>
    </row>
    <row r="54" spans="2:3" x14ac:dyDescent="0.25">
      <c r="B54" s="4">
        <v>0</v>
      </c>
      <c r="C54" s="8" t="s">
        <v>242</v>
      </c>
    </row>
    <row r="55" spans="2:3" x14ac:dyDescent="0.25">
      <c r="B55" s="4">
        <v>1</v>
      </c>
      <c r="C55" s="8" t="s">
        <v>243</v>
      </c>
    </row>
    <row r="56" spans="2:3" x14ac:dyDescent="0.25">
      <c r="B56" s="9" t="str">
        <f>+B39</f>
        <v>Determines the aero plots to compare</v>
      </c>
      <c r="C56" s="9" t="s">
        <v>9</v>
      </c>
    </row>
    <row r="57" spans="2:3" x14ac:dyDescent="0.25">
      <c r="B57" s="2">
        <v>1</v>
      </c>
      <c r="C57" s="9" t="s">
        <v>733</v>
      </c>
    </row>
    <row r="58" spans="2:3" x14ac:dyDescent="0.25">
      <c r="B58" s="2">
        <v>2</v>
      </c>
      <c r="C58" s="9" t="s">
        <v>734</v>
      </c>
    </row>
    <row r="59" spans="2:3" x14ac:dyDescent="0.25">
      <c r="B59" s="2">
        <v>3</v>
      </c>
      <c r="C59" s="9" t="s">
        <v>735</v>
      </c>
    </row>
    <row r="60" spans="2:3" x14ac:dyDescent="0.25">
      <c r="B60" s="2" t="str">
        <f>+B40</f>
        <v>Reads Aero data from XFLR5</v>
      </c>
      <c r="C60" s="2" t="str">
        <f>+C40</f>
        <v>read_XFLR5</v>
      </c>
    </row>
    <row r="61" spans="2:3" x14ac:dyDescent="0.25">
      <c r="B61" s="2" t="str">
        <f>+B41</f>
        <v>Reads Aero data from FLOW5</v>
      </c>
      <c r="C61" s="2" t="str">
        <f>+C41</f>
        <v>read_FLOW5</v>
      </c>
    </row>
    <row r="62" spans="2:3" x14ac:dyDescent="0.25">
      <c r="B62" s="2" t="str">
        <f>+B27</f>
        <v>Airfoil for wing (primary)</v>
      </c>
      <c r="C62" s="2" t="str">
        <f>+C27</f>
        <v>airfoil_w1</v>
      </c>
    </row>
    <row r="63" spans="2:3" x14ac:dyDescent="0.25">
      <c r="B63" s="2" t="str">
        <f>+B28</f>
        <v>Airfoil for wing (secondary)</v>
      </c>
      <c r="C63" s="2" t="str">
        <f>+C28</f>
        <v>airfoil_w2</v>
      </c>
    </row>
    <row r="64" spans="2:3" x14ac:dyDescent="0.25">
      <c r="B64" s="2" t="str">
        <f>+B35</f>
        <v>Airfoil for canard (primary)</v>
      </c>
      <c r="C64" s="2" t="str">
        <f>+C35</f>
        <v>airfoil_can1</v>
      </c>
    </row>
    <row r="65" spans="2:3" x14ac:dyDescent="0.25">
      <c r="B65" s="2" t="str">
        <f>+B36</f>
        <v>Airfoil for canard (secondary)</v>
      </c>
      <c r="C65" s="2" t="str">
        <f>+C36</f>
        <v>airfoil_can2</v>
      </c>
    </row>
    <row r="66" spans="2:3" x14ac:dyDescent="0.25">
      <c r="B66" s="2" t="str">
        <f>+B29</f>
        <v>Airfoil for HTP (primary)</v>
      </c>
      <c r="C66" s="2" t="str">
        <f>+C29</f>
        <v>airfoil_HTP1</v>
      </c>
    </row>
    <row r="67" spans="2:3" x14ac:dyDescent="0.25">
      <c r="B67" s="2" t="str">
        <f>+B30</f>
        <v>Airfoil for HTP (secondary)</v>
      </c>
      <c r="C67" s="2" t="str">
        <f>+C30</f>
        <v>airfoil_HTP2</v>
      </c>
    </row>
    <row r="68" spans="2:3" x14ac:dyDescent="0.25">
      <c r="B68" s="2" t="str">
        <f>+B37</f>
        <v>Airfoil for VTP (primary)</v>
      </c>
      <c r="C68" s="2" t="str">
        <f>+C37</f>
        <v>airfoil_VTP1</v>
      </c>
    </row>
    <row r="69" spans="2:3" x14ac:dyDescent="0.25">
      <c r="B69" s="2" t="str">
        <f>+B38</f>
        <v>Airfoil for VTP (secondary)</v>
      </c>
      <c r="C69" s="2" t="str">
        <f>+C38</f>
        <v>airfoil_VTP2</v>
      </c>
    </row>
    <row r="70" spans="2:3" x14ac:dyDescent="0.25">
      <c r="B70" s="2" t="str">
        <f>+B31</f>
        <v>Airfoil for VeeTail (primary)</v>
      </c>
      <c r="C70" s="2" t="str">
        <f>+C31</f>
        <v>airfoil_Vee11</v>
      </c>
    </row>
    <row r="71" spans="2:3" x14ac:dyDescent="0.25">
      <c r="B71" s="2" t="str">
        <f>+B32</f>
        <v>Airfoil for VeeTail (secondary)</v>
      </c>
      <c r="C71" s="2" t="str">
        <f>+C32</f>
        <v>airfoil_Vee12</v>
      </c>
    </row>
    <row r="72" spans="2:3" x14ac:dyDescent="0.25">
      <c r="B72" s="16" t="str">
        <f t="shared" ref="B72:C72" si="12">+B42</f>
        <v xml:space="preserve">Use Estimated Polar </v>
      </c>
      <c r="C72" s="16" t="str">
        <f t="shared" si="12"/>
        <v>polar_model</v>
      </c>
    </row>
    <row r="73" spans="2:3" x14ac:dyDescent="0.25">
      <c r="B73" s="3">
        <v>1</v>
      </c>
      <c r="C73" s="2" t="s">
        <v>926</v>
      </c>
    </row>
    <row r="74" spans="2:3" x14ac:dyDescent="0.25">
      <c r="B74" s="3">
        <v>2</v>
      </c>
      <c r="C74" s="2" t="s">
        <v>927</v>
      </c>
    </row>
    <row r="75" spans="2:3" x14ac:dyDescent="0.25">
      <c r="B75" s="3">
        <v>3</v>
      </c>
      <c r="C75" s="2" t="s">
        <v>928</v>
      </c>
    </row>
    <row r="76" spans="2:3" x14ac:dyDescent="0.25">
      <c r="B76" s="3">
        <v>4</v>
      </c>
      <c r="C76" s="2" t="s">
        <v>929</v>
      </c>
    </row>
    <row r="77" spans="2:3" x14ac:dyDescent="0.25">
      <c r="B77" s="16" t="str">
        <f>+B43</f>
        <v>fuse_aero_FLOW_and_CBM</v>
      </c>
      <c r="C77" s="16" t="str">
        <f>+C43</f>
        <v>fuse_aero_FLOW_and_CBM</v>
      </c>
    </row>
    <row r="78" spans="2:3" x14ac:dyDescent="0.25">
      <c r="B78" s="3">
        <v>1</v>
      </c>
      <c r="C78" s="2" t="s">
        <v>1626</v>
      </c>
    </row>
    <row r="79" spans="2:3" x14ac:dyDescent="0.25">
      <c r="B79" s="3">
        <v>2</v>
      </c>
      <c r="C79" s="2" t="s">
        <v>1627</v>
      </c>
    </row>
    <row r="80" spans="2:3" x14ac:dyDescent="0.25">
      <c r="B80" s="3">
        <v>3</v>
      </c>
      <c r="C80" s="2" t="s">
        <v>1628</v>
      </c>
    </row>
    <row r="82" spans="7:7" x14ac:dyDescent="0.25">
      <c r="G82" s="152"/>
    </row>
    <row r="83" spans="7:7" x14ac:dyDescent="0.25">
      <c r="G83" s="152"/>
    </row>
    <row r="84" spans="7:7" x14ac:dyDescent="0.25">
      <c r="G84" s="152"/>
    </row>
    <row r="86" spans="7:7" x14ac:dyDescent="0.25">
      <c r="G86" s="152"/>
    </row>
    <row r="87" spans="7:7" x14ac:dyDescent="0.25">
      <c r="G87" s="152"/>
    </row>
    <row r="88" spans="7:7" x14ac:dyDescent="0.25">
      <c r="G88" s="152"/>
    </row>
  </sheetData>
  <mergeCells count="1">
    <mergeCell ref="B47:C47"/>
  </mergeCells>
  <dataValidations count="4">
    <dataValidation type="list" allowBlank="1" showInputMessage="1" showErrorMessage="1" sqref="J39 N43:Q45 K43:L45 S43:T45 R44:R45 H43:I45 AB39:AB41 AB43:AB45 U40:AA41 V39:AA39 H39:I41 K39:T41 M44:M45 AC40:AD41 AH40:AK41 AE39:AG39" xr:uid="{D6D1A55E-37C2-42A9-AF04-A26F36C5FF0F}">
      <formula1>$B$54:$B$55</formula1>
    </dataValidation>
    <dataValidation type="list" allowBlank="1" showInputMessage="1" showErrorMessage="1" sqref="H42:I42 K42:AD42 AH42:AK42" xr:uid="{80AB8B92-31F0-443B-A956-BCE30E8DA908}">
      <formula1>$B$73:$B$76</formula1>
    </dataValidation>
    <dataValidation type="list" allowBlank="1" showInputMessage="1" showErrorMessage="1" sqref="J42 AE42:AG42" xr:uid="{632C0351-D1A2-4583-A8B6-6F7764303314}">
      <formula1>$B$104:$B$107</formula1>
    </dataValidation>
    <dataValidation type="list" allowBlank="1" showInputMessage="1" showErrorMessage="1" sqref="J40:J41 J44:J45 AF44:AF45 AE40:AG41" xr:uid="{B2AADAFE-4526-4DD4-B74A-3CF6E78445EA}">
      <formula1>$B$85:$B$86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0402-D470-4FBE-AEA1-45C52A1ADCC1}">
  <dimension ref="A1:AK49"/>
  <sheetViews>
    <sheetView workbookViewId="0">
      <selection activeCell="M23" sqref="M23"/>
    </sheetView>
  </sheetViews>
  <sheetFormatPr baseColWidth="10" defaultColWidth="11.42578125" defaultRowHeight="15" x14ac:dyDescent="0.25"/>
  <cols>
    <col min="1" max="1" width="5.140625" customWidth="1"/>
    <col min="2" max="2" width="71.85546875" bestFit="1" customWidth="1"/>
    <col min="3" max="3" width="39.140625" bestFit="1" customWidth="1"/>
    <col min="4" max="4" width="13.85546875" bestFit="1" customWidth="1"/>
    <col min="5" max="5" width="13.85546875" customWidth="1"/>
    <col min="6" max="6" width="8.42578125" customWidth="1"/>
    <col min="7" max="7" width="13.85546875" customWidth="1"/>
    <col min="8" max="9" width="15.28515625" hidden="1" customWidth="1"/>
    <col min="10" max="10" width="15.28515625" customWidth="1"/>
    <col min="11" max="15" width="13.85546875" customWidth="1"/>
    <col min="16" max="17" width="15.28515625" customWidth="1"/>
    <col min="18" max="18" width="17.5703125" customWidth="1"/>
    <col min="19" max="21" width="13.85546875" customWidth="1"/>
    <col min="22" max="22" width="14.42578125" customWidth="1"/>
    <col min="23" max="23" width="14.5703125" customWidth="1"/>
    <col min="24" max="24" width="16.7109375" customWidth="1"/>
    <col min="25" max="28" width="11.42578125" customWidth="1"/>
  </cols>
  <sheetData>
    <row r="1" spans="2:37" x14ac:dyDescent="0.25">
      <c r="D1" s="12"/>
      <c r="E1" s="12"/>
      <c r="H1" s="18" t="str">
        <f>+'3AC_Data'!H1</f>
        <v>EMERGENTIA</v>
      </c>
      <c r="I1" s="18" t="str">
        <f>+'3AC_Data'!I1</f>
        <v>EMERGENTIA</v>
      </c>
      <c r="J1" s="18" t="str">
        <f>+'3AC_Data'!J1</f>
        <v>PEPINO_XXXL</v>
      </c>
      <c r="K1" s="18" t="str">
        <f>+'3AC_Data'!K1</f>
        <v>A400M</v>
      </c>
      <c r="L1" s="18" t="str">
        <f>+'3AC_Data'!L1</f>
        <v>WIG_</v>
      </c>
      <c r="M1" s="18" t="str">
        <f>+'3AC_Data'!M1</f>
        <v>MILVUS</v>
      </c>
      <c r="N1" s="18" t="str">
        <f>+'3AC_Data'!N1</f>
        <v>Existing_AC</v>
      </c>
      <c r="O1" s="18" t="str">
        <f>+'3AC_Data'!O1</f>
        <v>E26_TAMIZ</v>
      </c>
      <c r="P1" s="18" t="str">
        <f>+'3AC_Data'!P1</f>
        <v>EMERGENTIA w2</v>
      </c>
      <c r="Q1" s="18" t="str">
        <f>+'3AC_Data'!Q1</f>
        <v>EMERGENTIA w1</v>
      </c>
      <c r="R1" s="18" t="str">
        <f>+'3AC_Data'!R1</f>
        <v>EMERGENTIA Manufactured</v>
      </c>
      <c r="S1" s="18" t="str">
        <f>+'3AC_Data'!S1</f>
        <v>ALO</v>
      </c>
      <c r="T1" s="18" t="str">
        <f>+'3AC_Data'!T1</f>
        <v>ALO_FC</v>
      </c>
      <c r="U1" s="18" t="str">
        <f>+'3AC_Data'!U1</f>
        <v>A320-200</v>
      </c>
      <c r="V1" s="18" t="str">
        <f>+'3AC_Data'!V1</f>
        <v>EMERGENTIA_v2</v>
      </c>
      <c r="W1" s="18" t="str">
        <f>+'3AC_Data'!W1</f>
        <v>TARSIS 75</v>
      </c>
      <c r="X1" s="18" t="str">
        <f>+'3AC_Data'!X1</f>
        <v>TARSIS 120</v>
      </c>
      <c r="Y1" s="18" t="str">
        <f>+'3AC_Data'!Y1</f>
        <v>BAT</v>
      </c>
      <c r="Z1" s="18" t="str">
        <f>+'3AC_Data'!Z1</f>
        <v>FALCON2000</v>
      </c>
      <c r="AA1" s="18" t="str">
        <f>+'3AC_Data'!AA1</f>
        <v>SOLARTII</v>
      </c>
      <c r="AB1" s="18" t="str">
        <f>+'3AC_Data'!AB1</f>
        <v>VANTUS24</v>
      </c>
      <c r="AC1" s="18" t="str">
        <f>+'3AC_Data'!AC1</f>
        <v>Cessna208</v>
      </c>
      <c r="AD1" s="18" t="str">
        <f>+'3AC_Data'!AD1</f>
        <v>KingAir</v>
      </c>
      <c r="AE1" s="18" t="str">
        <f>+'3AC_Data'!AE1</f>
        <v>MK84</v>
      </c>
      <c r="AF1" s="18" t="str">
        <f>+'3AC_Data'!AF1</f>
        <v>MK84minusVee</v>
      </c>
      <c r="AG1" s="18" t="str">
        <f>+'3AC_Data'!AG1</f>
        <v>HA</v>
      </c>
      <c r="AH1" s="18" t="str">
        <f>+'3AC_Data'!AH1</f>
        <v>FR</v>
      </c>
      <c r="AI1" s="18" t="str">
        <f>+'3AC_Data'!AI1</f>
        <v>Future5</v>
      </c>
      <c r="AJ1" s="18" t="str">
        <f>+'3AC_Data'!AJ1</f>
        <v>Future6</v>
      </c>
      <c r="AK1" s="18" t="str">
        <f>+'3AC_Data'!AK1</f>
        <v>Future7</v>
      </c>
    </row>
    <row r="2" spans="2:37" x14ac:dyDescent="0.25">
      <c r="C2" s="6" t="s">
        <v>17</v>
      </c>
      <c r="D2" s="34" t="s">
        <v>8</v>
      </c>
      <c r="E2" s="35"/>
      <c r="F2" s="6" t="s">
        <v>299</v>
      </c>
      <c r="G2" s="15" t="s">
        <v>377</v>
      </c>
      <c r="H2" s="123" t="str">
        <f>+'3AC_Data'!H2</f>
        <v>CASE1</v>
      </c>
      <c r="I2" s="123" t="str">
        <f>+'3AC_Data'!I2</f>
        <v>CASE 2</v>
      </c>
      <c r="J2" s="123" t="str">
        <f>+'3AC_Data'!J2</f>
        <v>CASE 3</v>
      </c>
      <c r="K2" s="123" t="str">
        <f>+'3AC_Data'!K2</f>
        <v>CASE 4</v>
      </c>
      <c r="L2" s="123" t="str">
        <f>+'3AC_Data'!L2</f>
        <v>CASE 5</v>
      </c>
      <c r="M2" s="123" t="str">
        <f>+'3AC_Data'!M2</f>
        <v>CASE 6</v>
      </c>
      <c r="N2" s="123" t="str">
        <f>+'3AC_Data'!N2</f>
        <v>CASE 7</v>
      </c>
      <c r="O2" s="123" t="str">
        <f>+'3AC_Data'!O2</f>
        <v>CASE 8</v>
      </c>
      <c r="P2" s="123" t="str">
        <f>+'3AC_Data'!P2</f>
        <v>CASE9</v>
      </c>
      <c r="Q2" s="123" t="str">
        <f>+'3AC_Data'!Q2</f>
        <v>CASE10</v>
      </c>
      <c r="R2" s="123" t="str">
        <f>+'3AC_Data'!R2</f>
        <v>CASE11</v>
      </c>
      <c r="S2" s="123" t="str">
        <f>+'3AC_Data'!S2</f>
        <v>CASE12</v>
      </c>
      <c r="T2" s="123" t="str">
        <f>+'3AC_Data'!T2</f>
        <v>CASE13</v>
      </c>
      <c r="U2" s="123" t="str">
        <f>+'3AC_Data'!U2</f>
        <v>CASE14</v>
      </c>
      <c r="V2" s="123" t="str">
        <f>+'3AC_Data'!V2</f>
        <v>CASE15</v>
      </c>
      <c r="W2" s="123" t="str">
        <f>+'3AC_Data'!W2</f>
        <v>CASE16</v>
      </c>
      <c r="X2" s="123" t="str">
        <f>+'3AC_Data'!X2</f>
        <v>CASE17</v>
      </c>
      <c r="Y2" s="123" t="str">
        <f>+'3AC_Data'!Y2</f>
        <v>CASE18</v>
      </c>
      <c r="Z2" s="123" t="str">
        <f>+'3AC_Data'!Z2</f>
        <v>CASE19</v>
      </c>
      <c r="AA2" s="123" t="str">
        <f>+'3AC_Data'!AA2</f>
        <v>CASE20</v>
      </c>
      <c r="AB2" s="123" t="str">
        <f>+'3AC_Data'!AB2</f>
        <v>CASE21</v>
      </c>
      <c r="AC2" s="123" t="str">
        <f>+'3AC_Data'!AC2</f>
        <v>CASE22</v>
      </c>
      <c r="AD2" s="123" t="str">
        <f>+'3AC_Data'!AD2</f>
        <v>CASE23</v>
      </c>
      <c r="AE2" s="123" t="str">
        <f>+'3AC_Data'!AE2</f>
        <v>CASE24</v>
      </c>
      <c r="AF2" s="123" t="str">
        <f>+'3AC_Data'!AF2</f>
        <v>CASE25</v>
      </c>
      <c r="AG2" s="123" t="str">
        <f>+'3AC_Data'!AG2</f>
        <v>CASE26</v>
      </c>
      <c r="AH2" s="123" t="str">
        <f>+'3AC_Data'!AH2</f>
        <v>CASE27</v>
      </c>
      <c r="AI2" s="123" t="str">
        <f>+'3AC_Data'!AI2</f>
        <v>CASE28</v>
      </c>
      <c r="AJ2" s="123" t="str">
        <f>+'3AC_Data'!AJ2</f>
        <v>CASE29</v>
      </c>
      <c r="AK2" s="123" t="str">
        <f>+'3AC_Data'!AK2</f>
        <v>CASE30</v>
      </c>
    </row>
    <row r="3" spans="2:37" x14ac:dyDescent="0.25">
      <c r="B3" s="2" t="s">
        <v>244</v>
      </c>
      <c r="C3" s="2" t="s">
        <v>238</v>
      </c>
      <c r="D3" s="36">
        <f t="shared" ref="D3:D23" si="0">+G3</f>
        <v>1</v>
      </c>
      <c r="E3" s="36"/>
      <c r="F3" s="4"/>
      <c r="G3" s="15">
        <f>+IF(EXACT('3AC_Data'!$D$8,1),H3,IF(EXACT('3AC_Data'!$D$8,2),I3,IF(EXACT('3AC_Data'!$D$8,3),J3,IF(EXACT('3AC_Data'!$D$8,4),K3,IF(EXACT('3AC_Data'!$D$8,5),L3,IF(EXACT('3AC_Data'!$D$8,6),M3,IF(EXACT('3AC_Data'!$D$8,7),N3,IF(EXACT('3AC_Data'!$D$8,8),O3,IF(EXACT('3AC_Data'!$D$8,9),P3,IF(EXACT('3AC_Data'!$D$8,10),Q3,IF(EXACT('3AC_Data'!$D$8,11),R3,IF(EXACT('3AC_Data'!$D$8,12),S3,IF(EXACT('3AC_Data'!$D$8,13),T3,IF(EXACT('3AC_Data'!$D$8,14),U3,IF(EXACT('3AC_Data'!$D$8,15),V3,IF(EXACT('3AC_Data'!$D$8,16),W3,IF(EXACT('3AC_Data'!$D$8,17),X3,IF(EXACT('3AC_Data'!$D$8,18),Y3,IF(EXACT('3AC_Data'!$D$8,19),Z3,IF(EXACT('3AC_Data'!$D$8,20),AA3,IF(EXACT('3AC_Data'!$D$8,21),AB3,IF(EXACT('3AC_Data'!$D$8,22),AC3,IF(EXACT('3AC_Data'!$D$8,23),AD3,IF(EXACT('3AC_Data'!$D$8,24),AE3,IF(EXACT('3AC_Data'!$D$8,25),AF3,IF(EXACT('3AC_Data'!$D$8,26),AG3,IF(EXACT('3AC_Data'!$D$8,27),AH3,IF(EXACT('3AC_Data'!$D$8,28),AI3,IF(EXACT('3AC_Data'!$D$8,29),AJ3,IF(EXACT('3AC_Data'!$D$8,30),AK3))))))))))))))))))))))))))))))</f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137">
        <v>1</v>
      </c>
      <c r="AF3" s="24">
        <v>1</v>
      </c>
      <c r="AG3" s="97">
        <v>1</v>
      </c>
      <c r="AH3" s="24">
        <v>1</v>
      </c>
      <c r="AI3" s="24">
        <v>1</v>
      </c>
      <c r="AJ3" s="24">
        <v>1</v>
      </c>
      <c r="AK3" s="24">
        <v>1</v>
      </c>
    </row>
    <row r="4" spans="2:37" x14ac:dyDescent="0.25">
      <c r="B4" s="2" t="s">
        <v>245</v>
      </c>
      <c r="C4" s="2" t="s">
        <v>255</v>
      </c>
      <c r="D4" s="36">
        <f t="shared" si="0"/>
        <v>0</v>
      </c>
      <c r="E4" s="36"/>
      <c r="F4" s="4"/>
      <c r="G4" s="15">
        <f>+IF(EXACT('3AC_Data'!$D$8,1),H4,IF(EXACT('3AC_Data'!$D$8,2),I4,IF(EXACT('3AC_Data'!$D$8,3),J4,IF(EXACT('3AC_Data'!$D$8,4),K4,IF(EXACT('3AC_Data'!$D$8,5),L4,IF(EXACT('3AC_Data'!$D$8,6),M4,IF(EXACT('3AC_Data'!$D$8,7),N4,IF(EXACT('3AC_Data'!$D$8,8),O4,IF(EXACT('3AC_Data'!$D$8,9),P4,IF(EXACT('3AC_Data'!$D$8,10),Q4,IF(EXACT('3AC_Data'!$D$8,11),R4,IF(EXACT('3AC_Data'!$D$8,12),S4,IF(EXACT('3AC_Data'!$D$8,13),T4,IF(EXACT('3AC_Data'!$D$8,14),U4,IF(EXACT('3AC_Data'!$D$8,15),V4,IF(EXACT('3AC_Data'!$D$8,16),W4,IF(EXACT('3AC_Data'!$D$8,17),X4,IF(EXACT('3AC_Data'!$D$8,18),Y4,IF(EXACT('3AC_Data'!$D$8,19),Z4,IF(EXACT('3AC_Data'!$D$8,20),AA4,IF(EXACT('3AC_Data'!$D$8,21),AB4,IF(EXACT('3AC_Data'!$D$8,22),AC4,IF(EXACT('3AC_Data'!$D$8,23),AD4,IF(EXACT('3AC_Data'!$D$8,24),AE4,IF(EXACT('3AC_Data'!$D$8,25),AF4,IF(EXACT('3AC_Data'!$D$8,26),AG4,IF(EXACT('3AC_Data'!$D$8,27),AH4,IF(EXACT('3AC_Data'!$D$8,28),AI4,IF(EXACT('3AC_Data'!$D$8,29),AJ4,IF(EXACT('3AC_Data'!$D$8,30),AK4))))))))))))))))))))))))))))))</f>
        <v>0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0</v>
      </c>
      <c r="N4" s="24">
        <v>1</v>
      </c>
      <c r="O4" s="24">
        <v>1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1</v>
      </c>
      <c r="V4" s="24">
        <v>0</v>
      </c>
      <c r="W4" s="24">
        <v>1</v>
      </c>
      <c r="X4" s="24">
        <v>1</v>
      </c>
      <c r="Y4" s="24">
        <v>1</v>
      </c>
      <c r="Z4" s="24">
        <v>1</v>
      </c>
      <c r="AA4" s="24">
        <v>0</v>
      </c>
      <c r="AB4" s="24">
        <v>1</v>
      </c>
      <c r="AC4" s="24">
        <v>1</v>
      </c>
      <c r="AD4" s="24">
        <v>1</v>
      </c>
      <c r="AE4" s="137">
        <v>0</v>
      </c>
      <c r="AF4" s="24">
        <v>0</v>
      </c>
      <c r="AG4" s="97">
        <v>0</v>
      </c>
      <c r="AH4" s="24">
        <v>0</v>
      </c>
      <c r="AI4" s="24">
        <v>1</v>
      </c>
      <c r="AJ4" s="24">
        <v>1</v>
      </c>
      <c r="AK4" s="24">
        <v>1</v>
      </c>
    </row>
    <row r="5" spans="2:37" x14ac:dyDescent="0.25">
      <c r="B5" s="2" t="s">
        <v>246</v>
      </c>
      <c r="C5" s="2" t="s">
        <v>256</v>
      </c>
      <c r="D5" s="36">
        <f t="shared" si="0"/>
        <v>0</v>
      </c>
      <c r="E5" s="36"/>
      <c r="F5" s="4"/>
      <c r="G5" s="15">
        <f>+IF(EXACT('3AC_Data'!$D$8,1),H5,IF(EXACT('3AC_Data'!$D$8,2),I5,IF(EXACT('3AC_Data'!$D$8,3),J5,IF(EXACT('3AC_Data'!$D$8,4),K5,IF(EXACT('3AC_Data'!$D$8,5),L5,IF(EXACT('3AC_Data'!$D$8,6),M5,IF(EXACT('3AC_Data'!$D$8,7),N5,IF(EXACT('3AC_Data'!$D$8,8),O5,IF(EXACT('3AC_Data'!$D$8,9),P5,IF(EXACT('3AC_Data'!$D$8,10),Q5,IF(EXACT('3AC_Data'!$D$8,11),R5,IF(EXACT('3AC_Data'!$D$8,12),S5,IF(EXACT('3AC_Data'!$D$8,13),T5,IF(EXACT('3AC_Data'!$D$8,14),U5,IF(EXACT('3AC_Data'!$D$8,15),V5,IF(EXACT('3AC_Data'!$D$8,16),W5,IF(EXACT('3AC_Data'!$D$8,17),X5,IF(EXACT('3AC_Data'!$D$8,18),Y5,IF(EXACT('3AC_Data'!$D$8,19),Z5,IF(EXACT('3AC_Data'!$D$8,20),AA5,IF(EXACT('3AC_Data'!$D$8,21),AB5,IF(EXACT('3AC_Data'!$D$8,22),AC5,IF(EXACT('3AC_Data'!$D$8,23),AD5,IF(EXACT('3AC_Data'!$D$8,24),AE5,IF(EXACT('3AC_Data'!$D$8,25),AF5,IF(EXACT('3AC_Data'!$D$8,26),AG5,IF(EXACT('3AC_Data'!$D$8,27),AH5,IF(EXACT('3AC_Data'!$D$8,28),AI5,IF(EXACT('3AC_Data'!$D$8,29),AJ5,IF(EXACT('3AC_Data'!$D$8,30),AK5))))))))))))))))))))))))))))))</f>
        <v>0</v>
      </c>
      <c r="H5" s="24">
        <v>0</v>
      </c>
      <c r="I5" s="24">
        <v>0</v>
      </c>
      <c r="J5" s="24">
        <v>0</v>
      </c>
      <c r="K5" s="24">
        <v>1</v>
      </c>
      <c r="L5" s="24">
        <v>0</v>
      </c>
      <c r="M5" s="24">
        <v>0</v>
      </c>
      <c r="N5" s="24">
        <v>1</v>
      </c>
      <c r="O5" s="24">
        <v>1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1</v>
      </c>
      <c r="V5" s="24">
        <v>1</v>
      </c>
      <c r="W5" s="24">
        <v>1</v>
      </c>
      <c r="X5" s="24">
        <v>1</v>
      </c>
      <c r="Y5" s="24">
        <v>1</v>
      </c>
      <c r="Z5" s="24">
        <v>1</v>
      </c>
      <c r="AA5" s="24">
        <v>0</v>
      </c>
      <c r="AB5" s="24">
        <v>1</v>
      </c>
      <c r="AC5" s="24">
        <v>1</v>
      </c>
      <c r="AD5" s="24">
        <v>1</v>
      </c>
      <c r="AE5" s="137">
        <v>0</v>
      </c>
      <c r="AF5" s="24">
        <v>0</v>
      </c>
      <c r="AG5" s="97">
        <v>0</v>
      </c>
      <c r="AH5" s="24">
        <v>0</v>
      </c>
      <c r="AI5" s="24">
        <v>1</v>
      </c>
      <c r="AJ5" s="24">
        <v>1</v>
      </c>
      <c r="AK5" s="24">
        <v>1</v>
      </c>
    </row>
    <row r="6" spans="2:37" x14ac:dyDescent="0.25">
      <c r="B6" s="2" t="s">
        <v>247</v>
      </c>
      <c r="C6" s="2" t="s">
        <v>257</v>
      </c>
      <c r="D6" s="36">
        <f t="shared" si="0"/>
        <v>0</v>
      </c>
      <c r="E6" s="36"/>
      <c r="F6" s="4"/>
      <c r="G6" s="15">
        <f>+IF(EXACT('3AC_Data'!$D$8,1),H6,IF(EXACT('3AC_Data'!$D$8,2),I6,IF(EXACT('3AC_Data'!$D$8,3),J6,IF(EXACT('3AC_Data'!$D$8,4),K6,IF(EXACT('3AC_Data'!$D$8,5),L6,IF(EXACT('3AC_Data'!$D$8,6),M6,IF(EXACT('3AC_Data'!$D$8,7),N6,IF(EXACT('3AC_Data'!$D$8,8),O6,IF(EXACT('3AC_Data'!$D$8,9),P6,IF(EXACT('3AC_Data'!$D$8,10),Q6,IF(EXACT('3AC_Data'!$D$8,11),R6,IF(EXACT('3AC_Data'!$D$8,12),S6,IF(EXACT('3AC_Data'!$D$8,13),T6,IF(EXACT('3AC_Data'!$D$8,14),U6,IF(EXACT('3AC_Data'!$D$8,15),V6,IF(EXACT('3AC_Data'!$D$8,16),W6,IF(EXACT('3AC_Data'!$D$8,17),X6,IF(EXACT('3AC_Data'!$D$8,18),Y6,IF(EXACT('3AC_Data'!$D$8,19),Z6,IF(EXACT('3AC_Data'!$D$8,20),AA6,IF(EXACT('3AC_Data'!$D$8,21),AB6,IF(EXACT('3AC_Data'!$D$8,22),AC6,IF(EXACT('3AC_Data'!$D$8,23),AD6,IF(EXACT('3AC_Data'!$D$8,24),AE6,IF(EXACT('3AC_Data'!$D$8,25),AF6,IF(EXACT('3AC_Data'!$D$8,26),AG6,IF(EXACT('3AC_Data'!$D$8,27),AH6,IF(EXACT('3AC_Data'!$D$8,28),AI6,IF(EXACT('3AC_Data'!$D$8,29),AJ6,IF(EXACT('3AC_Data'!$D$8,30),AK6))))))))))))))))))))))))))))))</f>
        <v>0</v>
      </c>
      <c r="H6" s="24">
        <v>0</v>
      </c>
      <c r="I6" s="24">
        <v>0</v>
      </c>
      <c r="J6" s="24">
        <v>0</v>
      </c>
      <c r="K6" s="24">
        <v>0</v>
      </c>
      <c r="L6" s="24">
        <v>1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1</v>
      </c>
      <c r="AB6" s="24">
        <v>0</v>
      </c>
      <c r="AC6" s="24">
        <v>0</v>
      </c>
      <c r="AD6" s="24">
        <v>0</v>
      </c>
      <c r="AE6" s="137">
        <v>0</v>
      </c>
      <c r="AF6" s="24">
        <v>0</v>
      </c>
      <c r="AG6" s="97">
        <v>0</v>
      </c>
      <c r="AH6" s="24">
        <v>0</v>
      </c>
      <c r="AI6" s="24">
        <v>0</v>
      </c>
      <c r="AJ6" s="24">
        <v>0</v>
      </c>
      <c r="AK6" s="24">
        <v>0</v>
      </c>
    </row>
    <row r="7" spans="2:37" ht="15" customHeight="1" x14ac:dyDescent="0.25">
      <c r="B7" s="2" t="s">
        <v>248</v>
      </c>
      <c r="C7" s="2" t="s">
        <v>258</v>
      </c>
      <c r="D7" s="36">
        <f t="shared" si="0"/>
        <v>1</v>
      </c>
      <c r="E7" s="36"/>
      <c r="F7" s="4"/>
      <c r="G7" s="15">
        <f>+IF(EXACT('3AC_Data'!$D$8,1),H7,IF(EXACT('3AC_Data'!$D$8,2),I7,IF(EXACT('3AC_Data'!$D$8,3),J7,IF(EXACT('3AC_Data'!$D$8,4),K7,IF(EXACT('3AC_Data'!$D$8,5),L7,IF(EXACT('3AC_Data'!$D$8,6),M7,IF(EXACT('3AC_Data'!$D$8,7),N7,IF(EXACT('3AC_Data'!$D$8,8),O7,IF(EXACT('3AC_Data'!$D$8,9),P7,IF(EXACT('3AC_Data'!$D$8,10),Q7,IF(EXACT('3AC_Data'!$D$8,11),R7,IF(EXACT('3AC_Data'!$D$8,12),S7,IF(EXACT('3AC_Data'!$D$8,13),T7,IF(EXACT('3AC_Data'!$D$8,14),U7,IF(EXACT('3AC_Data'!$D$8,15),V7,IF(EXACT('3AC_Data'!$D$8,16),W7,IF(EXACT('3AC_Data'!$D$8,17),X7,IF(EXACT('3AC_Data'!$D$8,18),Y7,IF(EXACT('3AC_Data'!$D$8,19),Z7,IF(EXACT('3AC_Data'!$D$8,20),AA7,IF(EXACT('3AC_Data'!$D$8,21),AB7,IF(EXACT('3AC_Data'!$D$8,22),AC7,IF(EXACT('3AC_Data'!$D$8,23),AD7,IF(EXACT('3AC_Data'!$D$8,24),AE7,IF(EXACT('3AC_Data'!$D$8,25),AF7,IF(EXACT('3AC_Data'!$D$8,26),AG7,IF(EXACT('3AC_Data'!$D$8,27),AH7,IF(EXACT('3AC_Data'!$D$8,28),AI7,IF(EXACT('3AC_Data'!$D$8,29),AJ7,IF(EXACT('3AC_Data'!$D$8,30),AK7))))))))))))))))))))))))))))))</f>
        <v>1</v>
      </c>
      <c r="H7" s="24">
        <v>1</v>
      </c>
      <c r="I7" s="24">
        <v>1</v>
      </c>
      <c r="J7" s="24">
        <v>1</v>
      </c>
      <c r="K7" s="24">
        <v>0</v>
      </c>
      <c r="L7" s="24">
        <v>0</v>
      </c>
      <c r="M7" s="24">
        <v>1</v>
      </c>
      <c r="N7" s="24">
        <v>0</v>
      </c>
      <c r="O7" s="24">
        <v>0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137">
        <v>1</v>
      </c>
      <c r="AF7" s="24">
        <v>1</v>
      </c>
      <c r="AG7" s="97">
        <v>1</v>
      </c>
      <c r="AH7" s="24">
        <v>1</v>
      </c>
      <c r="AI7" s="24">
        <v>0</v>
      </c>
      <c r="AJ7" s="24">
        <v>0</v>
      </c>
      <c r="AK7" s="24">
        <v>0</v>
      </c>
    </row>
    <row r="8" spans="2:37" ht="15" customHeight="1" x14ac:dyDescent="0.25">
      <c r="B8" s="2" t="s">
        <v>1520</v>
      </c>
      <c r="C8" s="2" t="s">
        <v>1521</v>
      </c>
      <c r="D8" s="36">
        <f t="shared" ref="D8" si="1">+G8</f>
        <v>0</v>
      </c>
      <c r="E8" s="36"/>
      <c r="F8" s="4"/>
      <c r="G8" s="15">
        <f>+IF(EXACT('3AC_Data'!$D$8,1),H8,IF(EXACT('3AC_Data'!$D$8,2),I8,IF(EXACT('3AC_Data'!$D$8,3),J8,IF(EXACT('3AC_Data'!$D$8,4),K8,IF(EXACT('3AC_Data'!$D$8,5),L8,IF(EXACT('3AC_Data'!$D$8,6),M8,IF(EXACT('3AC_Data'!$D$8,7),N8,IF(EXACT('3AC_Data'!$D$8,8),O8,IF(EXACT('3AC_Data'!$D$8,9),P8,IF(EXACT('3AC_Data'!$D$8,10),Q8,IF(EXACT('3AC_Data'!$D$8,11),R8,IF(EXACT('3AC_Data'!$D$8,12),S8,IF(EXACT('3AC_Data'!$D$8,13),T8,IF(EXACT('3AC_Data'!$D$8,14),U8,IF(EXACT('3AC_Data'!$D$8,15),V8,IF(EXACT('3AC_Data'!$D$8,16),W8,IF(EXACT('3AC_Data'!$D$8,17),X8,IF(EXACT('3AC_Data'!$D$8,18),Y8,IF(EXACT('3AC_Data'!$D$8,19),Z8,IF(EXACT('3AC_Data'!$D$8,20),AA8,IF(EXACT('3AC_Data'!$D$8,21),AB8,IF(EXACT('3AC_Data'!$D$8,22),AC8,IF(EXACT('3AC_Data'!$D$8,23),AD8,IF(EXACT('3AC_Data'!$D$8,24),AE8,IF(EXACT('3AC_Data'!$D$8,25),AF8,IF(EXACT('3AC_Data'!$D$8,26),AG8,IF(EXACT('3AC_Data'!$D$8,27),AH8,IF(EXACT('3AC_Data'!$D$8,28),AI8,IF(EXACT('3AC_Data'!$D$8,29),AJ8,IF(EXACT('3AC_Data'!$D$8,30),AK8))))))))))))))))))))))))))))))</f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137">
        <v>1</v>
      </c>
      <c r="AF8" s="24">
        <v>0</v>
      </c>
      <c r="AG8" s="97">
        <v>0</v>
      </c>
      <c r="AH8" s="24">
        <v>0</v>
      </c>
      <c r="AI8" s="24">
        <v>0</v>
      </c>
      <c r="AJ8" s="24">
        <v>0</v>
      </c>
      <c r="AK8" s="24">
        <v>0</v>
      </c>
    </row>
    <row r="9" spans="2:37" x14ac:dyDescent="0.25">
      <c r="B9" s="2" t="s">
        <v>249</v>
      </c>
      <c r="C9" s="2" t="s">
        <v>259</v>
      </c>
      <c r="D9" s="36">
        <f t="shared" si="0"/>
        <v>1</v>
      </c>
      <c r="E9" s="36"/>
      <c r="F9" s="4"/>
      <c r="G9" s="15">
        <f>+IF(EXACT('3AC_Data'!$D$8,1),H9,IF(EXACT('3AC_Data'!$D$8,2),I9,IF(EXACT('3AC_Data'!$D$8,3),J9,IF(EXACT('3AC_Data'!$D$8,4),K9,IF(EXACT('3AC_Data'!$D$8,5),L9,IF(EXACT('3AC_Data'!$D$8,6),M9,IF(EXACT('3AC_Data'!$D$8,7),N9,IF(EXACT('3AC_Data'!$D$8,8),O9,IF(EXACT('3AC_Data'!$D$8,9),P9,IF(EXACT('3AC_Data'!$D$8,10),Q9,IF(EXACT('3AC_Data'!$D$8,11),R9,IF(EXACT('3AC_Data'!$D$8,12),S9,IF(EXACT('3AC_Data'!$D$8,13),T9,IF(EXACT('3AC_Data'!$D$8,14),U9,IF(EXACT('3AC_Data'!$D$8,15),V9,IF(EXACT('3AC_Data'!$D$8,16),W9,IF(EXACT('3AC_Data'!$D$8,17),X9,IF(EXACT('3AC_Data'!$D$8,18),Y9,IF(EXACT('3AC_Data'!$D$8,19),Z9,IF(EXACT('3AC_Data'!$D$8,20),AA9,IF(EXACT('3AC_Data'!$D$8,21),AB9,IF(EXACT('3AC_Data'!$D$8,22),AC9,IF(EXACT('3AC_Data'!$D$8,23),AD9,IF(EXACT('3AC_Data'!$D$8,24),AE9,IF(EXACT('3AC_Data'!$D$8,25),AF9,IF(EXACT('3AC_Data'!$D$8,26),AG9,IF(EXACT('3AC_Data'!$D$8,27),AH9,IF(EXACT('3AC_Data'!$D$8,28),AI9,IF(EXACT('3AC_Data'!$D$8,29),AJ9,IF(EXACT('3AC_Data'!$D$8,30),AK9))))))))))))))))))))))))))))))</f>
        <v>1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1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137">
        <v>0</v>
      </c>
      <c r="AF9" s="24">
        <v>0</v>
      </c>
      <c r="AG9" s="97">
        <v>0</v>
      </c>
      <c r="AH9" s="24">
        <v>0</v>
      </c>
      <c r="AI9" s="24">
        <v>0</v>
      </c>
      <c r="AJ9" s="24">
        <v>0</v>
      </c>
      <c r="AK9" s="24">
        <v>0</v>
      </c>
    </row>
    <row r="10" spans="2:37" x14ac:dyDescent="0.25">
      <c r="B10" s="2" t="s">
        <v>250</v>
      </c>
      <c r="C10" s="2" t="s">
        <v>260</v>
      </c>
      <c r="D10" s="36">
        <f t="shared" si="0"/>
        <v>1</v>
      </c>
      <c r="E10" s="36"/>
      <c r="F10" s="4"/>
      <c r="G10" s="15">
        <f>+IF(EXACT('3AC_Data'!$D$8,1),H10,IF(EXACT('3AC_Data'!$D$8,2),I10,IF(EXACT('3AC_Data'!$D$8,3),J10,IF(EXACT('3AC_Data'!$D$8,4),K10,IF(EXACT('3AC_Data'!$D$8,5),L10,IF(EXACT('3AC_Data'!$D$8,6),M10,IF(EXACT('3AC_Data'!$D$8,7),N10,IF(EXACT('3AC_Data'!$D$8,8),O10,IF(EXACT('3AC_Data'!$D$8,9),P10,IF(EXACT('3AC_Data'!$D$8,10),Q10,IF(EXACT('3AC_Data'!$D$8,11),R10,IF(EXACT('3AC_Data'!$D$8,12),S10,IF(EXACT('3AC_Data'!$D$8,13),T10,IF(EXACT('3AC_Data'!$D$8,14),U10,IF(EXACT('3AC_Data'!$D$8,15),V10,IF(EXACT('3AC_Data'!$D$8,16),W10,IF(EXACT('3AC_Data'!$D$8,17),X10,IF(EXACT('3AC_Data'!$D$8,18),Y10,IF(EXACT('3AC_Data'!$D$8,19),Z10,IF(EXACT('3AC_Data'!$D$8,20),AA10,IF(EXACT('3AC_Data'!$D$8,21),AB10,IF(EXACT('3AC_Data'!$D$8,22),AC10,IF(EXACT('3AC_Data'!$D$8,23),AD10,IF(EXACT('3AC_Data'!$D$8,24),AE10,IF(EXACT('3AC_Data'!$D$8,25),AF10,IF(EXACT('3AC_Data'!$D$8,26),AG10,IF(EXACT('3AC_Data'!$D$8,27),AH10,IF(EXACT('3AC_Data'!$D$8,28),AI10,IF(EXACT('3AC_Data'!$D$8,29),AJ10,IF(EXACT('3AC_Data'!$D$8,30),AK10))))))))))))))))))))))))))))))</f>
        <v>1</v>
      </c>
      <c r="H10" s="24">
        <v>1</v>
      </c>
      <c r="I10" s="24">
        <v>1</v>
      </c>
      <c r="J10" s="24">
        <v>1</v>
      </c>
      <c r="K10" s="24">
        <v>1</v>
      </c>
      <c r="L10" s="24">
        <v>0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4">
        <v>1</v>
      </c>
      <c r="X10" s="24">
        <v>1</v>
      </c>
      <c r="Y10" s="24">
        <v>1</v>
      </c>
      <c r="Z10" s="24">
        <v>1</v>
      </c>
      <c r="AA10" s="24">
        <v>1</v>
      </c>
      <c r="AB10" s="24">
        <v>0</v>
      </c>
      <c r="AC10" s="24">
        <v>1</v>
      </c>
      <c r="AD10" s="24">
        <v>1</v>
      </c>
      <c r="AE10" s="137">
        <v>1</v>
      </c>
      <c r="AF10" s="24">
        <v>1</v>
      </c>
      <c r="AG10" s="97">
        <v>1</v>
      </c>
      <c r="AH10" s="24">
        <v>1</v>
      </c>
      <c r="AI10" s="24">
        <v>1</v>
      </c>
      <c r="AJ10" s="24">
        <v>1</v>
      </c>
      <c r="AK10" s="24">
        <v>1</v>
      </c>
    </row>
    <row r="11" spans="2:37" x14ac:dyDescent="0.25">
      <c r="B11" s="2" t="s">
        <v>251</v>
      </c>
      <c r="C11" s="2" t="s">
        <v>261</v>
      </c>
      <c r="D11" s="36">
        <f t="shared" si="0"/>
        <v>0</v>
      </c>
      <c r="E11" s="36"/>
      <c r="F11" s="4"/>
      <c r="G11" s="15">
        <f>+IF(EXACT('3AC_Data'!$D$8,1),H11,IF(EXACT('3AC_Data'!$D$8,2),I11,IF(EXACT('3AC_Data'!$D$8,3),J11,IF(EXACT('3AC_Data'!$D$8,4),K11,IF(EXACT('3AC_Data'!$D$8,5),L11,IF(EXACT('3AC_Data'!$D$8,6),M11,IF(EXACT('3AC_Data'!$D$8,7),N11,IF(EXACT('3AC_Data'!$D$8,8),O11,IF(EXACT('3AC_Data'!$D$8,9),P11,IF(EXACT('3AC_Data'!$D$8,10),Q11,IF(EXACT('3AC_Data'!$D$8,11),R11,IF(EXACT('3AC_Data'!$D$8,12),S11,IF(EXACT('3AC_Data'!$D$8,13),T11,IF(EXACT('3AC_Data'!$D$8,14),U11,IF(EXACT('3AC_Data'!$D$8,15),V11,IF(EXACT('3AC_Data'!$D$8,16),W11,IF(EXACT('3AC_Data'!$D$8,17),X11,IF(EXACT('3AC_Data'!$D$8,18),Y11,IF(EXACT('3AC_Data'!$D$8,19),Z11,IF(EXACT('3AC_Data'!$D$8,20),AA11,IF(EXACT('3AC_Data'!$D$8,21),AB11,IF(EXACT('3AC_Data'!$D$8,22),AC11,IF(EXACT('3AC_Data'!$D$8,23),AD11,IF(EXACT('3AC_Data'!$D$8,24),AE11,IF(EXACT('3AC_Data'!$D$8,25),AF11,IF(EXACT('3AC_Data'!$D$8,26),AG11,IF(EXACT('3AC_Data'!$D$8,27),AH11,IF(EXACT('3AC_Data'!$D$8,28),AI11,IF(EXACT('3AC_Data'!$D$8,29),AJ11,IF(EXACT('3AC_Data'!$D$8,30),AK11))))))))))))))))))))))))))))))</f>
        <v>0</v>
      </c>
      <c r="H11" s="24">
        <v>0</v>
      </c>
      <c r="I11" s="24">
        <v>0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137">
        <v>0</v>
      </c>
      <c r="AF11" s="24">
        <v>0</v>
      </c>
      <c r="AG11" s="97">
        <v>0</v>
      </c>
      <c r="AH11" s="24">
        <v>0</v>
      </c>
      <c r="AI11" s="24">
        <v>0</v>
      </c>
      <c r="AJ11" s="24">
        <v>0</v>
      </c>
      <c r="AK11" s="24">
        <v>0</v>
      </c>
    </row>
    <row r="12" spans="2:37" x14ac:dyDescent="0.25">
      <c r="B12" s="2" t="s">
        <v>253</v>
      </c>
      <c r="C12" s="2" t="s">
        <v>262</v>
      </c>
      <c r="D12" s="36">
        <f t="shared" si="0"/>
        <v>0</v>
      </c>
      <c r="E12" s="36"/>
      <c r="F12" s="4"/>
      <c r="G12" s="15">
        <f>+IF(EXACT('3AC_Data'!$D$8,1),H12,IF(EXACT('3AC_Data'!$D$8,2),I12,IF(EXACT('3AC_Data'!$D$8,3),J12,IF(EXACT('3AC_Data'!$D$8,4),K12,IF(EXACT('3AC_Data'!$D$8,5),L12,IF(EXACT('3AC_Data'!$D$8,6),M12,IF(EXACT('3AC_Data'!$D$8,7),N12,IF(EXACT('3AC_Data'!$D$8,8),O12,IF(EXACT('3AC_Data'!$D$8,9),P12,IF(EXACT('3AC_Data'!$D$8,10),Q12,IF(EXACT('3AC_Data'!$D$8,11),R12,IF(EXACT('3AC_Data'!$D$8,12),S12,IF(EXACT('3AC_Data'!$D$8,13),T12,IF(EXACT('3AC_Data'!$D$8,14),U12,IF(EXACT('3AC_Data'!$D$8,15),V12,IF(EXACT('3AC_Data'!$D$8,16),W12,IF(EXACT('3AC_Data'!$D$8,17),X12,IF(EXACT('3AC_Data'!$D$8,18),Y12,IF(EXACT('3AC_Data'!$D$8,19),Z12,IF(EXACT('3AC_Data'!$D$8,20),AA12,IF(EXACT('3AC_Data'!$D$8,21),AB12,IF(EXACT('3AC_Data'!$D$8,22),AC12,IF(EXACT('3AC_Data'!$D$8,23),AD12,IF(EXACT('3AC_Data'!$D$8,24),AE12,IF(EXACT('3AC_Data'!$D$8,25),AF12,IF(EXACT('3AC_Data'!$D$8,26),AG12,IF(EXACT('3AC_Data'!$D$8,27),AH12,IF(EXACT('3AC_Data'!$D$8,28),AI12,IF(EXACT('3AC_Data'!$D$8,29),AJ12,IF(EXACT('3AC_Data'!$D$8,30),AK12))))))))))))))))))))))))))))))</f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4">
        <v>0</v>
      </c>
      <c r="AB12" s="25">
        <v>0</v>
      </c>
      <c r="AC12" s="25">
        <v>0</v>
      </c>
      <c r="AD12" s="25">
        <v>0</v>
      </c>
      <c r="AE12" s="162">
        <v>0</v>
      </c>
      <c r="AF12" s="25">
        <v>0</v>
      </c>
      <c r="AG12" s="161">
        <v>0</v>
      </c>
      <c r="AH12" s="25">
        <v>0</v>
      </c>
      <c r="AI12" s="25">
        <v>0</v>
      </c>
      <c r="AJ12" s="25">
        <v>0</v>
      </c>
      <c r="AK12" s="25">
        <v>0</v>
      </c>
    </row>
    <row r="13" spans="2:37" x14ac:dyDescent="0.25">
      <c r="B13" s="2" t="s">
        <v>252</v>
      </c>
      <c r="C13" s="2" t="s">
        <v>263</v>
      </c>
      <c r="D13" s="36">
        <f t="shared" si="0"/>
        <v>0</v>
      </c>
      <c r="E13" s="36"/>
      <c r="F13" s="4"/>
      <c r="G13" s="15">
        <f>+IF(EXACT('3AC_Data'!$D$8,1),H13,IF(EXACT('3AC_Data'!$D$8,2),I13,IF(EXACT('3AC_Data'!$D$8,3),J13,IF(EXACT('3AC_Data'!$D$8,4),K13,IF(EXACT('3AC_Data'!$D$8,5),L13,IF(EXACT('3AC_Data'!$D$8,6),M13,IF(EXACT('3AC_Data'!$D$8,7),N13,IF(EXACT('3AC_Data'!$D$8,8),O13,IF(EXACT('3AC_Data'!$D$8,9),P13,IF(EXACT('3AC_Data'!$D$8,10),Q13,IF(EXACT('3AC_Data'!$D$8,11),R13,IF(EXACT('3AC_Data'!$D$8,12),S13,IF(EXACT('3AC_Data'!$D$8,13),T13,IF(EXACT('3AC_Data'!$D$8,14),U13,IF(EXACT('3AC_Data'!$D$8,15),V13,IF(EXACT('3AC_Data'!$D$8,16),W13,IF(EXACT('3AC_Data'!$D$8,17),X13,IF(EXACT('3AC_Data'!$D$8,18),Y13,IF(EXACT('3AC_Data'!$D$8,19),Z13,IF(EXACT('3AC_Data'!$D$8,20),AA13,IF(EXACT('3AC_Data'!$D$8,21),AB13,IF(EXACT('3AC_Data'!$D$8,22),AC13,IF(EXACT('3AC_Data'!$D$8,23),AD13,IF(EXACT('3AC_Data'!$D$8,24),AE13,IF(EXACT('3AC_Data'!$D$8,25),AF13,IF(EXACT('3AC_Data'!$D$8,26),AG13,IF(EXACT('3AC_Data'!$D$8,27),AH13,IF(EXACT('3AC_Data'!$D$8,28),AI13,IF(EXACT('3AC_Data'!$D$8,29),AJ13,IF(EXACT('3AC_Data'!$D$8,30),AK13))))))))))))))))))))))))))))))</f>
        <v>0</v>
      </c>
      <c r="H13" s="24">
        <v>1</v>
      </c>
      <c r="I13" s="24">
        <v>1</v>
      </c>
      <c r="J13" s="24">
        <v>0</v>
      </c>
      <c r="K13" s="24">
        <v>1</v>
      </c>
      <c r="L13" s="24">
        <v>1</v>
      </c>
      <c r="M13" s="24">
        <v>0</v>
      </c>
      <c r="N13" s="24">
        <v>1</v>
      </c>
      <c r="O13" s="24">
        <v>1</v>
      </c>
      <c r="P13" s="24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1</v>
      </c>
      <c r="W13" s="24">
        <v>1</v>
      </c>
      <c r="X13" s="24">
        <v>1</v>
      </c>
      <c r="Y13" s="24">
        <v>1</v>
      </c>
      <c r="Z13" s="24">
        <v>1</v>
      </c>
      <c r="AA13" s="24">
        <v>0</v>
      </c>
      <c r="AB13" s="25">
        <v>0</v>
      </c>
      <c r="AC13" s="24">
        <v>1</v>
      </c>
      <c r="AD13" s="24">
        <v>1</v>
      </c>
      <c r="AE13" s="137">
        <v>0</v>
      </c>
      <c r="AF13" s="24">
        <v>0</v>
      </c>
      <c r="AG13" s="97">
        <v>0</v>
      </c>
      <c r="AH13" s="24">
        <v>0</v>
      </c>
      <c r="AI13" s="24">
        <v>1</v>
      </c>
      <c r="AJ13" s="24">
        <v>1</v>
      </c>
      <c r="AK13" s="24">
        <v>1</v>
      </c>
    </row>
    <row r="14" spans="2:37" x14ac:dyDescent="0.25">
      <c r="B14" s="2" t="s">
        <v>254</v>
      </c>
      <c r="C14" s="2" t="s">
        <v>264</v>
      </c>
      <c r="D14" s="36">
        <f t="shared" si="0"/>
        <v>0</v>
      </c>
      <c r="E14" s="36"/>
      <c r="F14" s="4"/>
      <c r="G14" s="15">
        <f>+IF(EXACT('3AC_Data'!$D$8,1),H14,IF(EXACT('3AC_Data'!$D$8,2),I14,IF(EXACT('3AC_Data'!$D$8,3),J14,IF(EXACT('3AC_Data'!$D$8,4),K14,IF(EXACT('3AC_Data'!$D$8,5),L14,IF(EXACT('3AC_Data'!$D$8,6),M14,IF(EXACT('3AC_Data'!$D$8,7),N14,IF(EXACT('3AC_Data'!$D$8,8),O14,IF(EXACT('3AC_Data'!$D$8,9),P14,IF(EXACT('3AC_Data'!$D$8,10),Q14,IF(EXACT('3AC_Data'!$D$8,11),R14,IF(EXACT('3AC_Data'!$D$8,12),S14,IF(EXACT('3AC_Data'!$D$8,13),T14,IF(EXACT('3AC_Data'!$D$8,14),U14,IF(EXACT('3AC_Data'!$D$8,15),V14,IF(EXACT('3AC_Data'!$D$8,16),W14,IF(EXACT('3AC_Data'!$D$8,17),X14,IF(EXACT('3AC_Data'!$D$8,18),Y14,IF(EXACT('3AC_Data'!$D$8,19),Z14,IF(EXACT('3AC_Data'!$D$8,20),AA14,IF(EXACT('3AC_Data'!$D$8,21),AB14,IF(EXACT('3AC_Data'!$D$8,22),AC14,IF(EXACT('3AC_Data'!$D$8,23),AD14,IF(EXACT('3AC_Data'!$D$8,24),AE14,IF(EXACT('3AC_Data'!$D$8,25),AF14,IF(EXACT('3AC_Data'!$D$8,26),AG14,IF(EXACT('3AC_Data'!$D$8,27),AH14,IF(EXACT('3AC_Data'!$D$8,28),AI14,IF(EXACT('3AC_Data'!$D$8,29),AJ14,IF(EXACT('3AC_Data'!$D$8,30),AK14))))))))))))))))))))))))))))))</f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v>1</v>
      </c>
      <c r="O14" s="24">
        <v>1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1</v>
      </c>
      <c r="X14" s="24">
        <v>1</v>
      </c>
      <c r="Y14" s="24">
        <v>1</v>
      </c>
      <c r="Z14" s="24">
        <v>1</v>
      </c>
      <c r="AA14" s="24">
        <v>0</v>
      </c>
      <c r="AB14" s="24">
        <v>0</v>
      </c>
      <c r="AC14" s="24">
        <v>1</v>
      </c>
      <c r="AD14" s="24">
        <v>1</v>
      </c>
      <c r="AE14" s="137">
        <v>0</v>
      </c>
      <c r="AF14" s="24">
        <v>0</v>
      </c>
      <c r="AG14" s="97">
        <v>0</v>
      </c>
      <c r="AH14" s="24">
        <v>0</v>
      </c>
      <c r="AI14" s="24">
        <v>0</v>
      </c>
      <c r="AJ14" s="24">
        <v>0</v>
      </c>
      <c r="AK14" s="24">
        <v>0</v>
      </c>
    </row>
    <row r="15" spans="2:37" x14ac:dyDescent="0.25">
      <c r="B15" s="2" t="s">
        <v>1222</v>
      </c>
      <c r="C15" s="2" t="s">
        <v>1207</v>
      </c>
      <c r="D15" s="36">
        <f t="shared" si="0"/>
        <v>0</v>
      </c>
      <c r="E15" s="36"/>
      <c r="F15" s="4"/>
      <c r="G15" s="15">
        <f>+IF(EXACT('3AC_Data'!$D$8,1),H15,IF(EXACT('3AC_Data'!$D$8,2),I15,IF(EXACT('3AC_Data'!$D$8,3),J15,IF(EXACT('3AC_Data'!$D$8,4),K15,IF(EXACT('3AC_Data'!$D$8,5),L15,IF(EXACT('3AC_Data'!$D$8,6),M15,IF(EXACT('3AC_Data'!$D$8,7),N15,IF(EXACT('3AC_Data'!$D$8,8),O15,IF(EXACT('3AC_Data'!$D$8,9),P15,IF(EXACT('3AC_Data'!$D$8,10),Q15,IF(EXACT('3AC_Data'!$D$8,11),R15,IF(EXACT('3AC_Data'!$D$8,12),S15,IF(EXACT('3AC_Data'!$D$8,13),T15,IF(EXACT('3AC_Data'!$D$8,14),U15,IF(EXACT('3AC_Data'!$D$8,15),V15,IF(EXACT('3AC_Data'!$D$8,16),W15,IF(EXACT('3AC_Data'!$D$8,17),X15,IF(EXACT('3AC_Data'!$D$8,18),Y15,IF(EXACT('3AC_Data'!$D$8,19),Z15,IF(EXACT('3AC_Data'!$D$8,20),AA15,IF(EXACT('3AC_Data'!$D$8,21),AB15,IF(EXACT('3AC_Data'!$D$8,22),AC15,IF(EXACT('3AC_Data'!$D$8,23),AD15,IF(EXACT('3AC_Data'!$D$8,24),AE15,IF(EXACT('3AC_Data'!$D$8,25),AF15,IF(EXACT('3AC_Data'!$D$8,26),AG15,IF(EXACT('3AC_Data'!$D$8,27),AH15,IF(EXACT('3AC_Data'!$D$8,28),AI15,IF(EXACT('3AC_Data'!$D$8,29),AJ15,IF(EXACT('3AC_Data'!$D$8,30),AK15))))))))))))))))))))))))))))))</f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1</v>
      </c>
      <c r="X15" s="24">
        <v>1</v>
      </c>
      <c r="Y15" s="24">
        <v>1</v>
      </c>
      <c r="Z15" s="24">
        <v>1</v>
      </c>
      <c r="AA15" s="24">
        <v>0</v>
      </c>
      <c r="AB15" s="24">
        <v>1</v>
      </c>
      <c r="AC15" s="24">
        <v>0</v>
      </c>
      <c r="AD15" s="24">
        <v>0</v>
      </c>
      <c r="AE15" s="137">
        <v>0</v>
      </c>
      <c r="AF15" s="24">
        <v>0</v>
      </c>
      <c r="AG15" s="97">
        <v>0</v>
      </c>
      <c r="AH15" s="24">
        <v>0</v>
      </c>
      <c r="AI15" s="24">
        <v>0</v>
      </c>
      <c r="AJ15" s="24">
        <v>0</v>
      </c>
      <c r="AK15" s="24">
        <v>0</v>
      </c>
    </row>
    <row r="16" spans="2:37" x14ac:dyDescent="0.25">
      <c r="B16" s="2" t="s">
        <v>1220</v>
      </c>
      <c r="C16" s="2" t="s">
        <v>1218</v>
      </c>
      <c r="D16" s="36">
        <f t="shared" si="0"/>
        <v>0</v>
      </c>
      <c r="E16" s="36"/>
      <c r="F16" s="4"/>
      <c r="G16" s="15">
        <f>+IF(EXACT('3AC_Data'!$D$8,1),H16,IF(EXACT('3AC_Data'!$D$8,2),I16,IF(EXACT('3AC_Data'!$D$8,3),J16,IF(EXACT('3AC_Data'!$D$8,4),K16,IF(EXACT('3AC_Data'!$D$8,5),L16,IF(EXACT('3AC_Data'!$D$8,6),M16,IF(EXACT('3AC_Data'!$D$8,7),N16,IF(EXACT('3AC_Data'!$D$8,8),O16,IF(EXACT('3AC_Data'!$D$8,9),P16,IF(EXACT('3AC_Data'!$D$8,10),Q16,IF(EXACT('3AC_Data'!$D$8,11),R16,IF(EXACT('3AC_Data'!$D$8,12),S16,IF(EXACT('3AC_Data'!$D$8,13),T16,IF(EXACT('3AC_Data'!$D$8,14),U16,IF(EXACT('3AC_Data'!$D$8,15),V16,IF(EXACT('3AC_Data'!$D$8,16),W16,IF(EXACT('3AC_Data'!$D$8,17),X16,IF(EXACT('3AC_Data'!$D$8,18),Y16,IF(EXACT('3AC_Data'!$D$8,19),Z16,IF(EXACT('3AC_Data'!$D$8,20),AA16,IF(EXACT('3AC_Data'!$D$8,21),AB16,IF(EXACT('3AC_Data'!$D$8,22),AC16,IF(EXACT('3AC_Data'!$D$8,23),AD16,IF(EXACT('3AC_Data'!$D$8,24),AE16,IF(EXACT('3AC_Data'!$D$8,25),AF16,IF(EXACT('3AC_Data'!$D$8,26),AG16,IF(EXACT('3AC_Data'!$D$8,27),AH16,IF(EXACT('3AC_Data'!$D$8,28),AI16,IF(EXACT('3AC_Data'!$D$8,29),AJ16,IF(EXACT('3AC_Data'!$D$8,30),AK16))))))))))))))))))))))))))))))</f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1</v>
      </c>
      <c r="X16" s="24">
        <v>1</v>
      </c>
      <c r="Y16" s="24">
        <v>1</v>
      </c>
      <c r="Z16" s="24">
        <v>1</v>
      </c>
      <c r="AA16" s="24">
        <v>0</v>
      </c>
      <c r="AB16" s="24">
        <v>0</v>
      </c>
      <c r="AC16" s="24">
        <v>0</v>
      </c>
      <c r="AD16" s="24">
        <v>0</v>
      </c>
      <c r="AE16" s="137">
        <v>0</v>
      </c>
      <c r="AF16" s="24">
        <v>0</v>
      </c>
      <c r="AG16" s="97">
        <v>0</v>
      </c>
      <c r="AH16" s="24">
        <v>0</v>
      </c>
      <c r="AI16" s="24">
        <v>0</v>
      </c>
      <c r="AJ16" s="24">
        <v>0</v>
      </c>
      <c r="AK16" s="24">
        <v>0</v>
      </c>
    </row>
    <row r="17" spans="1:37" x14ac:dyDescent="0.25">
      <c r="B17" s="2" t="s">
        <v>1221</v>
      </c>
      <c r="C17" s="2" t="s">
        <v>1219</v>
      </c>
      <c r="D17" s="36">
        <f t="shared" si="0"/>
        <v>0</v>
      </c>
      <c r="E17" s="36"/>
      <c r="F17" s="4"/>
      <c r="G17" s="15">
        <f>+IF(EXACT('3AC_Data'!$D$8,1),H17,IF(EXACT('3AC_Data'!$D$8,2),I17,IF(EXACT('3AC_Data'!$D$8,3),J17,IF(EXACT('3AC_Data'!$D$8,4),K17,IF(EXACT('3AC_Data'!$D$8,5),L17,IF(EXACT('3AC_Data'!$D$8,6),M17,IF(EXACT('3AC_Data'!$D$8,7),N17,IF(EXACT('3AC_Data'!$D$8,8),O17,IF(EXACT('3AC_Data'!$D$8,9),P17,IF(EXACT('3AC_Data'!$D$8,10),Q17,IF(EXACT('3AC_Data'!$D$8,11),R17,IF(EXACT('3AC_Data'!$D$8,12),S17,IF(EXACT('3AC_Data'!$D$8,13),T17,IF(EXACT('3AC_Data'!$D$8,14),U17,IF(EXACT('3AC_Data'!$D$8,15),V17,IF(EXACT('3AC_Data'!$D$8,16),W17,IF(EXACT('3AC_Data'!$D$8,17),X17,IF(EXACT('3AC_Data'!$D$8,18),Y17,IF(EXACT('3AC_Data'!$D$8,19),Z17,IF(EXACT('3AC_Data'!$D$8,20),AA17,IF(EXACT('3AC_Data'!$D$8,21),AB17,IF(EXACT('3AC_Data'!$D$8,22),AC17,IF(EXACT('3AC_Data'!$D$8,23),AD17,IF(EXACT('3AC_Data'!$D$8,24),AE17,IF(EXACT('3AC_Data'!$D$8,25),AF17,IF(EXACT('3AC_Data'!$D$8,26),AG17,IF(EXACT('3AC_Data'!$D$8,27),AH17,IF(EXACT('3AC_Data'!$D$8,28),AI17,IF(EXACT('3AC_Data'!$D$8,29),AJ17,IF(EXACT('3AC_Data'!$D$8,30),AK17))))))))))))))))))))))))))))))</f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2</v>
      </c>
      <c r="X17" s="24">
        <v>2</v>
      </c>
      <c r="Y17" s="24">
        <v>2</v>
      </c>
      <c r="Z17" s="24">
        <v>2</v>
      </c>
      <c r="AA17" s="24">
        <v>0</v>
      </c>
      <c r="AB17" s="24">
        <v>0</v>
      </c>
      <c r="AC17" s="24">
        <v>0</v>
      </c>
      <c r="AD17" s="24">
        <v>0</v>
      </c>
      <c r="AE17" s="137">
        <v>0</v>
      </c>
      <c r="AF17" s="24">
        <v>0</v>
      </c>
      <c r="AG17" s="97">
        <v>0</v>
      </c>
      <c r="AH17" s="24">
        <v>0</v>
      </c>
      <c r="AI17" s="24">
        <v>0</v>
      </c>
      <c r="AJ17" s="24">
        <v>0</v>
      </c>
      <c r="AK17" s="24">
        <v>0</v>
      </c>
    </row>
    <row r="18" spans="1:37" x14ac:dyDescent="0.25">
      <c r="B18" s="2" t="s">
        <v>1210</v>
      </c>
      <c r="C18" s="2" t="s">
        <v>1208</v>
      </c>
      <c r="D18" s="36">
        <f t="shared" si="0"/>
        <v>0</v>
      </c>
      <c r="E18" s="36"/>
      <c r="F18" s="4"/>
      <c r="G18" s="15">
        <f>+IF(EXACT('3AC_Data'!$D$8,1),H18,IF(EXACT('3AC_Data'!$D$8,2),I18,IF(EXACT('3AC_Data'!$D$8,3),J18,IF(EXACT('3AC_Data'!$D$8,4),K18,IF(EXACT('3AC_Data'!$D$8,5),L18,IF(EXACT('3AC_Data'!$D$8,6),M18,IF(EXACT('3AC_Data'!$D$8,7),N18,IF(EXACT('3AC_Data'!$D$8,8),O18,IF(EXACT('3AC_Data'!$D$8,9),P18,IF(EXACT('3AC_Data'!$D$8,10),Q18,IF(EXACT('3AC_Data'!$D$8,11),R18,IF(EXACT('3AC_Data'!$D$8,12),S18,IF(EXACT('3AC_Data'!$D$8,13),T18,IF(EXACT('3AC_Data'!$D$8,14),U18,IF(EXACT('3AC_Data'!$D$8,15),V18,IF(EXACT('3AC_Data'!$D$8,16),W18,IF(EXACT('3AC_Data'!$D$8,17),X18,IF(EXACT('3AC_Data'!$D$8,18),Y18,IF(EXACT('3AC_Data'!$D$8,19),Z18,IF(EXACT('3AC_Data'!$D$8,20),AA18,IF(EXACT('3AC_Data'!$D$8,21),AB18,IF(EXACT('3AC_Data'!$D$8,22),AC18,IF(EXACT('3AC_Data'!$D$8,23),AD18,IF(EXACT('3AC_Data'!$D$8,24),AE18,IF(EXACT('3AC_Data'!$D$8,25),AF18,IF(EXACT('3AC_Data'!$D$8,26),AG18,IF(EXACT('3AC_Data'!$D$8,27),AH18,IF(EXACT('3AC_Data'!$D$8,28),AI18,IF(EXACT('3AC_Data'!$D$8,29),AJ18,IF(EXACT('3AC_Data'!$D$8,30),AK18))))))))))))))))))))))))))))))</f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1</v>
      </c>
      <c r="X18" s="24">
        <v>1</v>
      </c>
      <c r="Y18" s="24">
        <v>1</v>
      </c>
      <c r="Z18" s="24">
        <v>1</v>
      </c>
      <c r="AA18" s="24">
        <v>0</v>
      </c>
      <c r="AB18" s="24">
        <v>0</v>
      </c>
      <c r="AC18" s="24">
        <v>0</v>
      </c>
      <c r="AD18" s="24">
        <v>0</v>
      </c>
      <c r="AE18" s="137">
        <v>0</v>
      </c>
      <c r="AF18" s="24">
        <v>0</v>
      </c>
      <c r="AG18" s="97">
        <v>0</v>
      </c>
      <c r="AH18" s="24">
        <v>0</v>
      </c>
      <c r="AI18" s="24">
        <v>0</v>
      </c>
      <c r="AJ18" s="24">
        <v>0</v>
      </c>
      <c r="AK18" s="24">
        <v>0</v>
      </c>
    </row>
    <row r="19" spans="1:37" x14ac:dyDescent="0.25">
      <c r="B19" s="2" t="s">
        <v>1211</v>
      </c>
      <c r="C19" s="2" t="s">
        <v>1209</v>
      </c>
      <c r="D19" s="36">
        <f t="shared" si="0"/>
        <v>0</v>
      </c>
      <c r="E19" s="36"/>
      <c r="F19" s="4"/>
      <c r="G19" s="15">
        <f>+IF(EXACT('3AC_Data'!$D$8,1),H19,IF(EXACT('3AC_Data'!$D$8,2),I19,IF(EXACT('3AC_Data'!$D$8,3),J19,IF(EXACT('3AC_Data'!$D$8,4),K19,IF(EXACT('3AC_Data'!$D$8,5),L19,IF(EXACT('3AC_Data'!$D$8,6),M19,IF(EXACT('3AC_Data'!$D$8,7),N19,IF(EXACT('3AC_Data'!$D$8,8),O19,IF(EXACT('3AC_Data'!$D$8,9),P19,IF(EXACT('3AC_Data'!$D$8,10),Q19,IF(EXACT('3AC_Data'!$D$8,11),R19,IF(EXACT('3AC_Data'!$D$8,12),S19,IF(EXACT('3AC_Data'!$D$8,13),T19,IF(EXACT('3AC_Data'!$D$8,14),U19,IF(EXACT('3AC_Data'!$D$8,15),V19,IF(EXACT('3AC_Data'!$D$8,16),W19,IF(EXACT('3AC_Data'!$D$8,17),X19,IF(EXACT('3AC_Data'!$D$8,18),Y19,IF(EXACT('3AC_Data'!$D$8,19),Z19,IF(EXACT('3AC_Data'!$D$8,20),AA19,IF(EXACT('3AC_Data'!$D$8,21),AB19,IF(EXACT('3AC_Data'!$D$8,22),AC19,IF(EXACT('3AC_Data'!$D$8,23),AD19,IF(EXACT('3AC_Data'!$D$8,24),AE19,IF(EXACT('3AC_Data'!$D$8,25),AF19,IF(EXACT('3AC_Data'!$D$8,26),AG19,IF(EXACT('3AC_Data'!$D$8,27),AH19,IF(EXACT('3AC_Data'!$D$8,28),AI19,IF(EXACT('3AC_Data'!$D$8,29),AJ19,IF(EXACT('3AC_Data'!$D$8,30),AK19))))))))))))))))))))))))))))))</f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4</v>
      </c>
      <c r="X19" s="24">
        <v>4</v>
      </c>
      <c r="Y19" s="24">
        <v>4</v>
      </c>
      <c r="Z19" s="24">
        <v>4</v>
      </c>
      <c r="AA19" s="24">
        <v>0</v>
      </c>
      <c r="AB19" s="24">
        <v>0</v>
      </c>
      <c r="AC19" s="24">
        <v>0</v>
      </c>
      <c r="AD19" s="24">
        <v>0</v>
      </c>
      <c r="AE19" s="137">
        <v>0</v>
      </c>
      <c r="AF19" s="24">
        <v>0</v>
      </c>
      <c r="AG19" s="97">
        <v>0</v>
      </c>
      <c r="AH19" s="24">
        <v>0</v>
      </c>
      <c r="AI19" s="24">
        <v>0</v>
      </c>
      <c r="AJ19" s="24">
        <v>0</v>
      </c>
      <c r="AK19" s="24">
        <v>0</v>
      </c>
    </row>
    <row r="20" spans="1:37" x14ac:dyDescent="0.25">
      <c r="B20" s="2" t="s">
        <v>1230</v>
      </c>
      <c r="C20" s="2" t="s">
        <v>1229</v>
      </c>
      <c r="D20" s="36">
        <f t="shared" si="0"/>
        <v>0</v>
      </c>
      <c r="E20" s="36"/>
      <c r="F20" s="4"/>
      <c r="G20" s="15">
        <f>+IF(EXACT('3AC_Data'!$D$8,1),H20,IF(EXACT('3AC_Data'!$D$8,2),I20,IF(EXACT('3AC_Data'!$D$8,3),J20,IF(EXACT('3AC_Data'!$D$8,4),K20,IF(EXACT('3AC_Data'!$D$8,5),L20,IF(EXACT('3AC_Data'!$D$8,6),M20,IF(EXACT('3AC_Data'!$D$8,7),N20,IF(EXACT('3AC_Data'!$D$8,8),O20,IF(EXACT('3AC_Data'!$D$8,9),P20,IF(EXACT('3AC_Data'!$D$8,10),Q20,IF(EXACT('3AC_Data'!$D$8,11),R20,IF(EXACT('3AC_Data'!$D$8,12),S20,IF(EXACT('3AC_Data'!$D$8,13),T20,IF(EXACT('3AC_Data'!$D$8,14),U20,IF(EXACT('3AC_Data'!$D$8,15),V20,IF(EXACT('3AC_Data'!$D$8,16),W20,IF(EXACT('3AC_Data'!$D$8,17),X20,IF(EXACT('3AC_Data'!$D$8,18),Y20,IF(EXACT('3AC_Data'!$D$8,19),Z20,IF(EXACT('3AC_Data'!$D$8,20),AA20,IF(EXACT('3AC_Data'!$D$8,21),AB20,IF(EXACT('3AC_Data'!$D$8,22),AC20,IF(EXACT('3AC_Data'!$D$8,23),AD20,IF(EXACT('3AC_Data'!$D$8,24),AE20,IF(EXACT('3AC_Data'!$D$8,25),AF20,IF(EXACT('3AC_Data'!$D$8,26),AG20,IF(EXACT('3AC_Data'!$D$8,27),AH20,IF(EXACT('3AC_Data'!$D$8,28),AI20,IF(EXACT('3AC_Data'!$D$8,29),AJ20,IF(EXACT('3AC_Data'!$D$8,30),AK20))))))))))))))))))))))))))))))</f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1</v>
      </c>
      <c r="X20" s="24">
        <v>1</v>
      </c>
      <c r="Y20" s="24">
        <v>1</v>
      </c>
      <c r="Z20" s="24">
        <v>1</v>
      </c>
      <c r="AA20" s="24">
        <v>0</v>
      </c>
      <c r="AB20" s="24">
        <v>0</v>
      </c>
      <c r="AC20" s="24">
        <v>0</v>
      </c>
      <c r="AD20" s="24">
        <v>0</v>
      </c>
      <c r="AE20" s="137">
        <v>0</v>
      </c>
      <c r="AF20" s="24">
        <v>0</v>
      </c>
      <c r="AG20" s="97">
        <v>0</v>
      </c>
      <c r="AH20" s="24">
        <v>0</v>
      </c>
      <c r="AI20" s="24">
        <v>0</v>
      </c>
      <c r="AJ20" s="24">
        <v>0</v>
      </c>
      <c r="AK20" s="24">
        <v>0</v>
      </c>
    </row>
    <row r="21" spans="1:37" x14ac:dyDescent="0.25">
      <c r="B21" s="2" t="s">
        <v>1230</v>
      </c>
      <c r="C21" s="2" t="s">
        <v>1262</v>
      </c>
      <c r="D21" s="36">
        <f t="shared" si="0"/>
        <v>0</v>
      </c>
      <c r="E21" s="36"/>
      <c r="F21" s="4"/>
      <c r="G21" s="15">
        <f>+IF(EXACT('3AC_Data'!$D$8,1),H21,IF(EXACT('3AC_Data'!$D$8,2),I21,IF(EXACT('3AC_Data'!$D$8,3),J21,IF(EXACT('3AC_Data'!$D$8,4),K21,IF(EXACT('3AC_Data'!$D$8,5),L21,IF(EXACT('3AC_Data'!$D$8,6),M21,IF(EXACT('3AC_Data'!$D$8,7),N21,IF(EXACT('3AC_Data'!$D$8,8),O21,IF(EXACT('3AC_Data'!$D$8,9),P21,IF(EXACT('3AC_Data'!$D$8,10),Q21,IF(EXACT('3AC_Data'!$D$8,11),R21,IF(EXACT('3AC_Data'!$D$8,12),S21,IF(EXACT('3AC_Data'!$D$8,13),T21,IF(EXACT('3AC_Data'!$D$8,14),U21,IF(EXACT('3AC_Data'!$D$8,15),V21,IF(EXACT('3AC_Data'!$D$8,16),W21,IF(EXACT('3AC_Data'!$D$8,17),X21,IF(EXACT('3AC_Data'!$D$8,18),Y21,IF(EXACT('3AC_Data'!$D$8,19),Z21,IF(EXACT('3AC_Data'!$D$8,20),AA21,IF(EXACT('3AC_Data'!$D$8,21),AB21,IF(EXACT('3AC_Data'!$D$8,22),AC21,IF(EXACT('3AC_Data'!$D$8,23),AD21,IF(EXACT('3AC_Data'!$D$8,24),AE21,IF(EXACT('3AC_Data'!$D$8,25),AF21,IF(EXACT('3AC_Data'!$D$8,26),AG21,IF(EXACT('3AC_Data'!$D$8,27),AH21,IF(EXACT('3AC_Data'!$D$8,28),AI21,IF(EXACT('3AC_Data'!$D$8,29),AJ21,IF(EXACT('3AC_Data'!$D$8,30),AK21))))))))))))))))))))))))))))))</f>
        <v>0</v>
      </c>
      <c r="H21" s="24">
        <v>0</v>
      </c>
      <c r="I21" s="24"/>
      <c r="J21" s="24">
        <v>0</v>
      </c>
      <c r="K21" s="24">
        <v>0</v>
      </c>
      <c r="L21" s="24"/>
      <c r="M21" s="24">
        <v>0</v>
      </c>
      <c r="N21" s="24"/>
      <c r="O21" s="24"/>
      <c r="P21" s="24"/>
      <c r="Q21" s="24"/>
      <c r="R21" s="24">
        <v>0</v>
      </c>
      <c r="S21" s="24"/>
      <c r="T21" s="24"/>
      <c r="U21" s="24">
        <v>0</v>
      </c>
      <c r="V21" s="24"/>
      <c r="W21" s="24"/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137">
        <v>0</v>
      </c>
      <c r="AF21" s="24">
        <v>0</v>
      </c>
      <c r="AG21" s="97">
        <v>0</v>
      </c>
      <c r="AH21" s="24">
        <v>0</v>
      </c>
      <c r="AI21" s="24">
        <v>0</v>
      </c>
      <c r="AJ21" s="24">
        <v>0</v>
      </c>
      <c r="AK21" s="24">
        <v>0</v>
      </c>
    </row>
    <row r="22" spans="1:37" x14ac:dyDescent="0.25">
      <c r="A22" s="12"/>
      <c r="B22" s="2" t="s">
        <v>1417</v>
      </c>
      <c r="C22" s="2" t="s">
        <v>1264</v>
      </c>
      <c r="D22" s="36">
        <f t="shared" si="0"/>
        <v>1</v>
      </c>
      <c r="E22" s="36"/>
      <c r="F22" s="4"/>
      <c r="G22" s="15">
        <f>+IF(EXACT('3AC_Data'!$D$8,1),H22,IF(EXACT('3AC_Data'!$D$8,2),I22,IF(EXACT('3AC_Data'!$D$8,3),J22,IF(EXACT('3AC_Data'!$D$8,4),K22,IF(EXACT('3AC_Data'!$D$8,5),L22,IF(EXACT('3AC_Data'!$D$8,6),M22,IF(EXACT('3AC_Data'!$D$8,7),N22,IF(EXACT('3AC_Data'!$D$8,8),O22,IF(EXACT('3AC_Data'!$D$8,9),P22,IF(EXACT('3AC_Data'!$D$8,10),Q22,IF(EXACT('3AC_Data'!$D$8,11),R22,IF(EXACT('3AC_Data'!$D$8,12),S22,IF(EXACT('3AC_Data'!$D$8,13),T22,IF(EXACT('3AC_Data'!$D$8,14),U22,IF(EXACT('3AC_Data'!$D$8,15),V22,IF(EXACT('3AC_Data'!$D$8,16),W22,IF(EXACT('3AC_Data'!$D$8,17),X22,IF(EXACT('3AC_Data'!$D$8,18),Y22,IF(EXACT('3AC_Data'!$D$8,19),Z22,IF(EXACT('3AC_Data'!$D$8,20),AA22,IF(EXACT('3AC_Data'!$D$8,21),AB22,IF(EXACT('3AC_Data'!$D$8,22),AC22,IF(EXACT('3AC_Data'!$D$8,23),AD22,IF(EXACT('3AC_Data'!$D$8,24),AE22,IF(EXACT('3AC_Data'!$D$8,25),AF22,IF(EXACT('3AC_Data'!$D$8,26),AG22,IF(EXACT('3AC_Data'!$D$8,27),AH22,IF(EXACT('3AC_Data'!$D$8,28),AI22,IF(EXACT('3AC_Data'!$D$8,29),AJ22,IF(EXACT('3AC_Data'!$D$8,30),AK22))))))))))))))))))))))))))))))</f>
        <v>1</v>
      </c>
      <c r="H22" s="4">
        <v>1</v>
      </c>
      <c r="I22" s="4">
        <v>1</v>
      </c>
      <c r="J22" s="4">
        <v>1</v>
      </c>
      <c r="K22" s="4">
        <v>5</v>
      </c>
      <c r="L22" s="4">
        <v>4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4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0</v>
      </c>
      <c r="AB22" s="4">
        <v>1</v>
      </c>
      <c r="AC22" s="4">
        <v>3</v>
      </c>
      <c r="AD22" s="4">
        <v>3</v>
      </c>
      <c r="AE22" s="137">
        <v>1</v>
      </c>
      <c r="AF22" s="4">
        <v>1</v>
      </c>
      <c r="AG22" s="97">
        <v>1</v>
      </c>
      <c r="AH22" s="4">
        <v>1</v>
      </c>
      <c r="AI22" s="4">
        <v>4</v>
      </c>
      <c r="AJ22" s="4">
        <v>4</v>
      </c>
      <c r="AK22" s="4">
        <v>4</v>
      </c>
    </row>
    <row r="23" spans="1:37" x14ac:dyDescent="0.25">
      <c r="B23" s="2" t="s">
        <v>1416</v>
      </c>
      <c r="C23" s="2" t="s">
        <v>1263</v>
      </c>
      <c r="D23" s="36">
        <f t="shared" si="0"/>
        <v>0</v>
      </c>
      <c r="E23" s="36"/>
      <c r="F23" s="4"/>
      <c r="G23" s="15">
        <f>+IF(EXACT('3AC_Data'!$D$8,1),H23,IF(EXACT('3AC_Data'!$D$8,2),I23,IF(EXACT('3AC_Data'!$D$8,3),J23,IF(EXACT('3AC_Data'!$D$8,4),K23,IF(EXACT('3AC_Data'!$D$8,5),L23,IF(EXACT('3AC_Data'!$D$8,6),M23,IF(EXACT('3AC_Data'!$D$8,7),N23,IF(EXACT('3AC_Data'!$D$8,8),O23,IF(EXACT('3AC_Data'!$D$8,9),P23,IF(EXACT('3AC_Data'!$D$8,10),Q23,IF(EXACT('3AC_Data'!$D$8,11),R23,IF(EXACT('3AC_Data'!$D$8,12),S23,IF(EXACT('3AC_Data'!$D$8,13),T23,IF(EXACT('3AC_Data'!$D$8,14),U23,IF(EXACT('3AC_Data'!$D$8,15),V23,IF(EXACT('3AC_Data'!$D$8,16),W23,IF(EXACT('3AC_Data'!$D$8,17),X23,IF(EXACT('3AC_Data'!$D$8,18),Y23,IF(EXACT('3AC_Data'!$D$8,19),Z23,IF(EXACT('3AC_Data'!$D$8,20),AA23,IF(EXACT('3AC_Data'!$D$8,21),AB23,IF(EXACT('3AC_Data'!$D$8,22),AC23,IF(EXACT('3AC_Data'!$D$8,23),AD23,IF(EXACT('3AC_Data'!$D$8,24),AE23,IF(EXACT('3AC_Data'!$D$8,25),AF23,IF(EXACT('3AC_Data'!$D$8,26),AG23,IF(EXACT('3AC_Data'!$D$8,27),AH23,IF(EXACT('3AC_Data'!$D$8,28),AI23,IF(EXACT('3AC_Data'!$D$8,29),AJ23,IF(EXACT('3AC_Data'!$D$8,30),AK23))))))))))))))))))))))))))))))</f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14">
        <v>0</v>
      </c>
      <c r="AF23" s="3">
        <v>0</v>
      </c>
      <c r="AG23" s="93">
        <v>0</v>
      </c>
      <c r="AH23" s="3">
        <v>0</v>
      </c>
      <c r="AI23" s="3">
        <v>0</v>
      </c>
      <c r="AJ23" s="3">
        <v>0</v>
      </c>
      <c r="AK23" s="3">
        <v>0</v>
      </c>
    </row>
    <row r="25" spans="1:37" x14ac:dyDescent="0.25">
      <c r="B25" s="187" t="s">
        <v>2</v>
      </c>
      <c r="C25" s="187"/>
    </row>
    <row r="26" spans="1:37" x14ac:dyDescent="0.25">
      <c r="B26" s="9" t="str">
        <f>+B3</f>
        <v>Selection of elements for theoretical polar estimation - wing</v>
      </c>
      <c r="C26" s="9" t="s">
        <v>9</v>
      </c>
    </row>
    <row r="27" spans="1:37" x14ac:dyDescent="0.25">
      <c r="B27" s="9" t="str">
        <f>+B4</f>
        <v>Selection of elements for theoretical polar estimation - HTP</v>
      </c>
      <c r="C27" s="9" t="s">
        <v>9</v>
      </c>
    </row>
    <row r="28" spans="1:37" x14ac:dyDescent="0.25">
      <c r="B28" s="9" t="str">
        <f>+B5</f>
        <v>Selection of elements for theoretical polar estimation - VTP</v>
      </c>
      <c r="C28" s="9" t="s">
        <v>9</v>
      </c>
    </row>
    <row r="29" spans="1:37" x14ac:dyDescent="0.25">
      <c r="B29" s="9" t="str">
        <f>+B6</f>
        <v>Selection of elements for theoretical polar estimation - twin VTP</v>
      </c>
      <c r="C29" s="9" t="s">
        <v>9</v>
      </c>
    </row>
    <row r="30" spans="1:37" x14ac:dyDescent="0.25">
      <c r="B30" s="9" t="str">
        <f>+B7</f>
        <v>Selection of elements for theoretical polar estimation - Vtail</v>
      </c>
      <c r="C30" s="9" t="s">
        <v>9</v>
      </c>
    </row>
    <row r="31" spans="1:37" x14ac:dyDescent="0.25">
      <c r="B31" s="9" t="str">
        <f t="shared" ref="B31:B36" si="2">+B9</f>
        <v>Selection of elements for theoretical polar estimation - canard</v>
      </c>
      <c r="C31" s="9" t="s">
        <v>9</v>
      </c>
    </row>
    <row r="32" spans="1:37" x14ac:dyDescent="0.25">
      <c r="B32" s="9" t="str">
        <f t="shared" si="2"/>
        <v>Selection of elements for theoretical polar estimation - fuselage</v>
      </c>
      <c r="C32" s="9" t="s">
        <v>9</v>
      </c>
    </row>
    <row r="33" spans="2:3" x14ac:dyDescent="0.25">
      <c r="B33" s="9" t="str">
        <f t="shared" si="2"/>
        <v>Selection of elements for theoretical polar estimation - multiple fuselage</v>
      </c>
      <c r="C33" s="9" t="s">
        <v>9</v>
      </c>
    </row>
    <row r="34" spans="2:3" x14ac:dyDescent="0.25">
      <c r="B34" s="9" t="str">
        <f t="shared" si="2"/>
        <v>Selection of elements for theoretical polar estimation - number of multiple fuselage</v>
      </c>
      <c r="C34" s="9" t="s">
        <v>9</v>
      </c>
    </row>
    <row r="35" spans="2:3" x14ac:dyDescent="0.25">
      <c r="B35" s="9" t="str">
        <f t="shared" si="2"/>
        <v>Selection of elements for theoretical polar estimation - nacelle</v>
      </c>
      <c r="C35" s="9" t="s">
        <v>9</v>
      </c>
    </row>
    <row r="36" spans="2:3" x14ac:dyDescent="0.25">
      <c r="B36" s="9" t="str">
        <f t="shared" si="2"/>
        <v>Selection of elements for theoretical polar estimation - landing gear</v>
      </c>
      <c r="C36" s="9" t="s">
        <v>9</v>
      </c>
    </row>
    <row r="37" spans="2:3" x14ac:dyDescent="0.25">
      <c r="B37" s="16" t="str">
        <f>+B22</f>
        <v>High Lift Devices  - Trailing Edge</v>
      </c>
      <c r="C37" s="2" t="s">
        <v>1265</v>
      </c>
    </row>
    <row r="38" spans="2:3" x14ac:dyDescent="0.25">
      <c r="B38" s="3">
        <v>0</v>
      </c>
      <c r="C38" s="2" t="s">
        <v>1266</v>
      </c>
    </row>
    <row r="39" spans="2:3" x14ac:dyDescent="0.25">
      <c r="B39" s="3">
        <v>1</v>
      </c>
      <c r="C39" s="2" t="s">
        <v>1267</v>
      </c>
    </row>
    <row r="40" spans="2:3" x14ac:dyDescent="0.25">
      <c r="B40" s="3">
        <v>2</v>
      </c>
      <c r="C40" s="2" t="s">
        <v>1268</v>
      </c>
    </row>
    <row r="41" spans="2:3" x14ac:dyDescent="0.25">
      <c r="B41" s="3">
        <v>3</v>
      </c>
      <c r="C41" s="2" t="s">
        <v>1269</v>
      </c>
    </row>
    <row r="42" spans="2:3" x14ac:dyDescent="0.25">
      <c r="B42" s="3">
        <v>4</v>
      </c>
      <c r="C42" s="2" t="s">
        <v>1270</v>
      </c>
    </row>
    <row r="43" spans="2:3" x14ac:dyDescent="0.25">
      <c r="B43" s="3">
        <v>5</v>
      </c>
      <c r="C43" s="2" t="s">
        <v>1271</v>
      </c>
    </row>
    <row r="44" spans="2:3" x14ac:dyDescent="0.25">
      <c r="B44" s="16" t="str">
        <f>+B23</f>
        <v>High Lift Devices  - Leading  Edge (Flaps)</v>
      </c>
      <c r="C44" s="2" t="s">
        <v>1277</v>
      </c>
    </row>
    <row r="45" spans="2:3" x14ac:dyDescent="0.25">
      <c r="B45" s="3">
        <v>0</v>
      </c>
      <c r="C45" s="2" t="s">
        <v>1272</v>
      </c>
    </row>
    <row r="46" spans="2:3" x14ac:dyDescent="0.25">
      <c r="B46" s="3">
        <v>1</v>
      </c>
      <c r="C46" s="2" t="s">
        <v>1273</v>
      </c>
    </row>
    <row r="47" spans="2:3" x14ac:dyDescent="0.25">
      <c r="B47" s="3">
        <v>2</v>
      </c>
      <c r="C47" s="2" t="s">
        <v>1274</v>
      </c>
    </row>
    <row r="48" spans="2:3" x14ac:dyDescent="0.25">
      <c r="B48" s="3">
        <v>3</v>
      </c>
      <c r="C48" s="2" t="s">
        <v>1275</v>
      </c>
    </row>
    <row r="49" spans="2:3" x14ac:dyDescent="0.25">
      <c r="B49" s="3">
        <v>4</v>
      </c>
      <c r="C49" s="2" t="s">
        <v>1276</v>
      </c>
    </row>
  </sheetData>
  <mergeCells count="1">
    <mergeCell ref="B25:C25"/>
  </mergeCells>
  <dataValidations count="6">
    <dataValidation type="list" allowBlank="1" showInputMessage="1" showErrorMessage="1" sqref="H23:I23 AI23:AK23 K23:AD23" xr:uid="{FA335E50-EF99-4B6F-90C1-CC9F088CCD53}">
      <formula1>$B$45:$B$49</formula1>
    </dataValidation>
    <dataValidation type="list" allowBlank="1" showInputMessage="1" showErrorMessage="1" sqref="H22:I22 AI22:AK22 K22:AD22" xr:uid="{B7FE893F-FC93-4086-A1EA-6599AA547502}">
      <formula1>$B$38:$B$43</formula1>
    </dataValidation>
    <dataValidation type="list" allowBlank="1" showInputMessage="1" showErrorMessage="1" sqref="W13:Z16 K13:V21 W18:Z18 H13:I21 AB14:AB21 AI13:AK21 K3:Z11 H3:I11 AC13:AD21 AI3:AK11 AB3:AD11" xr:uid="{9FBB7139-C1F0-4D4D-9A62-594176EFDD41}">
      <formula1>#REF!</formula1>
    </dataValidation>
    <dataValidation type="list" allowBlank="1" showInputMessage="1" showErrorMessage="1" sqref="J23 AE23:AH23" xr:uid="{967B23B0-422D-4320-B3A0-589C333ACCD6}">
      <formula1>$B$101:$B$105</formula1>
    </dataValidation>
    <dataValidation type="list" allowBlank="1" showInputMessage="1" showErrorMessage="1" sqref="J22 AE22:AH22" xr:uid="{F332471E-297F-49F8-BEB0-21F304A878D3}">
      <formula1>$B$94:$B$99</formula1>
    </dataValidation>
    <dataValidation type="list" allowBlank="1" showInputMessage="1" showErrorMessage="1" sqref="J13:J21 J3:J11 AE3:AH11 AE13:AH21" xr:uid="{2B144412-B41A-4C1C-87E1-962EFA155EB4}">
      <formula1>$B$70:$B$71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m + h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m +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v o V g o i k e 4 D g A A A B E A A A A T A B w A R m 9 y b X V s Y X M v U 2 V j d G l v b j E u b S C i G A A o o B Q A A A A A A A A A A A A A A A A A A A A A A A A A A A A r T k 0 u y c z P U w i G 0 I b W A F B L A Q I t A B Q A A g A I A C J v o V i 0 L q F T p A A A A P Y A A A A S A A A A A A A A A A A A A A A A A A A A A A B D b 2 5 m a W c v U G F j a 2 F n Z S 5 4 b W x Q S w E C L Q A U A A I A C A A i b 6 F Y D 8 r p q 6 Q A A A D p A A A A E w A A A A A A A A A A A A A A A A D w A A A A W 0 N v b n R l b n R f V H l w Z X N d L n h t b F B L A Q I t A B Q A A g A I A C J v o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Y U 6 V o I C j S J c L P D J 7 R B O i A A A A A A I A A A A A A B B m A A A A A Q A A I A A A A H n k I B T B 7 4 T w A 8 c B 0 4 F u f Z F W D c T k g c e 7 H 9 B q K H g L e m D M A A A A A A 6 A A A A A A g A A I A A A A A W 1 M J O B Q p j P B p D c G 9 c P b Y 6 Z b I C f r J E J M o i S n y P i c S p W U A A A A N b Z j D 1 H Q q l G e E 7 O P g r I m K V r f 7 M C i D K n Y Z J 4 l s b i y + + 8 8 P k J z y y U 3 0 D F O m B / z 3 W P 1 G c g / B N f F c 6 y j 1 1 M 0 6 1 k z x F Z K T 1 / c 7 J J A k H / Z o u s 3 Z y J Q A A A A C 6 R 2 w + a q O j L o v A i A x 0 m F 3 R J + 6 h k 1 5 c M o g H 8 y U 5 w Q X / l F w M p l 1 3 v y w f z M Z v 9 0 C w 8 U N j N 0 N O m 0 z I d j Q n e 5 v v Y r / E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0DE5A76AC50214696A0A6E02287EB95" ma:contentTypeVersion="11" ma:contentTypeDescription="Crear nuevo documento." ma:contentTypeScope="" ma:versionID="36916571a8e9bf8861ba47fd0edc6ecf">
  <xsd:schema xmlns:xsd="http://www.w3.org/2001/XMLSchema" xmlns:xs="http://www.w3.org/2001/XMLSchema" xmlns:p="http://schemas.microsoft.com/office/2006/metadata/properties" xmlns:ns3="f05de2ab-239b-43dd-a8c2-b57c82cfb059" xmlns:ns4="df392ac8-7250-42eb-8a59-f45461640d2c" targetNamespace="http://schemas.microsoft.com/office/2006/metadata/properties" ma:root="true" ma:fieldsID="2ee8b6739d38020a7c8e56246e88cce0" ns3:_="" ns4:_="">
    <xsd:import namespace="f05de2ab-239b-43dd-a8c2-b57c82cfb059"/>
    <xsd:import namespace="df392ac8-7250-42eb-8a59-f45461640d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de2ab-239b-43dd-a8c2-b57c82cfb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92ac8-7250-42eb-8a59-f45461640d2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A4FC65-932A-44C9-8641-BB79017A8A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CEB5D4-41D3-4DF6-BFFF-2B3FE0A9DE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015754-EC5C-46DC-9983-CFEC3E43B846}">
  <ds:schemaRefs>
    <ds:schemaRef ds:uri="http://schemas.openxmlformats.org/package/2006/metadata/core-properties"/>
    <ds:schemaRef ds:uri="df392ac8-7250-42eb-8a59-f45461640d2c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f05de2ab-239b-43dd-a8c2-b57c82cfb059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034947B-D5BD-49AE-8C9B-A9A2D8A69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de2ab-239b-43dd-a8c2-b57c82cfb059"/>
    <ds:schemaRef ds:uri="df392ac8-7250-42eb-8a59-f45461640d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1MATLAB</vt:lpstr>
      <vt:lpstr>2Studies</vt:lpstr>
      <vt:lpstr>3AC_Data</vt:lpstr>
      <vt:lpstr>4Propulsion</vt:lpstr>
      <vt:lpstr>5Weights</vt:lpstr>
      <vt:lpstr>6CAD_data</vt:lpstr>
      <vt:lpstr>7Performance</vt:lpstr>
      <vt:lpstr>8AeroA</vt:lpstr>
      <vt:lpstr>8AeroB</vt:lpstr>
      <vt:lpstr>9Stability</vt:lpstr>
      <vt:lpstr>10Configuration</vt:lpstr>
      <vt:lpstr>11InputGeometry</vt:lpstr>
      <vt:lpstr>12Plots</vt:lpstr>
      <vt:lpstr>13InputPerforInitial</vt:lpstr>
      <vt:lpstr>14PerfoMision_Selection</vt:lpstr>
      <vt:lpstr>15PerformanceVariable</vt:lpstr>
      <vt:lpstr>16PerformanceVariable3</vt:lpstr>
      <vt:lpstr>Units</vt:lpstr>
      <vt:lpstr>Prop_limits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SERGIO ESTEBAN RONCERO</cp:lastModifiedBy>
  <dcterms:created xsi:type="dcterms:W3CDTF">2020-10-15T15:44:00Z</dcterms:created>
  <dcterms:modified xsi:type="dcterms:W3CDTF">2024-12-17T07:40:30Z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0x01010040DE5A76AC50214696A0A6E02287EB95</vt:lpwstr>
  </property>
</Properties>
</file>