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icaela\Desktop\università\Business valuation\progetto\"/>
    </mc:Choice>
  </mc:AlternateContent>
  <xr:revisionPtr revIDLastSave="0" documentId="13_ncr:1_{0405EFCA-6717-4BF7-99C3-81B88DBA5063}" xr6:coauthVersionLast="44" xr6:coauthVersionMax="45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KE" sheetId="1" r:id="rId1"/>
    <sheet name="KD" sheetId="3" r:id="rId2"/>
    <sheet name="Market value of debt" sheetId="4" r:id="rId3"/>
    <sheet name="WACC" sheetId="5" r:id="rId4"/>
    <sheet name="Adjusted" sheetId="6" r:id="rId5"/>
    <sheet name="Cash Flow to the Firm" sheetId="7" r:id="rId6"/>
    <sheet name="Free Cash Flow to the Equity" sheetId="8" r:id="rId7"/>
    <sheet name="KE STABLE" sheetId="10" r:id="rId8"/>
    <sheet name="Growth" sheetId="9" r:id="rId9"/>
    <sheet name="INTRINSIC VALUE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J5" i="12" l="1"/>
  <c r="J4" i="12"/>
  <c r="H32" i="7" l="1"/>
  <c r="G32" i="7"/>
  <c r="F32" i="7"/>
  <c r="E32" i="7"/>
  <c r="D32" i="7"/>
  <c r="F14" i="6" l="1"/>
  <c r="F15" i="6"/>
  <c r="F16" i="6"/>
  <c r="E10" i="9" l="1"/>
  <c r="C4" i="10"/>
  <c r="C8" i="10" s="1"/>
  <c r="E11" i="9" s="1"/>
  <c r="C6" i="10"/>
  <c r="C7" i="10"/>
  <c r="E12" i="9" l="1"/>
  <c r="E3" i="9"/>
  <c r="E5" i="9" s="1"/>
  <c r="E13" i="6" l="1"/>
  <c r="D13" i="6"/>
  <c r="C13" i="6"/>
  <c r="F13" i="6" s="1"/>
  <c r="E19" i="8" l="1"/>
  <c r="E8" i="8"/>
  <c r="F8" i="8" s="1"/>
  <c r="E7" i="8"/>
  <c r="F7" i="8" s="1"/>
  <c r="E6" i="8"/>
  <c r="F6" i="8" s="1"/>
  <c r="E5" i="8"/>
  <c r="F5" i="8" s="1"/>
  <c r="E4" i="8"/>
  <c r="F4" i="8" s="1"/>
  <c r="F9" i="8" l="1"/>
  <c r="F10" i="8"/>
  <c r="E36" i="7" l="1"/>
  <c r="D36" i="7"/>
  <c r="H29" i="7"/>
  <c r="G29" i="7"/>
  <c r="F29" i="7"/>
  <c r="D29" i="7"/>
  <c r="E29" i="7"/>
  <c r="I29" i="7" l="1"/>
  <c r="D37" i="7"/>
  <c r="D46" i="7" s="1"/>
  <c r="I32" i="7" l="1"/>
  <c r="D33" i="7" s="1"/>
  <c r="H12" i="7"/>
  <c r="C17" i="7" s="1"/>
  <c r="H11" i="7"/>
  <c r="C15" i="7" s="1"/>
  <c r="D3" i="7" l="1"/>
  <c r="C15" i="1" l="1"/>
  <c r="H13" i="3" l="1"/>
  <c r="C4" i="3"/>
  <c r="C3" i="3" l="1"/>
  <c r="C7" i="5"/>
  <c r="C61" i="4"/>
  <c r="C60" i="4"/>
  <c r="C59" i="4"/>
  <c r="C58" i="4"/>
  <c r="C57" i="4"/>
  <c r="C53" i="4"/>
  <c r="C54" i="4" s="1"/>
  <c r="C63" i="4" l="1"/>
  <c r="C62" i="4"/>
  <c r="C64" i="4"/>
  <c r="C8" i="6"/>
  <c r="C6" i="3"/>
  <c r="F34" i="4" s="1"/>
  <c r="F11" i="4"/>
  <c r="F10" i="4"/>
  <c r="F9" i="4"/>
  <c r="F12" i="4" l="1"/>
  <c r="H10" i="4" s="1"/>
  <c r="I10" i="4" s="1"/>
  <c r="H8" i="4" l="1"/>
  <c r="I8" i="4" s="1"/>
  <c r="H11" i="4"/>
  <c r="I11" i="4" s="1"/>
  <c r="H9" i="4"/>
  <c r="I9" i="4" s="1"/>
  <c r="C7" i="6"/>
  <c r="I12" i="4" l="1"/>
  <c r="F18" i="4"/>
  <c r="F20" i="4"/>
  <c r="F22" i="4"/>
  <c r="F24" i="4"/>
  <c r="F26" i="4"/>
  <c r="F28" i="4"/>
  <c r="F30" i="4"/>
  <c r="F32" i="4"/>
  <c r="F19" i="4"/>
  <c r="F21" i="4"/>
  <c r="F23" i="4"/>
  <c r="F25" i="4"/>
  <c r="F27" i="4"/>
  <c r="F29" i="4"/>
  <c r="F31" i="4"/>
  <c r="F33" i="4"/>
  <c r="F17" i="4"/>
  <c r="C25" i="1"/>
  <c r="H12" i="3" l="1"/>
  <c r="F4" i="3" l="1"/>
  <c r="F3" i="3"/>
  <c r="H14" i="3" s="1"/>
  <c r="D58" i="4" l="1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57" i="4"/>
  <c r="E57" i="4" s="1"/>
  <c r="G20" i="4"/>
  <c r="H20" i="4" s="1"/>
  <c r="G22" i="4"/>
  <c r="H22" i="4" s="1"/>
  <c r="G24" i="4"/>
  <c r="H24" i="4" s="1"/>
  <c r="G26" i="4"/>
  <c r="H26" i="4" s="1"/>
  <c r="G28" i="4"/>
  <c r="H28" i="4" s="1"/>
  <c r="G30" i="4"/>
  <c r="H30" i="4" s="1"/>
  <c r="G32" i="4"/>
  <c r="H32" i="4" s="1"/>
  <c r="G34" i="4"/>
  <c r="H34" i="4" s="1"/>
  <c r="G18" i="4"/>
  <c r="H18" i="4" s="1"/>
  <c r="G17" i="4"/>
  <c r="H17" i="4" s="1"/>
  <c r="G21" i="4"/>
  <c r="H21" i="4" s="1"/>
  <c r="G23" i="4"/>
  <c r="H23" i="4" s="1"/>
  <c r="G25" i="4"/>
  <c r="H25" i="4" s="1"/>
  <c r="G27" i="4"/>
  <c r="H27" i="4" s="1"/>
  <c r="G29" i="4"/>
  <c r="H29" i="4" s="1"/>
  <c r="G31" i="4"/>
  <c r="H31" i="4" s="1"/>
  <c r="G33" i="4"/>
  <c r="H33" i="4" s="1"/>
  <c r="G19" i="4"/>
  <c r="H19" i="4" s="1"/>
  <c r="H15" i="3"/>
  <c r="C5" i="5" s="1"/>
  <c r="E65" i="4" l="1"/>
  <c r="H35" i="4"/>
  <c r="C4" i="6" s="1"/>
  <c r="C9" i="6"/>
  <c r="C6" i="6" s="1"/>
  <c r="D2" i="7" s="1"/>
  <c r="D4" i="7" s="1"/>
  <c r="C3" i="6"/>
  <c r="D22" i="1"/>
  <c r="F22" i="1" s="1"/>
  <c r="D23" i="1"/>
  <c r="F23" i="1" s="1"/>
  <c r="D24" i="1"/>
  <c r="F24" i="1" s="1"/>
  <c r="D21" i="1"/>
  <c r="D50" i="7" l="1"/>
  <c r="F21" i="1"/>
  <c r="D25" i="1"/>
  <c r="F25" i="1"/>
  <c r="C6" i="1" s="1"/>
  <c r="C2" i="6" l="1"/>
  <c r="F13" i="1" l="1"/>
  <c r="F14" i="1" s="1"/>
  <c r="F16" i="1" s="1"/>
  <c r="C4" i="1" s="1"/>
  <c r="C7" i="1" s="1"/>
  <c r="C6" i="5"/>
  <c r="C8" i="5" s="1"/>
  <c r="C4" i="5" l="1"/>
  <c r="J9" i="9"/>
  <c r="K9" i="9"/>
  <c r="L9" i="9"/>
  <c r="M9" i="9"/>
  <c r="N9" i="9"/>
  <c r="C10" i="5"/>
  <c r="E15" i="8" s="1"/>
  <c r="C9" i="5"/>
  <c r="C2" i="5" l="1"/>
  <c r="H10" i="7"/>
  <c r="C14" i="7" l="1"/>
  <c r="C16" i="7" s="1"/>
  <c r="C18" i="7" s="1"/>
  <c r="D45" i="7" s="1"/>
  <c r="D43" i="7" s="1"/>
  <c r="E14" i="8" s="1"/>
  <c r="E12" i="8" s="1"/>
  <c r="E20" i="8" s="1"/>
  <c r="J19" i="8" l="1"/>
  <c r="E18" i="8"/>
  <c r="H50" i="7"/>
  <c r="H49" i="7" s="1"/>
  <c r="D51" i="7"/>
  <c r="D49" i="7" s="1"/>
  <c r="E6" i="9" l="1"/>
  <c r="J18" i="8"/>
  <c r="M7" i="9" l="1"/>
  <c r="L7" i="9"/>
  <c r="E7" i="9"/>
  <c r="N7" i="9"/>
  <c r="K7" i="9"/>
  <c r="J7" i="9"/>
  <c r="N4" i="9" l="1"/>
  <c r="N6" i="9" s="1"/>
  <c r="L4" i="9"/>
  <c r="L6" i="9" s="1"/>
  <c r="L8" i="9" s="1"/>
  <c r="L10" i="9" s="1"/>
  <c r="M4" i="9"/>
  <c r="M6" i="9" s="1"/>
  <c r="M8" i="9" s="1"/>
  <c r="M10" i="9" s="1"/>
  <c r="K4" i="9"/>
  <c r="K6" i="9" s="1"/>
  <c r="K8" i="9" s="1"/>
  <c r="K10" i="9" s="1"/>
  <c r="J4" i="9"/>
  <c r="J6" i="9" s="1"/>
  <c r="J8" i="9" s="1"/>
  <c r="J10" i="9" s="1"/>
  <c r="E13" i="9" l="1"/>
  <c r="E15" i="9" s="1"/>
  <c r="E16" i="9" s="1"/>
  <c r="E17" i="9" s="1"/>
  <c r="J14" i="9" s="1"/>
  <c r="N8" i="9"/>
  <c r="N10" i="9" l="1"/>
  <c r="J13" i="9" s="1"/>
  <c r="J15" i="9" s="1"/>
  <c r="E14" i="9"/>
  <c r="D4" i="12" l="1"/>
  <c r="J6" i="12" s="1"/>
  <c r="D11" i="12" s="1"/>
  <c r="G13" i="12" s="1"/>
</calcChain>
</file>

<file path=xl/sharedStrings.xml><?xml version="1.0" encoding="utf-8"?>
<sst xmlns="http://schemas.openxmlformats.org/spreadsheetml/2006/main" count="272" uniqueCount="234">
  <si>
    <t xml:space="preserve">CAPM </t>
  </si>
  <si>
    <t>risk-free</t>
  </si>
  <si>
    <t>β</t>
  </si>
  <si>
    <t>ERP</t>
  </si>
  <si>
    <r>
      <rPr>
        <sz val="8"/>
        <color theme="1"/>
        <rFont val="Calibri"/>
        <family val="2"/>
        <scheme val="minor"/>
      </rPr>
      <t>DAMODARAN</t>
    </r>
    <r>
      <rPr>
        <sz val="11"/>
        <color theme="1"/>
        <rFont val="Calibri"/>
        <family val="2"/>
        <scheme val="minor"/>
      </rPr>
      <t xml:space="preserve"> </t>
    </r>
  </si>
  <si>
    <t>CRP</t>
  </si>
  <si>
    <r>
      <rPr>
        <sz val="11"/>
        <rFont val="Calibri"/>
        <family val="2"/>
        <scheme val="minor"/>
      </rPr>
      <t>E</t>
    </r>
    <r>
      <rPr>
        <b/>
        <sz val="11"/>
        <rFont val="Calibri"/>
        <family val="2"/>
        <scheme val="minor"/>
      </rPr>
      <t>xpected Return (ke)</t>
    </r>
  </si>
  <si>
    <t xml:space="preserve">MEDIE DI SETTORE </t>
  </si>
  <si>
    <t>SPECIFICI DELL'IMPRESA</t>
  </si>
  <si>
    <t>β levered di settore</t>
  </si>
  <si>
    <t>DAMODARAN</t>
  </si>
  <si>
    <r>
      <t>Market Capitali</t>
    </r>
    <r>
      <rPr>
        <sz val="11"/>
        <color theme="1"/>
        <rFont val="Calibri"/>
        <family val="2"/>
      </rPr>
      <t xml:space="preserve">zation </t>
    </r>
  </si>
  <si>
    <t xml:space="preserve">Debt to Equity Ratio D/E </t>
  </si>
  <si>
    <t xml:space="preserve">Market value of Debt </t>
  </si>
  <si>
    <t xml:space="preserve">Tax Marginal Rate </t>
  </si>
  <si>
    <t>Debt to Equity Ratio D/E</t>
  </si>
  <si>
    <t xml:space="preserve">β unlevered </t>
  </si>
  <si>
    <t xml:space="preserve">Marginal Tax Rate </t>
  </si>
  <si>
    <t xml:space="preserve">β levered </t>
  </si>
  <si>
    <t>COUNTRY RISK PREMIUM</t>
  </si>
  <si>
    <t>Country</t>
  </si>
  <si>
    <t>%</t>
  </si>
  <si>
    <t>CRP ponderato</t>
  </si>
  <si>
    <t>USA &amp; Canada</t>
  </si>
  <si>
    <t>Europe</t>
  </si>
  <si>
    <t>Asia &amp; Pacific</t>
  </si>
  <si>
    <t>Latin America &amp; Others</t>
  </si>
  <si>
    <t>CURRENT ACCOUNTING DATA</t>
  </si>
  <si>
    <t>OTHER DATA</t>
  </si>
  <si>
    <t>Current EBIT TTM</t>
  </si>
  <si>
    <t xml:space="preserve">Risk Free Rate </t>
  </si>
  <si>
    <t>Current Interest Expense TTM</t>
  </si>
  <si>
    <t>Marginal Tax Rate</t>
  </si>
  <si>
    <t xml:space="preserve">Current Leasing Expense </t>
  </si>
  <si>
    <t>Sito ufficiale</t>
  </si>
  <si>
    <t xml:space="preserve">Book Value Of Debt </t>
  </si>
  <si>
    <t xml:space="preserve">CORPORATE DEFAULT SPREAD </t>
  </si>
  <si>
    <t>Measure the Kd</t>
  </si>
  <si>
    <t>For developed market firms with market cap &gt; $5 billion</t>
  </si>
  <si>
    <t>If interest coverage ratio is</t>
  </si>
  <si>
    <t>&gt;</t>
  </si>
  <si>
    <t>≤ to</t>
  </si>
  <si>
    <t>Rating is</t>
  </si>
  <si>
    <t>Spread is</t>
  </si>
  <si>
    <t>Mod. Interest Coverage Ratio</t>
  </si>
  <si>
    <t>8.50</t>
  </si>
  <si>
    <t>Aaa/AAA</t>
  </si>
  <si>
    <t>Associated Default Spread</t>
  </si>
  <si>
    <t>6.5</t>
  </si>
  <si>
    <t>Aa2/AA</t>
  </si>
  <si>
    <t>PreTaxKd</t>
  </si>
  <si>
    <t>5.5</t>
  </si>
  <si>
    <t>A1/A+</t>
  </si>
  <si>
    <t>AfterTaxKd</t>
  </si>
  <si>
    <t>4.25</t>
  </si>
  <si>
    <t>A2/A</t>
  </si>
  <si>
    <t>A3/A-</t>
  </si>
  <si>
    <t>2.5</t>
  </si>
  <si>
    <t>Baa2/BBB</t>
  </si>
  <si>
    <t>2.25</t>
  </si>
  <si>
    <t>Ba1/BB+</t>
  </si>
  <si>
    <t>Ba2/BB</t>
  </si>
  <si>
    <t>1.75</t>
  </si>
  <si>
    <t>B1/B+</t>
  </si>
  <si>
    <t>1.5</t>
  </si>
  <si>
    <t>B2/B</t>
  </si>
  <si>
    <t>1.25</t>
  </si>
  <si>
    <t>B3/B-</t>
  </si>
  <si>
    <t>0.8</t>
  </si>
  <si>
    <t>Caa/CCC</t>
  </si>
  <si>
    <t>0.65</t>
  </si>
  <si>
    <t>0.799999</t>
  </si>
  <si>
    <t>Ca2/CC</t>
  </si>
  <si>
    <t>0.2</t>
  </si>
  <si>
    <t>0.649999</t>
  </si>
  <si>
    <t>C2/C</t>
  </si>
  <si>
    <t>0.199999</t>
  </si>
  <si>
    <t>D2/D</t>
  </si>
  <si>
    <t>Present Value of Debt</t>
  </si>
  <si>
    <t>SENIOR DEBT</t>
  </si>
  <si>
    <t>Notes due 2020</t>
  </si>
  <si>
    <t>DEBT STRUCTURE IN 2019</t>
  </si>
  <si>
    <t>Notes due 2021</t>
  </si>
  <si>
    <t>Maturity</t>
  </si>
  <si>
    <t>Senior debt</t>
  </si>
  <si>
    <t>Years</t>
  </si>
  <si>
    <t xml:space="preserve">%Debt </t>
  </si>
  <si>
    <t>W.A. Maturity</t>
  </si>
  <si>
    <t>Notes due 2022</t>
  </si>
  <si>
    <t>Notes due 2023</t>
  </si>
  <si>
    <t>2033-39</t>
  </si>
  <si>
    <t>2041-46</t>
  </si>
  <si>
    <t>Notes due 2024</t>
  </si>
  <si>
    <t>2095-96</t>
  </si>
  <si>
    <t>Notes due 2025</t>
  </si>
  <si>
    <t>MARKET VALUE OF DEBT</t>
  </si>
  <si>
    <t xml:space="preserve">Years </t>
  </si>
  <si>
    <t>Interest Expense</t>
  </si>
  <si>
    <t>Pre-Tax Kd</t>
  </si>
  <si>
    <t>Pv Debt</t>
  </si>
  <si>
    <t>Notes due 2026</t>
  </si>
  <si>
    <t>Notes due 2028</t>
  </si>
  <si>
    <t>Notes due 2033</t>
  </si>
  <si>
    <t>Notes due 2034</t>
  </si>
  <si>
    <t>Notes due 2035</t>
  </si>
  <si>
    <t>Notes due 2036</t>
  </si>
  <si>
    <t>Notes due 2037</t>
  </si>
  <si>
    <t>Notes due 2038</t>
  </si>
  <si>
    <t>Notes due 2039</t>
  </si>
  <si>
    <t>Notes due 2041</t>
  </si>
  <si>
    <t>Notes due 2043</t>
  </si>
  <si>
    <t>Notes due 2044</t>
  </si>
  <si>
    <t>Notes due 2045</t>
  </si>
  <si>
    <t>Notes due 2046</t>
  </si>
  <si>
    <t>Notes due 2095</t>
  </si>
  <si>
    <t>Notes due 2096</t>
  </si>
  <si>
    <t>Present Value of Future Lease Commitments</t>
  </si>
  <si>
    <t xml:space="preserve">FUTURE LEASES COMMITMENTS </t>
  </si>
  <si>
    <t>AFTER</t>
  </si>
  <si>
    <t>AVERAGE</t>
  </si>
  <si>
    <t>AFTER 2024 (Y)</t>
  </si>
  <si>
    <t>PRE-TAX KD</t>
  </si>
  <si>
    <t>PRESENT VALUE OF LEASE</t>
  </si>
  <si>
    <t>WACC</t>
  </si>
  <si>
    <t>Cost of Equity</t>
  </si>
  <si>
    <t xml:space="preserve">Cost of Debt </t>
  </si>
  <si>
    <t xml:space="preserve">Market Value of Debt </t>
  </si>
  <si>
    <t xml:space="preserve">Market Value of Equity </t>
  </si>
  <si>
    <t>D+E</t>
  </si>
  <si>
    <t>E/(D+E)</t>
  </si>
  <si>
    <t>D/(D+E)</t>
  </si>
  <si>
    <t>Adjusted MVof Debt</t>
  </si>
  <si>
    <t>Present Value of lease</t>
  </si>
  <si>
    <t>Market value of debt</t>
  </si>
  <si>
    <t>Adjusted EBIT</t>
  </si>
  <si>
    <t>CURRENT LEASING EXP.</t>
  </si>
  <si>
    <t>CURRENT YEAR AMOTIZATION</t>
  </si>
  <si>
    <t>TTM</t>
  </si>
  <si>
    <t>Date</t>
  </si>
  <si>
    <t>Annual 28/09/19</t>
  </si>
  <si>
    <t>Valori TTM</t>
  </si>
  <si>
    <t xml:space="preserve">EBIT </t>
  </si>
  <si>
    <t>Income before taxes</t>
  </si>
  <si>
    <t>Interest expense</t>
  </si>
  <si>
    <t>Δ Non-Cash Working Capital</t>
  </si>
  <si>
    <t xml:space="preserve">Adj. EBIT </t>
  </si>
  <si>
    <t>Marginal tax rate</t>
  </si>
  <si>
    <t>Receivables (Δ dei crediti)</t>
  </si>
  <si>
    <t>Inventories (Δ di magazzino)</t>
  </si>
  <si>
    <t>Payables (Δ dei debiti)</t>
  </si>
  <si>
    <t>Free Cash Flow to the Firm</t>
  </si>
  <si>
    <t xml:space="preserve">CAPEX </t>
  </si>
  <si>
    <t>D&amp;A</t>
  </si>
  <si>
    <t>Norm.</t>
  </si>
  <si>
    <t xml:space="preserve">Acquisitions </t>
  </si>
  <si>
    <t>-</t>
  </si>
  <si>
    <t>Adj. Reinvestment needs</t>
  </si>
  <si>
    <t>Norm. CAPEX</t>
  </si>
  <si>
    <t>Norm. D&amp;A</t>
  </si>
  <si>
    <t>Adj. CAPEX</t>
  </si>
  <si>
    <t>NET CAPEX</t>
  </si>
  <si>
    <t>Δ Non-Cash Working Capital (Industry)</t>
  </si>
  <si>
    <t>Adj.CAPEX</t>
  </si>
  <si>
    <t xml:space="preserve">Norm. </t>
  </si>
  <si>
    <t>YCHARTS</t>
  </si>
  <si>
    <t>F. Revenues</t>
  </si>
  <si>
    <t>market cap (E)</t>
  </si>
  <si>
    <t>WC as % of revenues</t>
  </si>
  <si>
    <t>WC as % of revenues (average)</t>
  </si>
  <si>
    <t>Δ Non-Cash Working Capital (industry)</t>
  </si>
  <si>
    <t>VARIAZIONE</t>
  </si>
  <si>
    <t>MEDIA</t>
  </si>
  <si>
    <t>Operating income*(1-t)</t>
  </si>
  <si>
    <t xml:space="preserve">Adj. Reinvestment rate </t>
  </si>
  <si>
    <t>Free Cash Flow to the Equity</t>
  </si>
  <si>
    <t>Adj. Reinvestment Needs</t>
  </si>
  <si>
    <t>Equity Reinvestment Needs</t>
  </si>
  <si>
    <t>Net Income</t>
  </si>
  <si>
    <t>Net Income TTM</t>
  </si>
  <si>
    <t>Quartier 28/12/2018</t>
  </si>
  <si>
    <t>Quartier 28/12/2019</t>
  </si>
  <si>
    <t>Equity Reinvestment Rate</t>
  </si>
  <si>
    <t>ROE</t>
  </si>
  <si>
    <t xml:space="preserve">Equity Reinvestment Rate </t>
  </si>
  <si>
    <t>HIGH-GROWTH PERIOD</t>
  </si>
  <si>
    <t>YEAR</t>
  </si>
  <si>
    <t xml:space="preserve">Net Income </t>
  </si>
  <si>
    <t xml:space="preserve">Equity Rein. Rate </t>
  </si>
  <si>
    <t>FCFE</t>
  </si>
  <si>
    <t>KE</t>
  </si>
  <si>
    <t>HIGH GROWTH</t>
  </si>
  <si>
    <t xml:space="preserve">STABLE GROWTH </t>
  </si>
  <si>
    <t>TERMINAL VALUE</t>
  </si>
  <si>
    <t>TOT. PV FCFE</t>
  </si>
  <si>
    <t>PV. TERMINAL VALUE</t>
  </si>
  <si>
    <t>PV.FCFE</t>
  </si>
  <si>
    <t>1) Adjusted CAPEX</t>
  </si>
  <si>
    <t xml:space="preserve">2) Adjusted Non-Cash Working Capital </t>
  </si>
  <si>
    <t>3) Adjusted FCFF</t>
  </si>
  <si>
    <t>CURRENT EBIT TTM</t>
  </si>
  <si>
    <t>Non controlling interests</t>
  </si>
  <si>
    <t>Investments</t>
  </si>
  <si>
    <t>Entreprise value</t>
  </si>
  <si>
    <t>#Share</t>
  </si>
  <si>
    <t>Market value of non controlling interest</t>
  </si>
  <si>
    <t xml:space="preserve">BOOK VALUE </t>
  </si>
  <si>
    <t>MARKET VALUE</t>
  </si>
  <si>
    <t>VALUE PER SHARE</t>
  </si>
  <si>
    <r>
      <t xml:space="preserve">Growth rate </t>
    </r>
    <r>
      <rPr>
        <sz val="6"/>
        <color theme="1"/>
        <rFont val="Calibri"/>
        <family val="2"/>
        <scheme val="minor"/>
      </rPr>
      <t>STABLE</t>
    </r>
  </si>
  <si>
    <r>
      <t xml:space="preserve">ROE </t>
    </r>
    <r>
      <rPr>
        <sz val="6"/>
        <color theme="1"/>
        <rFont val="Calibri"/>
        <family val="2"/>
        <scheme val="minor"/>
      </rPr>
      <t>STABLE</t>
    </r>
    <r>
      <rPr>
        <sz val="11"/>
        <color theme="1"/>
        <rFont val="Calibri"/>
        <family val="2"/>
        <scheme val="minor"/>
      </rPr>
      <t xml:space="preserve"> = KE </t>
    </r>
  </si>
  <si>
    <r>
      <t xml:space="preserve">Reinvestment Rate </t>
    </r>
    <r>
      <rPr>
        <sz val="6"/>
        <color theme="1"/>
        <rFont val="Calibri"/>
        <family val="2"/>
        <scheme val="minor"/>
      </rPr>
      <t>STABLE</t>
    </r>
  </si>
  <si>
    <t>Net Income in 5th year</t>
  </si>
  <si>
    <t xml:space="preserve">FCFE IN 5th year </t>
  </si>
  <si>
    <t xml:space="preserve">Net income IN 6th year </t>
  </si>
  <si>
    <t>FCFE IN 6th year</t>
  </si>
  <si>
    <r>
      <t xml:space="preserve">Expected Growth rate </t>
    </r>
    <r>
      <rPr>
        <sz val="6"/>
        <color theme="1"/>
        <rFont val="Calibri"/>
        <family val="2"/>
        <scheme val="minor"/>
      </rPr>
      <t>HIGH</t>
    </r>
  </si>
  <si>
    <t>EXP.GROWTH</t>
  </si>
  <si>
    <t>ENTREPRISE VALUE</t>
  </si>
  <si>
    <t>Market value of investments</t>
  </si>
  <si>
    <t>INTRINSIC VALUE</t>
  </si>
  <si>
    <t>STOCK VALUE</t>
  </si>
  <si>
    <t>&lt;</t>
  </si>
  <si>
    <t xml:space="preserve">PRICE </t>
  </si>
  <si>
    <t xml:space="preserve">SELL </t>
  </si>
  <si>
    <t>INVESTING.COM (19/05/2020)</t>
  </si>
  <si>
    <t>YAHOO FINANCE (19/05/2020)</t>
  </si>
  <si>
    <t xml:space="preserve">DAMODARAN </t>
  </si>
  <si>
    <t>Operating income *(1-t)</t>
  </si>
  <si>
    <t>Book value of Debt (D)</t>
  </si>
  <si>
    <t>ANNUAL REPORT</t>
  </si>
  <si>
    <t>Book Value of Equity</t>
  </si>
  <si>
    <t>P/BV ratio</t>
  </si>
  <si>
    <t>YAHOO FINANCE 19/05/2020</t>
  </si>
  <si>
    <t>2020 -28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</si>
</sst>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_-[$$-409]* #,##0.00_ ;_-[$$-409]* \-#,##0.00\ ;_-[$$-409]* &quot;-&quot;??_ ;_-@_ "/>
    <numFmt numFmtId="166" formatCode="0.000000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3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8" fillId="7" borderId="0" applyNumberFormat="0" applyBorder="0" applyAlignment="0" applyProtection="0"/>
  </cellStyleXfs>
  <cellXfs count="356">
    <xf numFmtId="0" fontId="0" fillId="0" borderId="0" xfId="0"/>
    <xf numFmtId="0" fontId="0" fillId="0" borderId="0" xfId="0" applyBorder="1"/>
    <xf numFmtId="0" fontId="0" fillId="0" borderId="0" xfId="0"/>
    <xf numFmtId="10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4" applyFont="1" applyAlignment="1">
      <alignment vertical="center"/>
    </xf>
    <xf numFmtId="2" fontId="0" fillId="0" borderId="0" xfId="0" applyNumberFormat="1" applyBorder="1"/>
    <xf numFmtId="0" fontId="5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4" borderId="5" xfId="0" applyFont="1" applyFill="1" applyBorder="1"/>
    <xf numFmtId="0" fontId="8" fillId="4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0" fontId="11" fillId="6" borderId="25" xfId="0" applyNumberFormat="1" applyFont="1" applyFill="1" applyBorder="1"/>
    <xf numFmtId="10" fontId="11" fillId="6" borderId="11" xfId="0" applyNumberFormat="1" applyFont="1" applyFill="1" applyBorder="1"/>
    <xf numFmtId="10" fontId="11" fillId="6" borderId="16" xfId="0" applyNumberFormat="1" applyFont="1" applyFill="1" applyBorder="1"/>
    <xf numFmtId="10" fontId="11" fillId="6" borderId="1" xfId="0" applyNumberFormat="1" applyFont="1" applyFill="1" applyBorder="1"/>
    <xf numFmtId="10" fontId="11" fillId="6" borderId="10" xfId="0" applyNumberFormat="1" applyFont="1" applyFill="1" applyBorder="1"/>
    <xf numFmtId="10" fontId="11" fillId="6" borderId="18" xfId="0" applyNumberFormat="1" applyFont="1" applyFill="1" applyBorder="1"/>
    <xf numFmtId="10" fontId="11" fillId="6" borderId="12" xfId="0" applyNumberFormat="1" applyFont="1" applyFill="1" applyBorder="1"/>
    <xf numFmtId="10" fontId="11" fillId="6" borderId="4" xfId="0" applyNumberFormat="1" applyFont="1" applyFill="1" applyBorder="1"/>
    <xf numFmtId="10" fontId="11" fillId="6" borderId="27" xfId="0" applyNumberFormat="1" applyFont="1" applyFill="1" applyBorder="1"/>
    <xf numFmtId="10" fontId="11" fillId="6" borderId="28" xfId="0" applyNumberFormat="1" applyFont="1" applyFill="1" applyBorder="1"/>
    <xf numFmtId="0" fontId="3" fillId="5" borderId="19" xfId="0" applyFont="1" applyFill="1" applyBorder="1"/>
    <xf numFmtId="9" fontId="3" fillId="4" borderId="20" xfId="1" applyFont="1" applyFill="1" applyBorder="1"/>
    <xf numFmtId="0" fontId="0" fillId="3" borderId="14" xfId="0" applyFill="1" applyBorder="1"/>
    <xf numFmtId="0" fontId="3" fillId="4" borderId="15" xfId="0" applyFont="1" applyFill="1" applyBorder="1"/>
    <xf numFmtId="0" fontId="3" fillId="4" borderId="17" xfId="0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20" xfId="0" applyFill="1" applyBorder="1"/>
    <xf numFmtId="0" fontId="3" fillId="5" borderId="15" xfId="0" applyFont="1" applyFill="1" applyBorder="1"/>
    <xf numFmtId="0" fontId="3" fillId="5" borderId="17" xfId="0" applyFont="1" applyFill="1" applyBorder="1"/>
    <xf numFmtId="10" fontId="0" fillId="6" borderId="16" xfId="0" applyNumberFormat="1" applyFill="1" applyBorder="1"/>
    <xf numFmtId="9" fontId="0" fillId="6" borderId="20" xfId="0" applyNumberFormat="1" applyFill="1" applyBorder="1"/>
    <xf numFmtId="0" fontId="4" fillId="3" borderId="9" xfId="0" applyFont="1" applyFill="1" applyBorder="1" applyAlignment="1">
      <alignment vertical="center"/>
    </xf>
    <xf numFmtId="0" fontId="0" fillId="5" borderId="29" xfId="0" applyFill="1" applyBorder="1"/>
    <xf numFmtId="0" fontId="0" fillId="5" borderId="19" xfId="0" applyFill="1" applyBorder="1"/>
    <xf numFmtId="0" fontId="0" fillId="5" borderId="16" xfId="0" applyFill="1" applyBorder="1"/>
    <xf numFmtId="10" fontId="0" fillId="6" borderId="30" xfId="0" applyNumberFormat="1" applyFill="1" applyBorder="1"/>
    <xf numFmtId="10" fontId="0" fillId="5" borderId="18" xfId="0" applyNumberFormat="1" applyFill="1" applyBorder="1"/>
    <xf numFmtId="10" fontId="0" fillId="6" borderId="20" xfId="0" applyNumberFormat="1" applyFill="1" applyBorder="1"/>
    <xf numFmtId="0" fontId="8" fillId="3" borderId="6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0" fontId="0" fillId="5" borderId="1" xfId="0" applyNumberFormat="1" applyFill="1" applyBorder="1"/>
    <xf numFmtId="0" fontId="0" fillId="0" borderId="0" xfId="0" quotePrefix="1"/>
    <xf numFmtId="0" fontId="0" fillId="5" borderId="1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6" borderId="18" xfId="0" applyNumberFormat="1" applyFill="1" applyBorder="1"/>
    <xf numFmtId="10" fontId="0" fillId="5" borderId="26" xfId="0" applyNumberFormat="1" applyFill="1" applyBorder="1"/>
    <xf numFmtId="10" fontId="13" fillId="2" borderId="8" xfId="3" applyNumberFormat="1" applyFont="1" applyBorder="1" applyAlignment="1">
      <alignment vertical="center"/>
    </xf>
    <xf numFmtId="0" fontId="0" fillId="5" borderId="17" xfId="0" applyFill="1" applyBorder="1"/>
    <xf numFmtId="10" fontId="0" fillId="6" borderId="18" xfId="0" applyNumberFormat="1" applyFill="1" applyBorder="1"/>
    <xf numFmtId="0" fontId="4" fillId="3" borderId="32" xfId="0" applyFont="1" applyFill="1" applyBorder="1" applyAlignment="1">
      <alignment vertical="center"/>
    </xf>
    <xf numFmtId="0" fontId="0" fillId="3" borderId="33" xfId="0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5" borderId="1" xfId="0" applyFill="1" applyBorder="1" applyAlignment="1">
      <alignment horizontal="right"/>
    </xf>
    <xf numFmtId="0" fontId="4" fillId="3" borderId="5" xfId="0" applyFont="1" applyFill="1" applyBorder="1" applyAlignment="1">
      <alignment vertical="center"/>
    </xf>
    <xf numFmtId="0" fontId="0" fillId="5" borderId="36" xfId="0" applyFill="1" applyBorder="1"/>
    <xf numFmtId="10" fontId="0" fillId="6" borderId="36" xfId="0" applyNumberFormat="1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3" xfId="0" applyFill="1" applyBorder="1"/>
    <xf numFmtId="0" fontId="15" fillId="3" borderId="5" xfId="0" applyFont="1" applyFill="1" applyBorder="1"/>
    <xf numFmtId="0" fontId="0" fillId="4" borderId="31" xfId="0" applyFill="1" applyBorder="1"/>
    <xf numFmtId="0" fontId="0" fillId="4" borderId="15" xfId="0" applyFill="1" applyBorder="1"/>
    <xf numFmtId="0" fontId="0" fillId="5" borderId="25" xfId="0" applyFill="1" applyBorder="1"/>
    <xf numFmtId="0" fontId="0" fillId="5" borderId="17" xfId="0" applyFill="1" applyBorder="1" applyAlignment="1">
      <alignment horizontal="left"/>
    </xf>
    <xf numFmtId="9" fontId="0" fillId="6" borderId="18" xfId="0" applyNumberFormat="1" applyFill="1" applyBorder="1"/>
    <xf numFmtId="0" fontId="0" fillId="5" borderId="19" xfId="0" applyFill="1" applyBorder="1" applyAlignment="1">
      <alignment horizontal="left"/>
    </xf>
    <xf numFmtId="0" fontId="0" fillId="5" borderId="26" xfId="0" applyFill="1" applyBorder="1" applyAlignment="1">
      <alignment horizontal="right"/>
    </xf>
    <xf numFmtId="0" fontId="0" fillId="5" borderId="26" xfId="0" applyFill="1" applyBorder="1"/>
    <xf numFmtId="165" fontId="0" fillId="5" borderId="16" xfId="5" applyNumberFormat="1" applyFont="1" applyFill="1" applyBorder="1"/>
    <xf numFmtId="165" fontId="0" fillId="5" borderId="18" xfId="5" applyNumberFormat="1" applyFont="1" applyFill="1" applyBorder="1"/>
    <xf numFmtId="165" fontId="0" fillId="5" borderId="20" xfId="5" applyNumberFormat="1" applyFont="1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9" xfId="0" applyFill="1" applyBorder="1"/>
    <xf numFmtId="0" fontId="8" fillId="3" borderId="9" xfId="0" applyFont="1" applyFill="1" applyBorder="1" applyAlignment="1">
      <alignment vertical="center"/>
    </xf>
    <xf numFmtId="165" fontId="0" fillId="6" borderId="36" xfId="0" applyNumberFormat="1" applyFill="1" applyBorder="1"/>
    <xf numFmtId="165" fontId="0" fillId="6" borderId="1" xfId="0" applyNumberFormat="1" applyFill="1" applyBorder="1"/>
    <xf numFmtId="0" fontId="0" fillId="5" borderId="30" xfId="0" applyFill="1" applyBorder="1"/>
    <xf numFmtId="0" fontId="0" fillId="5" borderId="18" xfId="0" applyFill="1" applyBorder="1"/>
    <xf numFmtId="0" fontId="0" fillId="5" borderId="24" xfId="0" applyFill="1" applyBorder="1"/>
    <xf numFmtId="165" fontId="0" fillId="6" borderId="12" xfId="0" applyNumberFormat="1" applyFill="1" applyBorder="1"/>
    <xf numFmtId="0" fontId="0" fillId="5" borderId="35" xfId="0" applyFill="1" applyBorder="1"/>
    <xf numFmtId="10" fontId="0" fillId="6" borderId="35" xfId="0" applyNumberFormat="1" applyFill="1" applyBorder="1"/>
    <xf numFmtId="0" fontId="0" fillId="5" borderId="28" xfId="0" applyFill="1" applyBorder="1"/>
    <xf numFmtId="10" fontId="0" fillId="6" borderId="26" xfId="0" applyNumberFormat="1" applyFill="1" applyBorder="1"/>
    <xf numFmtId="0" fontId="0" fillId="5" borderId="20" xfId="0" applyFill="1" applyBorder="1"/>
    <xf numFmtId="165" fontId="0" fillId="5" borderId="8" xfId="0" applyNumberFormat="1" applyFill="1" applyBorder="1"/>
    <xf numFmtId="0" fontId="6" fillId="4" borderId="5" xfId="3" applyFont="1" applyFill="1" applyBorder="1"/>
    <xf numFmtId="10" fontId="0" fillId="5" borderId="36" xfId="0" applyNumberFormat="1" applyFill="1" applyBorder="1"/>
    <xf numFmtId="0" fontId="3" fillId="3" borderId="5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6" fillId="5" borderId="37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  <xf numFmtId="10" fontId="14" fillId="2" borderId="20" xfId="3" applyNumberFormat="1" applyFont="1" applyBorder="1"/>
    <xf numFmtId="0" fontId="0" fillId="5" borderId="37" xfId="0" applyFill="1" applyBorder="1"/>
    <xf numFmtId="0" fontId="0" fillId="6" borderId="18" xfId="0" applyNumberFormat="1" applyFill="1" applyBorder="1"/>
    <xf numFmtId="9" fontId="0" fillId="6" borderId="18" xfId="1" applyFont="1" applyFill="1" applyBorder="1"/>
    <xf numFmtId="0" fontId="0" fillId="5" borderId="23" xfId="0" applyFill="1" applyBorder="1" applyAlignment="1">
      <alignment vertical="center"/>
    </xf>
    <xf numFmtId="2" fontId="13" fillId="2" borderId="20" xfId="3" applyNumberFormat="1" applyFont="1" applyBorder="1" applyAlignment="1">
      <alignment vertical="center"/>
    </xf>
    <xf numFmtId="0" fontId="0" fillId="5" borderId="19" xfId="0" applyFont="1" applyFill="1" applyBorder="1"/>
    <xf numFmtId="0" fontId="3" fillId="3" borderId="9" xfId="0" applyFont="1" applyFill="1" applyBorder="1"/>
    <xf numFmtId="0" fontId="17" fillId="0" borderId="0" xfId="0" applyFont="1"/>
    <xf numFmtId="0" fontId="0" fillId="0" borderId="0" xfId="0" applyAlignment="1">
      <alignment horizontal="center"/>
    </xf>
    <xf numFmtId="165" fontId="0" fillId="6" borderId="16" xfId="0" applyNumberFormat="1" applyFill="1" applyBorder="1"/>
    <xf numFmtId="165" fontId="0" fillId="6" borderId="18" xfId="0" applyNumberFormat="1" applyFill="1" applyBorder="1"/>
    <xf numFmtId="165" fontId="0" fillId="6" borderId="20" xfId="0" applyNumberFormat="1" applyFill="1" applyBorder="1"/>
    <xf numFmtId="10" fontId="11" fillId="6" borderId="18" xfId="3" applyNumberFormat="1" applyFont="1" applyFill="1" applyBorder="1"/>
    <xf numFmtId="10" fontId="16" fillId="2" borderId="18" xfId="3" applyNumberFormat="1" applyFont="1" applyBorder="1"/>
    <xf numFmtId="165" fontId="0" fillId="6" borderId="30" xfId="0" applyNumberFormat="1" applyFill="1" applyBorder="1"/>
    <xf numFmtId="165" fontId="16" fillId="2" borderId="5" xfId="3" applyNumberFormat="1" applyFont="1" applyBorder="1"/>
    <xf numFmtId="165" fontId="0" fillId="6" borderId="15" xfId="0" applyNumberFormat="1" applyFill="1" applyBorder="1"/>
    <xf numFmtId="165" fontId="0" fillId="6" borderId="17" xfId="0" applyNumberFormat="1" applyFill="1" applyBorder="1"/>
    <xf numFmtId="165" fontId="0" fillId="6" borderId="24" xfId="0" applyNumberFormat="1" applyFill="1" applyBorder="1"/>
    <xf numFmtId="165" fontId="16" fillId="2" borderId="31" xfId="3" applyNumberFormat="1" applyFont="1" applyBorder="1" applyAlignment="1">
      <alignment vertical="center"/>
    </xf>
    <xf numFmtId="165" fontId="11" fillId="6" borderId="15" xfId="0" applyNumberFormat="1" applyFont="1" applyFill="1" applyBorder="1"/>
    <xf numFmtId="165" fontId="11" fillId="6" borderId="17" xfId="0" applyNumberFormat="1" applyFont="1" applyFill="1" applyBorder="1"/>
    <xf numFmtId="165" fontId="11" fillId="6" borderId="24" xfId="0" applyNumberFormat="1" applyFont="1" applyFill="1" applyBorder="1"/>
    <xf numFmtId="165" fontId="3" fillId="4" borderId="19" xfId="0" applyNumberFormat="1" applyFont="1" applyFill="1" applyBorder="1"/>
    <xf numFmtId="165" fontId="0" fillId="6" borderId="23" xfId="0" applyNumberFormat="1" applyFill="1" applyBorder="1"/>
    <xf numFmtId="165" fontId="0" fillId="6" borderId="40" xfId="0" applyNumberFormat="1" applyFill="1" applyBorder="1"/>
    <xf numFmtId="10" fontId="0" fillId="5" borderId="35" xfId="0" applyNumberFormat="1" applyFill="1" applyBorder="1"/>
    <xf numFmtId="0" fontId="6" fillId="4" borderId="3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65" fontId="13" fillId="2" borderId="5" xfId="3" applyNumberFormat="1" applyFont="1" applyBorder="1" applyAlignment="1">
      <alignment vertical="center"/>
    </xf>
    <xf numFmtId="165" fontId="0" fillId="5" borderId="1" xfId="0" applyNumberFormat="1" applyFill="1" applyBorder="1"/>
    <xf numFmtId="165" fontId="0" fillId="6" borderId="4" xfId="0" applyNumberFormat="1" applyFill="1" applyBorder="1"/>
    <xf numFmtId="165" fontId="3" fillId="5" borderId="7" xfId="0" applyNumberFormat="1" applyFont="1" applyFill="1" applyBorder="1"/>
    <xf numFmtId="165" fontId="0" fillId="6" borderId="26" xfId="0" applyNumberFormat="1" applyFill="1" applyBorder="1"/>
    <xf numFmtId="2" fontId="0" fillId="6" borderId="20" xfId="0" applyNumberFormat="1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0" fillId="4" borderId="47" xfId="0" applyFill="1" applyBorder="1"/>
    <xf numFmtId="0" fontId="0" fillId="6" borderId="26" xfId="0" applyFill="1" applyBorder="1" applyAlignment="1">
      <alignment horizontal="right"/>
    </xf>
    <xf numFmtId="0" fontId="3" fillId="4" borderId="3" xfId="0" applyFont="1" applyFill="1" applyBorder="1"/>
    <xf numFmtId="0" fontId="0" fillId="4" borderId="24" xfId="0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39" xfId="0" applyFill="1" applyBorder="1"/>
    <xf numFmtId="10" fontId="0" fillId="6" borderId="19" xfId="1" applyNumberFormat="1" applyFont="1" applyFill="1" applyBorder="1"/>
    <xf numFmtId="166" fontId="0" fillId="0" borderId="0" xfId="0" applyNumberFormat="1"/>
    <xf numFmtId="0" fontId="0" fillId="5" borderId="24" xfId="0" applyFont="1" applyFill="1" applyBorder="1"/>
    <xf numFmtId="165" fontId="0" fillId="6" borderId="35" xfId="0" applyNumberFormat="1" applyFill="1" applyBorder="1"/>
    <xf numFmtId="165" fontId="0" fillId="5" borderId="35" xfId="0" applyNumberFormat="1" applyFill="1" applyBorder="1"/>
    <xf numFmtId="165" fontId="0" fillId="6" borderId="56" xfId="0" applyNumberFormat="1" applyFill="1" applyBorder="1"/>
    <xf numFmtId="165" fontId="3" fillId="5" borderId="57" xfId="0" applyNumberFormat="1" applyFont="1" applyFill="1" applyBorder="1"/>
    <xf numFmtId="0" fontId="3" fillId="3" borderId="5" xfId="0" applyFont="1" applyFill="1" applyBorder="1"/>
    <xf numFmtId="0" fontId="3" fillId="5" borderId="2" xfId="0" applyFont="1" applyFill="1" applyBorder="1"/>
    <xf numFmtId="16" fontId="3" fillId="6" borderId="13" xfId="0" applyNumberFormat="1" applyFont="1" applyFill="1" applyBorder="1"/>
    <xf numFmtId="16" fontId="3" fillId="5" borderId="13" xfId="0" applyNumberFormat="1" applyFont="1" applyFill="1" applyBorder="1"/>
    <xf numFmtId="14" fontId="3" fillId="6" borderId="58" xfId="0" applyNumberFormat="1" applyFont="1" applyFill="1" applyBorder="1"/>
    <xf numFmtId="165" fontId="3" fillId="5" borderId="6" xfId="0" applyNumberFormat="1" applyFont="1" applyFill="1" applyBorder="1"/>
    <xf numFmtId="165" fontId="0" fillId="6" borderId="25" xfId="0" applyNumberFormat="1" applyFill="1" applyBorder="1"/>
    <xf numFmtId="165" fontId="0" fillId="5" borderId="25" xfId="0" applyNumberFormat="1" applyFill="1" applyBorder="1"/>
    <xf numFmtId="165" fontId="0" fillId="6" borderId="41" xfId="0" applyNumberFormat="1" applyFill="1" applyBorder="1"/>
    <xf numFmtId="165" fontId="0" fillId="6" borderId="27" xfId="0" applyNumberFormat="1" applyFill="1" applyBorder="1"/>
    <xf numFmtId="165" fontId="0" fillId="5" borderId="26" xfId="0" applyNumberFormat="1" applyFill="1" applyBorder="1"/>
    <xf numFmtId="165" fontId="3" fillId="5" borderId="8" xfId="0" applyNumberFormat="1" applyFont="1" applyFill="1" applyBorder="1"/>
    <xf numFmtId="10" fontId="0" fillId="6" borderId="26" xfId="1" applyNumberFormat="1" applyFont="1" applyFill="1" applyBorder="1"/>
    <xf numFmtId="0" fontId="0" fillId="6" borderId="30" xfId="0" applyFill="1" applyBorder="1" applyAlignment="1">
      <alignment horizontal="center" vertical="center"/>
    </xf>
    <xf numFmtId="10" fontId="0" fillId="6" borderId="15" xfId="0" applyNumberFormat="1" applyFill="1" applyBorder="1"/>
    <xf numFmtId="165" fontId="0" fillId="6" borderId="16" xfId="5" applyNumberFormat="1" applyFont="1" applyFill="1" applyBorder="1"/>
    <xf numFmtId="165" fontId="0" fillId="5" borderId="36" xfId="0" applyNumberFormat="1" applyFill="1" applyBorder="1"/>
    <xf numFmtId="165" fontId="3" fillId="6" borderId="44" xfId="0" applyNumberFormat="1" applyFont="1" applyFill="1" applyBorder="1"/>
    <xf numFmtId="165" fontId="3" fillId="6" borderId="49" xfId="0" applyNumberFormat="1" applyFont="1" applyFill="1" applyBorder="1"/>
    <xf numFmtId="165" fontId="3" fillId="6" borderId="40" xfId="0" applyNumberFormat="1" applyFont="1" applyFill="1" applyBorder="1"/>
    <xf numFmtId="165" fontId="0" fillId="5" borderId="26" xfId="0" applyNumberFormat="1" applyFill="1" applyBorder="1" applyAlignment="1">
      <alignment horizontal="right"/>
    </xf>
    <xf numFmtId="165" fontId="0" fillId="5" borderId="16" xfId="0" applyNumberFormat="1" applyFill="1" applyBorder="1"/>
    <xf numFmtId="165" fontId="0" fillId="5" borderId="18" xfId="0" applyNumberFormat="1" applyFill="1" applyBorder="1"/>
    <xf numFmtId="165" fontId="0" fillId="5" borderId="28" xfId="0" applyNumberFormat="1" applyFill="1" applyBorder="1"/>
    <xf numFmtId="2" fontId="0" fillId="6" borderId="16" xfId="0" applyNumberFormat="1" applyFill="1" applyBorder="1"/>
    <xf numFmtId="0" fontId="0" fillId="5" borderId="16" xfId="0" applyNumberFormat="1" applyFill="1" applyBorder="1"/>
    <xf numFmtId="2" fontId="0" fillId="5" borderId="20" xfId="0" applyNumberFormat="1" applyFill="1" applyBorder="1"/>
    <xf numFmtId="17" fontId="0" fillId="4" borderId="6" xfId="0" applyNumberFormat="1" applyFont="1" applyFill="1" applyBorder="1" applyAlignment="1">
      <alignment horizontal="left"/>
    </xf>
    <xf numFmtId="17" fontId="0" fillId="4" borderId="7" xfId="0" applyNumberFormat="1" applyFont="1" applyFill="1" applyBorder="1" applyAlignment="1">
      <alignment horizontal="left"/>
    </xf>
    <xf numFmtId="17" fontId="0" fillId="4" borderId="8" xfId="0" applyNumberFormat="1" applyFont="1" applyFill="1" applyBorder="1" applyAlignment="1">
      <alignment horizontal="left"/>
    </xf>
    <xf numFmtId="0" fontId="0" fillId="4" borderId="2" xfId="0" applyFont="1" applyFill="1" applyBorder="1"/>
    <xf numFmtId="0" fontId="0" fillId="4" borderId="13" xfId="0" applyFont="1" applyFill="1" applyBorder="1"/>
    <xf numFmtId="0" fontId="0" fillId="4" borderId="3" xfId="0" applyFont="1" applyFill="1" applyBorder="1"/>
    <xf numFmtId="0" fontId="3" fillId="4" borderId="19" xfId="0" applyFont="1" applyFill="1" applyBorder="1"/>
    <xf numFmtId="0" fontId="0" fillId="0" borderId="0" xfId="0" applyAlignment="1">
      <alignment horizontal="left"/>
    </xf>
    <xf numFmtId="165" fontId="0" fillId="6" borderId="29" xfId="0" applyNumberFormat="1" applyFill="1" applyBorder="1"/>
    <xf numFmtId="165" fontId="0" fillId="5" borderId="30" xfId="0" applyNumberFormat="1" applyFill="1" applyBorder="1"/>
    <xf numFmtId="165" fontId="0" fillId="5" borderId="20" xfId="0" applyNumberFormat="1" applyFill="1" applyBorder="1"/>
    <xf numFmtId="165" fontId="16" fillId="2" borderId="16" xfId="3" applyNumberFormat="1" applyFont="1" applyBorder="1" applyAlignment="1">
      <alignment horizontal="center" vertical="center"/>
    </xf>
    <xf numFmtId="165" fontId="16" fillId="2" borderId="55" xfId="3" applyNumberFormat="1" applyFont="1" applyBorder="1" applyAlignment="1">
      <alignment horizontal="center" vertical="center"/>
    </xf>
    <xf numFmtId="9" fontId="0" fillId="6" borderId="48" xfId="1" applyFont="1" applyFill="1" applyBorder="1"/>
    <xf numFmtId="165" fontId="0" fillId="5" borderId="15" xfId="0" applyNumberFormat="1" applyFill="1" applyBorder="1"/>
    <xf numFmtId="165" fontId="0" fillId="5" borderId="17" xfId="0" applyNumberFormat="1" applyFill="1" applyBorder="1"/>
    <xf numFmtId="165" fontId="0" fillId="5" borderId="19" xfId="0" applyNumberFormat="1" applyFill="1" applyBorder="1"/>
    <xf numFmtId="165" fontId="13" fillId="2" borderId="16" xfId="3" applyNumberFormat="1" applyFont="1" applyBorder="1"/>
    <xf numFmtId="9" fontId="0" fillId="6" borderId="20" xfId="1" applyFont="1" applyFill="1" applyBorder="1"/>
    <xf numFmtId="167" fontId="0" fillId="6" borderId="18" xfId="1" applyNumberFormat="1" applyFont="1" applyFill="1" applyBorder="1"/>
    <xf numFmtId="9" fontId="0" fillId="5" borderId="46" xfId="0" applyNumberFormat="1" applyFill="1" applyBorder="1"/>
    <xf numFmtId="0" fontId="0" fillId="5" borderId="43" xfId="0" applyFill="1" applyBorder="1"/>
    <xf numFmtId="9" fontId="0" fillId="5" borderId="43" xfId="1" applyFont="1" applyFill="1" applyBorder="1"/>
    <xf numFmtId="10" fontId="0" fillId="5" borderId="43" xfId="0" applyNumberFormat="1" applyFill="1" applyBorder="1"/>
    <xf numFmtId="9" fontId="0" fillId="6" borderId="25" xfId="0" applyNumberFormat="1" applyFill="1" applyBorder="1"/>
    <xf numFmtId="9" fontId="0" fillId="6" borderId="1" xfId="1" applyFont="1" applyFill="1" applyBorder="1"/>
    <xf numFmtId="9" fontId="0" fillId="5" borderId="25" xfId="0" applyNumberFormat="1" applyFill="1" applyBorder="1"/>
    <xf numFmtId="9" fontId="0" fillId="5" borderId="1" xfId="1" applyFont="1" applyFill="1" applyBorder="1"/>
    <xf numFmtId="9" fontId="0" fillId="5" borderId="16" xfId="0" applyNumberFormat="1" applyFill="1" applyBorder="1"/>
    <xf numFmtId="9" fontId="0" fillId="5" borderId="18" xfId="1" applyFont="1" applyFill="1" applyBorder="1"/>
    <xf numFmtId="165" fontId="0" fillId="5" borderId="43" xfId="0" applyNumberFormat="1" applyFill="1" applyBorder="1"/>
    <xf numFmtId="165" fontId="0" fillId="5" borderId="63" xfId="0" applyNumberFormat="1" applyFill="1" applyBorder="1"/>
    <xf numFmtId="165" fontId="16" fillId="2" borderId="31" xfId="3" applyNumberFormat="1" applyFont="1" applyBorder="1"/>
    <xf numFmtId="165" fontId="3" fillId="6" borderId="6" xfId="0" applyNumberFormat="1" applyFont="1" applyFill="1" applyBorder="1"/>
    <xf numFmtId="165" fontId="3" fillId="6" borderId="7" xfId="0" applyNumberFormat="1" applyFont="1" applyFill="1" applyBorder="1"/>
    <xf numFmtId="165" fontId="3" fillId="6" borderId="20" xfId="0" applyNumberFormat="1" applyFont="1" applyFill="1" applyBorder="1"/>
    <xf numFmtId="165" fontId="23" fillId="2" borderId="20" xfId="3" applyNumberFormat="1" applyFont="1" applyBorder="1"/>
    <xf numFmtId="0" fontId="15" fillId="0" borderId="0" xfId="0" applyFont="1" applyAlignment="1">
      <alignment horizontal="center"/>
    </xf>
    <xf numFmtId="10" fontId="0" fillId="6" borderId="16" xfId="1" applyNumberFormat="1" applyFont="1" applyFill="1" applyBorder="1"/>
    <xf numFmtId="0" fontId="7" fillId="0" borderId="0" xfId="0" applyFont="1"/>
    <xf numFmtId="0" fontId="7" fillId="0" borderId="0" xfId="0" applyFont="1" applyAlignment="1">
      <alignment vertical="top"/>
    </xf>
    <xf numFmtId="165" fontId="20" fillId="0" borderId="0" xfId="0" applyNumberFormat="1" applyFont="1" applyAlignment="1">
      <alignment horizontal="center"/>
    </xf>
    <xf numFmtId="165" fontId="0" fillId="0" borderId="0" xfId="0" applyNumberFormat="1"/>
    <xf numFmtId="17" fontId="7" fillId="0" borderId="0" xfId="0" applyNumberFormat="1" applyFont="1" applyAlignment="1">
      <alignment horizontal="left"/>
    </xf>
    <xf numFmtId="0" fontId="15" fillId="4" borderId="1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10" fontId="16" fillId="2" borderId="9" xfId="3" applyNumberFormat="1" applyFont="1" applyBorder="1" applyAlignment="1">
      <alignment horizontal="center" vertical="center"/>
    </xf>
    <xf numFmtId="10" fontId="16" fillId="2" borderId="31" xfId="3" applyNumberFormat="1" applyFont="1" applyBorder="1" applyAlignment="1">
      <alignment horizontal="center" vertical="center"/>
    </xf>
    <xf numFmtId="0" fontId="0" fillId="5" borderId="23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19" fillId="3" borderId="37" xfId="0" applyFont="1" applyFill="1" applyBorder="1" applyAlignment="1">
      <alignment horizontal="left" vertical="center"/>
    </xf>
    <xf numFmtId="0" fontId="19" fillId="3" borderId="55" xfId="0" applyFont="1" applyFill="1" applyBorder="1" applyAlignment="1">
      <alignment horizontal="left" vertical="center"/>
    </xf>
    <xf numFmtId="0" fontId="0" fillId="5" borderId="47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3" fillId="4" borderId="24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165" fontId="3" fillId="5" borderId="28" xfId="0" applyNumberFormat="1" applyFont="1" applyFill="1" applyBorder="1" applyAlignment="1">
      <alignment vertical="center"/>
    </xf>
    <xf numFmtId="165" fontId="3" fillId="5" borderId="50" xfId="0" applyNumberFormat="1" applyFont="1" applyFill="1" applyBorder="1" applyAlignment="1">
      <alignment vertical="center"/>
    </xf>
    <xf numFmtId="165" fontId="3" fillId="5" borderId="60" xfId="0" applyNumberFormat="1" applyFont="1" applyFill="1" applyBorder="1" applyAlignment="1">
      <alignment horizontal="center" vertical="center"/>
    </xf>
    <xf numFmtId="165" fontId="3" fillId="5" borderId="61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165" fontId="3" fillId="5" borderId="6" xfId="0" applyNumberFormat="1" applyFont="1" applyFill="1" applyBorder="1" applyAlignment="1">
      <alignment horizontal="center" vertical="center"/>
    </xf>
    <xf numFmtId="165" fontId="3" fillId="5" borderId="8" xfId="0" applyNumberFormat="1" applyFont="1" applyFill="1" applyBorder="1" applyAlignment="1">
      <alignment horizontal="center" vertical="center"/>
    </xf>
    <xf numFmtId="165" fontId="0" fillId="5" borderId="39" xfId="0" applyNumberFormat="1" applyFill="1" applyBorder="1" applyAlignment="1">
      <alignment horizontal="center" vertical="center"/>
    </xf>
    <xf numFmtId="165" fontId="0" fillId="5" borderId="54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9" fillId="3" borderId="15" xfId="0" applyFont="1" applyFill="1" applyBorder="1" applyAlignment="1">
      <alignment horizontal="left" vertical="center"/>
    </xf>
    <xf numFmtId="0" fontId="19" fillId="3" borderId="25" xfId="0" applyFont="1" applyFill="1" applyBorder="1" applyAlignment="1">
      <alignment horizontal="left" vertical="center"/>
    </xf>
    <xf numFmtId="0" fontId="0" fillId="5" borderId="38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4" borderId="38" xfId="0" applyFill="1" applyBorder="1" applyAlignment="1">
      <alignment horizontal="left" vertical="center"/>
    </xf>
    <xf numFmtId="0" fontId="0" fillId="4" borderId="39" xfId="0" applyFill="1" applyBorder="1" applyAlignment="1">
      <alignment horizontal="left" vertical="center"/>
    </xf>
    <xf numFmtId="0" fontId="0" fillId="4" borderId="47" xfId="0" applyFill="1" applyBorder="1" applyAlignment="1">
      <alignment horizontal="left" vertical="center"/>
    </xf>
    <xf numFmtId="0" fontId="0" fillId="4" borderId="48" xfId="0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5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3" fillId="4" borderId="42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left"/>
    </xf>
    <xf numFmtId="0" fontId="0" fillId="4" borderId="43" xfId="0" applyFill="1" applyBorder="1" applyAlignment="1">
      <alignment horizontal="left"/>
    </xf>
    <xf numFmtId="165" fontId="3" fillId="5" borderId="51" xfId="0" applyNumberFormat="1" applyFont="1" applyFill="1" applyBorder="1" applyAlignment="1">
      <alignment horizontal="center" vertical="center"/>
    </xf>
    <xf numFmtId="165" fontId="3" fillId="5" borderId="50" xfId="0" applyNumberFormat="1" applyFon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5" borderId="37" xfId="0" applyFill="1" applyBorder="1" applyAlignment="1">
      <alignment horizontal="left"/>
    </xf>
    <xf numFmtId="0" fontId="0" fillId="5" borderId="55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165" fontId="3" fillId="5" borderId="59" xfId="0" applyNumberFormat="1" applyFont="1" applyFill="1" applyBorder="1" applyAlignment="1">
      <alignment horizontal="center" vertical="center"/>
    </xf>
    <xf numFmtId="165" fontId="3" fillId="5" borderId="52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left"/>
    </xf>
    <xf numFmtId="0" fontId="0" fillId="4" borderId="63" xfId="0" applyFill="1" applyBorder="1" applyAlignment="1">
      <alignment horizontal="left"/>
    </xf>
    <xf numFmtId="165" fontId="3" fillId="5" borderId="30" xfId="0" applyNumberFormat="1" applyFont="1" applyFill="1" applyBorder="1" applyAlignment="1">
      <alignment horizontal="center" vertical="center"/>
    </xf>
    <xf numFmtId="0" fontId="0" fillId="5" borderId="46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 vertical="center"/>
    </xf>
    <xf numFmtId="0" fontId="3" fillId="4" borderId="47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0" fillId="5" borderId="49" xfId="0" applyFill="1" applyBorder="1" applyAlignment="1">
      <alignment horizontal="left"/>
    </xf>
    <xf numFmtId="0" fontId="6" fillId="4" borderId="38" xfId="0" applyFont="1" applyFill="1" applyBorder="1" applyAlignment="1">
      <alignment horizontal="left" vertical="center"/>
    </xf>
    <xf numFmtId="0" fontId="6" fillId="4" borderId="34" xfId="0" applyFont="1" applyFill="1" applyBorder="1" applyAlignment="1">
      <alignment horizontal="left" vertical="center"/>
    </xf>
    <xf numFmtId="0" fontId="6" fillId="4" borderId="45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165" fontId="6" fillId="5" borderId="16" xfId="0" applyNumberFormat="1" applyFont="1" applyFill="1" applyBorder="1" applyAlignment="1">
      <alignment horizontal="center" vertical="center"/>
    </xf>
    <xf numFmtId="165" fontId="6" fillId="5" borderId="18" xfId="0" applyNumberFormat="1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left"/>
    </xf>
    <xf numFmtId="0" fontId="19" fillId="3" borderId="66" xfId="0" applyFont="1" applyFill="1" applyBorder="1" applyAlignment="1">
      <alignment horizontal="left"/>
    </xf>
    <xf numFmtId="0" fontId="19" fillId="3" borderId="46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65" xfId="0" applyFill="1" applyBorder="1" applyAlignment="1">
      <alignment horizontal="left"/>
    </xf>
    <xf numFmtId="0" fontId="19" fillId="3" borderId="15" xfId="0" applyFont="1" applyFill="1" applyBorder="1" applyAlignment="1">
      <alignment horizontal="left"/>
    </xf>
    <xf numFmtId="0" fontId="19" fillId="3" borderId="25" xfId="0" applyFont="1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5" fillId="3" borderId="38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/>
    </xf>
    <xf numFmtId="0" fontId="0" fillId="5" borderId="15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55" xfId="0" applyFont="1" applyFill="1" applyBorder="1" applyAlignment="1">
      <alignment horizontal="center"/>
    </xf>
    <xf numFmtId="9" fontId="3" fillId="4" borderId="22" xfId="0" applyNumberFormat="1" applyFont="1" applyFill="1" applyBorder="1" applyAlignment="1">
      <alignment horizontal="center"/>
    </xf>
    <xf numFmtId="9" fontId="3" fillId="4" borderId="49" xfId="0" applyNumberFormat="1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48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3" borderId="3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20" fillId="0" borderId="0" xfId="0" applyNumberFormat="1" applyFont="1" applyAlignment="1">
      <alignment horizontal="center"/>
    </xf>
    <xf numFmtId="0" fontId="25" fillId="7" borderId="64" xfId="6" applyFont="1" applyBorder="1" applyAlignment="1">
      <alignment horizontal="center"/>
    </xf>
    <xf numFmtId="0" fontId="22" fillId="5" borderId="19" xfId="0" applyFont="1" applyFill="1" applyBorder="1" applyAlignment="1">
      <alignment horizontal="left"/>
    </xf>
    <xf numFmtId="0" fontId="22" fillId="5" borderId="26" xfId="0" applyFont="1" applyFill="1" applyBorder="1" applyAlignment="1">
      <alignment horizontal="left"/>
    </xf>
    <xf numFmtId="0" fontId="24" fillId="5" borderId="19" xfId="0" applyFont="1" applyFill="1" applyBorder="1" applyAlignment="1">
      <alignment horizontal="left"/>
    </xf>
    <xf numFmtId="0" fontId="24" fillId="5" borderId="26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center"/>
    </xf>
    <xf numFmtId="0" fontId="0" fillId="5" borderId="29" xfId="0" applyFill="1" applyBorder="1" applyAlignment="1">
      <alignment horizontal="left"/>
    </xf>
    <xf numFmtId="0" fontId="0" fillId="5" borderId="36" xfId="0" applyFill="1" applyBorder="1" applyAlignment="1">
      <alignment horizontal="left"/>
    </xf>
  </cellXfs>
  <cellStyles count="7">
    <cellStyle name="Collegamento ipertestuale" xfId="4" builtinId="8"/>
    <cellStyle name="Normale" xfId="0" builtinId="0"/>
    <cellStyle name="Percentuale" xfId="1" builtinId="5"/>
    <cellStyle name="Valore non valido" xfId="6" builtinId="27"/>
    <cellStyle name="Valore valido" xfId="3" builtinId="26"/>
    <cellStyle name="Valuta" xfId="5" builtinId="4"/>
    <cellStyle name="Valuta 2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290031</xdr:colOff>
      <xdr:row>13</xdr:row>
      <xdr:rowOff>72422</xdr:rowOff>
    </xdr:from>
    <xdr:to>
      <xdr:col>8</xdr:col>
      <xdr:colOff>552450</xdr:colOff>
      <xdr:row>17</xdr:row>
      <xdr:rowOff>185847</xdr:rowOff>
    </xdr:to>
    <xdr:pic>
      <xdr:nvPicPr>
        <xdr:cNvPr id="5" name="Immagine 4" descr="Mickey Mouse Dislike Hand Png Image - Mickey Mouse Thumbs Down ...">
          <a:extLst>
            <a:ext uri="{FF2B5EF4-FFF2-40B4-BE49-F238E27FC236}">
              <a16:creationId xmlns:a16="http://schemas.microsoft.com/office/drawing/2014/main" id="{49CC223A-EF18-4667-8E34-4E1EB39B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381" y="2710847"/>
          <a:ext cx="919644" cy="94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vesting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A4" workbookViewId="0">
      <selection activeCell="D12" sqref="D12"/>
    </sheetView>
  </sheetViews>
  <sheetFormatPr defaultRowHeight="15" x14ac:dyDescent="0.25"/>
  <cols>
    <col min="1" max="1" width="3.42578125" style="2" customWidth="1"/>
    <col min="2" max="2" width="31.7109375" customWidth="1"/>
    <col min="3" max="3" width="11.28515625" bestFit="1" customWidth="1"/>
    <col min="4" max="4" width="15.28515625" customWidth="1"/>
    <col min="5" max="5" width="23.5703125" customWidth="1"/>
    <col min="6" max="6" width="17" customWidth="1"/>
    <col min="7" max="7" width="17.140625" customWidth="1"/>
    <col min="12" max="12" width="11.5703125" bestFit="1" customWidth="1"/>
    <col min="13" max="13" width="19.85546875" customWidth="1"/>
    <col min="14" max="14" width="14.5703125" customWidth="1"/>
    <col min="16" max="16" width="18.42578125" customWidth="1"/>
  </cols>
  <sheetData>
    <row r="1" spans="2:16" s="2" customFormat="1" ht="15.75" thickBot="1" x14ac:dyDescent="0.3"/>
    <row r="2" spans="2:16" s="2" customFormat="1" ht="29.25" customHeight="1" thickBot="1" x14ac:dyDescent="0.3">
      <c r="B2" s="8" t="s">
        <v>0</v>
      </c>
      <c r="D2" s="1"/>
    </row>
    <row r="3" spans="2:16" x14ac:dyDescent="0.25">
      <c r="B3" s="107" t="s">
        <v>1</v>
      </c>
      <c r="C3" s="227">
        <v>7.11E-3</v>
      </c>
      <c r="D3" s="4" t="s">
        <v>225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25">
      <c r="B4" s="108" t="s">
        <v>2</v>
      </c>
      <c r="C4" s="57">
        <f>F16</f>
        <v>1.3830624881551328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5">
      <c r="B5" s="108" t="s">
        <v>3</v>
      </c>
      <c r="C5" s="61">
        <v>5.1999999999999998E-2</v>
      </c>
      <c r="D5" s="5" t="s">
        <v>4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5">
      <c r="B6" s="108" t="s">
        <v>5</v>
      </c>
      <c r="C6" s="61">
        <f>F25</f>
        <v>6.4772617507546353E-3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19.5" thickBot="1" x14ac:dyDescent="0.35">
      <c r="B7" s="109" t="s">
        <v>6</v>
      </c>
      <c r="C7" s="110">
        <f>C3+C4*(C5)+C6</f>
        <v>8.550651113482155E-2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15.75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9.25" customHeight="1" thickBot="1" x14ac:dyDescent="0.3">
      <c r="B9" s="9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.75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15.75" thickBot="1" x14ac:dyDescent="0.3">
      <c r="B11" s="10" t="s">
        <v>7</v>
      </c>
      <c r="C11" s="2"/>
      <c r="D11" s="2"/>
      <c r="E11" s="11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5">
      <c r="B12" s="111" t="s">
        <v>9</v>
      </c>
      <c r="C12" s="34">
        <v>1.33</v>
      </c>
      <c r="D12" s="4" t="s">
        <v>10</v>
      </c>
      <c r="E12" s="111" t="s">
        <v>11</v>
      </c>
      <c r="F12" s="120">
        <v>208832</v>
      </c>
      <c r="G12" s="6" t="s">
        <v>224</v>
      </c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5">
      <c r="B13" s="17" t="s">
        <v>12</v>
      </c>
      <c r="C13" s="112">
        <v>0.20069999999999999</v>
      </c>
      <c r="D13" s="2"/>
      <c r="E13" s="17" t="s">
        <v>13</v>
      </c>
      <c r="F13" s="121">
        <f>Adjusted!C2</f>
        <v>54998.023988869056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5">
      <c r="B14" s="17" t="s">
        <v>14</v>
      </c>
      <c r="C14" s="113">
        <v>0.27</v>
      </c>
      <c r="D14" s="2"/>
      <c r="E14" s="17" t="s">
        <v>15</v>
      </c>
      <c r="F14" s="35">
        <f>F13/F12</f>
        <v>0.26336013632426569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6.5" customHeight="1" thickBot="1" x14ac:dyDescent="0.3">
      <c r="B15" s="18" t="s">
        <v>16</v>
      </c>
      <c r="C15" s="145">
        <f>C12/(1+C13*(1-C14))</f>
        <v>1.1600412032680019</v>
      </c>
      <c r="D15" s="2"/>
      <c r="E15" s="17" t="s">
        <v>17</v>
      </c>
      <c r="F15" s="80">
        <v>0.27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21.75" customHeight="1" thickBot="1" x14ac:dyDescent="0.3">
      <c r="B16" s="2"/>
      <c r="C16" s="2"/>
      <c r="D16" s="2"/>
      <c r="E16" s="114" t="s">
        <v>18</v>
      </c>
      <c r="F16" s="115">
        <f>C15*(1+F14*(1-F15))</f>
        <v>1.3830624881551328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ht="15.75" thickBo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30.75" customHeight="1" thickBot="1" x14ac:dyDescent="0.3">
      <c r="B18" s="9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s="2" customFormat="1" ht="15" customHeight="1" thickBot="1" x14ac:dyDescent="0.3"/>
    <row r="20" spans="2:16" ht="15.75" thickBot="1" x14ac:dyDescent="0.3">
      <c r="B20" s="12" t="s">
        <v>20</v>
      </c>
      <c r="C20" s="13">
        <v>2019</v>
      </c>
      <c r="D20" s="14" t="s">
        <v>21</v>
      </c>
      <c r="E20" s="13" t="s">
        <v>5</v>
      </c>
      <c r="F20" s="15" t="s">
        <v>22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5">
      <c r="B21" s="16" t="s">
        <v>23</v>
      </c>
      <c r="C21" s="131">
        <v>50555</v>
      </c>
      <c r="D21" s="19">
        <f>C21/$C$25</f>
        <v>0.72667816587609602</v>
      </c>
      <c r="E21" s="20">
        <v>0</v>
      </c>
      <c r="F21" s="21">
        <f>E21*D21</f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5">
      <c r="B22" s="17" t="s">
        <v>24</v>
      </c>
      <c r="C22" s="132">
        <v>8006</v>
      </c>
      <c r="D22" s="22">
        <f>C22/$C$25</f>
        <v>0.11507833836423746</v>
      </c>
      <c r="E22" s="23">
        <v>2.12E-2</v>
      </c>
      <c r="F22" s="24">
        <f>E22*D22</f>
        <v>2.4396607733218343E-3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5">
      <c r="B23" s="17" t="s">
        <v>25</v>
      </c>
      <c r="C23" s="132">
        <v>7796</v>
      </c>
      <c r="D23" s="22">
        <f>C23/$C$25</f>
        <v>0.11205979588903263</v>
      </c>
      <c r="E23" s="25">
        <v>2.1399999999999999E-2</v>
      </c>
      <c r="F23" s="24">
        <f>E23*D23</f>
        <v>2.398079632025298E-3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ht="15.75" thickBot="1" x14ac:dyDescent="0.3">
      <c r="B24" s="18" t="s">
        <v>26</v>
      </c>
      <c r="C24" s="133">
        <v>3213</v>
      </c>
      <c r="D24" s="26">
        <f>C24/$C$25</f>
        <v>4.6183699870633893E-2</v>
      </c>
      <c r="E24" s="27">
        <v>3.5499999999999997E-2</v>
      </c>
      <c r="F24" s="28">
        <f>E24*D24</f>
        <v>1.6395213454075031E-3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ht="21.75" customHeight="1" thickBot="1" x14ac:dyDescent="0.3">
      <c r="B25" s="2"/>
      <c r="C25" s="134">
        <f>SUM(C21:C24)</f>
        <v>69570</v>
      </c>
      <c r="D25" s="30">
        <f>SUM(D21:D24)</f>
        <v>0.99999999999999989</v>
      </c>
      <c r="E25" s="2"/>
      <c r="F25" s="59">
        <f>SUM(F21:F24)</f>
        <v>6.4772617507546353E-3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9" spans="2:1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</sheetData>
  <hyperlinks>
    <hyperlink ref="G12" r:id="rId1" display="WWW.INVESTING.COM" xr:uid="{00000000-0004-0000-0000-000000000000}"/>
  </hyperlinks>
  <pageMargins left="0.7" right="0.7" top="0.75" bottom="0.75" header="0.3" footer="0.3"/>
  <pageSetup orientation="portrait" r:id="rId2"/>
  <ignoredErrors>
    <ignoredError sqref="C2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55DD-0B95-4A84-A1E0-47C4EF9F700E}">
  <dimension ref="B1:K16"/>
  <sheetViews>
    <sheetView tabSelected="1" workbookViewId="0">
      <selection activeCell="D11" sqref="D11"/>
    </sheetView>
  </sheetViews>
  <sheetFormatPr defaultRowHeight="15" x14ac:dyDescent="0.25"/>
  <cols>
    <col min="3" max="3" width="15" customWidth="1"/>
    <col min="4" max="4" width="13.140625" customWidth="1"/>
    <col min="7" max="7" width="11.5703125" customWidth="1"/>
    <col min="8" max="8" width="9.85546875" customWidth="1"/>
    <col min="10" max="10" width="15.5703125" bestFit="1" customWidth="1"/>
  </cols>
  <sheetData>
    <row r="1" spans="2:11" s="2" customFormat="1" x14ac:dyDescent="0.25"/>
    <row r="2" spans="2:11" s="2" customFormat="1" ht="15.75" thickBot="1" x14ac:dyDescent="0.3"/>
    <row r="3" spans="2:11" ht="16.5" thickBot="1" x14ac:dyDescent="0.3">
      <c r="B3" s="343" t="s">
        <v>205</v>
      </c>
      <c r="C3" s="344"/>
      <c r="D3" s="345"/>
      <c r="F3" s="330" t="s">
        <v>206</v>
      </c>
      <c r="G3" s="331"/>
      <c r="H3" s="331"/>
      <c r="I3" s="331"/>
      <c r="J3" s="332"/>
    </row>
    <row r="4" spans="2:11" x14ac:dyDescent="0.25">
      <c r="B4" s="354" t="s">
        <v>202</v>
      </c>
      <c r="C4" s="355"/>
      <c r="D4" s="125">
        <f>Growth!J15</f>
        <v>162492.98892782684</v>
      </c>
      <c r="F4" s="333" t="s">
        <v>204</v>
      </c>
      <c r="G4" s="334"/>
      <c r="H4" s="334"/>
      <c r="I4" s="334"/>
      <c r="J4" s="120">
        <f>D5*D7</f>
        <v>18544.400000000001</v>
      </c>
    </row>
    <row r="5" spans="2:11" x14ac:dyDescent="0.25">
      <c r="B5" s="267" t="s">
        <v>200</v>
      </c>
      <c r="C5" s="268"/>
      <c r="D5" s="121">
        <v>5012</v>
      </c>
      <c r="F5" s="267" t="s">
        <v>218</v>
      </c>
      <c r="G5" s="268"/>
      <c r="H5" s="268"/>
      <c r="I5" s="268"/>
      <c r="J5" s="121">
        <f>D6*D7</f>
        <v>11928.800000000001</v>
      </c>
    </row>
    <row r="6" spans="2:11" ht="18" thickBot="1" x14ac:dyDescent="0.35">
      <c r="B6" s="267" t="s">
        <v>201</v>
      </c>
      <c r="C6" s="268"/>
      <c r="D6" s="121">
        <v>3224</v>
      </c>
      <c r="F6" s="349" t="s">
        <v>219</v>
      </c>
      <c r="G6" s="350"/>
      <c r="H6" s="350"/>
      <c r="I6" s="350"/>
      <c r="J6" s="225">
        <f>D4+J5-J4</f>
        <v>155877.38892782683</v>
      </c>
    </row>
    <row r="7" spans="2:11" ht="15.75" thickBot="1" x14ac:dyDescent="0.3">
      <c r="B7" s="322" t="s">
        <v>231</v>
      </c>
      <c r="C7" s="323"/>
      <c r="D7" s="36">
        <v>3.7</v>
      </c>
    </row>
    <row r="8" spans="2:11" ht="15.75" thickBot="1" x14ac:dyDescent="0.3">
      <c r="B8" s="2"/>
      <c r="C8" s="2"/>
      <c r="D8" s="2"/>
    </row>
    <row r="9" spans="2:11" ht="16.5" thickBot="1" x14ac:dyDescent="0.3">
      <c r="B9" s="330" t="s">
        <v>207</v>
      </c>
      <c r="C9" s="331"/>
      <c r="D9" s="332"/>
      <c r="J9" s="1"/>
    </row>
    <row r="10" spans="2:11" x14ac:dyDescent="0.25">
      <c r="B10" s="333" t="s">
        <v>203</v>
      </c>
      <c r="C10" s="334"/>
      <c r="D10" s="186">
        <v>1802.398289</v>
      </c>
    </row>
    <row r="11" spans="2:11" ht="18" thickBot="1" x14ac:dyDescent="0.35">
      <c r="B11" s="351" t="s">
        <v>220</v>
      </c>
      <c r="C11" s="352"/>
      <c r="D11" s="225">
        <f>J6/D10</f>
        <v>86.483320517525655</v>
      </c>
    </row>
    <row r="12" spans="2:11" ht="15.75" x14ac:dyDescent="0.25">
      <c r="B12" s="2"/>
      <c r="C12" s="2"/>
      <c r="D12" s="2"/>
      <c r="G12" s="353" t="s">
        <v>207</v>
      </c>
      <c r="H12" s="353"/>
      <c r="J12" s="233" t="s">
        <v>222</v>
      </c>
    </row>
    <row r="13" spans="2:11" ht="15.75" x14ac:dyDescent="0.25">
      <c r="G13" s="347">
        <f>D11</f>
        <v>86.483320517525655</v>
      </c>
      <c r="H13" s="347"/>
      <c r="I13" s="226" t="s">
        <v>221</v>
      </c>
      <c r="J13" s="230">
        <v>115.32</v>
      </c>
      <c r="K13" s="228" t="s">
        <v>232</v>
      </c>
    </row>
    <row r="15" spans="2:11" ht="19.5" thickBot="1" x14ac:dyDescent="0.35">
      <c r="J15" s="348" t="s">
        <v>223</v>
      </c>
      <c r="K15" s="348"/>
    </row>
    <row r="16" spans="2:11" ht="15.75" thickTop="1" x14ac:dyDescent="0.25"/>
  </sheetData>
  <mergeCells count="15">
    <mergeCell ref="B10:C10"/>
    <mergeCell ref="B11:C11"/>
    <mergeCell ref="G12:H12"/>
    <mergeCell ref="B3:D3"/>
    <mergeCell ref="B9:D9"/>
    <mergeCell ref="B4:C4"/>
    <mergeCell ref="B5:C5"/>
    <mergeCell ref="B6:C6"/>
    <mergeCell ref="B7:C7"/>
    <mergeCell ref="F3:J3"/>
    <mergeCell ref="G13:H13"/>
    <mergeCell ref="J15:K15"/>
    <mergeCell ref="F4:I4"/>
    <mergeCell ref="F5:I5"/>
    <mergeCell ref="F6:I6"/>
  </mergeCells>
  <conditionalFormatting sqref="I13">
    <cfRule type="cellIs" dxfId="0" priority="1" operator="lessThan">
      <formula>$D$11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opLeftCell="A19" workbookViewId="0">
      <selection activeCell="F3" sqref="F3"/>
    </sheetView>
  </sheetViews>
  <sheetFormatPr defaultRowHeight="15" x14ac:dyDescent="0.25"/>
  <cols>
    <col min="1" max="1" width="5.85546875" customWidth="1"/>
    <col min="2" max="2" width="31" customWidth="1"/>
    <col min="3" max="3" width="14.5703125" customWidth="1"/>
    <col min="4" max="4" width="16.7109375" style="2" customWidth="1"/>
    <col min="5" max="5" width="26.140625" customWidth="1"/>
    <col min="6" max="6" width="23.7109375" customWidth="1"/>
    <col min="7" max="7" width="27.7109375" customWidth="1"/>
    <col min="8" max="8" width="16" customWidth="1"/>
    <col min="10" max="10" width="14.42578125" customWidth="1"/>
  </cols>
  <sheetData>
    <row r="1" spans="1:11" ht="15.75" customHeight="1" thickBot="1" x14ac:dyDescent="0.3">
      <c r="A1" s="2"/>
      <c r="B1" s="2"/>
      <c r="C1" s="2"/>
      <c r="E1" s="2"/>
      <c r="F1" s="2"/>
      <c r="G1" s="2"/>
      <c r="H1" s="2"/>
      <c r="I1" s="2"/>
      <c r="J1" s="2"/>
      <c r="K1" s="2"/>
    </row>
    <row r="2" spans="1:11" ht="30" customHeight="1" thickBot="1" x14ac:dyDescent="0.3">
      <c r="A2" s="2"/>
      <c r="B2" s="236" t="s">
        <v>27</v>
      </c>
      <c r="C2" s="237"/>
      <c r="E2" s="41" t="s">
        <v>28</v>
      </c>
      <c r="F2" s="2"/>
      <c r="G2" s="2"/>
      <c r="H2" s="2"/>
      <c r="I2" s="2"/>
      <c r="J2" s="2"/>
      <c r="K2" s="2"/>
    </row>
    <row r="3" spans="1:11" x14ac:dyDescent="0.25">
      <c r="A3" s="2"/>
      <c r="B3" s="37" t="s">
        <v>29</v>
      </c>
      <c r="C3" s="120">
        <f>Adjusted!F13</f>
        <v>14590</v>
      </c>
      <c r="E3" s="37" t="s">
        <v>30</v>
      </c>
      <c r="F3" s="39">
        <f>KE!C3</f>
        <v>7.11E-3</v>
      </c>
      <c r="G3" s="2"/>
      <c r="H3" s="2"/>
      <c r="I3" s="2"/>
      <c r="J3" s="2"/>
      <c r="K3" s="2"/>
    </row>
    <row r="4" spans="1:11" ht="15.75" thickBot="1" x14ac:dyDescent="0.3">
      <c r="A4" s="2"/>
      <c r="B4" s="38" t="s">
        <v>31</v>
      </c>
      <c r="C4" s="121">
        <f>Adjusted!F15</f>
        <v>1445</v>
      </c>
      <c r="E4" s="29" t="s">
        <v>32</v>
      </c>
      <c r="F4" s="40">
        <f>KE!C14</f>
        <v>0.27</v>
      </c>
      <c r="G4" s="2"/>
      <c r="H4" s="2"/>
      <c r="I4" s="2"/>
      <c r="J4" s="2"/>
      <c r="K4" s="2"/>
    </row>
    <row r="5" spans="1:11" x14ac:dyDescent="0.25">
      <c r="A5" s="2"/>
      <c r="B5" s="38" t="s">
        <v>33</v>
      </c>
      <c r="C5" s="121">
        <v>1100</v>
      </c>
      <c r="D5" s="118" t="s">
        <v>34</v>
      </c>
      <c r="E5" s="2"/>
      <c r="F5" s="2"/>
      <c r="G5" s="2"/>
      <c r="H5" s="2"/>
      <c r="I5" s="2"/>
      <c r="J5" s="2"/>
      <c r="K5" s="2"/>
    </row>
    <row r="6" spans="1:11" ht="15.75" thickBot="1" x14ac:dyDescent="0.3">
      <c r="A6" s="2"/>
      <c r="B6" s="29" t="s">
        <v>35</v>
      </c>
      <c r="C6" s="122">
        <f>38129</f>
        <v>38129</v>
      </c>
      <c r="E6" s="2"/>
      <c r="F6" s="2"/>
      <c r="G6" s="2"/>
      <c r="H6" s="2"/>
      <c r="I6" s="2"/>
      <c r="J6" s="2"/>
      <c r="K6" s="2"/>
    </row>
    <row r="7" spans="1:11" s="2" customFormat="1" x14ac:dyDescent="0.25"/>
    <row r="8" spans="1:11" ht="28.5" customHeight="1" thickBot="1" x14ac:dyDescent="0.3">
      <c r="A8" s="2"/>
      <c r="B8" s="2"/>
      <c r="C8" s="2"/>
      <c r="E8" s="2"/>
      <c r="F8" s="2"/>
      <c r="G8" s="2"/>
      <c r="H8" s="2"/>
      <c r="I8" s="2"/>
      <c r="J8" s="2"/>
      <c r="K8" s="2"/>
    </row>
    <row r="9" spans="1:11" s="2" customFormat="1" ht="16.5" thickBot="1" x14ac:dyDescent="0.3">
      <c r="B9" s="75" t="s">
        <v>36</v>
      </c>
      <c r="G9" s="234" t="s">
        <v>37</v>
      </c>
    </row>
    <row r="10" spans="1:11" ht="15.75" thickBot="1" x14ac:dyDescent="0.3">
      <c r="A10" s="2"/>
      <c r="B10" s="77" t="s">
        <v>38</v>
      </c>
      <c r="C10" s="73"/>
      <c r="D10" s="74"/>
      <c r="E10" s="2"/>
      <c r="F10" s="2"/>
      <c r="G10" s="235"/>
      <c r="H10" s="2"/>
      <c r="I10" s="2"/>
      <c r="J10" s="2"/>
      <c r="K10" s="2"/>
    </row>
    <row r="11" spans="1:11" ht="15.75" thickBot="1" x14ac:dyDescent="0.3">
      <c r="A11" s="2"/>
      <c r="B11" s="76" t="s">
        <v>39</v>
      </c>
      <c r="C11" s="2"/>
      <c r="E11" s="2"/>
      <c r="F11" s="2"/>
      <c r="G11" s="2"/>
      <c r="H11" s="2"/>
      <c r="I11" s="2"/>
      <c r="J11" s="2"/>
      <c r="K11" s="2"/>
    </row>
    <row r="12" spans="1:11" ht="15.75" thickBot="1" x14ac:dyDescent="0.3">
      <c r="A12" s="2"/>
      <c r="B12" s="72" t="s">
        <v>40</v>
      </c>
      <c r="C12" s="73" t="s">
        <v>41</v>
      </c>
      <c r="D12" s="73" t="s">
        <v>42</v>
      </c>
      <c r="E12" s="74" t="s">
        <v>43</v>
      </c>
      <c r="F12" s="2"/>
      <c r="G12" s="32" t="s">
        <v>44</v>
      </c>
      <c r="H12" s="44">
        <f>(C3+C5)/(C4+C5)</f>
        <v>6.1650294695481334</v>
      </c>
      <c r="I12" s="2"/>
      <c r="J12" s="2"/>
      <c r="K12" s="2"/>
    </row>
    <row r="13" spans="1:11" x14ac:dyDescent="0.25">
      <c r="A13" s="2"/>
      <c r="B13" s="53" t="s">
        <v>45</v>
      </c>
      <c r="C13" s="78">
        <v>100000</v>
      </c>
      <c r="D13" s="78" t="s">
        <v>46</v>
      </c>
      <c r="E13" s="39">
        <v>6.3E-3</v>
      </c>
      <c r="F13" s="2"/>
      <c r="G13" s="42" t="s">
        <v>47</v>
      </c>
      <c r="H13" s="45">
        <f>E15</f>
        <v>9.7999999999999997E-3</v>
      </c>
      <c r="I13" s="2"/>
      <c r="J13" s="2"/>
      <c r="K13" s="2"/>
    </row>
    <row r="14" spans="1:11" s="2" customFormat="1" x14ac:dyDescent="0.25">
      <c r="B14" s="60" t="s">
        <v>48</v>
      </c>
      <c r="C14" s="65">
        <v>8499999</v>
      </c>
      <c r="D14" s="64" t="s">
        <v>49</v>
      </c>
      <c r="E14" s="123">
        <v>7.7999999999999996E-3</v>
      </c>
      <c r="G14" s="33" t="s">
        <v>50</v>
      </c>
      <c r="H14" s="46">
        <f>F3+H13</f>
        <v>1.6910000000000001E-2</v>
      </c>
    </row>
    <row r="15" spans="1:11" ht="16.5" thickBot="1" x14ac:dyDescent="0.3">
      <c r="A15" s="2"/>
      <c r="B15" s="60" t="s">
        <v>51</v>
      </c>
      <c r="C15" s="65">
        <v>6499999</v>
      </c>
      <c r="D15" s="64" t="s">
        <v>52</v>
      </c>
      <c r="E15" s="124">
        <v>9.7999999999999997E-3</v>
      </c>
      <c r="F15" s="2"/>
      <c r="G15" s="43" t="s">
        <v>53</v>
      </c>
      <c r="H15" s="47">
        <f>H14*(1-F4)</f>
        <v>1.2344300000000001E-2</v>
      </c>
      <c r="I15" s="2"/>
      <c r="J15" s="2"/>
      <c r="K15" s="2"/>
    </row>
    <row r="16" spans="1:11" ht="15" customHeight="1" x14ac:dyDescent="0.25">
      <c r="A16" s="2"/>
      <c r="B16" s="60" t="s">
        <v>54</v>
      </c>
      <c r="C16" s="65">
        <v>5499999</v>
      </c>
      <c r="D16" s="64" t="s">
        <v>55</v>
      </c>
      <c r="E16" s="61">
        <v>1.0800000000000001E-2</v>
      </c>
      <c r="F16" s="2"/>
      <c r="G16" s="2"/>
      <c r="H16" s="2"/>
      <c r="I16" s="2"/>
      <c r="J16" s="2"/>
      <c r="K16" s="2"/>
    </row>
    <row r="17" spans="2:10" ht="15.75" customHeight="1" x14ac:dyDescent="0.25">
      <c r="B17" s="79">
        <v>3</v>
      </c>
      <c r="C17" s="65">
        <v>4249999</v>
      </c>
      <c r="D17" s="64" t="s">
        <v>56</v>
      </c>
      <c r="E17" s="80">
        <v>1.22</v>
      </c>
      <c r="F17" s="2"/>
      <c r="G17" s="2"/>
      <c r="H17" s="2"/>
      <c r="I17" s="2"/>
      <c r="J17" s="2"/>
    </row>
    <row r="18" spans="2:10" x14ac:dyDescent="0.25">
      <c r="B18" s="60" t="s">
        <v>57</v>
      </c>
      <c r="C18" s="65">
        <v>2999999</v>
      </c>
      <c r="D18" s="64" t="s">
        <v>58</v>
      </c>
      <c r="E18" s="61">
        <v>1.5599999999999999E-2</v>
      </c>
      <c r="F18" s="2"/>
      <c r="G18" s="2"/>
      <c r="H18" s="2"/>
      <c r="I18" s="2"/>
      <c r="J18" s="2"/>
    </row>
    <row r="19" spans="2:10" x14ac:dyDescent="0.25">
      <c r="B19" s="60" t="s">
        <v>59</v>
      </c>
      <c r="C19" s="65">
        <v>2249999</v>
      </c>
      <c r="D19" s="64" t="s">
        <v>60</v>
      </c>
      <c r="E19" s="61">
        <v>0.02</v>
      </c>
      <c r="F19" s="2"/>
      <c r="G19" s="2"/>
      <c r="H19" s="2"/>
      <c r="I19" s="2"/>
      <c r="J19" s="2"/>
    </row>
    <row r="20" spans="2:10" ht="18.75" customHeight="1" x14ac:dyDescent="0.25">
      <c r="B20" s="79">
        <v>2</v>
      </c>
      <c r="C20" s="65">
        <v>22499999</v>
      </c>
      <c r="D20" s="64" t="s">
        <v>61</v>
      </c>
      <c r="E20" s="61">
        <v>2.4E-2</v>
      </c>
      <c r="F20" s="2"/>
      <c r="G20" s="2"/>
      <c r="H20" s="2"/>
      <c r="I20" s="2"/>
      <c r="J20" s="2"/>
    </row>
    <row r="21" spans="2:10" ht="15.75" customHeight="1" x14ac:dyDescent="0.25">
      <c r="B21" s="60" t="s">
        <v>62</v>
      </c>
      <c r="C21" s="65">
        <v>1999999</v>
      </c>
      <c r="D21" s="64" t="s">
        <v>63</v>
      </c>
      <c r="E21" s="80">
        <v>3.51</v>
      </c>
      <c r="F21" s="2"/>
      <c r="G21" s="2"/>
      <c r="H21" s="2"/>
      <c r="I21" s="2"/>
      <c r="J21" s="2"/>
    </row>
    <row r="22" spans="2:10" x14ac:dyDescent="0.25">
      <c r="B22" s="60" t="s">
        <v>64</v>
      </c>
      <c r="C22" s="65">
        <v>1749999</v>
      </c>
      <c r="D22" s="64" t="s">
        <v>65</v>
      </c>
      <c r="E22" s="61">
        <v>4.2099999999999999E-2</v>
      </c>
      <c r="F22" s="2"/>
      <c r="G22" s="2"/>
      <c r="H22" s="2"/>
      <c r="I22" s="2"/>
      <c r="J22" s="2"/>
    </row>
    <row r="23" spans="2:10" ht="19.5" customHeight="1" x14ac:dyDescent="0.25">
      <c r="B23" s="60" t="s">
        <v>66</v>
      </c>
      <c r="C23" s="65">
        <v>1499999</v>
      </c>
      <c r="D23" s="64" t="s">
        <v>67</v>
      </c>
      <c r="E23" s="61">
        <v>5.1499999999999997E-2</v>
      </c>
      <c r="F23" s="2"/>
      <c r="G23" s="2"/>
      <c r="H23" s="2"/>
      <c r="I23" s="2"/>
      <c r="J23" s="2"/>
    </row>
    <row r="24" spans="2:10" ht="15.75" customHeight="1" x14ac:dyDescent="0.25">
      <c r="B24" s="60" t="s">
        <v>68</v>
      </c>
      <c r="C24" s="65">
        <v>1249999</v>
      </c>
      <c r="D24" s="64" t="s">
        <v>69</v>
      </c>
      <c r="E24" s="61">
        <v>8.2000000000000003E-2</v>
      </c>
      <c r="F24" s="2"/>
      <c r="G24" s="2"/>
      <c r="H24" s="2"/>
      <c r="I24" s="2"/>
      <c r="J24" s="2"/>
    </row>
    <row r="25" spans="2:10" x14ac:dyDescent="0.25">
      <c r="B25" s="60" t="s">
        <v>70</v>
      </c>
      <c r="C25" s="68" t="s">
        <v>71</v>
      </c>
      <c r="D25" s="64" t="s">
        <v>72</v>
      </c>
      <c r="E25" s="61">
        <v>8.6400000000000005E-2</v>
      </c>
      <c r="F25" s="2"/>
      <c r="G25" s="2"/>
      <c r="H25" s="2"/>
      <c r="I25" s="2"/>
      <c r="J25" s="2"/>
    </row>
    <row r="26" spans="2:10" x14ac:dyDescent="0.25">
      <c r="B26" s="60" t="s">
        <v>73</v>
      </c>
      <c r="C26" s="68" t="s">
        <v>74</v>
      </c>
      <c r="D26" s="64" t="s">
        <v>75</v>
      </c>
      <c r="E26" s="61">
        <v>0.1134</v>
      </c>
      <c r="F26" s="2"/>
      <c r="G26" s="2"/>
      <c r="H26" s="2"/>
      <c r="I26" s="2"/>
      <c r="J26" s="2"/>
    </row>
    <row r="27" spans="2:10" ht="15.75" thickBot="1" x14ac:dyDescent="0.3">
      <c r="B27" s="81">
        <v>-100000</v>
      </c>
      <c r="C27" s="82" t="s">
        <v>76</v>
      </c>
      <c r="D27" s="83" t="s">
        <v>77</v>
      </c>
      <c r="E27" s="47">
        <v>0.1512</v>
      </c>
      <c r="F27" s="2"/>
      <c r="G27" s="2"/>
      <c r="H27" s="2"/>
      <c r="I27" s="2"/>
      <c r="J27" s="2"/>
    </row>
    <row r="28" spans="2:10" ht="16.5" customHeight="1" x14ac:dyDescent="0.25">
      <c r="B28" s="2"/>
      <c r="C28" s="2"/>
      <c r="E28" s="2"/>
      <c r="F28" s="2"/>
      <c r="G28" s="2"/>
      <c r="H28" s="2"/>
      <c r="I28" s="2"/>
      <c r="J28" s="2"/>
    </row>
    <row r="33" spans="1:9" x14ac:dyDescent="0.25">
      <c r="A33" s="2"/>
      <c r="B33" s="2"/>
      <c r="C33" s="2"/>
      <c r="E33" s="2"/>
      <c r="F33" s="2"/>
      <c r="G33" s="2"/>
      <c r="H33" s="2"/>
      <c r="I33" s="2"/>
    </row>
    <row r="34" spans="1:9" x14ac:dyDescent="0.25">
      <c r="A34" s="2"/>
      <c r="B34" s="2"/>
      <c r="C34" s="1"/>
      <c r="E34" s="2"/>
      <c r="F34" s="2"/>
      <c r="G34" s="2"/>
      <c r="H34" s="2"/>
      <c r="I34" s="2"/>
    </row>
    <row r="35" spans="1:9" x14ac:dyDescent="0.25">
      <c r="A35" s="2"/>
      <c r="B35" s="2"/>
      <c r="C35" s="1"/>
      <c r="E35" s="2"/>
      <c r="F35" s="2"/>
      <c r="G35" s="2"/>
      <c r="H35" s="2"/>
      <c r="I35" s="2"/>
    </row>
    <row r="36" spans="1:9" x14ac:dyDescent="0.25">
      <c r="A36" s="2"/>
      <c r="B36" s="2"/>
      <c r="C36" s="2"/>
      <c r="E36" s="2"/>
      <c r="F36" s="2"/>
      <c r="G36" s="2"/>
      <c r="H36" s="2"/>
      <c r="I36" s="2"/>
    </row>
    <row r="37" spans="1:9" ht="16.5" customHeight="1" x14ac:dyDescent="0.25">
      <c r="A37" s="2"/>
      <c r="B37" s="2"/>
      <c r="C37" s="2"/>
      <c r="E37" s="2"/>
      <c r="F37" s="2"/>
      <c r="G37" s="2"/>
      <c r="H37" s="2"/>
      <c r="I37" s="2"/>
    </row>
    <row r="38" spans="1:9" s="2" customFormat="1" x14ac:dyDescent="0.25"/>
    <row r="39" spans="1:9" s="2" customFormat="1" x14ac:dyDescent="0.25">
      <c r="D39" s="52"/>
    </row>
    <row r="40" spans="1:9" s="2" customFormat="1" ht="14.25" customHeight="1" x14ac:dyDescent="0.25"/>
    <row r="41" spans="1:9" x14ac:dyDescent="0.25">
      <c r="A41" s="2"/>
      <c r="B41" s="2"/>
      <c r="C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7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7"/>
      <c r="E43" s="3"/>
      <c r="F43" s="2"/>
      <c r="G43" s="2"/>
      <c r="H43" s="2"/>
      <c r="I43" s="2"/>
    </row>
    <row r="44" spans="1:9" ht="13.5" customHeight="1" x14ac:dyDescent="0.25">
      <c r="A44" s="2"/>
      <c r="B44" s="2"/>
      <c r="C44" s="2"/>
      <c r="D44" s="1"/>
      <c r="E44" s="3"/>
      <c r="F44" s="2"/>
      <c r="G44" s="2"/>
      <c r="H44" s="2"/>
      <c r="I44" s="2"/>
    </row>
    <row r="45" spans="1:9" ht="14.25" customHeight="1" x14ac:dyDescent="0.25">
      <c r="A45" s="2"/>
      <c r="B45" s="2"/>
      <c r="C45" s="2"/>
      <c r="E45" s="3"/>
      <c r="F45" s="2"/>
      <c r="G45" s="2"/>
      <c r="H45" s="2"/>
      <c r="I45" s="2"/>
    </row>
    <row r="46" spans="1:9" x14ac:dyDescent="0.25">
      <c r="A46" s="2"/>
      <c r="B46" s="2"/>
      <c r="C46" s="2"/>
      <c r="E46" s="3"/>
      <c r="F46" s="2"/>
      <c r="G46" s="2"/>
      <c r="H46" s="2"/>
      <c r="I46" s="2"/>
    </row>
    <row r="47" spans="1:9" x14ac:dyDescent="0.25">
      <c r="A47" s="2"/>
      <c r="B47" s="2"/>
      <c r="C47" s="2"/>
      <c r="D47" s="7"/>
      <c r="E47" s="3"/>
      <c r="F47" s="2"/>
      <c r="G47" s="2"/>
      <c r="H47" s="2"/>
      <c r="I47" s="2"/>
    </row>
    <row r="48" spans="1:9" x14ac:dyDescent="0.25">
      <c r="A48" s="2"/>
      <c r="B48" s="2"/>
      <c r="C48" s="2"/>
      <c r="D48" s="1"/>
      <c r="E48" s="3"/>
      <c r="F48" s="2"/>
      <c r="G48" s="2"/>
      <c r="H48" s="2"/>
      <c r="I48" s="2"/>
    </row>
    <row r="49" spans="2:6" x14ac:dyDescent="0.25">
      <c r="B49" s="2"/>
      <c r="C49" s="2"/>
      <c r="D49" s="1"/>
      <c r="E49" s="2"/>
      <c r="F49" s="2"/>
    </row>
    <row r="50" spans="2:6" x14ac:dyDescent="0.25">
      <c r="B50" s="2"/>
      <c r="C50" s="2"/>
      <c r="D50" s="7"/>
      <c r="E50" s="2"/>
      <c r="F50" s="2"/>
    </row>
  </sheetData>
  <mergeCells count="2">
    <mergeCell ref="G9:G10"/>
    <mergeCell ref="B2:C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65"/>
  <sheetViews>
    <sheetView topLeftCell="A44" workbookViewId="0">
      <selection activeCell="F5" sqref="F5"/>
    </sheetView>
  </sheetViews>
  <sheetFormatPr defaultRowHeight="15" x14ac:dyDescent="0.25"/>
  <cols>
    <col min="2" max="2" width="30.140625" bestFit="1" customWidth="1"/>
    <col min="3" max="3" width="17.42578125" customWidth="1"/>
    <col min="4" max="4" width="20.28515625" customWidth="1"/>
    <col min="5" max="5" width="24.42578125" customWidth="1"/>
    <col min="6" max="6" width="18.7109375" bestFit="1" customWidth="1"/>
    <col min="7" max="7" width="11" customWidth="1"/>
    <col min="8" max="8" width="17.7109375" bestFit="1" customWidth="1"/>
    <col min="9" max="9" width="13.42578125" bestFit="1" customWidth="1"/>
  </cols>
  <sheetData>
    <row r="1" spans="2:9" s="2" customFormat="1" ht="15.75" thickBot="1" x14ac:dyDescent="0.3"/>
    <row r="2" spans="2:9" s="2" customFormat="1" ht="30" customHeight="1" thickBot="1" x14ac:dyDescent="0.3">
      <c r="B2" s="69" t="s">
        <v>78</v>
      </c>
    </row>
    <row r="3" spans="2:9" s="2" customFormat="1" ht="15.75" thickBot="1" x14ac:dyDescent="0.3"/>
    <row r="4" spans="2:9" s="2" customFormat="1" x14ac:dyDescent="0.25">
      <c r="B4" s="240" t="s">
        <v>79</v>
      </c>
      <c r="D4" s="231"/>
    </row>
    <row r="5" spans="2:9" ht="15.75" thickBot="1" x14ac:dyDescent="0.3">
      <c r="B5" s="241"/>
      <c r="C5" s="2"/>
      <c r="D5" s="2"/>
      <c r="E5" s="5"/>
      <c r="F5" s="2"/>
      <c r="G5" s="2"/>
      <c r="H5" s="2"/>
      <c r="I5" s="2"/>
    </row>
    <row r="6" spans="2:9" ht="17.25" customHeight="1" thickBot="1" x14ac:dyDescent="0.3">
      <c r="B6" s="77" t="s">
        <v>80</v>
      </c>
      <c r="C6" s="84">
        <v>363.63</v>
      </c>
      <c r="D6" s="2"/>
      <c r="E6" s="90" t="s">
        <v>81</v>
      </c>
      <c r="F6" s="2"/>
      <c r="G6" s="2"/>
      <c r="H6" s="2"/>
      <c r="I6" s="2"/>
    </row>
    <row r="7" spans="2:9" ht="15.75" thickBot="1" x14ac:dyDescent="0.3">
      <c r="B7" s="87" t="s">
        <v>82</v>
      </c>
      <c r="C7" s="85">
        <v>855.74300000000005</v>
      </c>
      <c r="D7" s="2"/>
      <c r="E7" s="72" t="s">
        <v>83</v>
      </c>
      <c r="F7" s="73" t="s">
        <v>84</v>
      </c>
      <c r="G7" s="73" t="s">
        <v>85</v>
      </c>
      <c r="H7" s="73" t="s">
        <v>86</v>
      </c>
      <c r="I7" s="74" t="s">
        <v>87</v>
      </c>
    </row>
    <row r="8" spans="2:9" x14ac:dyDescent="0.25">
      <c r="B8" s="87" t="s">
        <v>88</v>
      </c>
      <c r="C8" s="85">
        <v>910.43499999999995</v>
      </c>
      <c r="D8" s="2"/>
      <c r="E8" s="42" t="s">
        <v>233</v>
      </c>
      <c r="F8" s="91">
        <f>SUM(C6:C23)</f>
        <v>6073.2929999999997</v>
      </c>
      <c r="G8" s="70">
        <v>9</v>
      </c>
      <c r="H8" s="71">
        <f>F8/F12</f>
        <v>0.43284652742409796</v>
      </c>
      <c r="I8" s="93">
        <f>G8*H8</f>
        <v>3.8956187468168815</v>
      </c>
    </row>
    <row r="9" spans="2:9" x14ac:dyDescent="0.25">
      <c r="B9" s="87" t="s">
        <v>89</v>
      </c>
      <c r="C9" s="85">
        <v>195.21199999999999</v>
      </c>
      <c r="D9" s="2"/>
      <c r="E9" s="60" t="s">
        <v>90</v>
      </c>
      <c r="F9" s="92">
        <f>SUM(C24:C33)</f>
        <v>4764.0890000000009</v>
      </c>
      <c r="G9" s="64">
        <v>20</v>
      </c>
      <c r="H9" s="67">
        <f>F9/F12</f>
        <v>0.3395389255860608</v>
      </c>
      <c r="I9" s="94">
        <f>H9*G9</f>
        <v>6.790778511721216</v>
      </c>
    </row>
    <row r="10" spans="2:9" x14ac:dyDescent="0.25">
      <c r="B10" s="87" t="s">
        <v>89</v>
      </c>
      <c r="C10" s="85">
        <v>284.42899999999997</v>
      </c>
      <c r="D10" s="2"/>
      <c r="E10" s="95" t="s">
        <v>91</v>
      </c>
      <c r="F10" s="92">
        <f>SUM(C34:C39)</f>
        <v>3022.9589999999998</v>
      </c>
      <c r="G10" s="97">
        <v>27</v>
      </c>
      <c r="H10" s="98">
        <f>F10/F12</f>
        <v>0.21544774897167382</v>
      </c>
      <c r="I10" s="99">
        <f>H10*G10</f>
        <v>5.8170892222351931</v>
      </c>
    </row>
    <row r="11" spans="2:9" ht="15.75" thickBot="1" x14ac:dyDescent="0.3">
      <c r="B11" s="87" t="s">
        <v>92</v>
      </c>
      <c r="C11" s="85">
        <v>186.29900000000001</v>
      </c>
      <c r="D11" s="2"/>
      <c r="E11" s="43" t="s">
        <v>93</v>
      </c>
      <c r="F11" s="96">
        <f>SUM(C40:C41)</f>
        <v>170.71300000000002</v>
      </c>
      <c r="G11" s="83">
        <v>77</v>
      </c>
      <c r="H11" s="100">
        <f>F11/F12</f>
        <v>1.2166798018167418E-2</v>
      </c>
      <c r="I11" s="101">
        <f>H11*G11</f>
        <v>0.93684344739889125</v>
      </c>
    </row>
    <row r="12" spans="2:9" ht="15.75" thickBot="1" x14ac:dyDescent="0.3">
      <c r="B12" s="87" t="s">
        <v>92</v>
      </c>
      <c r="C12" s="85">
        <v>68.075000000000003</v>
      </c>
      <c r="D12" s="2"/>
      <c r="E12" s="2"/>
      <c r="F12" s="102">
        <f>SUM(F8:F11)</f>
        <v>14031.054</v>
      </c>
      <c r="G12" s="2"/>
      <c r="H12" s="2"/>
      <c r="I12" s="103">
        <f>SUM(I8:I11)</f>
        <v>17.440329928172183</v>
      </c>
    </row>
    <row r="13" spans="2:9" x14ac:dyDescent="0.25">
      <c r="B13" s="87" t="s">
        <v>92</v>
      </c>
      <c r="C13" s="85">
        <v>192.74100000000001</v>
      </c>
      <c r="D13" s="2"/>
      <c r="E13" s="2"/>
      <c r="F13" s="2"/>
      <c r="G13" s="2"/>
      <c r="H13" s="2"/>
      <c r="I13" s="2"/>
    </row>
    <row r="14" spans="2:9" ht="15.75" thickBot="1" x14ac:dyDescent="0.3">
      <c r="B14" s="87" t="s">
        <v>92</v>
      </c>
      <c r="C14" s="85">
        <v>576.76599999999996</v>
      </c>
      <c r="D14" s="2"/>
      <c r="E14" s="2"/>
      <c r="F14" s="2"/>
      <c r="G14" s="2"/>
      <c r="H14" s="2"/>
      <c r="I14" s="2"/>
    </row>
    <row r="15" spans="2:9" ht="15.75" thickBot="1" x14ac:dyDescent="0.3">
      <c r="B15" s="87" t="s">
        <v>94</v>
      </c>
      <c r="C15" s="85">
        <v>185.37799999999999</v>
      </c>
      <c r="D15" s="2"/>
      <c r="E15" s="242" t="s">
        <v>95</v>
      </c>
      <c r="F15" s="243"/>
      <c r="G15" s="243"/>
      <c r="H15" s="244"/>
      <c r="I15" s="2"/>
    </row>
    <row r="16" spans="2:9" ht="15.75" thickBot="1" x14ac:dyDescent="0.3">
      <c r="B16" s="87" t="s">
        <v>94</v>
      </c>
      <c r="C16" s="85">
        <v>592.29399999999998</v>
      </c>
      <c r="D16" s="2"/>
      <c r="E16" s="72" t="s">
        <v>96</v>
      </c>
      <c r="F16" s="73" t="s">
        <v>97</v>
      </c>
      <c r="G16" s="73" t="s">
        <v>98</v>
      </c>
      <c r="H16" s="74" t="s">
        <v>99</v>
      </c>
      <c r="I16" s="2"/>
    </row>
    <row r="17" spans="2:8" x14ac:dyDescent="0.25">
      <c r="B17" s="87" t="s">
        <v>94</v>
      </c>
      <c r="C17" s="85">
        <v>238.06399999999999</v>
      </c>
      <c r="D17" s="2"/>
      <c r="E17" s="42">
        <v>1</v>
      </c>
      <c r="F17" s="91">
        <f>KD!C$4</f>
        <v>1445</v>
      </c>
      <c r="G17" s="104">
        <f>KD!H$14</f>
        <v>1.6910000000000001E-2</v>
      </c>
      <c r="H17" s="125">
        <f>F17/(1+G17)^E17</f>
        <v>1420.9713740645682</v>
      </c>
    </row>
    <row r="18" spans="2:8" x14ac:dyDescent="0.25">
      <c r="B18" s="87" t="s">
        <v>100</v>
      </c>
      <c r="C18" s="85">
        <v>228.69900000000001</v>
      </c>
      <c r="D18" s="2"/>
      <c r="E18" s="60">
        <v>2</v>
      </c>
      <c r="F18" s="92">
        <f>KD!C$4</f>
        <v>1445</v>
      </c>
      <c r="G18" s="51">
        <f>KD!H$14</f>
        <v>1.6910000000000001E-2</v>
      </c>
      <c r="H18" s="121">
        <f t="shared" ref="H18:H34" si="0">F18/(1+G18)^E18</f>
        <v>1397.342315509306</v>
      </c>
    </row>
    <row r="19" spans="2:8" x14ac:dyDescent="0.25">
      <c r="B19" s="87" t="s">
        <v>100</v>
      </c>
      <c r="C19" s="85">
        <v>436.28500000000003</v>
      </c>
      <c r="D19" s="2"/>
      <c r="E19" s="60">
        <v>3</v>
      </c>
      <c r="F19" s="92">
        <f>KD!C$4</f>
        <v>1445</v>
      </c>
      <c r="G19" s="51">
        <f>KD!H$14</f>
        <v>1.6910000000000001E-2</v>
      </c>
      <c r="H19" s="121">
        <f t="shared" si="0"/>
        <v>1374.1061800054144</v>
      </c>
    </row>
    <row r="20" spans="2:8" x14ac:dyDescent="0.25">
      <c r="B20" s="87" t="s">
        <v>101</v>
      </c>
      <c r="C20" s="85">
        <v>183.84</v>
      </c>
      <c r="D20" s="2"/>
      <c r="E20" s="60">
        <v>4</v>
      </c>
      <c r="F20" s="92">
        <f>KD!C$4</f>
        <v>1445</v>
      </c>
      <c r="G20" s="51">
        <f>KD!H$14</f>
        <v>1.6910000000000001E-2</v>
      </c>
      <c r="H20" s="121">
        <f t="shared" si="0"/>
        <v>1351.2564337113554</v>
      </c>
    </row>
    <row r="21" spans="2:8" x14ac:dyDescent="0.25">
      <c r="B21" s="87" t="s">
        <v>101</v>
      </c>
      <c r="C21" s="85">
        <v>193.923</v>
      </c>
      <c r="D21" s="2"/>
      <c r="E21" s="60">
        <v>5</v>
      </c>
      <c r="F21" s="92">
        <f>KD!C$4</f>
        <v>1445</v>
      </c>
      <c r="G21" s="51">
        <f>KD!H$14</f>
        <v>1.6910000000000001E-2</v>
      </c>
      <c r="H21" s="121">
        <f t="shared" si="0"/>
        <v>1328.7866514355796</v>
      </c>
    </row>
    <row r="22" spans="2:8" x14ac:dyDescent="0.25">
      <c r="B22" s="87" t="s">
        <v>101</v>
      </c>
      <c r="C22" s="85">
        <v>193.73099999999999</v>
      </c>
      <c r="D22" s="2"/>
      <c r="E22" s="60">
        <v>6</v>
      </c>
      <c r="F22" s="92">
        <f>KD!C$4</f>
        <v>1445</v>
      </c>
      <c r="G22" s="51">
        <f>KD!H$14</f>
        <v>1.6910000000000001E-2</v>
      </c>
      <c r="H22" s="121">
        <f t="shared" si="0"/>
        <v>1306.6905148298079</v>
      </c>
    </row>
    <row r="23" spans="2:8" x14ac:dyDescent="0.25">
      <c r="B23" s="87" t="s">
        <v>101</v>
      </c>
      <c r="C23" s="85">
        <v>187.749</v>
      </c>
      <c r="D23" s="2"/>
      <c r="E23" s="60">
        <v>7</v>
      </c>
      <c r="F23" s="92">
        <f>KD!C$4</f>
        <v>1445</v>
      </c>
      <c r="G23" s="51">
        <f>KD!H$14</f>
        <v>1.6910000000000001E-2</v>
      </c>
      <c r="H23" s="121">
        <f t="shared" si="0"/>
        <v>1284.961810612353</v>
      </c>
    </row>
    <row r="24" spans="2:8" x14ac:dyDescent="0.25">
      <c r="B24" s="87" t="s">
        <v>102</v>
      </c>
      <c r="C24" s="85">
        <v>342.34699999999998</v>
      </c>
      <c r="D24" s="2"/>
      <c r="E24" s="60">
        <v>8</v>
      </c>
      <c r="F24" s="92">
        <f>KD!C$4</f>
        <v>1445</v>
      </c>
      <c r="G24" s="51">
        <f>KD!H$14</f>
        <v>1.6910000000000001E-2</v>
      </c>
      <c r="H24" s="121">
        <f t="shared" si="0"/>
        <v>1263.5944288209903</v>
      </c>
    </row>
    <row r="25" spans="2:8" x14ac:dyDescent="0.25">
      <c r="B25" s="87" t="s">
        <v>103</v>
      </c>
      <c r="C25" s="85">
        <v>193.86600000000001</v>
      </c>
      <c r="D25" s="2"/>
      <c r="E25" s="60">
        <v>9</v>
      </c>
      <c r="F25" s="92">
        <f>KD!C$4</f>
        <v>1445</v>
      </c>
      <c r="G25" s="51">
        <f>KD!H$14</f>
        <v>1.6910000000000001E-2</v>
      </c>
      <c r="H25" s="121">
        <f t="shared" si="0"/>
        <v>1242.5823610948758</v>
      </c>
    </row>
    <row r="26" spans="2:8" x14ac:dyDescent="0.25">
      <c r="B26" s="87" t="s">
        <v>103</v>
      </c>
      <c r="C26" s="85">
        <v>982.47199999999998</v>
      </c>
      <c r="D26" s="2"/>
      <c r="E26" s="60">
        <v>10</v>
      </c>
      <c r="F26" s="92">
        <f>KD!C$4</f>
        <v>1445</v>
      </c>
      <c r="G26" s="51">
        <f>KD!H$14</f>
        <v>1.6910000000000001E-2</v>
      </c>
      <c r="H26" s="121">
        <f t="shared" si="0"/>
        <v>1221.9196989850391</v>
      </c>
    </row>
    <row r="27" spans="2:8" x14ac:dyDescent="0.25">
      <c r="B27" s="87" t="s">
        <v>104</v>
      </c>
      <c r="C27" s="85">
        <v>971.81600000000003</v>
      </c>
      <c r="D27" s="2"/>
      <c r="E27" s="60">
        <v>11</v>
      </c>
      <c r="F27" s="92">
        <f>KD!C$4</f>
        <v>1445</v>
      </c>
      <c r="G27" s="51">
        <f>KD!H$14</f>
        <v>1.6910000000000001E-2</v>
      </c>
      <c r="H27" s="121">
        <f t="shared" si="0"/>
        <v>1201.600632292965</v>
      </c>
    </row>
    <row r="28" spans="2:8" x14ac:dyDescent="0.25">
      <c r="B28" s="87" t="s">
        <v>105</v>
      </c>
      <c r="C28" s="85">
        <v>239.786</v>
      </c>
      <c r="D28" s="2"/>
      <c r="E28" s="60">
        <v>12</v>
      </c>
      <c r="F28" s="92">
        <f>KD!C$4</f>
        <v>1445</v>
      </c>
      <c r="G28" s="51">
        <f>KD!H$14</f>
        <v>1.6910000000000001E-2</v>
      </c>
      <c r="H28" s="121">
        <f t="shared" si="0"/>
        <v>1181.6194474368087</v>
      </c>
    </row>
    <row r="29" spans="2:8" x14ac:dyDescent="0.25">
      <c r="B29" s="87" t="s">
        <v>106</v>
      </c>
      <c r="C29" s="85">
        <v>320.93400000000003</v>
      </c>
      <c r="D29" s="2"/>
      <c r="E29" s="60">
        <v>13</v>
      </c>
      <c r="F29" s="92">
        <f>KD!C$4</f>
        <v>1445</v>
      </c>
      <c r="G29" s="51">
        <f>KD!H$14</f>
        <v>1.6910000000000001E-2</v>
      </c>
      <c r="H29" s="121">
        <f t="shared" si="0"/>
        <v>1161.9705258447734</v>
      </c>
    </row>
    <row r="30" spans="2:8" x14ac:dyDescent="0.25">
      <c r="B30" s="87" t="s">
        <v>106</v>
      </c>
      <c r="C30" s="85">
        <v>1223.9380000000001</v>
      </c>
      <c r="D30" s="2"/>
      <c r="E30" s="60">
        <v>14</v>
      </c>
      <c r="F30" s="92">
        <f>KD!C$4</f>
        <v>1445</v>
      </c>
      <c r="G30" s="51">
        <f>KD!H$14</f>
        <v>1.6910000000000001E-2</v>
      </c>
      <c r="H30" s="121">
        <f t="shared" si="0"/>
        <v>1142.6483423752088</v>
      </c>
    </row>
    <row r="31" spans="2:8" x14ac:dyDescent="0.25">
      <c r="B31" s="87" t="s">
        <v>107</v>
      </c>
      <c r="C31" s="85">
        <v>141.22900000000001</v>
      </c>
      <c r="D31" s="2"/>
      <c r="E31" s="60">
        <v>15</v>
      </c>
      <c r="F31" s="92">
        <f>KD!C$4</f>
        <v>1445</v>
      </c>
      <c r="G31" s="51">
        <f>KD!H$14</f>
        <v>1.6910000000000001E-2</v>
      </c>
      <c r="H31" s="121">
        <f t="shared" si="0"/>
        <v>1123.6474637629769</v>
      </c>
    </row>
    <row r="32" spans="2:8" x14ac:dyDescent="0.25">
      <c r="B32" s="87" t="s">
        <v>108</v>
      </c>
      <c r="C32" s="85">
        <v>111.283</v>
      </c>
      <c r="D32" s="2"/>
      <c r="E32" s="60">
        <v>16</v>
      </c>
      <c r="F32" s="92">
        <f>KD!C$4</f>
        <v>1445</v>
      </c>
      <c r="G32" s="51">
        <f>KD!H$14</f>
        <v>1.6910000000000001E-2</v>
      </c>
      <c r="H32" s="121">
        <f t="shared" si="0"/>
        <v>1104.9625470916571</v>
      </c>
    </row>
    <row r="33" spans="2:8" x14ac:dyDescent="0.25">
      <c r="B33" s="87" t="s">
        <v>108</v>
      </c>
      <c r="C33" s="85">
        <v>236.41800000000001</v>
      </c>
      <c r="D33" s="2"/>
      <c r="E33" s="60">
        <v>17</v>
      </c>
      <c r="F33" s="92">
        <f>KD!C$4</f>
        <v>1445</v>
      </c>
      <c r="G33" s="51">
        <f>KD!H$14</f>
        <v>1.6910000000000001E-2</v>
      </c>
      <c r="H33" s="121">
        <f t="shared" si="0"/>
        <v>1086.5883382911538</v>
      </c>
    </row>
    <row r="34" spans="2:8" ht="15.75" thickBot="1" x14ac:dyDescent="0.3">
      <c r="B34" s="87" t="s">
        <v>109</v>
      </c>
      <c r="C34" s="85">
        <v>631.87099999999998</v>
      </c>
      <c r="D34" s="2"/>
      <c r="E34" s="43">
        <v>17</v>
      </c>
      <c r="F34" s="144">
        <f>KD!C6</f>
        <v>38129</v>
      </c>
      <c r="G34" s="58">
        <f>KD!H$14</f>
        <v>1.6910000000000001E-2</v>
      </c>
      <c r="H34" s="122">
        <f t="shared" si="0"/>
        <v>28671.644810175367</v>
      </c>
    </row>
    <row r="35" spans="2:8" ht="16.5" thickBot="1" x14ac:dyDescent="0.3">
      <c r="B35" s="87" t="s">
        <v>110</v>
      </c>
      <c r="C35" s="85">
        <v>679.68600000000004</v>
      </c>
      <c r="D35" s="2"/>
      <c r="E35" s="2"/>
      <c r="F35" s="2"/>
      <c r="G35" s="2"/>
      <c r="H35" s="126">
        <f>SUM(H17:H34)</f>
        <v>49866.893876340197</v>
      </c>
    </row>
    <row r="36" spans="2:8" x14ac:dyDescent="0.25">
      <c r="B36" s="87" t="s">
        <v>111</v>
      </c>
      <c r="C36" s="85">
        <v>588.72400000000005</v>
      </c>
      <c r="D36" s="2"/>
      <c r="E36" s="2"/>
      <c r="F36" s="2"/>
      <c r="G36" s="2"/>
      <c r="H36" s="2"/>
    </row>
    <row r="37" spans="2:8" x14ac:dyDescent="0.25">
      <c r="B37" s="87" t="s">
        <v>112</v>
      </c>
      <c r="C37" s="85">
        <v>398.30099999999999</v>
      </c>
      <c r="D37" s="2"/>
      <c r="E37" s="2"/>
      <c r="F37" s="2"/>
      <c r="G37" s="2"/>
      <c r="H37" s="2"/>
    </row>
    <row r="38" spans="2:8" x14ac:dyDescent="0.25">
      <c r="B38" s="87" t="s">
        <v>112</v>
      </c>
      <c r="C38" s="85">
        <v>324.48500000000001</v>
      </c>
      <c r="D38" s="2"/>
      <c r="E38" s="2"/>
      <c r="F38" s="2"/>
      <c r="G38" s="2"/>
      <c r="H38" s="2"/>
    </row>
    <row r="39" spans="2:8" x14ac:dyDescent="0.25">
      <c r="B39" s="87" t="s">
        <v>113</v>
      </c>
      <c r="C39" s="85">
        <v>399.892</v>
      </c>
      <c r="D39" s="2"/>
      <c r="E39" s="2"/>
      <c r="F39" s="2"/>
      <c r="G39" s="2"/>
      <c r="H39" s="2"/>
    </row>
    <row r="40" spans="2:8" x14ac:dyDescent="0.25">
      <c r="B40" s="87" t="s">
        <v>114</v>
      </c>
      <c r="C40" s="85">
        <v>93.453000000000003</v>
      </c>
      <c r="D40" s="2"/>
      <c r="E40" s="2"/>
      <c r="F40" s="2"/>
      <c r="G40" s="2"/>
      <c r="H40" s="2"/>
    </row>
    <row r="41" spans="2:8" ht="15.75" thickBot="1" x14ac:dyDescent="0.3">
      <c r="B41" s="88" t="s">
        <v>115</v>
      </c>
      <c r="C41" s="86">
        <v>77.260000000000005</v>
      </c>
      <c r="D41" s="2"/>
      <c r="E41" s="2"/>
      <c r="F41" s="2"/>
      <c r="G41" s="2"/>
      <c r="H41" s="2"/>
    </row>
    <row r="42" spans="2:8" ht="15.75" thickBot="1" x14ac:dyDescent="0.3">
      <c r="B42" s="2"/>
      <c r="C42" s="2"/>
      <c r="D42" s="2"/>
      <c r="E42" s="2"/>
      <c r="F42" s="2"/>
      <c r="G42" s="2"/>
      <c r="H42" s="2"/>
    </row>
    <row r="43" spans="2:8" s="2" customFormat="1" ht="28.5" customHeight="1" thickBot="1" x14ac:dyDescent="0.3">
      <c r="B43" s="62" t="s">
        <v>116</v>
      </c>
      <c r="C43" s="63"/>
      <c r="D43" s="31"/>
    </row>
    <row r="44" spans="2:8" ht="15.75" thickBot="1" x14ac:dyDescent="0.3">
      <c r="B44" s="2"/>
      <c r="C44" s="2"/>
      <c r="D44" s="2"/>
      <c r="E44" s="2"/>
      <c r="F44" s="2"/>
      <c r="G44" s="2"/>
      <c r="H44" s="2"/>
    </row>
    <row r="45" spans="2:8" ht="15.75" thickBot="1" x14ac:dyDescent="0.3">
      <c r="B45" s="48" t="s">
        <v>117</v>
      </c>
      <c r="C45" s="2"/>
      <c r="D45" s="2"/>
      <c r="E45" s="2"/>
      <c r="F45" s="2"/>
      <c r="G45" s="2"/>
      <c r="H45" s="2"/>
    </row>
    <row r="46" spans="2:8" x14ac:dyDescent="0.25">
      <c r="B46" s="49">
        <v>2020</v>
      </c>
      <c r="C46" s="120">
        <v>982</v>
      </c>
      <c r="D46" s="2"/>
      <c r="E46" s="2"/>
      <c r="F46" s="2"/>
      <c r="G46" s="2"/>
      <c r="H46" s="2"/>
    </row>
    <row r="47" spans="2:8" x14ac:dyDescent="0.25">
      <c r="B47" s="49">
        <v>2021</v>
      </c>
      <c r="C47" s="121">
        <v>849</v>
      </c>
      <c r="D47" s="2"/>
      <c r="E47" s="2"/>
      <c r="F47" s="2"/>
      <c r="G47" s="2"/>
      <c r="H47" s="2"/>
    </row>
    <row r="48" spans="2:8" x14ac:dyDescent="0.25">
      <c r="B48" s="49">
        <v>2022</v>
      </c>
      <c r="C48" s="121">
        <v>670</v>
      </c>
      <c r="D48" s="2"/>
      <c r="E48" s="2"/>
      <c r="F48" s="2"/>
      <c r="G48" s="2"/>
      <c r="H48" s="2"/>
    </row>
    <row r="49" spans="2:5" x14ac:dyDescent="0.25">
      <c r="B49" s="49">
        <v>2023</v>
      </c>
      <c r="C49" s="121">
        <v>532</v>
      </c>
      <c r="D49" s="2"/>
      <c r="E49" s="2"/>
    </row>
    <row r="50" spans="2:5" x14ac:dyDescent="0.25">
      <c r="B50" s="49">
        <v>2024</v>
      </c>
      <c r="C50" s="121">
        <v>407</v>
      </c>
      <c r="D50" s="2"/>
      <c r="E50" s="2"/>
    </row>
    <row r="51" spans="2:5" ht="15.75" thickBot="1" x14ac:dyDescent="0.3">
      <c r="B51" s="50" t="s">
        <v>118</v>
      </c>
      <c r="C51" s="122">
        <v>2491</v>
      </c>
      <c r="D51" s="2"/>
      <c r="E51" s="2"/>
    </row>
    <row r="52" spans="2:5" ht="15.75" thickBot="1" x14ac:dyDescent="0.3">
      <c r="B52" s="2"/>
      <c r="C52" s="2"/>
      <c r="D52" s="2"/>
      <c r="E52" s="2"/>
    </row>
    <row r="53" spans="2:5" x14ac:dyDescent="0.25">
      <c r="B53" s="53" t="s">
        <v>119</v>
      </c>
      <c r="C53" s="120">
        <f>AVERAGE(C46:C50)</f>
        <v>688</v>
      </c>
      <c r="D53" s="2"/>
      <c r="E53" s="2"/>
    </row>
    <row r="54" spans="2:5" ht="15.75" thickBot="1" x14ac:dyDescent="0.3">
      <c r="B54" s="43" t="s">
        <v>120</v>
      </c>
      <c r="C54" s="36">
        <f>C51/C53</f>
        <v>3.620639534883721</v>
      </c>
      <c r="D54" s="2"/>
      <c r="E54" s="2"/>
    </row>
    <row r="55" spans="2:5" ht="15.75" thickBot="1" x14ac:dyDescent="0.3">
      <c r="B55" s="2"/>
      <c r="C55" s="2"/>
      <c r="D55" s="2"/>
      <c r="E55" s="2"/>
    </row>
    <row r="56" spans="2:5" ht="15.75" thickBot="1" x14ac:dyDescent="0.3">
      <c r="B56" s="238" t="s">
        <v>117</v>
      </c>
      <c r="C56" s="239"/>
      <c r="D56" s="138" t="s">
        <v>121</v>
      </c>
      <c r="E56" s="139" t="s">
        <v>122</v>
      </c>
    </row>
    <row r="57" spans="2:5" x14ac:dyDescent="0.25">
      <c r="B57" s="54">
        <v>2020</v>
      </c>
      <c r="C57" s="127">
        <f>C46</f>
        <v>982</v>
      </c>
      <c r="D57" s="104">
        <f>KD!H$14</f>
        <v>1.6910000000000001E-2</v>
      </c>
      <c r="E57" s="120">
        <f>C57/((1+D57)^1)</f>
        <v>965.67051164803183</v>
      </c>
    </row>
    <row r="58" spans="2:5" x14ac:dyDescent="0.25">
      <c r="B58" s="55">
        <v>2021</v>
      </c>
      <c r="C58" s="128">
        <f>C47</f>
        <v>849</v>
      </c>
      <c r="D58" s="51">
        <f>KD!H$14</f>
        <v>1.6910000000000001E-2</v>
      </c>
      <c r="E58" s="121">
        <f>C58/((1+D58)^2)</f>
        <v>820.99904904318385</v>
      </c>
    </row>
    <row r="59" spans="2:5" x14ac:dyDescent="0.25">
      <c r="B59" s="55">
        <v>2022</v>
      </c>
      <c r="C59" s="128">
        <f>C48</f>
        <v>670</v>
      </c>
      <c r="D59" s="51">
        <f>KD!H$14</f>
        <v>1.6910000000000001E-2</v>
      </c>
      <c r="E59" s="121">
        <f>C59/((1+D59)^3)</f>
        <v>637.12881702673189</v>
      </c>
    </row>
    <row r="60" spans="2:5" x14ac:dyDescent="0.25">
      <c r="B60" s="55">
        <v>2023</v>
      </c>
      <c r="C60" s="128">
        <f>C49</f>
        <v>532</v>
      </c>
      <c r="D60" s="51">
        <f>KD!H$14</f>
        <v>1.6910000000000001E-2</v>
      </c>
      <c r="E60" s="121">
        <f>C60/((1+D60)^4)</f>
        <v>497.48679774009764</v>
      </c>
    </row>
    <row r="61" spans="2:5" x14ac:dyDescent="0.25">
      <c r="B61" s="55">
        <v>2024</v>
      </c>
      <c r="C61" s="128">
        <f>C50</f>
        <v>407</v>
      </c>
      <c r="D61" s="51">
        <f>KD!H$14</f>
        <v>1.6910000000000001E-2</v>
      </c>
      <c r="E61" s="121">
        <f>C61/((1+D61)^5)</f>
        <v>374.26724369154391</v>
      </c>
    </row>
    <row r="62" spans="2:5" x14ac:dyDescent="0.25">
      <c r="B62" s="55">
        <v>2025</v>
      </c>
      <c r="C62" s="128">
        <f>C$53</f>
        <v>688</v>
      </c>
      <c r="D62" s="51">
        <f>KD!H$14</f>
        <v>1.6910000000000001E-2</v>
      </c>
      <c r="E62" s="121">
        <f>C62/((1+D62)^6)</f>
        <v>622.14745619578389</v>
      </c>
    </row>
    <row r="63" spans="2:5" x14ac:dyDescent="0.25">
      <c r="B63" s="55">
        <v>2026</v>
      </c>
      <c r="C63" s="129">
        <f>C$53</f>
        <v>688</v>
      </c>
      <c r="D63" s="137">
        <f>KD!H$14</f>
        <v>1.6910000000000001E-2</v>
      </c>
      <c r="E63" s="121">
        <f>C63/((1+D63)^7)</f>
        <v>611.80188629847669</v>
      </c>
    </row>
    <row r="64" spans="2:5" ht="15.75" thickBot="1" x14ac:dyDescent="0.3">
      <c r="B64" s="56">
        <v>2027</v>
      </c>
      <c r="C64" s="135">
        <f>C$53</f>
        <v>688</v>
      </c>
      <c r="D64" s="58">
        <f>KD!H$14</f>
        <v>1.6910000000000001E-2</v>
      </c>
      <c r="E64" s="136">
        <f>C64/((1+D64)^8)</f>
        <v>601.62835088501129</v>
      </c>
    </row>
    <row r="65" spans="2:5" ht="16.5" thickBot="1" x14ac:dyDescent="0.3">
      <c r="B65" s="2"/>
      <c r="C65" s="2"/>
      <c r="D65" s="2"/>
      <c r="E65" s="130">
        <f>SUM(E57:E64)</f>
        <v>5131.130112528861</v>
      </c>
    </row>
  </sheetData>
  <mergeCells count="3">
    <mergeCell ref="B56:C56"/>
    <mergeCell ref="B4:B5"/>
    <mergeCell ref="E15:H15"/>
  </mergeCells>
  <pageMargins left="0.7" right="0.7" top="0.75" bottom="0.75" header="0.3" footer="0.3"/>
  <pageSetup paperSize="9" orientation="portrait" verticalDpi="300" r:id="rId1"/>
  <ignoredErrors>
    <ignoredError sqref="F8:F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"/>
  <sheetViews>
    <sheetView workbookViewId="0">
      <selection activeCell="C5" sqref="C5"/>
    </sheetView>
  </sheetViews>
  <sheetFormatPr defaultRowHeight="15" x14ac:dyDescent="0.25"/>
  <cols>
    <col min="2" max="2" width="24.28515625" customWidth="1"/>
    <col min="3" max="3" width="13" customWidth="1"/>
    <col min="7" max="7" width="16.5703125" customWidth="1"/>
  </cols>
  <sheetData>
    <row r="1" spans="2:8" ht="15.75" thickBot="1" x14ac:dyDescent="0.3">
      <c r="B1" s="2"/>
      <c r="C1" s="2"/>
      <c r="D1" s="2"/>
      <c r="E1" s="2"/>
      <c r="F1" s="2"/>
      <c r="G1" s="2"/>
      <c r="H1" s="2"/>
    </row>
    <row r="2" spans="2:8" x14ac:dyDescent="0.25">
      <c r="B2" s="234" t="s">
        <v>123</v>
      </c>
      <c r="C2" s="245">
        <f>C4*C9+C5*C10</f>
        <v>7.025511183524305E-2</v>
      </c>
      <c r="D2" s="2"/>
      <c r="E2" s="2"/>
      <c r="F2" s="2"/>
      <c r="G2" s="146"/>
      <c r="H2" s="2"/>
    </row>
    <row r="3" spans="2:8" ht="15.75" thickBot="1" x14ac:dyDescent="0.3">
      <c r="B3" s="235"/>
      <c r="C3" s="246"/>
      <c r="D3" s="2"/>
      <c r="E3" s="2"/>
      <c r="F3" s="2"/>
      <c r="G3" s="146"/>
      <c r="H3" s="2"/>
    </row>
    <row r="4" spans="2:8" s="2" customFormat="1" ht="15" customHeight="1" x14ac:dyDescent="0.25">
      <c r="B4" s="89" t="s">
        <v>124</v>
      </c>
      <c r="C4" s="45">
        <f>KE!C7</f>
        <v>8.550651113482155E-2</v>
      </c>
      <c r="H4" s="106"/>
    </row>
    <row r="5" spans="2:8" s="2" customFormat="1" ht="14.25" customHeight="1" x14ac:dyDescent="0.25">
      <c r="B5" s="87" t="s">
        <v>125</v>
      </c>
      <c r="C5" s="61">
        <f>KD!H15</f>
        <v>1.2344300000000001E-2</v>
      </c>
      <c r="H5" s="119"/>
    </row>
    <row r="6" spans="2:8" x14ac:dyDescent="0.25">
      <c r="B6" s="87" t="s">
        <v>126</v>
      </c>
      <c r="C6" s="121">
        <f>Adjusted!C2</f>
        <v>54998.023988869056</v>
      </c>
      <c r="D6" s="2"/>
      <c r="E6" s="2"/>
      <c r="F6" s="2"/>
      <c r="G6" s="2"/>
      <c r="H6" s="2"/>
    </row>
    <row r="7" spans="2:8" x14ac:dyDescent="0.25">
      <c r="B7" s="87" t="s">
        <v>127</v>
      </c>
      <c r="C7" s="121">
        <f>KE!F12</f>
        <v>208832</v>
      </c>
      <c r="D7" s="2"/>
      <c r="E7" s="2"/>
      <c r="F7" s="2"/>
      <c r="G7" s="2"/>
      <c r="H7" s="2"/>
    </row>
    <row r="8" spans="2:8" s="2" customFormat="1" x14ac:dyDescent="0.25">
      <c r="B8" s="87" t="s">
        <v>128</v>
      </c>
      <c r="C8" s="57">
        <f>SUM(C6:C7)</f>
        <v>263830.02398886904</v>
      </c>
    </row>
    <row r="9" spans="2:8" x14ac:dyDescent="0.25">
      <c r="B9" s="87" t="s">
        <v>129</v>
      </c>
      <c r="C9" s="35">
        <f>C7/C8</f>
        <v>0.79153993485142771</v>
      </c>
      <c r="D9" s="2"/>
      <c r="E9" s="2"/>
      <c r="F9" s="2"/>
      <c r="G9" s="2"/>
      <c r="H9" s="2"/>
    </row>
    <row r="10" spans="2:8" ht="15.75" thickBot="1" x14ac:dyDescent="0.3">
      <c r="B10" s="88" t="s">
        <v>130</v>
      </c>
      <c r="C10" s="36">
        <f>C6/C8</f>
        <v>0.20846006514857238</v>
      </c>
      <c r="D10" s="2"/>
      <c r="E10" s="2"/>
      <c r="F10" s="2"/>
      <c r="G10" s="2"/>
      <c r="H10" s="2"/>
    </row>
  </sheetData>
  <mergeCells count="2"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6"/>
  <sheetViews>
    <sheetView workbookViewId="0">
      <selection activeCell="F16" sqref="F16"/>
    </sheetView>
  </sheetViews>
  <sheetFormatPr defaultRowHeight="15" x14ac:dyDescent="0.25"/>
  <cols>
    <col min="2" max="2" width="27.7109375" bestFit="1" customWidth="1"/>
    <col min="3" max="3" width="15.140625" customWidth="1"/>
    <col min="4" max="4" width="21.5703125" customWidth="1"/>
    <col min="5" max="5" width="21.140625" customWidth="1"/>
    <col min="6" max="6" width="11.28515625" bestFit="1" customWidth="1"/>
  </cols>
  <sheetData>
    <row r="1" spans="2:6" ht="15.75" thickBot="1" x14ac:dyDescent="0.3">
      <c r="B1" s="2"/>
      <c r="C1" s="2"/>
      <c r="D1" s="2"/>
      <c r="E1" s="2"/>
      <c r="F1" s="2"/>
    </row>
    <row r="2" spans="2:6" ht="19.5" customHeight="1" thickBot="1" x14ac:dyDescent="0.3">
      <c r="B2" s="105" t="s">
        <v>131</v>
      </c>
      <c r="C2" s="140">
        <f>C3+C4</f>
        <v>54998.023988869056</v>
      </c>
      <c r="D2" s="2"/>
      <c r="E2" s="2"/>
      <c r="F2" s="2"/>
    </row>
    <row r="3" spans="2:6" x14ac:dyDescent="0.25">
      <c r="B3" s="42" t="s">
        <v>132</v>
      </c>
      <c r="C3" s="125">
        <f>'Market value of debt'!E65</f>
        <v>5131.130112528861</v>
      </c>
      <c r="D3" s="2"/>
      <c r="E3" s="2"/>
      <c r="F3" s="2"/>
    </row>
    <row r="4" spans="2:6" ht="15.75" thickBot="1" x14ac:dyDescent="0.3">
      <c r="B4" s="43" t="s">
        <v>133</v>
      </c>
      <c r="C4" s="122">
        <f>'Market value of debt'!H35</f>
        <v>49866.893876340197</v>
      </c>
      <c r="D4" s="2"/>
      <c r="E4" s="2"/>
      <c r="F4" s="2"/>
    </row>
    <row r="5" spans="2:6" ht="15.75" thickBot="1" x14ac:dyDescent="0.3">
      <c r="B5" s="2"/>
      <c r="C5" s="2"/>
      <c r="D5" s="2"/>
      <c r="E5" s="2"/>
      <c r="F5" s="2"/>
    </row>
    <row r="6" spans="2:6" ht="21" customHeight="1" thickBot="1" x14ac:dyDescent="0.3">
      <c r="B6" s="105" t="s">
        <v>134</v>
      </c>
      <c r="C6" s="140">
        <f>C7+C8-C9</f>
        <v>15048.608735933893</v>
      </c>
      <c r="D6" s="2"/>
      <c r="E6" s="2"/>
      <c r="F6" s="2"/>
    </row>
    <row r="7" spans="2:6" x14ac:dyDescent="0.25">
      <c r="B7" s="42" t="s">
        <v>199</v>
      </c>
      <c r="C7" s="125">
        <f>KD!C3</f>
        <v>14590</v>
      </c>
      <c r="D7" s="2"/>
      <c r="E7" s="2"/>
      <c r="F7" s="2"/>
    </row>
    <row r="8" spans="2:6" x14ac:dyDescent="0.25">
      <c r="B8" s="60" t="s">
        <v>135</v>
      </c>
      <c r="C8" s="121">
        <f>KD!C5</f>
        <v>1100</v>
      </c>
      <c r="D8" s="2"/>
      <c r="E8" s="2"/>
      <c r="F8" s="2"/>
    </row>
    <row r="9" spans="2:6" ht="15.75" thickBot="1" x14ac:dyDescent="0.3">
      <c r="B9" s="43" t="s">
        <v>136</v>
      </c>
      <c r="C9" s="122">
        <f>'Market value of debt'!E65/8</f>
        <v>641.39126406610762</v>
      </c>
      <c r="D9" s="2"/>
      <c r="E9" s="2"/>
      <c r="F9" s="2"/>
    </row>
    <row r="10" spans="2:6" ht="15.75" thickBot="1" x14ac:dyDescent="0.3">
      <c r="B10" s="2"/>
      <c r="C10" s="2"/>
      <c r="D10" s="2"/>
      <c r="E10" s="2"/>
      <c r="F10" s="2"/>
    </row>
    <row r="11" spans="2:6" ht="15.75" thickBot="1" x14ac:dyDescent="0.3">
      <c r="B11" s="117" t="s">
        <v>137</v>
      </c>
      <c r="C11" s="2"/>
      <c r="D11" s="2"/>
      <c r="E11" s="2"/>
      <c r="F11" s="2"/>
    </row>
    <row r="12" spans="2:6" ht="15.75" thickBot="1" x14ac:dyDescent="0.3">
      <c r="B12" s="163" t="s">
        <v>138</v>
      </c>
      <c r="C12" s="164" t="s">
        <v>139</v>
      </c>
      <c r="D12" s="165" t="s">
        <v>180</v>
      </c>
      <c r="E12" s="166" t="s">
        <v>179</v>
      </c>
      <c r="F12" s="162" t="s">
        <v>140</v>
      </c>
    </row>
    <row r="13" spans="2:6" x14ac:dyDescent="0.25">
      <c r="B13" s="53" t="s">
        <v>141</v>
      </c>
      <c r="C13" s="168">
        <f>C14+C15</f>
        <v>15190</v>
      </c>
      <c r="D13" s="169">
        <f>D14+D15</f>
        <v>2994</v>
      </c>
      <c r="E13" s="170">
        <f>E14+E15</f>
        <v>3594</v>
      </c>
      <c r="F13" s="167">
        <f>C13+D13-E13</f>
        <v>14590</v>
      </c>
    </row>
    <row r="14" spans="2:6" x14ac:dyDescent="0.25">
      <c r="B14" s="60" t="s">
        <v>142</v>
      </c>
      <c r="C14" s="92">
        <v>13944</v>
      </c>
      <c r="D14" s="141">
        <v>2632</v>
      </c>
      <c r="E14" s="142">
        <v>3431</v>
      </c>
      <c r="F14" s="143">
        <f>C14+D14-E14</f>
        <v>13145</v>
      </c>
    </row>
    <row r="15" spans="2:6" x14ac:dyDescent="0.25">
      <c r="B15" s="157" t="s">
        <v>143</v>
      </c>
      <c r="C15" s="158">
        <v>1246</v>
      </c>
      <c r="D15" s="159">
        <v>362</v>
      </c>
      <c r="E15" s="160">
        <v>163</v>
      </c>
      <c r="F15" s="161">
        <f>C15+D15-E15</f>
        <v>1445</v>
      </c>
    </row>
    <row r="16" spans="2:6" ht="15.75" thickBot="1" x14ac:dyDescent="0.3">
      <c r="B16" s="116" t="s">
        <v>177</v>
      </c>
      <c r="C16" s="144">
        <v>10913</v>
      </c>
      <c r="D16" s="172">
        <v>2173</v>
      </c>
      <c r="E16" s="171">
        <v>2786</v>
      </c>
      <c r="F16" s="173">
        <f>C16+D16-E16</f>
        <v>10300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61"/>
  <sheetViews>
    <sheetView workbookViewId="0">
      <selection activeCell="F35" sqref="F35"/>
    </sheetView>
  </sheetViews>
  <sheetFormatPr defaultRowHeight="15" x14ac:dyDescent="0.25"/>
  <cols>
    <col min="1" max="1" width="5" customWidth="1"/>
    <col min="2" max="2" width="19.42578125" customWidth="1"/>
    <col min="3" max="3" width="19.7109375" customWidth="1"/>
    <col min="4" max="4" width="12.7109375" customWidth="1"/>
    <col min="5" max="5" width="13.140625" customWidth="1"/>
    <col min="6" max="7" width="16.5703125" customWidth="1"/>
    <col min="8" max="8" width="11.140625" customWidth="1"/>
    <col min="9" max="9" width="9.42578125" bestFit="1" customWidth="1"/>
    <col min="10" max="10" width="12.42578125" customWidth="1"/>
    <col min="11" max="11" width="17.140625" customWidth="1"/>
    <col min="12" max="12" width="25.140625" bestFit="1" customWidth="1"/>
    <col min="13" max="13" width="13.5703125" customWidth="1"/>
    <col min="15" max="15" width="11.28515625" customWidth="1"/>
    <col min="16" max="16" width="13.85546875" customWidth="1"/>
  </cols>
  <sheetData>
    <row r="1" spans="2:17" s="2" customFormat="1" ht="15.75" thickBot="1" x14ac:dyDescent="0.3"/>
    <row r="2" spans="2:17" s="2" customFormat="1" x14ac:dyDescent="0.25">
      <c r="B2" s="290" t="s">
        <v>145</v>
      </c>
      <c r="C2" s="298"/>
      <c r="D2" s="177">
        <f>Adjusted!C6</f>
        <v>15048.608735933893</v>
      </c>
    </row>
    <row r="3" spans="2:17" x14ac:dyDescent="0.25">
      <c r="B3" s="299" t="s">
        <v>146</v>
      </c>
      <c r="C3" s="300"/>
      <c r="D3" s="80">
        <f>KE!F15</f>
        <v>0.27</v>
      </c>
      <c r="E3" s="2"/>
      <c r="F3" s="2"/>
      <c r="G3" s="2"/>
      <c r="H3" s="2"/>
      <c r="I3" s="2"/>
      <c r="J3" s="2"/>
      <c r="K3" s="1"/>
      <c r="L3" s="1"/>
      <c r="M3" s="1"/>
      <c r="N3" s="2"/>
    </row>
    <row r="4" spans="2:17" ht="15.75" thickBot="1" x14ac:dyDescent="0.3">
      <c r="B4" s="43" t="s">
        <v>227</v>
      </c>
      <c r="C4" s="83"/>
      <c r="D4" s="122">
        <f>D2*(1-D3)</f>
        <v>10985.484377231742</v>
      </c>
      <c r="E4" s="2"/>
      <c r="I4" s="2"/>
      <c r="J4" s="2"/>
      <c r="K4" s="1"/>
      <c r="L4" s="1"/>
      <c r="M4" s="1"/>
      <c r="N4" s="1"/>
    </row>
    <row r="5" spans="2:17" x14ac:dyDescent="0.25">
      <c r="E5" s="2"/>
      <c r="I5" s="2"/>
      <c r="J5" s="2"/>
      <c r="K5" s="2"/>
      <c r="L5" s="2"/>
      <c r="M5" s="2"/>
      <c r="N5" s="2"/>
    </row>
    <row r="6" spans="2:17" ht="15.75" thickBot="1" x14ac:dyDescent="0.3">
      <c r="B6" s="2"/>
      <c r="C6" s="2"/>
      <c r="E6" s="2"/>
      <c r="I6" s="2"/>
      <c r="J6" s="2"/>
      <c r="K6" s="2"/>
      <c r="L6" s="2"/>
      <c r="M6" s="2"/>
      <c r="N6" s="2"/>
    </row>
    <row r="7" spans="2:17" ht="16.5" customHeight="1" thickBot="1" x14ac:dyDescent="0.3">
      <c r="B7" s="75" t="s">
        <v>196</v>
      </c>
      <c r="C7" s="2"/>
      <c r="E7" s="2"/>
      <c r="I7" s="2"/>
      <c r="J7" s="2"/>
      <c r="K7" s="2"/>
      <c r="L7" s="2"/>
      <c r="M7" s="2"/>
      <c r="N7" s="2"/>
    </row>
    <row r="8" spans="2:17" ht="15.75" thickBot="1" x14ac:dyDescent="0.3">
      <c r="B8" s="2"/>
      <c r="C8" s="2"/>
      <c r="D8" s="2"/>
      <c r="E8" s="2"/>
      <c r="I8" s="2"/>
      <c r="J8" s="2"/>
      <c r="K8" s="2"/>
      <c r="L8" s="2"/>
      <c r="M8" s="2"/>
      <c r="N8" s="2"/>
    </row>
    <row r="9" spans="2:17" ht="15.75" thickBot="1" x14ac:dyDescent="0.3">
      <c r="B9" s="2"/>
      <c r="C9" s="72">
        <v>2019</v>
      </c>
      <c r="D9" s="73">
        <v>2018</v>
      </c>
      <c r="E9" s="73">
        <v>2017</v>
      </c>
      <c r="F9" s="73">
        <v>2016</v>
      </c>
      <c r="G9" s="73">
        <v>2015</v>
      </c>
      <c r="H9" s="150" t="s">
        <v>153</v>
      </c>
    </row>
    <row r="10" spans="2:17" x14ac:dyDescent="0.25">
      <c r="B10" s="77" t="s">
        <v>151</v>
      </c>
      <c r="C10" s="178">
        <v>4876</v>
      </c>
      <c r="D10" s="91">
        <v>4465</v>
      </c>
      <c r="E10" s="178">
        <v>3623</v>
      </c>
      <c r="F10" s="91">
        <v>4773</v>
      </c>
      <c r="G10" s="178">
        <v>4265</v>
      </c>
      <c r="H10" s="179">
        <f>AVERAGE(C10:G10)</f>
        <v>4400.3999999999996</v>
      </c>
      <c r="L10" s="2"/>
      <c r="M10" s="2"/>
      <c r="N10" s="2"/>
      <c r="O10" s="2"/>
      <c r="P10" s="2"/>
      <c r="Q10" s="2"/>
    </row>
    <row r="11" spans="2:17" x14ac:dyDescent="0.25">
      <c r="B11" s="87" t="s">
        <v>152</v>
      </c>
      <c r="C11" s="141">
        <v>4160</v>
      </c>
      <c r="D11" s="92">
        <v>3011</v>
      </c>
      <c r="E11" s="141">
        <v>2782</v>
      </c>
      <c r="F11" s="92">
        <v>2527</v>
      </c>
      <c r="G11" s="141">
        <v>2354</v>
      </c>
      <c r="H11" s="180">
        <f>AVERAGE(C11:G11)</f>
        <v>2966.8</v>
      </c>
      <c r="I11" s="2"/>
      <c r="L11" s="2"/>
      <c r="M11" s="2"/>
      <c r="N11" s="2"/>
      <c r="O11" s="2"/>
      <c r="P11" s="2"/>
      <c r="Q11" s="2"/>
    </row>
    <row r="12" spans="2:17" ht="15.75" thickBot="1" x14ac:dyDescent="0.3">
      <c r="B12" s="148" t="s">
        <v>154</v>
      </c>
      <c r="C12" s="172">
        <v>9901</v>
      </c>
      <c r="D12" s="144">
        <v>1581</v>
      </c>
      <c r="E12" s="182" t="s">
        <v>155</v>
      </c>
      <c r="F12" s="149" t="s">
        <v>155</v>
      </c>
      <c r="G12" s="82" t="s">
        <v>155</v>
      </c>
      <c r="H12" s="181">
        <f>AVERAGE(C12:D12)</f>
        <v>5741</v>
      </c>
      <c r="I12" s="2"/>
      <c r="L12" s="2"/>
      <c r="M12" s="2"/>
      <c r="N12" s="2"/>
      <c r="O12" s="2"/>
      <c r="P12" s="2"/>
      <c r="Q12" s="2"/>
    </row>
    <row r="13" spans="2:17" s="2" customFormat="1" ht="15.75" thickBot="1" x14ac:dyDescent="0.3"/>
    <row r="14" spans="2:17" s="2" customFormat="1" x14ac:dyDescent="0.25">
      <c r="B14" s="77" t="s">
        <v>157</v>
      </c>
      <c r="C14" s="183">
        <f>H10</f>
        <v>4400.3999999999996</v>
      </c>
    </row>
    <row r="15" spans="2:17" s="2" customFormat="1" x14ac:dyDescent="0.25">
      <c r="B15" s="87" t="s">
        <v>158</v>
      </c>
      <c r="C15" s="184">
        <f>H11</f>
        <v>2966.8</v>
      </c>
    </row>
    <row r="16" spans="2:17" x14ac:dyDescent="0.25">
      <c r="B16" s="87" t="s">
        <v>160</v>
      </c>
      <c r="C16" s="184">
        <f>C14-C15</f>
        <v>1433.5999999999995</v>
      </c>
      <c r="I16" s="2"/>
      <c r="J16" s="2"/>
      <c r="K16" s="2"/>
      <c r="L16" s="2"/>
      <c r="M16" s="2"/>
      <c r="N16" s="2"/>
      <c r="O16" s="2"/>
      <c r="P16" s="2"/>
      <c r="Q16" s="2"/>
    </row>
    <row r="17" spans="2:9" x14ac:dyDescent="0.25">
      <c r="B17" s="151" t="s">
        <v>154</v>
      </c>
      <c r="C17" s="185">
        <f>H12</f>
        <v>5741</v>
      </c>
      <c r="I17" s="2"/>
    </row>
    <row r="18" spans="2:9" x14ac:dyDescent="0.25">
      <c r="B18" s="253" t="s">
        <v>162</v>
      </c>
      <c r="C18" s="255">
        <f>C16+C17</f>
        <v>7174.5999999999995</v>
      </c>
      <c r="I18" s="2"/>
    </row>
    <row r="19" spans="2:9" ht="12" customHeight="1" thickBot="1" x14ac:dyDescent="0.3">
      <c r="B19" s="254"/>
      <c r="C19" s="256"/>
      <c r="D19" s="2"/>
      <c r="E19" s="2"/>
      <c r="F19" s="2"/>
      <c r="G19" s="2"/>
      <c r="H19" s="2"/>
      <c r="I19" s="2"/>
    </row>
    <row r="20" spans="2:9" x14ac:dyDescent="0.25">
      <c r="D20" s="2"/>
      <c r="E20" s="2"/>
      <c r="F20" s="2"/>
      <c r="G20" s="2"/>
      <c r="H20" s="2"/>
      <c r="I20" s="2"/>
    </row>
    <row r="21" spans="2:9" ht="15.75" thickBot="1" x14ac:dyDescent="0.3">
      <c r="B21" s="2"/>
      <c r="C21" s="2"/>
      <c r="D21" s="2"/>
      <c r="E21" s="2"/>
      <c r="F21" s="2"/>
      <c r="G21" s="2"/>
      <c r="H21" s="2"/>
      <c r="I21" s="2"/>
    </row>
    <row r="22" spans="2:9" ht="16.5" thickBot="1" x14ac:dyDescent="0.3">
      <c r="B22" s="301" t="s">
        <v>197</v>
      </c>
      <c r="C22" s="302"/>
      <c r="D22" s="2"/>
      <c r="H22" s="2"/>
      <c r="I22" s="2"/>
    </row>
    <row r="23" spans="2:9" x14ac:dyDescent="0.25">
      <c r="D23" s="2"/>
      <c r="H23" s="2"/>
      <c r="I23" s="2"/>
    </row>
    <row r="24" spans="2:9" ht="15" customHeight="1" thickBot="1" x14ac:dyDescent="0.3">
      <c r="D24" s="2"/>
      <c r="H24" s="2"/>
      <c r="I24" s="2"/>
    </row>
    <row r="25" spans="2:9" ht="15.75" customHeight="1" thickBot="1" x14ac:dyDescent="0.3">
      <c r="B25" s="2"/>
      <c r="C25" s="2"/>
      <c r="D25" s="152">
        <v>2019</v>
      </c>
      <c r="E25" s="153">
        <v>2018</v>
      </c>
      <c r="F25" s="153">
        <v>2017</v>
      </c>
      <c r="G25" s="153">
        <v>2016</v>
      </c>
      <c r="H25" s="153">
        <v>2015</v>
      </c>
      <c r="I25" s="154" t="s">
        <v>163</v>
      </c>
    </row>
    <row r="26" spans="2:9" x14ac:dyDescent="0.25">
      <c r="B26" s="290" t="s">
        <v>147</v>
      </c>
      <c r="C26" s="291"/>
      <c r="D26" s="127">
        <v>55</v>
      </c>
      <c r="E26" s="168">
        <v>-720</v>
      </c>
      <c r="F26" s="168">
        <v>107</v>
      </c>
      <c r="G26" s="168">
        <v>-393</v>
      </c>
      <c r="H26" s="168">
        <v>-211</v>
      </c>
      <c r="I26" s="287" t="s">
        <v>155</v>
      </c>
    </row>
    <row r="27" spans="2:9" x14ac:dyDescent="0.25">
      <c r="B27" s="299" t="s">
        <v>148</v>
      </c>
      <c r="C27" s="306"/>
      <c r="D27" s="128">
        <v>-223</v>
      </c>
      <c r="E27" s="92">
        <v>-17</v>
      </c>
      <c r="F27" s="92">
        <v>-5</v>
      </c>
      <c r="G27" s="92">
        <v>186</v>
      </c>
      <c r="H27" s="92">
        <v>1</v>
      </c>
      <c r="I27" s="288"/>
    </row>
    <row r="28" spans="2:9" ht="15.75" thickBot="1" x14ac:dyDescent="0.3">
      <c r="B28" s="247" t="s">
        <v>149</v>
      </c>
      <c r="C28" s="292"/>
      <c r="D28" s="129">
        <v>191</v>
      </c>
      <c r="E28" s="158">
        <v>235</v>
      </c>
      <c r="F28" s="158">
        <v>-368</v>
      </c>
      <c r="G28" s="158">
        <v>40</v>
      </c>
      <c r="H28" s="158">
        <v>-49</v>
      </c>
      <c r="I28" s="289"/>
    </row>
    <row r="29" spans="2:9" x14ac:dyDescent="0.25">
      <c r="B29" s="279" t="s">
        <v>144</v>
      </c>
      <c r="C29" s="303"/>
      <c r="D29" s="293">
        <f>D26+D27-D28</f>
        <v>-359</v>
      </c>
      <c r="E29" s="257">
        <f>E26+E27-E28</f>
        <v>-972</v>
      </c>
      <c r="F29" s="257">
        <f>F26+F27-F28</f>
        <v>470</v>
      </c>
      <c r="G29" s="257">
        <f>G26+G27-G28</f>
        <v>-247</v>
      </c>
      <c r="H29" s="257">
        <f>H26+H27-H28</f>
        <v>-161</v>
      </c>
      <c r="I29" s="285">
        <f>AVERAGE(D29:H30)</f>
        <v>-253.8</v>
      </c>
    </row>
    <row r="30" spans="2:9" ht="15.75" thickBot="1" x14ac:dyDescent="0.3">
      <c r="B30" s="304"/>
      <c r="C30" s="305"/>
      <c r="D30" s="294"/>
      <c r="E30" s="258"/>
      <c r="F30" s="258"/>
      <c r="G30" s="258"/>
      <c r="H30" s="258"/>
      <c r="I30" s="286"/>
    </row>
    <row r="31" spans="2:9" x14ac:dyDescent="0.25">
      <c r="B31" s="290" t="s">
        <v>165</v>
      </c>
      <c r="C31" s="291"/>
      <c r="D31" s="197">
        <v>69570</v>
      </c>
      <c r="E31" s="91">
        <v>59434</v>
      </c>
      <c r="F31" s="91">
        <v>55137</v>
      </c>
      <c r="G31" s="91">
        <v>55632</v>
      </c>
      <c r="H31" s="91">
        <v>52465</v>
      </c>
      <c r="I31" s="175" t="s">
        <v>155</v>
      </c>
    </row>
    <row r="32" spans="2:9" ht="15.75" customHeight="1" thickBot="1" x14ac:dyDescent="0.3">
      <c r="B32" s="247" t="s">
        <v>167</v>
      </c>
      <c r="C32" s="292"/>
      <c r="D32" s="155">
        <f>D29/D31</f>
        <v>-5.16027023142159E-3</v>
      </c>
      <c r="E32" s="174">
        <f>E29/E31</f>
        <v>-1.6354275330618839E-2</v>
      </c>
      <c r="F32" s="174">
        <f>F29/F31</f>
        <v>8.5242214846654694E-3</v>
      </c>
      <c r="G32" s="174">
        <f>G29/G31</f>
        <v>-4.4398907103825134E-3</v>
      </c>
      <c r="H32" s="174">
        <f>H29/H31</f>
        <v>-3.0687124749833221E-3</v>
      </c>
      <c r="I32" s="47">
        <f>AVERAGE(D32:H32)</f>
        <v>-4.0997854525481594E-3</v>
      </c>
    </row>
    <row r="33" spans="2:16" ht="13.5" customHeight="1" x14ac:dyDescent="0.25">
      <c r="B33" s="275" t="s">
        <v>168</v>
      </c>
      <c r="C33" s="276"/>
      <c r="D33" s="265">
        <f>D31*I32</f>
        <v>-285.22207393377545</v>
      </c>
      <c r="E33" s="2"/>
      <c r="F33" s="2"/>
      <c r="G33" s="2"/>
      <c r="H33" s="2"/>
      <c r="I33" s="2"/>
      <c r="J33" s="2"/>
      <c r="N33" s="2"/>
      <c r="O33" s="2"/>
      <c r="P33" s="2"/>
    </row>
    <row r="34" spans="2:16" ht="15.75" thickBot="1" x14ac:dyDescent="0.3">
      <c r="B34" s="277"/>
      <c r="C34" s="278"/>
      <c r="D34" s="266"/>
      <c r="E34" s="2"/>
      <c r="F34" s="2"/>
      <c r="G34" s="2"/>
      <c r="H34" s="2"/>
      <c r="I34" s="2"/>
      <c r="J34" s="2"/>
      <c r="N34" s="2"/>
      <c r="O34" s="2"/>
      <c r="P34" s="2"/>
    </row>
    <row r="35" spans="2:16" x14ac:dyDescent="0.25">
      <c r="B35" s="271" t="s">
        <v>167</v>
      </c>
      <c r="C35" s="272"/>
      <c r="D35" s="176">
        <v>2.4899999999999999E-2</v>
      </c>
      <c r="E35" s="39">
        <v>2.4899999999999999E-2</v>
      </c>
      <c r="F35" s="228" t="s">
        <v>226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5.75" thickBot="1" x14ac:dyDescent="0.3">
      <c r="B36" s="273"/>
      <c r="C36" s="274"/>
      <c r="D36" s="129">
        <f>D35*D31</f>
        <v>1732.2929999999999</v>
      </c>
      <c r="E36" s="122">
        <f>E35*E31</f>
        <v>1479.9066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5">
      <c r="B37" s="259" t="s">
        <v>169</v>
      </c>
      <c r="C37" s="260"/>
      <c r="D37" s="263">
        <f>D36-E36</f>
        <v>252.38639999999987</v>
      </c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14.25" customHeight="1" thickBot="1" x14ac:dyDescent="0.3">
      <c r="B38" s="261"/>
      <c r="C38" s="262"/>
      <c r="D38" s="264"/>
      <c r="J38" s="2"/>
      <c r="K38" s="2"/>
      <c r="L38" s="2"/>
      <c r="M38" s="2"/>
      <c r="N38" s="2"/>
      <c r="O38" s="2"/>
      <c r="P38" s="2"/>
    </row>
    <row r="39" spans="2:16" ht="15" customHeight="1" x14ac:dyDescent="0.25">
      <c r="J39" s="2"/>
      <c r="K39" s="2"/>
      <c r="L39" s="2"/>
      <c r="M39" s="2"/>
      <c r="N39" s="2"/>
      <c r="O39" s="2"/>
      <c r="P39" s="2"/>
    </row>
    <row r="40" spans="2:16" ht="15.75" thickBot="1" x14ac:dyDescent="0.3"/>
    <row r="41" spans="2:16" ht="16.5" thickBot="1" x14ac:dyDescent="0.3">
      <c r="B41" s="75" t="s">
        <v>198</v>
      </c>
      <c r="J41" s="147"/>
      <c r="K41" s="2"/>
      <c r="L41" s="2"/>
      <c r="M41" s="2"/>
      <c r="N41" s="147"/>
      <c r="O41" s="2"/>
      <c r="P41" s="2"/>
    </row>
    <row r="42" spans="2:16" ht="16.5" customHeight="1" thickBot="1" x14ac:dyDescent="0.3">
      <c r="J42" s="2"/>
      <c r="K42" s="2"/>
      <c r="L42" s="2"/>
      <c r="M42" s="2"/>
      <c r="N42" s="2"/>
      <c r="O42" s="2"/>
      <c r="P42" s="2"/>
    </row>
    <row r="43" spans="2:16" x14ac:dyDescent="0.25">
      <c r="B43" s="279" t="s">
        <v>156</v>
      </c>
      <c r="C43" s="280"/>
      <c r="D43" s="285">
        <f>D45+D46</f>
        <v>7426.9863999999998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5">
      <c r="B44" s="281"/>
      <c r="C44" s="282"/>
      <c r="D44" s="297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5">
      <c r="B45" s="283" t="s">
        <v>159</v>
      </c>
      <c r="C45" s="284"/>
      <c r="D45" s="198">
        <f>C18</f>
        <v>7174.5999999999995</v>
      </c>
      <c r="H45" s="2"/>
      <c r="I45" s="2"/>
      <c r="J45" s="2"/>
      <c r="K45" s="2"/>
      <c r="L45" s="2"/>
      <c r="M45" s="2"/>
      <c r="N45" s="2"/>
      <c r="O45" s="2"/>
      <c r="P45" s="2"/>
    </row>
    <row r="46" spans="2:16" s="2" customFormat="1" ht="15.75" thickBot="1" x14ac:dyDescent="0.3">
      <c r="B46" s="295" t="s">
        <v>161</v>
      </c>
      <c r="C46" s="296"/>
      <c r="D46" s="199">
        <f>D37</f>
        <v>252.38639999999987</v>
      </c>
    </row>
    <row r="47" spans="2:16" x14ac:dyDescent="0.25">
      <c r="E47" s="2"/>
      <c r="F47" s="2"/>
      <c r="G47" s="2"/>
      <c r="H47" s="2"/>
      <c r="I47" s="2"/>
      <c r="J47" s="2"/>
      <c r="K47" s="2"/>
    </row>
    <row r="48" spans="2:16" ht="15.75" thickBot="1" x14ac:dyDescent="0.3">
      <c r="B48" s="147">
        <v>3</v>
      </c>
      <c r="C48" s="2"/>
      <c r="D48" s="2"/>
      <c r="F48" s="147">
        <v>4</v>
      </c>
      <c r="G48" s="2"/>
      <c r="J48" s="2"/>
      <c r="K48" s="2"/>
    </row>
    <row r="49" spans="2:16" ht="15.75" x14ac:dyDescent="0.25">
      <c r="B49" s="269" t="s">
        <v>150</v>
      </c>
      <c r="C49" s="270"/>
      <c r="D49" s="200">
        <f>D50-D51</f>
        <v>3558.497977231742</v>
      </c>
      <c r="E49" s="2"/>
      <c r="F49" s="249" t="s">
        <v>150</v>
      </c>
      <c r="G49" s="250"/>
      <c r="H49" s="201">
        <f>D4*(1-H50)</f>
        <v>3558.4979772317415</v>
      </c>
      <c r="J49" s="2"/>
      <c r="K49" s="2"/>
    </row>
    <row r="50" spans="2:16" ht="15.75" thickBot="1" x14ac:dyDescent="0.3">
      <c r="B50" s="267" t="s">
        <v>172</v>
      </c>
      <c r="C50" s="268"/>
      <c r="D50" s="121">
        <f>D4</f>
        <v>10985.484377231742</v>
      </c>
      <c r="E50" s="2"/>
      <c r="F50" s="251" t="s">
        <v>173</v>
      </c>
      <c r="G50" s="252"/>
      <c r="H50" s="202">
        <f>D43/D4</f>
        <v>0.67607272879045721</v>
      </c>
      <c r="J50" s="2"/>
      <c r="K50" s="2"/>
    </row>
    <row r="51" spans="2:16" ht="15.75" thickBot="1" x14ac:dyDescent="0.3">
      <c r="B51" s="247" t="s">
        <v>156</v>
      </c>
      <c r="C51" s="248"/>
      <c r="D51" s="122">
        <f>D43</f>
        <v>7426.9863999999998</v>
      </c>
      <c r="E51" s="2"/>
      <c r="J51" s="2"/>
      <c r="K51" s="2"/>
    </row>
    <row r="52" spans="2:16" x14ac:dyDescent="0.25">
      <c r="J52" s="2"/>
      <c r="K52" s="2"/>
    </row>
    <row r="53" spans="2:16" x14ac:dyDescent="0.25">
      <c r="J53" s="2"/>
      <c r="K53" s="2"/>
    </row>
    <row r="54" spans="2:16" x14ac:dyDescent="0.25">
      <c r="J54" s="2"/>
      <c r="K54" s="2"/>
    </row>
    <row r="55" spans="2:16" x14ac:dyDescent="0.25">
      <c r="J55" s="2"/>
      <c r="K55" s="2"/>
    </row>
    <row r="56" spans="2:16" x14ac:dyDescent="0.25">
      <c r="J56" s="2"/>
      <c r="K56" s="2"/>
      <c r="L56" s="2"/>
      <c r="M56" s="2"/>
      <c r="N56" s="2"/>
      <c r="O56" s="2"/>
      <c r="P56" s="156"/>
    </row>
    <row r="57" spans="2:16" x14ac:dyDescent="0.25">
      <c r="J57" s="2"/>
      <c r="K57" s="2"/>
      <c r="L57" s="2"/>
      <c r="M57" s="2"/>
      <c r="N57" s="2"/>
      <c r="O57" s="2"/>
      <c r="P57" s="2"/>
    </row>
    <row r="58" spans="2:16" x14ac:dyDescent="0.25">
      <c r="J58" s="2"/>
      <c r="K58" s="2"/>
      <c r="L58" s="2"/>
      <c r="M58" s="2"/>
      <c r="N58" s="2"/>
      <c r="O58" s="2"/>
      <c r="P58" s="2"/>
    </row>
    <row r="59" spans="2:16" x14ac:dyDescent="0.25">
      <c r="J59" s="2"/>
      <c r="K59" s="2"/>
      <c r="L59" s="2"/>
      <c r="M59" s="2"/>
      <c r="N59" s="2"/>
      <c r="O59" s="2"/>
      <c r="P59" s="2"/>
    </row>
    <row r="61" spans="2:16" ht="29.2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</sheetData>
  <mergeCells count="32">
    <mergeCell ref="B46:C46"/>
    <mergeCell ref="D43:D44"/>
    <mergeCell ref="B2:C2"/>
    <mergeCell ref="B3:C3"/>
    <mergeCell ref="B22:C22"/>
    <mergeCell ref="B29:C30"/>
    <mergeCell ref="B26:C26"/>
    <mergeCell ref="B27:C27"/>
    <mergeCell ref="B28:C28"/>
    <mergeCell ref="H29:H30"/>
    <mergeCell ref="I29:I30"/>
    <mergeCell ref="I26:I28"/>
    <mergeCell ref="B31:C31"/>
    <mergeCell ref="B32:C32"/>
    <mergeCell ref="D29:D30"/>
    <mergeCell ref="E29:E30"/>
    <mergeCell ref="B51:C51"/>
    <mergeCell ref="F49:G49"/>
    <mergeCell ref="F50:G50"/>
    <mergeCell ref="B18:B19"/>
    <mergeCell ref="C18:C19"/>
    <mergeCell ref="F29:F30"/>
    <mergeCell ref="G29:G30"/>
    <mergeCell ref="B37:C38"/>
    <mergeCell ref="D37:D38"/>
    <mergeCell ref="D33:D34"/>
    <mergeCell ref="B50:C50"/>
    <mergeCell ref="B49:C49"/>
    <mergeCell ref="B35:C36"/>
    <mergeCell ref="B33:C34"/>
    <mergeCell ref="B43:C44"/>
    <mergeCell ref="B45:C4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24A3-9B67-4180-B5A2-0E3315C944BA}">
  <dimension ref="B2:J20"/>
  <sheetViews>
    <sheetView topLeftCell="A2" workbookViewId="0">
      <selection activeCell="C9" sqref="C9"/>
    </sheetView>
  </sheetViews>
  <sheetFormatPr defaultRowHeight="15" x14ac:dyDescent="0.25"/>
  <cols>
    <col min="2" max="2" width="9.7109375" customWidth="1"/>
    <col min="3" max="3" width="14.42578125" customWidth="1"/>
    <col min="4" max="4" width="21.28515625" customWidth="1"/>
    <col min="5" max="5" width="13.42578125" customWidth="1"/>
    <col min="9" max="9" width="10.5703125" customWidth="1"/>
    <col min="10" max="10" width="10.28515625" bestFit="1" customWidth="1"/>
  </cols>
  <sheetData>
    <row r="2" spans="2:6" ht="15.75" thickBot="1" x14ac:dyDescent="0.3">
      <c r="B2" s="2"/>
      <c r="C2" s="2"/>
      <c r="D2" s="2"/>
      <c r="E2" s="2"/>
      <c r="F2" s="2"/>
    </row>
    <row r="3" spans="2:6" ht="15.75" thickBot="1" x14ac:dyDescent="0.3">
      <c r="B3" s="2"/>
      <c r="C3" s="192" t="s">
        <v>166</v>
      </c>
      <c r="D3" s="193" t="s">
        <v>228</v>
      </c>
      <c r="E3" s="193" t="s">
        <v>128</v>
      </c>
      <c r="F3" s="194" t="s">
        <v>130</v>
      </c>
    </row>
    <row r="4" spans="2:6" x14ac:dyDescent="0.25">
      <c r="B4" s="189">
        <v>43709</v>
      </c>
      <c r="C4" s="203">
        <v>237730</v>
      </c>
      <c r="D4" s="168">
        <v>38129</v>
      </c>
      <c r="E4" s="169">
        <f>D4+C4</f>
        <v>275859</v>
      </c>
      <c r="F4" s="186">
        <f>D4/E4</f>
        <v>0.1382191626881849</v>
      </c>
    </row>
    <row r="5" spans="2:6" x14ac:dyDescent="0.25">
      <c r="B5" s="190">
        <v>43344</v>
      </c>
      <c r="C5" s="204">
        <v>172580</v>
      </c>
      <c r="D5" s="92">
        <v>17084</v>
      </c>
      <c r="E5" s="141">
        <f t="shared" ref="E5:E8" si="0">D5+C5</f>
        <v>189664</v>
      </c>
      <c r="F5" s="57">
        <f t="shared" ref="F5:F8" si="1">D5/E5</f>
        <v>9.0075080141724315E-2</v>
      </c>
    </row>
    <row r="6" spans="2:6" x14ac:dyDescent="0.25">
      <c r="B6" s="190">
        <v>42979</v>
      </c>
      <c r="C6" s="204">
        <v>153180</v>
      </c>
      <c r="D6" s="92">
        <v>19119</v>
      </c>
      <c r="E6" s="141">
        <f t="shared" si="0"/>
        <v>172299</v>
      </c>
      <c r="F6" s="57">
        <f t="shared" si="1"/>
        <v>0.11096407988438703</v>
      </c>
    </row>
    <row r="7" spans="2:6" x14ac:dyDescent="0.25">
      <c r="B7" s="190">
        <v>42614</v>
      </c>
      <c r="C7" s="204">
        <v>148170</v>
      </c>
      <c r="D7" s="92">
        <v>16483</v>
      </c>
      <c r="E7" s="141">
        <f t="shared" si="0"/>
        <v>164653</v>
      </c>
      <c r="F7" s="57">
        <f t="shared" si="1"/>
        <v>0.10010749880050773</v>
      </c>
    </row>
    <row r="8" spans="2:6" ht="15.75" thickBot="1" x14ac:dyDescent="0.3">
      <c r="B8" s="191">
        <v>42248</v>
      </c>
      <c r="C8" s="205">
        <v>167810</v>
      </c>
      <c r="D8" s="144">
        <v>12773</v>
      </c>
      <c r="E8" s="172">
        <f t="shared" si="0"/>
        <v>180583</v>
      </c>
      <c r="F8" s="145">
        <f t="shared" si="1"/>
        <v>7.073201796403869E-2</v>
      </c>
    </row>
    <row r="9" spans="2:6" x14ac:dyDescent="0.25">
      <c r="B9" s="2"/>
      <c r="C9" s="229" t="s">
        <v>164</v>
      </c>
      <c r="D9" s="229" t="s">
        <v>229</v>
      </c>
      <c r="E9" s="32" t="s">
        <v>170</v>
      </c>
      <c r="F9" s="187">
        <f>STDEV(F4:F8)</f>
        <v>2.5078140553636181E-2</v>
      </c>
    </row>
    <row r="10" spans="2:6" ht="15.75" thickBot="1" x14ac:dyDescent="0.3">
      <c r="B10" s="2"/>
      <c r="C10" s="2"/>
      <c r="D10" s="2"/>
      <c r="E10" s="195" t="s">
        <v>171</v>
      </c>
      <c r="F10" s="188">
        <f>AVERAGE(F4:F8)</f>
        <v>0.10201956789576853</v>
      </c>
    </row>
    <row r="11" spans="2:6" ht="15.75" thickBot="1" x14ac:dyDescent="0.3">
      <c r="E11" s="1"/>
      <c r="F11" s="1"/>
    </row>
    <row r="12" spans="2:6" x14ac:dyDescent="0.25">
      <c r="B12" s="307" t="s">
        <v>176</v>
      </c>
      <c r="C12" s="308"/>
      <c r="D12" s="309"/>
      <c r="E12" s="313">
        <f>E14*(1-E15)</f>
        <v>5878.7563311984386</v>
      </c>
    </row>
    <row r="13" spans="2:6" s="2" customFormat="1" x14ac:dyDescent="0.25">
      <c r="B13" s="310"/>
      <c r="C13" s="311"/>
      <c r="D13" s="312"/>
      <c r="E13" s="314"/>
    </row>
    <row r="14" spans="2:6" s="2" customFormat="1" x14ac:dyDescent="0.25">
      <c r="B14" s="299" t="s">
        <v>175</v>
      </c>
      <c r="C14" s="318"/>
      <c r="D14" s="300"/>
      <c r="E14" s="121">
        <f>'Cash Flow to the Firm'!D43</f>
        <v>7426.9863999999998</v>
      </c>
    </row>
    <row r="15" spans="2:6" ht="15.75" thickBot="1" x14ac:dyDescent="0.3">
      <c r="B15" s="247" t="s">
        <v>130</v>
      </c>
      <c r="C15" s="319"/>
      <c r="D15" s="248"/>
      <c r="E15" s="36">
        <f>WACC!C10</f>
        <v>0.20846006514857238</v>
      </c>
    </row>
    <row r="17" spans="2:10" ht="15.75" thickBot="1" x14ac:dyDescent="0.3">
      <c r="B17" s="196">
        <v>3</v>
      </c>
      <c r="G17" s="196">
        <v>4</v>
      </c>
    </row>
    <row r="18" spans="2:10" ht="15.75" x14ac:dyDescent="0.25">
      <c r="B18" s="315" t="s">
        <v>174</v>
      </c>
      <c r="C18" s="316"/>
      <c r="D18" s="317"/>
      <c r="E18" s="206">
        <f>E19-E20</f>
        <v>4421.2436688015614</v>
      </c>
      <c r="G18" s="320" t="s">
        <v>174</v>
      </c>
      <c r="H18" s="321"/>
      <c r="I18" s="321"/>
      <c r="J18" s="206">
        <f>E19*(1-J19)</f>
        <v>4421.2436688015614</v>
      </c>
    </row>
    <row r="19" spans="2:10" ht="15.75" thickBot="1" x14ac:dyDescent="0.3">
      <c r="B19" s="299" t="s">
        <v>178</v>
      </c>
      <c r="C19" s="318"/>
      <c r="D19" s="300"/>
      <c r="E19" s="121">
        <f>Adjusted!F16</f>
        <v>10300</v>
      </c>
      <c r="G19" s="322" t="s">
        <v>181</v>
      </c>
      <c r="H19" s="323"/>
      <c r="I19" s="323"/>
      <c r="J19" s="122">
        <f>E20/E19</f>
        <v>0.57075304186392606</v>
      </c>
    </row>
    <row r="20" spans="2:10" ht="15.75" thickBot="1" x14ac:dyDescent="0.3">
      <c r="B20" s="247" t="s">
        <v>176</v>
      </c>
      <c r="C20" s="319"/>
      <c r="D20" s="248"/>
      <c r="E20" s="122">
        <f>E12</f>
        <v>5878.7563311984386</v>
      </c>
    </row>
  </sheetData>
  <mergeCells count="9">
    <mergeCell ref="G18:I18"/>
    <mergeCell ref="G19:I19"/>
    <mergeCell ref="B14:D14"/>
    <mergeCell ref="B15:D15"/>
    <mergeCell ref="B12:D13"/>
    <mergeCell ref="E12:E13"/>
    <mergeCell ref="B18:D18"/>
    <mergeCell ref="B19:D19"/>
    <mergeCell ref="B20:D2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F2EE-5B56-4A90-AA0F-3752C72DE5BD}">
  <dimension ref="B2:C8"/>
  <sheetViews>
    <sheetView workbookViewId="0">
      <selection activeCell="C4" sqref="C4"/>
    </sheetView>
  </sheetViews>
  <sheetFormatPr defaultRowHeight="15" x14ac:dyDescent="0.25"/>
  <cols>
    <col min="2" max="2" width="30.42578125" customWidth="1"/>
  </cols>
  <sheetData>
    <row r="2" spans="2:3" ht="15.75" thickBot="1" x14ac:dyDescent="0.3"/>
    <row r="3" spans="2:3" ht="21.75" thickBot="1" x14ac:dyDescent="0.3">
      <c r="B3" s="8" t="s">
        <v>0</v>
      </c>
      <c r="C3" s="2"/>
    </row>
    <row r="4" spans="2:3" x14ac:dyDescent="0.25">
      <c r="B4" s="107" t="s">
        <v>1</v>
      </c>
      <c r="C4" s="227">
        <f>KE!C3</f>
        <v>7.11E-3</v>
      </c>
    </row>
    <row r="5" spans="2:3" x14ac:dyDescent="0.25">
      <c r="B5" s="108" t="s">
        <v>2</v>
      </c>
      <c r="C5" s="57">
        <v>1</v>
      </c>
    </row>
    <row r="6" spans="2:3" x14ac:dyDescent="0.25">
      <c r="B6" s="108" t="s">
        <v>3</v>
      </c>
      <c r="C6" s="61">
        <f>KE!C5</f>
        <v>5.1999999999999998E-2</v>
      </c>
    </row>
    <row r="7" spans="2:3" x14ac:dyDescent="0.25">
      <c r="B7" s="108" t="s">
        <v>5</v>
      </c>
      <c r="C7" s="61">
        <f>KE!C6</f>
        <v>6.4772617507546353E-3</v>
      </c>
    </row>
    <row r="8" spans="2:3" ht="19.5" thickBot="1" x14ac:dyDescent="0.35">
      <c r="B8" s="109" t="s">
        <v>6</v>
      </c>
      <c r="C8" s="110">
        <f>C4+C5*(C6)+C7</f>
        <v>6.5587261750754633E-2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8AD6-85FE-475D-A5F5-3EA22BB264ED}">
  <dimension ref="B1:N17"/>
  <sheetViews>
    <sheetView workbookViewId="0">
      <selection activeCell="J13" sqref="J13"/>
    </sheetView>
  </sheetViews>
  <sheetFormatPr defaultRowHeight="15" x14ac:dyDescent="0.25"/>
  <cols>
    <col min="2" max="2" width="9.140625" customWidth="1"/>
    <col min="4" max="4" width="12" customWidth="1"/>
    <col min="5" max="5" width="13.42578125" customWidth="1"/>
    <col min="6" max="6" width="13.7109375" customWidth="1"/>
    <col min="8" max="8" width="11" customWidth="1"/>
    <col min="9" max="9" width="13.7109375" customWidth="1"/>
    <col min="10" max="10" width="13.85546875" bestFit="1" customWidth="1"/>
    <col min="11" max="12" width="11.28515625" bestFit="1" customWidth="1"/>
    <col min="13" max="13" width="11.140625" customWidth="1"/>
    <col min="14" max="14" width="11.28515625" bestFit="1" customWidth="1"/>
  </cols>
  <sheetData>
    <row r="1" spans="2:14" ht="15.75" thickBot="1" x14ac:dyDescent="0.3"/>
    <row r="2" spans="2:14" ht="16.5" thickBot="1" x14ac:dyDescent="0.3">
      <c r="B2" s="343" t="s">
        <v>190</v>
      </c>
      <c r="C2" s="344"/>
      <c r="D2" s="344"/>
      <c r="E2" s="345"/>
      <c r="H2" s="2"/>
      <c r="I2" s="2"/>
      <c r="J2" s="2"/>
      <c r="K2" s="2"/>
      <c r="L2" s="2"/>
      <c r="M2" s="2"/>
      <c r="N2" s="2"/>
    </row>
    <row r="3" spans="2:14" ht="16.5" thickBot="1" x14ac:dyDescent="0.3">
      <c r="B3" s="333" t="s">
        <v>177</v>
      </c>
      <c r="C3" s="334"/>
      <c r="D3" s="334"/>
      <c r="E3" s="120">
        <f>Adjusted!F16</f>
        <v>10300</v>
      </c>
      <c r="H3" s="2"/>
      <c r="I3" s="2"/>
      <c r="J3" s="330" t="s">
        <v>184</v>
      </c>
      <c r="K3" s="331"/>
      <c r="L3" s="331"/>
      <c r="M3" s="331"/>
      <c r="N3" s="332"/>
    </row>
    <row r="4" spans="2:14" x14ac:dyDescent="0.25">
      <c r="B4" s="267" t="s">
        <v>230</v>
      </c>
      <c r="C4" s="268"/>
      <c r="D4" s="268"/>
      <c r="E4" s="121">
        <v>94773</v>
      </c>
      <c r="F4" s="232">
        <v>43800</v>
      </c>
      <c r="H4" s="328" t="s">
        <v>216</v>
      </c>
      <c r="I4" s="329"/>
      <c r="J4" s="209">
        <f>$E$7</f>
        <v>6.2029864319990281E-2</v>
      </c>
      <c r="K4" s="213">
        <f t="shared" ref="K4:N4" si="0">$E$7</f>
        <v>6.2029864319990281E-2</v>
      </c>
      <c r="L4" s="215">
        <f t="shared" si="0"/>
        <v>6.2029864319990281E-2</v>
      </c>
      <c r="M4" s="213">
        <f t="shared" si="0"/>
        <v>6.2029864319990281E-2</v>
      </c>
      <c r="N4" s="217">
        <f t="shared" si="0"/>
        <v>6.2029864319990281E-2</v>
      </c>
    </row>
    <row r="5" spans="2:14" x14ac:dyDescent="0.25">
      <c r="B5" s="267" t="s">
        <v>182</v>
      </c>
      <c r="C5" s="268"/>
      <c r="D5" s="268"/>
      <c r="E5" s="113">
        <f>E3/E4</f>
        <v>0.10868074240553745</v>
      </c>
      <c r="H5" s="326" t="s">
        <v>185</v>
      </c>
      <c r="I5" s="327"/>
      <c r="J5" s="210">
        <v>1</v>
      </c>
      <c r="K5" s="66">
        <v>2</v>
      </c>
      <c r="L5" s="64">
        <v>3</v>
      </c>
      <c r="M5" s="66">
        <v>4</v>
      </c>
      <c r="N5" s="94">
        <v>5</v>
      </c>
    </row>
    <row r="6" spans="2:14" x14ac:dyDescent="0.25">
      <c r="B6" s="267" t="s">
        <v>183</v>
      </c>
      <c r="C6" s="268"/>
      <c r="D6" s="268"/>
      <c r="E6" s="113">
        <f>'Free Cash Flow to the Equity'!J19</f>
        <v>0.57075304186392606</v>
      </c>
      <c r="H6" s="326" t="s">
        <v>186</v>
      </c>
      <c r="I6" s="327"/>
      <c r="J6" s="219">
        <f>$E$3*(1+J4)^J5</f>
        <v>10938.907602495901</v>
      </c>
      <c r="K6" s="92">
        <f t="shared" ref="K6:N6" si="1">$E$3*(1+K4)^K5</f>
        <v>11617.446556887633</v>
      </c>
      <c r="L6" s="141">
        <f t="shared" si="1"/>
        <v>12338.075190556112</v>
      </c>
      <c r="M6" s="92">
        <f t="shared" si="1"/>
        <v>13103.404320596146</v>
      </c>
      <c r="N6" s="184">
        <f t="shared" si="1"/>
        <v>13916.206712732699</v>
      </c>
    </row>
    <row r="7" spans="2:14" ht="15.75" thickBot="1" x14ac:dyDescent="0.3">
      <c r="B7" s="322" t="s">
        <v>215</v>
      </c>
      <c r="C7" s="323"/>
      <c r="D7" s="323"/>
      <c r="E7" s="207">
        <f>E6*E5</f>
        <v>6.2029864319990281E-2</v>
      </c>
      <c r="G7" s="3"/>
      <c r="H7" s="326" t="s">
        <v>187</v>
      </c>
      <c r="I7" s="327"/>
      <c r="J7" s="211">
        <f>$E$6</f>
        <v>0.57075304186392606</v>
      </c>
      <c r="K7" s="214">
        <f t="shared" ref="K7:N7" si="2">$E$6</f>
        <v>0.57075304186392606</v>
      </c>
      <c r="L7" s="216">
        <f t="shared" si="2"/>
        <v>0.57075304186392606</v>
      </c>
      <c r="M7" s="214">
        <f t="shared" si="2"/>
        <v>0.57075304186392606</v>
      </c>
      <c r="N7" s="218">
        <f t="shared" si="2"/>
        <v>0.57075304186392606</v>
      </c>
    </row>
    <row r="8" spans="2:14" ht="15.75" thickBot="1" x14ac:dyDescent="0.3">
      <c r="B8" s="346"/>
      <c r="C8" s="346"/>
      <c r="D8" s="346"/>
      <c r="E8" s="3"/>
      <c r="H8" s="326" t="s">
        <v>188</v>
      </c>
      <c r="I8" s="327"/>
      <c r="J8" s="219">
        <f>J6*(1-J7)</f>
        <v>4695.4928137029392</v>
      </c>
      <c r="K8" s="92">
        <f>K6*(1-K7)</f>
        <v>4986.7535958524222</v>
      </c>
      <c r="L8" s="141">
        <f t="shared" ref="L8:N8" si="3">L6*(1-L7)</f>
        <v>5296.0812448003717</v>
      </c>
      <c r="M8" s="92">
        <f t="shared" si="3"/>
        <v>5624.5964458429844</v>
      </c>
      <c r="N8" s="184">
        <f t="shared" si="3"/>
        <v>5973.489400233324</v>
      </c>
    </row>
    <row r="9" spans="2:14" ht="16.5" thickBot="1" x14ac:dyDescent="0.3">
      <c r="B9" s="330" t="s">
        <v>191</v>
      </c>
      <c r="C9" s="331"/>
      <c r="D9" s="331"/>
      <c r="E9" s="332"/>
      <c r="H9" s="326" t="s">
        <v>189</v>
      </c>
      <c r="I9" s="327"/>
      <c r="J9" s="212">
        <f>KE!$C$7</f>
        <v>8.550651113482155E-2</v>
      </c>
      <c r="K9" s="67">
        <f>KE!$C$7</f>
        <v>8.550651113482155E-2</v>
      </c>
      <c r="L9" s="51">
        <f>KE!$C$7</f>
        <v>8.550651113482155E-2</v>
      </c>
      <c r="M9" s="67">
        <f>KE!$C$7</f>
        <v>8.550651113482155E-2</v>
      </c>
      <c r="N9" s="46">
        <f>KE!$C$7</f>
        <v>8.550651113482155E-2</v>
      </c>
    </row>
    <row r="10" spans="2:14" ht="15.75" thickBot="1" x14ac:dyDescent="0.3">
      <c r="B10" s="333" t="s">
        <v>208</v>
      </c>
      <c r="C10" s="334"/>
      <c r="D10" s="334"/>
      <c r="E10" s="39">
        <f>KE!C3</f>
        <v>7.11E-3</v>
      </c>
      <c r="H10" s="335" t="s">
        <v>195</v>
      </c>
      <c r="I10" s="336"/>
      <c r="J10" s="220">
        <f>(J8)/(1+J9)^J5</f>
        <v>4325.6238129738413</v>
      </c>
      <c r="K10" s="144">
        <f>(K8)/(1+K9)^K5</f>
        <v>4232.0719627828685</v>
      </c>
      <c r="L10" s="172">
        <f>(L8)/(1+L9)^L5</f>
        <v>4140.5433927134591</v>
      </c>
      <c r="M10" s="144">
        <f>(M8)/(1+M9)^M5</f>
        <v>4050.9943445455256</v>
      </c>
      <c r="N10" s="199">
        <f>(N8)/(1+N9)^N5</f>
        <v>3963.3820064340289</v>
      </c>
    </row>
    <row r="11" spans="2:14" x14ac:dyDescent="0.25">
      <c r="B11" s="267" t="s">
        <v>209</v>
      </c>
      <c r="C11" s="268"/>
      <c r="D11" s="268"/>
      <c r="E11" s="208">
        <f>'KE STABLE'!C8</f>
        <v>6.5587261750754633E-2</v>
      </c>
    </row>
    <row r="12" spans="2:14" ht="15.75" thickBot="1" x14ac:dyDescent="0.3">
      <c r="B12" s="267" t="s">
        <v>210</v>
      </c>
      <c r="C12" s="268"/>
      <c r="D12" s="268"/>
      <c r="E12" s="61">
        <f>E10/E11</f>
        <v>0.10840519653068446</v>
      </c>
    </row>
    <row r="13" spans="2:14" x14ac:dyDescent="0.25">
      <c r="B13" s="267" t="s">
        <v>211</v>
      </c>
      <c r="C13" s="268"/>
      <c r="D13" s="268"/>
      <c r="E13" s="121">
        <f>N6</f>
        <v>13916.206712732699</v>
      </c>
      <c r="H13" s="337" t="s">
        <v>193</v>
      </c>
      <c r="I13" s="338"/>
      <c r="J13" s="222">
        <f>SUM(J10:N10)</f>
        <v>20712.615519449722</v>
      </c>
    </row>
    <row r="14" spans="2:14" x14ac:dyDescent="0.25">
      <c r="B14" s="267" t="s">
        <v>212</v>
      </c>
      <c r="C14" s="268"/>
      <c r="D14" s="268"/>
      <c r="E14" s="121">
        <f>N8</f>
        <v>5973.489400233324</v>
      </c>
      <c r="H14" s="339" t="s">
        <v>194</v>
      </c>
      <c r="I14" s="340"/>
      <c r="J14" s="223">
        <f>E17/(1+N9)^N5</f>
        <v>141780.37340837711</v>
      </c>
    </row>
    <row r="15" spans="2:14" ht="16.5" thickBot="1" x14ac:dyDescent="0.3">
      <c r="B15" s="60" t="s">
        <v>213</v>
      </c>
      <c r="C15" s="64"/>
      <c r="D15" s="64"/>
      <c r="E15" s="121">
        <f>E13*(1+E10)</f>
        <v>14015.150942460228</v>
      </c>
      <c r="H15" s="341" t="s">
        <v>217</v>
      </c>
      <c r="I15" s="342"/>
      <c r="J15" s="221">
        <f>SUM(J13:J14)</f>
        <v>162492.98892782684</v>
      </c>
      <c r="L15" s="2"/>
      <c r="M15" s="2"/>
      <c r="N15" s="2"/>
    </row>
    <row r="16" spans="2:14" x14ac:dyDescent="0.25">
      <c r="B16" s="267" t="s">
        <v>214</v>
      </c>
      <c r="C16" s="268"/>
      <c r="D16" s="268"/>
      <c r="E16" s="121">
        <f>E15*(1-E12)</f>
        <v>12495.835750135619</v>
      </c>
    </row>
    <row r="17" spans="2:5" ht="15.75" thickBot="1" x14ac:dyDescent="0.3">
      <c r="B17" s="324" t="s">
        <v>192</v>
      </c>
      <c r="C17" s="325"/>
      <c r="D17" s="325"/>
      <c r="E17" s="224">
        <f>E16/(E11-E10)</f>
        <v>213687.08752807433</v>
      </c>
    </row>
  </sheetData>
  <mergeCells count="26">
    <mergeCell ref="H14:I14"/>
    <mergeCell ref="H15:I15"/>
    <mergeCell ref="B2:E2"/>
    <mergeCell ref="B9:E9"/>
    <mergeCell ref="B3:D3"/>
    <mergeCell ref="B7:D7"/>
    <mergeCell ref="B8:D8"/>
    <mergeCell ref="B5:D5"/>
    <mergeCell ref="B4:D4"/>
    <mergeCell ref="B6:D6"/>
    <mergeCell ref="B16:D16"/>
    <mergeCell ref="B17:D17"/>
    <mergeCell ref="H5:I5"/>
    <mergeCell ref="H4:I4"/>
    <mergeCell ref="J3:N3"/>
    <mergeCell ref="B13:D13"/>
    <mergeCell ref="B14:D14"/>
    <mergeCell ref="B10:D10"/>
    <mergeCell ref="B11:D11"/>
    <mergeCell ref="B12:D12"/>
    <mergeCell ref="H8:I8"/>
    <mergeCell ref="H9:I9"/>
    <mergeCell ref="H10:I10"/>
    <mergeCell ref="H7:I7"/>
    <mergeCell ref="H6:I6"/>
    <mergeCell ref="H13:I1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8E9B75666C6D4AB4DA4D3F9E7A7897" ma:contentTypeVersion="8" ma:contentTypeDescription="Create a new document." ma:contentTypeScope="" ma:versionID="82db70a112737af4af2597acd8707a3f">
  <xsd:schema xmlns:xsd="http://www.w3.org/2001/XMLSchema" xmlns:xs="http://www.w3.org/2001/XMLSchema" xmlns:p="http://schemas.microsoft.com/office/2006/metadata/properties" xmlns:ns2="f3bad63c-b69b-40c2-9e41-eeaea76e854b" targetNamespace="http://schemas.microsoft.com/office/2006/metadata/properties" ma:root="true" ma:fieldsID="d8c620a386239ae9dbd9fd88caf0157b" ns2:_="">
    <xsd:import namespace="f3bad63c-b69b-40c2-9e41-eeaea76e8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ad63c-b69b-40c2-9e41-eeaea76e8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2F352-4770-4049-BB67-90BA53FFC9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57FD6-008D-4B54-972C-CC4B3072E749}"/>
</file>

<file path=customXml/itemProps3.xml><?xml version="1.0" encoding="utf-8"?>
<ds:datastoreItem xmlns:ds="http://schemas.openxmlformats.org/officeDocument/2006/customXml" ds:itemID="{59C24A6E-7D1C-4F54-A49C-E2D59FFAAC5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bad63c-b69b-40c2-9e41-eeaea76e854b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KE</vt:lpstr>
      <vt:lpstr>KD</vt:lpstr>
      <vt:lpstr>Market value of debt</vt:lpstr>
      <vt:lpstr>WACC</vt:lpstr>
      <vt:lpstr>Adjusted</vt:lpstr>
      <vt:lpstr>Cash Flow to the Firm</vt:lpstr>
      <vt:lpstr>Free Cash Flow to the Equity</vt:lpstr>
      <vt:lpstr>KE STABLE</vt:lpstr>
      <vt:lpstr>Growth</vt:lpstr>
      <vt:lpstr>INTRINSIC 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cp:keywords/>
  <dc:description/>
  <cp:lastModifiedBy>Micaela</cp:lastModifiedBy>
  <cp:revision/>
  <dcterms:created xsi:type="dcterms:W3CDTF">2020-04-01T07:23:30Z</dcterms:created>
  <dcterms:modified xsi:type="dcterms:W3CDTF">2020-05-20T10:59:26Z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0x0101004D8E9B75666C6D4AB4DA4D3F9E7A7897</vt:lpwstr>
  </property>
</Properties>
</file>