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gio/Desktop/"/>
    </mc:Choice>
  </mc:AlternateContent>
  <xr:revisionPtr revIDLastSave="0" documentId="13_ncr:1_{8F5A95D5-4BCE-5C4F-B0CB-19E3EFD56C71}" xr6:coauthVersionLast="47" xr6:coauthVersionMax="47" xr10:uidLastSave="{00000000-0000-0000-0000-000000000000}"/>
  <bookViews>
    <workbookView xWindow="420" yWindow="820" windowWidth="27640" windowHeight="16420" xr2:uid="{6E505930-8377-8343-AF0F-37393FCE8E72}"/>
  </bookViews>
  <sheets>
    <sheet name="Buy to 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1" l="1"/>
  <c r="S16" i="1"/>
  <c r="S17" i="1"/>
  <c r="S14" i="1"/>
  <c r="E6" i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K15" i="1"/>
  <c r="K16" i="1" s="1"/>
  <c r="K17" i="1" s="1"/>
  <c r="E14" i="1"/>
  <c r="F14" i="1" s="1"/>
  <c r="T14" i="1" l="1"/>
  <c r="R14" i="1"/>
  <c r="T15" i="1"/>
  <c r="R17" i="1"/>
  <c r="R15" i="1"/>
  <c r="T17" i="1"/>
  <c r="R16" i="1"/>
  <c r="T16" i="1"/>
  <c r="K18" i="1"/>
  <c r="E15" i="1"/>
  <c r="G14" i="1"/>
  <c r="J14" i="1" s="1"/>
  <c r="U16" i="1" l="1"/>
  <c r="V16" i="1" s="1"/>
  <c r="K19" i="1"/>
  <c r="F15" i="1"/>
  <c r="G15" i="1" s="1"/>
  <c r="J15" i="1" s="1"/>
  <c r="E16" i="1"/>
  <c r="A18" i="1"/>
  <c r="B8" i="1"/>
  <c r="B5" i="1"/>
  <c r="L17" i="1" s="1"/>
  <c r="B4" i="1"/>
  <c r="B6" i="1" s="1"/>
  <c r="S18" i="1" l="1"/>
  <c r="R18" i="1"/>
  <c r="T18" i="1"/>
  <c r="A19" i="1"/>
  <c r="B10" i="1"/>
  <c r="P14" i="1" s="1"/>
  <c r="U15" i="1"/>
  <c r="V15" i="1" s="1"/>
  <c r="U14" i="1"/>
  <c r="V14" i="1" s="1"/>
  <c r="U17" i="1"/>
  <c r="V17" i="1" s="1"/>
  <c r="L14" i="1"/>
  <c r="L15" i="1"/>
  <c r="L16" i="1"/>
  <c r="M17" i="1"/>
  <c r="L18" i="1"/>
  <c r="M18" i="1" s="1"/>
  <c r="L19" i="1"/>
  <c r="K20" i="1"/>
  <c r="E17" i="1"/>
  <c r="F16" i="1"/>
  <c r="S19" i="1" l="1"/>
  <c r="R19" i="1"/>
  <c r="T19" i="1"/>
  <c r="A20" i="1"/>
  <c r="U19" i="1"/>
  <c r="V19" i="1" s="1"/>
  <c r="U18" i="1"/>
  <c r="V18" i="1" s="1"/>
  <c r="M16" i="1"/>
  <c r="M15" i="1"/>
  <c r="N15" i="1" s="1"/>
  <c r="M14" i="1"/>
  <c r="N14" i="1"/>
  <c r="M19" i="1"/>
  <c r="L20" i="1"/>
  <c r="K21" i="1"/>
  <c r="G16" i="1"/>
  <c r="J16" i="1" s="1"/>
  <c r="E18" i="1"/>
  <c r="F17" i="1"/>
  <c r="G17" i="1" s="1"/>
  <c r="J17" i="1" s="1"/>
  <c r="S20" i="1" l="1"/>
  <c r="T20" i="1"/>
  <c r="R20" i="1"/>
  <c r="A21" i="1"/>
  <c r="U20" i="1"/>
  <c r="V20" i="1" s="1"/>
  <c r="O14" i="1"/>
  <c r="B14" i="1"/>
  <c r="O15" i="1"/>
  <c r="B15" i="1"/>
  <c r="N16" i="1"/>
  <c r="N17" i="1"/>
  <c r="L21" i="1"/>
  <c r="K22" i="1"/>
  <c r="M20" i="1"/>
  <c r="E19" i="1"/>
  <c r="F18" i="1"/>
  <c r="G18" i="1" s="1"/>
  <c r="S21" i="1" l="1"/>
  <c r="R21" i="1"/>
  <c r="T21" i="1"/>
  <c r="A22" i="1"/>
  <c r="U21" i="1"/>
  <c r="V21" i="1" s="1"/>
  <c r="O17" i="1"/>
  <c r="B17" i="1"/>
  <c r="O16" i="1"/>
  <c r="B16" i="1"/>
  <c r="L22" i="1"/>
  <c r="K23" i="1"/>
  <c r="M21" i="1"/>
  <c r="J18" i="1"/>
  <c r="N18" i="1" s="1"/>
  <c r="E20" i="1"/>
  <c r="F19" i="1"/>
  <c r="G19" i="1" s="1"/>
  <c r="T22" i="1" l="1"/>
  <c r="R22" i="1"/>
  <c r="S22" i="1"/>
  <c r="U22" i="1"/>
  <c r="V22" i="1" s="1"/>
  <c r="A23" i="1"/>
  <c r="O18" i="1"/>
  <c r="B18" i="1"/>
  <c r="J19" i="1"/>
  <c r="N19" i="1" s="1"/>
  <c r="K24" i="1"/>
  <c r="L23" i="1"/>
  <c r="M22" i="1"/>
  <c r="E21" i="1"/>
  <c r="F20" i="1"/>
  <c r="G20" i="1"/>
  <c r="A24" i="1" l="1"/>
  <c r="S23" i="1"/>
  <c r="R23" i="1"/>
  <c r="T23" i="1"/>
  <c r="U23" i="1"/>
  <c r="V23" i="1" s="1"/>
  <c r="O19" i="1"/>
  <c r="B19" i="1"/>
  <c r="J20" i="1"/>
  <c r="N20" i="1" s="1"/>
  <c r="M23" i="1"/>
  <c r="K25" i="1"/>
  <c r="L24" i="1"/>
  <c r="E22" i="1"/>
  <c r="F21" i="1"/>
  <c r="G21" i="1"/>
  <c r="A25" i="1" l="1"/>
  <c r="S24" i="1"/>
  <c r="R24" i="1"/>
  <c r="T24" i="1"/>
  <c r="U24" i="1" s="1"/>
  <c r="V24" i="1" s="1"/>
  <c r="O20" i="1"/>
  <c r="B20" i="1"/>
  <c r="J21" i="1"/>
  <c r="N21" i="1" s="1"/>
  <c r="M24" i="1"/>
  <c r="K26" i="1"/>
  <c r="L25" i="1"/>
  <c r="E23" i="1"/>
  <c r="F22" i="1"/>
  <c r="G22" i="1" s="1"/>
  <c r="A26" i="1" l="1"/>
  <c r="S25" i="1"/>
  <c r="T25" i="1"/>
  <c r="R25" i="1"/>
  <c r="U25" i="1"/>
  <c r="V25" i="1" s="1"/>
  <c r="O21" i="1"/>
  <c r="B21" i="1"/>
  <c r="J22" i="1"/>
  <c r="N22" i="1" s="1"/>
  <c r="M25" i="1"/>
  <c r="L26" i="1"/>
  <c r="K27" i="1"/>
  <c r="E24" i="1"/>
  <c r="F23" i="1"/>
  <c r="G23" i="1" s="1"/>
  <c r="A27" i="1" l="1"/>
  <c r="S26" i="1"/>
  <c r="R26" i="1"/>
  <c r="T26" i="1"/>
  <c r="U26" i="1"/>
  <c r="V26" i="1" s="1"/>
  <c r="O22" i="1"/>
  <c r="B22" i="1"/>
  <c r="L27" i="1"/>
  <c r="K28" i="1"/>
  <c r="M26" i="1"/>
  <c r="J23" i="1"/>
  <c r="N23" i="1" s="1"/>
  <c r="E25" i="1"/>
  <c r="F24" i="1"/>
  <c r="G24" i="1" s="1"/>
  <c r="S27" i="1" l="1"/>
  <c r="A28" i="1"/>
  <c r="R27" i="1"/>
  <c r="T27" i="1"/>
  <c r="U27" i="1"/>
  <c r="V27" i="1" s="1"/>
  <c r="O23" i="1"/>
  <c r="B23" i="1"/>
  <c r="L28" i="1"/>
  <c r="K29" i="1"/>
  <c r="M27" i="1"/>
  <c r="J24" i="1"/>
  <c r="N24" i="1" s="1"/>
  <c r="E26" i="1"/>
  <c r="F25" i="1"/>
  <c r="G25" i="1" s="1"/>
  <c r="S28" i="1" l="1"/>
  <c r="A29" i="1"/>
  <c r="R28" i="1"/>
  <c r="T28" i="1"/>
  <c r="U28" i="1"/>
  <c r="V28" i="1" s="1"/>
  <c r="O24" i="1"/>
  <c r="B24" i="1"/>
  <c r="J25" i="1"/>
  <c r="N25" i="1" s="1"/>
  <c r="L29" i="1"/>
  <c r="K30" i="1"/>
  <c r="M28" i="1"/>
  <c r="E27" i="1"/>
  <c r="F26" i="1"/>
  <c r="G26" i="1"/>
  <c r="S29" i="1" l="1"/>
  <c r="A30" i="1"/>
  <c r="R29" i="1"/>
  <c r="T29" i="1"/>
  <c r="U29" i="1"/>
  <c r="V29" i="1" s="1"/>
  <c r="J26" i="1"/>
  <c r="N26" i="1" s="1"/>
  <c r="O25" i="1"/>
  <c r="B25" i="1"/>
  <c r="L30" i="1"/>
  <c r="K31" i="1"/>
  <c r="M29" i="1"/>
  <c r="E28" i="1"/>
  <c r="F27" i="1"/>
  <c r="G27" i="1" s="1"/>
  <c r="T30" i="1" l="1"/>
  <c r="R30" i="1"/>
  <c r="S30" i="1"/>
  <c r="A31" i="1"/>
  <c r="U30" i="1"/>
  <c r="V30" i="1" s="1"/>
  <c r="O26" i="1"/>
  <c r="B26" i="1"/>
  <c r="J27" i="1"/>
  <c r="N27" i="1" s="1"/>
  <c r="K32" i="1"/>
  <c r="L31" i="1"/>
  <c r="M30" i="1"/>
  <c r="E29" i="1"/>
  <c r="F28" i="1"/>
  <c r="G28" i="1" s="1"/>
  <c r="A32" i="1" l="1"/>
  <c r="R31" i="1"/>
  <c r="S31" i="1"/>
  <c r="T31" i="1"/>
  <c r="O27" i="1"/>
  <c r="B27" i="1"/>
  <c r="J28" i="1"/>
  <c r="N28" i="1" s="1"/>
  <c r="M31" i="1"/>
  <c r="K33" i="1"/>
  <c r="L33" i="1" s="1"/>
  <c r="L32" i="1"/>
  <c r="E30" i="1"/>
  <c r="F29" i="1"/>
  <c r="G29" i="1" s="1"/>
  <c r="U31" i="1" l="1"/>
  <c r="V31" i="1" s="1"/>
  <c r="A33" i="1"/>
  <c r="S32" i="1"/>
  <c r="R32" i="1"/>
  <c r="T32" i="1"/>
  <c r="U32" i="1" s="1"/>
  <c r="V32" i="1" s="1"/>
  <c r="O28" i="1"/>
  <c r="B28" i="1"/>
  <c r="J29" i="1"/>
  <c r="N29" i="1"/>
  <c r="M32" i="1"/>
  <c r="M33" i="1"/>
  <c r="E31" i="1"/>
  <c r="F30" i="1"/>
  <c r="G30" i="1" s="1"/>
  <c r="T33" i="1" l="1"/>
  <c r="S33" i="1"/>
  <c r="R33" i="1"/>
  <c r="U33" i="1" s="1"/>
  <c r="V33" i="1" s="1"/>
  <c r="O29" i="1"/>
  <c r="B29" i="1"/>
  <c r="J30" i="1"/>
  <c r="N30" i="1" s="1"/>
  <c r="E32" i="1"/>
  <c r="F31" i="1"/>
  <c r="G31" i="1" s="1"/>
  <c r="O30" i="1" l="1"/>
  <c r="B30" i="1"/>
  <c r="J31" i="1"/>
  <c r="N31" i="1" s="1"/>
  <c r="E33" i="1"/>
  <c r="F32" i="1"/>
  <c r="G32" i="1" s="1"/>
  <c r="O31" i="1" l="1"/>
  <c r="B31" i="1"/>
  <c r="J32" i="1"/>
  <c r="N32" i="1" s="1"/>
  <c r="F33" i="1"/>
  <c r="G33" i="1" s="1"/>
  <c r="J33" i="1" s="1"/>
  <c r="O32" i="1" l="1"/>
  <c r="B32" i="1"/>
  <c r="N33" i="1"/>
  <c r="O33" i="1" l="1"/>
  <c r="B33" i="1"/>
  <c r="H1" i="1" s="1"/>
</calcChain>
</file>

<file path=xl/sharedStrings.xml><?xml version="1.0" encoding="utf-8"?>
<sst xmlns="http://schemas.openxmlformats.org/spreadsheetml/2006/main" count="42" uniqueCount="40">
  <si>
    <t>Property Value</t>
  </si>
  <si>
    <t>Property Type</t>
  </si>
  <si>
    <t>Apartment</t>
  </si>
  <si>
    <t>Down Payment %</t>
  </si>
  <si>
    <t>Down Payment $</t>
  </si>
  <si>
    <t>Property Value $</t>
  </si>
  <si>
    <t>Mortgage Amount</t>
  </si>
  <si>
    <t>LTV</t>
  </si>
  <si>
    <t xml:space="preserve">Other Set Up Expenses </t>
  </si>
  <si>
    <t>Total Investment</t>
  </si>
  <si>
    <t>Year</t>
  </si>
  <si>
    <t>Total Cash Flow</t>
  </si>
  <si>
    <t>Weeks Vacant</t>
  </si>
  <si>
    <t xml:space="preserve">Annual rent increase </t>
  </si>
  <si>
    <t>Gross Rent</t>
  </si>
  <si>
    <t>Vacant Periods</t>
  </si>
  <si>
    <t>Agency Fees</t>
  </si>
  <si>
    <t>Other Expenses</t>
  </si>
  <si>
    <t>Marginal Tax Rate</t>
  </si>
  <si>
    <t>Tax</t>
  </si>
  <si>
    <t>Mortgage Rate</t>
  </si>
  <si>
    <t>Mortgage Payment</t>
  </si>
  <si>
    <t>Gross Rent Per Month</t>
  </si>
  <si>
    <t>Sale in year</t>
  </si>
  <si>
    <t>Agency Fee</t>
  </si>
  <si>
    <t xml:space="preserve">Tax Credit Rate </t>
  </si>
  <si>
    <t>Tax Credit</t>
  </si>
  <si>
    <t>Net</t>
  </si>
  <si>
    <t>Net / Initial Investment</t>
  </si>
  <si>
    <t>Purchases and Expenses</t>
  </si>
  <si>
    <t>HPI</t>
  </si>
  <si>
    <t>Legal Fees</t>
  </si>
  <si>
    <t>NYS and NYC Transfer Tax</t>
  </si>
  <si>
    <t>Agency Fee on Sale</t>
  </si>
  <si>
    <t>Legal Fees on Sale</t>
  </si>
  <si>
    <t>NYS &amp; NYC Transfer Tax</t>
  </si>
  <si>
    <t xml:space="preserve">Capital Gains Tax </t>
  </si>
  <si>
    <t>Capital Gains Tax</t>
  </si>
  <si>
    <t>Net Proceeds</t>
  </si>
  <si>
    <t>Annualized Net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</si>
</sst>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0.000%"/>
    <numFmt numFmtId="167" formatCode="_(&quot;$&quot;* #,##0.00_);_(&quot;$&quot;* \(#,##0.00\);_(&quot;$&quot;* &quot;-&quot;?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B050"/>
      <name val="Aptos Narrow"/>
      <family val="2"/>
      <scheme val="minor"/>
    </font>
    <font>
      <sz val="12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3" fillId="0" borderId="0" xfId="1" applyNumberFormat="1" applyFont="1"/>
    <xf numFmtId="9" fontId="0" fillId="0" borderId="0" xfId="2" applyFont="1"/>
    <xf numFmtId="16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9" fontId="3" fillId="0" borderId="0" xfId="2" applyFont="1"/>
    <xf numFmtId="44" fontId="0" fillId="0" borderId="0" xfId="0" applyNumberFormat="1"/>
    <xf numFmtId="165" fontId="3" fillId="0" borderId="0" xfId="2" applyNumberFormat="1" applyFont="1"/>
    <xf numFmtId="164" fontId="1" fillId="0" borderId="0" xfId="1" applyNumberFormat="1" applyFont="1"/>
    <xf numFmtId="10" fontId="0" fillId="0" borderId="0" xfId="2" applyNumberFormat="1" applyFont="1"/>
    <xf numFmtId="166" fontId="0" fillId="0" borderId="0" xfId="2" applyNumberFormat="1" applyFont="1"/>
    <xf numFmtId="167" fontId="0" fillId="0" borderId="0" xfId="0" applyNumberFormat="1"/>
    <xf numFmtId="164" fontId="4" fillId="0" borderId="0" xfId="1" applyNumberFormat="1" applyFont="1"/>
    <xf numFmtId="9" fontId="4" fillId="0" borderId="0" xfId="2" applyFont="1"/>
    <xf numFmtId="0" fontId="4" fillId="0" borderId="0" xfId="0" applyFont="1"/>
    <xf numFmtId="166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2</xdr:row>
      <xdr:rowOff>132080</xdr:rowOff>
    </xdr:from>
    <xdr:to>
      <xdr:col>6</xdr:col>
      <xdr:colOff>1452880</xdr:colOff>
      <xdr:row>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6F4BAB-DCEC-D117-A22E-76930FFF30E2}"/>
            </a:ext>
          </a:extLst>
        </xdr:cNvPr>
        <xdr:cNvSpPr txBox="1"/>
      </xdr:nvSpPr>
      <xdr:spPr>
        <a:xfrm>
          <a:off x="6736080" y="538480"/>
          <a:ext cx="192024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 figures in purple</a:t>
          </a:r>
        </a:p>
        <a:p>
          <a:r>
            <a:rPr lang="en-US" sz="1100" baseline="0"/>
            <a:t> can be adjusted for specific scenario.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963E-C5C4-974B-A02D-4EAA8D0BE0C8}">
  <dimension ref="A1:V33"/>
  <sheetViews>
    <sheetView tabSelected="1" zoomScale="125" zoomScaleNormal="125" workbookViewId="0">
      <selection activeCell="H11" sqref="H11"/>
    </sheetView>
  </sheetViews>
  <sheetFormatPr baseColWidth="10" defaultRowHeight="16" x14ac:dyDescent="0.2"/>
  <cols>
    <col min="1" max="1" width="19.83203125" bestFit="1" customWidth="1"/>
    <col min="2" max="2" width="13.83203125" bestFit="1" customWidth="1"/>
    <col min="3" max="3" width="12.5" bestFit="1" customWidth="1"/>
    <col min="4" max="4" width="22" bestFit="1" customWidth="1"/>
    <col min="5" max="5" width="13" bestFit="1" customWidth="1"/>
    <col min="6" max="6" width="13.1640625" bestFit="1" customWidth="1"/>
    <col min="7" max="7" width="19.33203125" bestFit="1" customWidth="1"/>
    <col min="8" max="8" width="13.6640625" bestFit="1" customWidth="1"/>
    <col min="9" max="9" width="15.33203125" bestFit="1" customWidth="1"/>
    <col min="10" max="10" width="14.33203125" customWidth="1"/>
    <col min="11" max="11" width="12.83203125" bestFit="1" customWidth="1"/>
    <col min="12" max="12" width="16" bestFit="1" customWidth="1"/>
    <col min="14" max="14" width="12.5" bestFit="1" customWidth="1"/>
    <col min="15" max="15" width="19.83203125" customWidth="1"/>
    <col min="16" max="16" width="21.1640625" bestFit="1" customWidth="1"/>
    <col min="17" max="17" width="13.83203125" customWidth="1"/>
    <col min="20" max="20" width="20.83203125" customWidth="1"/>
    <col min="21" max="21" width="15.1640625" bestFit="1" customWidth="1"/>
    <col min="22" max="22" width="13" bestFit="1" customWidth="1"/>
  </cols>
  <sheetData>
    <row r="1" spans="1:22" x14ac:dyDescent="0.2">
      <c r="A1" t="s">
        <v>1</v>
      </c>
      <c r="B1" s="1" t="s">
        <v>2</v>
      </c>
      <c r="D1" t="s">
        <v>25</v>
      </c>
      <c r="E1" s="15">
        <v>0.2</v>
      </c>
      <c r="G1" s="1" t="s">
        <v>39</v>
      </c>
      <c r="H1" s="17">
        <f>IRR(B14:B33,-0.1)</f>
        <v>3.96522735501601E-2</v>
      </c>
    </row>
    <row r="2" spans="1:22" x14ac:dyDescent="0.2">
      <c r="A2" t="s">
        <v>5</v>
      </c>
      <c r="B2" s="14">
        <v>1500000</v>
      </c>
      <c r="D2" t="s">
        <v>22</v>
      </c>
      <c r="E2" s="14">
        <v>6500</v>
      </c>
    </row>
    <row r="3" spans="1:22" x14ac:dyDescent="0.2">
      <c r="A3" t="s">
        <v>4</v>
      </c>
      <c r="B3" s="14">
        <v>300000</v>
      </c>
      <c r="D3" t="s">
        <v>23</v>
      </c>
      <c r="E3" s="16">
        <v>15</v>
      </c>
    </row>
    <row r="4" spans="1:22" x14ac:dyDescent="0.2">
      <c r="A4" t="s">
        <v>3</v>
      </c>
      <c r="B4" s="3">
        <f>B3/B2</f>
        <v>0.2</v>
      </c>
      <c r="D4" t="s">
        <v>24</v>
      </c>
      <c r="E4" s="15">
        <v>7.0000000000000007E-2</v>
      </c>
    </row>
    <row r="5" spans="1:22" x14ac:dyDescent="0.2">
      <c r="A5" t="s">
        <v>6</v>
      </c>
      <c r="B5" s="4">
        <f>B2-B3</f>
        <v>1200000</v>
      </c>
      <c r="D5" t="s">
        <v>30</v>
      </c>
      <c r="E5" s="15">
        <v>0.02</v>
      </c>
    </row>
    <row r="6" spans="1:22" x14ac:dyDescent="0.2">
      <c r="A6" t="s">
        <v>7</v>
      </c>
      <c r="B6" s="5">
        <f>1-B4</f>
        <v>0.8</v>
      </c>
      <c r="D6" t="s">
        <v>32</v>
      </c>
      <c r="E6" s="12">
        <f>IF(B2&lt;500000,0.014,0.01825)</f>
        <v>1.8249999999999999E-2</v>
      </c>
    </row>
    <row r="7" spans="1:22" x14ac:dyDescent="0.2">
      <c r="A7" t="s">
        <v>31</v>
      </c>
      <c r="B7" s="6">
        <v>2500</v>
      </c>
      <c r="D7" t="s">
        <v>33</v>
      </c>
      <c r="E7" s="15">
        <v>0.05</v>
      </c>
    </row>
    <row r="8" spans="1:22" x14ac:dyDescent="0.2">
      <c r="A8" t="s">
        <v>8</v>
      </c>
      <c r="B8" s="10">
        <f>0.01*B2+10000</f>
        <v>25000</v>
      </c>
      <c r="D8" t="s">
        <v>34</v>
      </c>
      <c r="E8" s="14">
        <v>3000</v>
      </c>
    </row>
    <row r="9" spans="1:22" x14ac:dyDescent="0.2">
      <c r="D9" t="s">
        <v>36</v>
      </c>
      <c r="E9" s="15">
        <v>0.11</v>
      </c>
    </row>
    <row r="10" spans="1:22" x14ac:dyDescent="0.2">
      <c r="A10" t="s">
        <v>9</v>
      </c>
      <c r="B10" s="4">
        <f>B3+B8+B7</f>
        <v>327500</v>
      </c>
    </row>
    <row r="13" spans="1:22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26</v>
      </c>
      <c r="N13" s="1" t="s">
        <v>27</v>
      </c>
      <c r="O13" s="1" t="s">
        <v>28</v>
      </c>
      <c r="P13" s="1" t="s">
        <v>29</v>
      </c>
      <c r="Q13" s="1" t="s">
        <v>0</v>
      </c>
      <c r="R13" s="1" t="s">
        <v>24</v>
      </c>
      <c r="S13" s="1" t="s">
        <v>31</v>
      </c>
      <c r="T13" s="1" t="s">
        <v>35</v>
      </c>
      <c r="U13" s="1" t="s">
        <v>37</v>
      </c>
      <c r="V13" s="1" t="s">
        <v>38</v>
      </c>
    </row>
    <row r="14" spans="1:22" x14ac:dyDescent="0.2">
      <c r="A14">
        <v>1</v>
      </c>
      <c r="B14" s="8">
        <f>(A14&lt;=$E$3)*(N14+P14+V14)</f>
        <v>-336275</v>
      </c>
      <c r="C14">
        <v>2</v>
      </c>
      <c r="E14" s="4">
        <f>E2*12</f>
        <v>78000</v>
      </c>
      <c r="F14" s="8">
        <f>-E14*C14/52</f>
        <v>-3000</v>
      </c>
      <c r="G14" s="8">
        <f>-$E$4*(E14+F14)</f>
        <v>-5250.0000000000009</v>
      </c>
      <c r="H14" s="2">
        <v>-1500</v>
      </c>
      <c r="I14" s="7">
        <v>0.3</v>
      </c>
      <c r="J14" s="8">
        <f>-I14*SUM(E14:G14)</f>
        <v>-20925</v>
      </c>
      <c r="K14" s="9">
        <v>0.06</v>
      </c>
      <c r="L14" s="4">
        <f>-K14*$B$5</f>
        <v>-72000</v>
      </c>
      <c r="M14" s="4">
        <f>-$E$1*L14</f>
        <v>14400</v>
      </c>
      <c r="N14" s="8">
        <f>E14+F14+G14+J14+L14+M14</f>
        <v>-8775</v>
      </c>
      <c r="O14" s="11">
        <f>N14/$B$10</f>
        <v>-2.6793893129770992E-2</v>
      </c>
      <c r="P14" s="4">
        <f>-B10</f>
        <v>-327500</v>
      </c>
      <c r="Q14" s="4">
        <f>B2</f>
        <v>1500000</v>
      </c>
      <c r="R14" s="4">
        <f>(A14=$E$3)*(Q14*-$E$7)</f>
        <v>0</v>
      </c>
      <c r="S14" s="4">
        <f>(A14=$E$3)*(-$E$8)</f>
        <v>0</v>
      </c>
      <c r="T14" s="13">
        <f>(A14=$E$3)*(Q14*-$E$6)</f>
        <v>0</v>
      </c>
      <c r="U14" s="8">
        <f t="shared" ref="U14:U22" si="0">(A14=$E$3)*-$E$9*(Q14-$B$2-$B$7-$B$8+R14+S14+T14)</f>
        <v>0</v>
      </c>
      <c r="V14" s="8">
        <f>(A14=$E$3)*(Q14+R14+S14+T14+U14-$B$5)</f>
        <v>0</v>
      </c>
    </row>
    <row r="15" spans="1:22" x14ac:dyDescent="0.2">
      <c r="A15">
        <v>2</v>
      </c>
      <c r="B15" s="8">
        <f t="shared" ref="B15:B33" si="1">(A15&lt;=$E$3)*(N15+P15+V15)</f>
        <v>-7798.5</v>
      </c>
      <c r="C15">
        <v>2</v>
      </c>
      <c r="D15" s="7">
        <v>0.02</v>
      </c>
      <c r="E15" s="4">
        <f>E14*(1+D15)</f>
        <v>79560</v>
      </c>
      <c r="F15" s="8">
        <f t="shared" ref="F15:F33" si="2">-E15*C15/52</f>
        <v>-3060</v>
      </c>
      <c r="G15" s="8">
        <f t="shared" ref="G15:G33" si="3">-$E$4*(E15+F15)</f>
        <v>-5355.0000000000009</v>
      </c>
      <c r="H15" s="2">
        <v>-1500</v>
      </c>
      <c r="I15" s="7">
        <v>0.3</v>
      </c>
      <c r="J15" s="8">
        <f>-I15*SUM(E15:G15)</f>
        <v>-21343.5</v>
      </c>
      <c r="K15" s="9">
        <f>K14</f>
        <v>0.06</v>
      </c>
      <c r="L15" s="4">
        <f t="shared" ref="L15:L33" si="4">-K15*$B$5</f>
        <v>-72000</v>
      </c>
      <c r="M15" s="4">
        <f t="shared" ref="M15:M33" si="5">-$E$1*L15</f>
        <v>14400</v>
      </c>
      <c r="N15" s="8">
        <f t="shared" ref="N15:N33" si="6">E15+F15+G15+J15+L15+M15</f>
        <v>-7798.5</v>
      </c>
      <c r="O15" s="11">
        <f t="shared" ref="O15:O33" si="7">N15/$B$10</f>
        <v>-2.3812213740458017E-2</v>
      </c>
      <c r="Q15" s="4">
        <f>Q14*(1+$E$5)</f>
        <v>1530000</v>
      </c>
      <c r="R15" s="4">
        <f t="shared" ref="R15:R33" si="8">(A15=$E$3)*(Q15*-$E$7)</f>
        <v>0</v>
      </c>
      <c r="S15" s="4">
        <f t="shared" ref="S15:S33" si="9">(A15=$E$3)*(-$E$8)</f>
        <v>0</v>
      </c>
      <c r="T15" s="13">
        <f t="shared" ref="T15:T33" si="10">(A15=$E$3)*(Q15*-$E$6)</f>
        <v>0</v>
      </c>
      <c r="U15" s="8">
        <f t="shared" si="0"/>
        <v>0</v>
      </c>
      <c r="V15" s="8">
        <f t="shared" ref="V15:V33" si="11">(A15=$E$3)*(Q15+R15+S15+T15+U15-$B$5)</f>
        <v>0</v>
      </c>
    </row>
    <row r="16" spans="1:22" x14ac:dyDescent="0.2">
      <c r="A16">
        <v>3</v>
      </c>
      <c r="B16" s="8">
        <f t="shared" si="1"/>
        <v>-6802.4700000000012</v>
      </c>
      <c r="C16">
        <v>2</v>
      </c>
      <c r="D16" s="7">
        <v>0.02</v>
      </c>
      <c r="E16" s="4">
        <f t="shared" ref="E16:E33" si="12">E15*(1+D16)</f>
        <v>81151.199999999997</v>
      </c>
      <c r="F16" s="8">
        <f t="shared" si="2"/>
        <v>-3121.2</v>
      </c>
      <c r="G16" s="8">
        <f t="shared" si="3"/>
        <v>-5462.1</v>
      </c>
      <c r="H16" s="2">
        <v>-1500</v>
      </c>
      <c r="I16" s="7">
        <v>0.3</v>
      </c>
      <c r="J16" s="8">
        <f t="shared" ref="J16:J32" si="13">-I16*SUM(E16:G16)</f>
        <v>-21770.37</v>
      </c>
      <c r="K16" s="9">
        <f t="shared" ref="K16:K33" si="14">K15</f>
        <v>0.06</v>
      </c>
      <c r="L16" s="4">
        <f t="shared" si="4"/>
        <v>-72000</v>
      </c>
      <c r="M16" s="4">
        <f t="shared" si="5"/>
        <v>14400</v>
      </c>
      <c r="N16" s="8">
        <f t="shared" si="6"/>
        <v>-6802.4700000000012</v>
      </c>
      <c r="O16" s="11">
        <f t="shared" si="7"/>
        <v>-2.0770900763358781E-2</v>
      </c>
      <c r="Q16" s="4">
        <f t="shared" ref="Q16:Q33" si="15">Q15*(1+$E$5)</f>
        <v>1560600</v>
      </c>
      <c r="R16" s="4">
        <f t="shared" si="8"/>
        <v>0</v>
      </c>
      <c r="S16" s="4">
        <f t="shared" si="9"/>
        <v>0</v>
      </c>
      <c r="T16" s="13">
        <f t="shared" si="10"/>
        <v>0</v>
      </c>
      <c r="U16" s="8">
        <f t="shared" si="0"/>
        <v>0</v>
      </c>
      <c r="V16" s="8">
        <f t="shared" si="11"/>
        <v>0</v>
      </c>
    </row>
    <row r="17" spans="1:22" x14ac:dyDescent="0.2">
      <c r="A17">
        <v>4</v>
      </c>
      <c r="B17" s="8">
        <f t="shared" si="1"/>
        <v>-5786.5193999999974</v>
      </c>
      <c r="C17">
        <v>2</v>
      </c>
      <c r="D17" s="7">
        <v>0.02</v>
      </c>
      <c r="E17" s="4">
        <f t="shared" si="12"/>
        <v>82774.224000000002</v>
      </c>
      <c r="F17" s="8">
        <f t="shared" si="2"/>
        <v>-3183.6240000000003</v>
      </c>
      <c r="G17" s="8">
        <f t="shared" si="3"/>
        <v>-5571.3420000000006</v>
      </c>
      <c r="H17" s="2">
        <v>-1500</v>
      </c>
      <c r="I17" s="7">
        <v>0.3</v>
      </c>
      <c r="J17" s="8">
        <f t="shared" si="13"/>
        <v>-22205.777399999999</v>
      </c>
      <c r="K17" s="9">
        <f t="shared" si="14"/>
        <v>0.06</v>
      </c>
      <c r="L17" s="4">
        <f>-K17*$B$5</f>
        <v>-72000</v>
      </c>
      <c r="M17" s="4">
        <f t="shared" si="5"/>
        <v>14400</v>
      </c>
      <c r="N17" s="8">
        <f t="shared" si="6"/>
        <v>-5786.5193999999974</v>
      </c>
      <c r="O17" s="11">
        <f t="shared" si="7"/>
        <v>-1.766876152671755E-2</v>
      </c>
      <c r="Q17" s="4">
        <f t="shared" si="15"/>
        <v>1591812</v>
      </c>
      <c r="R17" s="4">
        <f t="shared" si="8"/>
        <v>0</v>
      </c>
      <c r="S17" s="4">
        <f t="shared" si="9"/>
        <v>0</v>
      </c>
      <c r="T17" s="13">
        <f t="shared" si="10"/>
        <v>0</v>
      </c>
      <c r="U17" s="8">
        <f t="shared" si="0"/>
        <v>0</v>
      </c>
      <c r="V17" s="8">
        <f t="shared" si="11"/>
        <v>0</v>
      </c>
    </row>
    <row r="18" spans="1:22" x14ac:dyDescent="0.2">
      <c r="A18">
        <f>A17+1</f>
        <v>5</v>
      </c>
      <c r="B18" s="8">
        <f t="shared" si="1"/>
        <v>-4750.249788000001</v>
      </c>
      <c r="C18">
        <v>2</v>
      </c>
      <c r="D18" s="7">
        <v>0.02</v>
      </c>
      <c r="E18" s="4">
        <f t="shared" si="12"/>
        <v>84429.708480000001</v>
      </c>
      <c r="F18" s="8">
        <f t="shared" si="2"/>
        <v>-3247.29648</v>
      </c>
      <c r="G18" s="8">
        <f t="shared" si="3"/>
        <v>-5682.7688400000006</v>
      </c>
      <c r="H18" s="2">
        <v>-1500</v>
      </c>
      <c r="I18" s="7">
        <v>0.3</v>
      </c>
      <c r="J18" s="8">
        <f t="shared" si="13"/>
        <v>-22649.892947999997</v>
      </c>
      <c r="K18" s="9">
        <f t="shared" si="14"/>
        <v>0.06</v>
      </c>
      <c r="L18" s="4">
        <f t="shared" si="4"/>
        <v>-72000</v>
      </c>
      <c r="M18" s="4">
        <f t="shared" si="5"/>
        <v>14400</v>
      </c>
      <c r="N18" s="8">
        <f t="shared" si="6"/>
        <v>-4750.249788000001</v>
      </c>
      <c r="O18" s="11">
        <f t="shared" si="7"/>
        <v>-1.4504579505343514E-2</v>
      </c>
      <c r="Q18" s="4">
        <f t="shared" si="15"/>
        <v>1623648.24</v>
      </c>
      <c r="R18" s="4">
        <f t="shared" si="8"/>
        <v>0</v>
      </c>
      <c r="S18" s="4">
        <f t="shared" si="9"/>
        <v>0</v>
      </c>
      <c r="T18" s="13">
        <f t="shared" si="10"/>
        <v>0</v>
      </c>
      <c r="U18" s="8">
        <f t="shared" si="0"/>
        <v>0</v>
      </c>
      <c r="V18" s="8">
        <f t="shared" si="11"/>
        <v>0</v>
      </c>
    </row>
    <row r="19" spans="1:22" x14ac:dyDescent="0.2">
      <c r="A19">
        <f t="shared" ref="A19:A33" si="16">A18+1</f>
        <v>6</v>
      </c>
      <c r="B19" s="8">
        <f t="shared" si="1"/>
        <v>-3693.2547837599996</v>
      </c>
      <c r="C19">
        <v>2</v>
      </c>
      <c r="D19" s="7">
        <v>0.02</v>
      </c>
      <c r="E19" s="4">
        <f t="shared" si="12"/>
        <v>86118.302649600009</v>
      </c>
      <c r="F19" s="8">
        <f t="shared" si="2"/>
        <v>-3312.2424096000004</v>
      </c>
      <c r="G19" s="8">
        <f t="shared" si="3"/>
        <v>-5796.424216800001</v>
      </c>
      <c r="H19" s="2">
        <v>-1500</v>
      </c>
      <c r="I19" s="7">
        <v>0.3</v>
      </c>
      <c r="J19" s="8">
        <f t="shared" si="13"/>
        <v>-23102.89080696</v>
      </c>
      <c r="K19" s="9">
        <f t="shared" si="14"/>
        <v>0.06</v>
      </c>
      <c r="L19" s="4">
        <f t="shared" si="4"/>
        <v>-72000</v>
      </c>
      <c r="M19" s="4">
        <f t="shared" si="5"/>
        <v>14400</v>
      </c>
      <c r="N19" s="8">
        <f t="shared" si="6"/>
        <v>-3693.2547837599996</v>
      </c>
      <c r="O19" s="11">
        <f t="shared" si="7"/>
        <v>-1.1277113843541983E-2</v>
      </c>
      <c r="Q19" s="4">
        <f t="shared" si="15"/>
        <v>1656121.2047999999</v>
      </c>
      <c r="R19" s="4">
        <f t="shared" si="8"/>
        <v>0</v>
      </c>
      <c r="S19" s="4">
        <f t="shared" si="9"/>
        <v>0</v>
      </c>
      <c r="T19" s="13">
        <f t="shared" si="10"/>
        <v>0</v>
      </c>
      <c r="U19" s="8">
        <f t="shared" si="0"/>
        <v>0</v>
      </c>
      <c r="V19" s="8">
        <f t="shared" si="11"/>
        <v>0</v>
      </c>
    </row>
    <row r="20" spans="1:22" x14ac:dyDescent="0.2">
      <c r="A20">
        <f t="shared" si="16"/>
        <v>7</v>
      </c>
      <c r="B20" s="8">
        <f t="shared" si="1"/>
        <v>-2615.1198794351949</v>
      </c>
      <c r="C20">
        <v>2</v>
      </c>
      <c r="D20" s="7">
        <v>0.02</v>
      </c>
      <c r="E20" s="4">
        <f t="shared" si="12"/>
        <v>87840.668702592011</v>
      </c>
      <c r="F20" s="8">
        <f t="shared" si="2"/>
        <v>-3378.4872577920005</v>
      </c>
      <c r="G20" s="8">
        <f t="shared" si="3"/>
        <v>-5912.3527011360011</v>
      </c>
      <c r="H20" s="2">
        <v>-1500</v>
      </c>
      <c r="I20" s="7">
        <v>0.3</v>
      </c>
      <c r="J20" s="8">
        <f t="shared" si="13"/>
        <v>-23564.948623099201</v>
      </c>
      <c r="K20" s="9">
        <f t="shared" si="14"/>
        <v>0.06</v>
      </c>
      <c r="L20" s="4">
        <f t="shared" si="4"/>
        <v>-72000</v>
      </c>
      <c r="M20" s="4">
        <f t="shared" si="5"/>
        <v>14400</v>
      </c>
      <c r="N20" s="8">
        <f t="shared" si="6"/>
        <v>-2615.1198794351949</v>
      </c>
      <c r="O20" s="11">
        <f t="shared" si="7"/>
        <v>-7.985098868504412E-3</v>
      </c>
      <c r="Q20" s="4">
        <f t="shared" si="15"/>
        <v>1689243.6288959999</v>
      </c>
      <c r="R20" s="4">
        <f t="shared" si="8"/>
        <v>0</v>
      </c>
      <c r="S20" s="4">
        <f t="shared" si="9"/>
        <v>0</v>
      </c>
      <c r="T20" s="13">
        <f t="shared" si="10"/>
        <v>0</v>
      </c>
      <c r="U20" s="8">
        <f t="shared" si="0"/>
        <v>0</v>
      </c>
      <c r="V20" s="8">
        <f t="shared" si="11"/>
        <v>0</v>
      </c>
    </row>
    <row r="21" spans="1:22" x14ac:dyDescent="0.2">
      <c r="A21">
        <f t="shared" si="16"/>
        <v>8</v>
      </c>
      <c r="B21" s="8">
        <f t="shared" si="1"/>
        <v>-1515.4222770238994</v>
      </c>
      <c r="C21">
        <v>2</v>
      </c>
      <c r="D21" s="7">
        <v>0.02</v>
      </c>
      <c r="E21" s="4">
        <f t="shared" si="12"/>
        <v>89597.48207664385</v>
      </c>
      <c r="F21" s="8">
        <f t="shared" si="2"/>
        <v>-3446.0570029478404</v>
      </c>
      <c r="G21" s="8">
        <f t="shared" si="3"/>
        <v>-6030.5997551587216</v>
      </c>
      <c r="H21" s="2">
        <v>-1500</v>
      </c>
      <c r="I21" s="7">
        <v>0.3</v>
      </c>
      <c r="J21" s="8">
        <f t="shared" si="13"/>
        <v>-24036.247595561184</v>
      </c>
      <c r="K21" s="9">
        <f t="shared" si="14"/>
        <v>0.06</v>
      </c>
      <c r="L21" s="4">
        <f t="shared" si="4"/>
        <v>-72000</v>
      </c>
      <c r="M21" s="4">
        <f t="shared" si="5"/>
        <v>14400</v>
      </c>
      <c r="N21" s="8">
        <f t="shared" si="6"/>
        <v>-1515.4222770238994</v>
      </c>
      <c r="O21" s="11">
        <f t="shared" si="7"/>
        <v>-4.6272435939661051E-3</v>
      </c>
      <c r="Q21" s="4">
        <f t="shared" si="15"/>
        <v>1723028.50147392</v>
      </c>
      <c r="R21" s="4">
        <f t="shared" si="8"/>
        <v>0</v>
      </c>
      <c r="S21" s="4">
        <f t="shared" si="9"/>
        <v>0</v>
      </c>
      <c r="T21" s="13">
        <f t="shared" si="10"/>
        <v>0</v>
      </c>
      <c r="U21" s="8">
        <f t="shared" si="0"/>
        <v>0</v>
      </c>
      <c r="V21" s="8">
        <f t="shared" si="11"/>
        <v>0</v>
      </c>
    </row>
    <row r="22" spans="1:22" x14ac:dyDescent="0.2">
      <c r="A22">
        <f t="shared" si="16"/>
        <v>9</v>
      </c>
      <c r="B22" s="8">
        <f t="shared" si="1"/>
        <v>-393.73072256437445</v>
      </c>
      <c r="C22">
        <v>2</v>
      </c>
      <c r="D22" s="7">
        <v>0.02</v>
      </c>
      <c r="E22" s="4">
        <f t="shared" si="12"/>
        <v>91389.431718176726</v>
      </c>
      <c r="F22" s="8">
        <f t="shared" si="2"/>
        <v>-3514.9781430067969</v>
      </c>
      <c r="G22" s="8">
        <f t="shared" si="3"/>
        <v>-6151.2117502618958</v>
      </c>
      <c r="H22" s="2">
        <v>-1500</v>
      </c>
      <c r="I22" s="7">
        <v>0.3</v>
      </c>
      <c r="J22" s="8">
        <f t="shared" si="13"/>
        <v>-24516.972547472411</v>
      </c>
      <c r="K22" s="9">
        <f t="shared" si="14"/>
        <v>0.06</v>
      </c>
      <c r="L22" s="4">
        <f t="shared" si="4"/>
        <v>-72000</v>
      </c>
      <c r="M22" s="4">
        <f t="shared" si="5"/>
        <v>14400</v>
      </c>
      <c r="N22" s="8">
        <f t="shared" si="6"/>
        <v>-393.73072256437445</v>
      </c>
      <c r="O22" s="11">
        <f t="shared" si="7"/>
        <v>-1.2022312139370213E-3</v>
      </c>
      <c r="Q22" s="4">
        <f t="shared" si="15"/>
        <v>1757489.0715033985</v>
      </c>
      <c r="R22" s="4">
        <f t="shared" si="8"/>
        <v>0</v>
      </c>
      <c r="S22" s="4">
        <f t="shared" si="9"/>
        <v>0</v>
      </c>
      <c r="T22" s="13">
        <f t="shared" si="10"/>
        <v>0</v>
      </c>
      <c r="U22" s="8">
        <f t="shared" si="0"/>
        <v>0</v>
      </c>
      <c r="V22" s="8">
        <f t="shared" si="11"/>
        <v>0</v>
      </c>
    </row>
    <row r="23" spans="1:22" x14ac:dyDescent="0.2">
      <c r="A23">
        <f t="shared" si="16"/>
        <v>10</v>
      </c>
      <c r="B23" s="8">
        <f t="shared" si="1"/>
        <v>750.39466298433399</v>
      </c>
      <c r="C23">
        <v>2</v>
      </c>
      <c r="D23" s="7">
        <v>0.02</v>
      </c>
      <c r="E23" s="4">
        <f t="shared" si="12"/>
        <v>93217.220352540258</v>
      </c>
      <c r="F23" s="8">
        <f t="shared" si="2"/>
        <v>-3585.277705866933</v>
      </c>
      <c r="G23" s="8">
        <f t="shared" si="3"/>
        <v>-6274.2359852671334</v>
      </c>
      <c r="H23" s="2">
        <v>-1500</v>
      </c>
      <c r="I23" s="7">
        <v>0.3</v>
      </c>
      <c r="J23" s="8">
        <f t="shared" si="13"/>
        <v>-25007.311998421857</v>
      </c>
      <c r="K23" s="9">
        <f t="shared" si="14"/>
        <v>0.06</v>
      </c>
      <c r="L23" s="4">
        <f t="shared" si="4"/>
        <v>-72000</v>
      </c>
      <c r="M23" s="4">
        <f t="shared" si="5"/>
        <v>14400</v>
      </c>
      <c r="N23" s="8">
        <f t="shared" si="6"/>
        <v>750.39466298433399</v>
      </c>
      <c r="O23" s="11">
        <f t="shared" si="7"/>
        <v>2.2912814136926227E-3</v>
      </c>
      <c r="Q23" s="4">
        <f t="shared" si="15"/>
        <v>1792638.8529334664</v>
      </c>
      <c r="R23" s="4">
        <f t="shared" si="8"/>
        <v>0</v>
      </c>
      <c r="S23" s="4">
        <f t="shared" si="9"/>
        <v>0</v>
      </c>
      <c r="T23" s="13">
        <f t="shared" si="10"/>
        <v>0</v>
      </c>
      <c r="U23" s="8">
        <f>(A23=$E$3)*-$E$9*(Q23-$B$2-$B$7-$B$8+R23+S23+T23)</f>
        <v>0</v>
      </c>
      <c r="V23" s="8">
        <f t="shared" si="11"/>
        <v>0</v>
      </c>
    </row>
    <row r="24" spans="1:22" x14ac:dyDescent="0.2">
      <c r="A24">
        <f t="shared" si="16"/>
        <v>11</v>
      </c>
      <c r="B24" s="8">
        <f t="shared" si="1"/>
        <v>1917.402556244022</v>
      </c>
      <c r="C24">
        <v>2</v>
      </c>
      <c r="D24" s="7">
        <v>0.02</v>
      </c>
      <c r="E24" s="4">
        <f t="shared" si="12"/>
        <v>95081.56475959107</v>
      </c>
      <c r="F24" s="8">
        <f t="shared" si="2"/>
        <v>-3656.9832599842721</v>
      </c>
      <c r="G24" s="8">
        <f t="shared" si="3"/>
        <v>-6399.7207049724757</v>
      </c>
      <c r="H24" s="2">
        <v>-1500</v>
      </c>
      <c r="I24" s="7">
        <v>0.3</v>
      </c>
      <c r="J24" s="8">
        <f t="shared" si="13"/>
        <v>-25507.458238390293</v>
      </c>
      <c r="K24" s="9">
        <f t="shared" si="14"/>
        <v>0.06</v>
      </c>
      <c r="L24" s="4">
        <f t="shared" si="4"/>
        <v>-72000</v>
      </c>
      <c r="M24" s="4">
        <f t="shared" si="5"/>
        <v>14400</v>
      </c>
      <c r="N24" s="8">
        <f t="shared" si="6"/>
        <v>1917.402556244022</v>
      </c>
      <c r="O24" s="11">
        <f t="shared" si="7"/>
        <v>5.8546642938748766E-3</v>
      </c>
      <c r="Q24" s="4">
        <f t="shared" si="15"/>
        <v>1828491.6299921358</v>
      </c>
      <c r="R24" s="4">
        <f t="shared" si="8"/>
        <v>0</v>
      </c>
      <c r="S24" s="4">
        <f t="shared" si="9"/>
        <v>0</v>
      </c>
      <c r="T24" s="13">
        <f t="shared" si="10"/>
        <v>0</v>
      </c>
      <c r="U24" s="8">
        <f t="shared" ref="U24:U32" si="17">(A24=$E$3)*-$E$9*(Q24-$B$2-$B$7-$B$8+R24+S24+T24)</f>
        <v>0</v>
      </c>
      <c r="V24" s="8">
        <f t="shared" si="11"/>
        <v>0</v>
      </c>
    </row>
    <row r="25" spans="1:22" x14ac:dyDescent="0.2">
      <c r="A25">
        <f t="shared" si="16"/>
        <v>12</v>
      </c>
      <c r="B25" s="8">
        <f t="shared" si="1"/>
        <v>3107.7506073689074</v>
      </c>
      <c r="C25">
        <v>2</v>
      </c>
      <c r="D25" s="7">
        <v>0.02</v>
      </c>
      <c r="E25" s="4">
        <f t="shared" si="12"/>
        <v>96983.196054782893</v>
      </c>
      <c r="F25" s="8">
        <f t="shared" si="2"/>
        <v>-3730.1229251839572</v>
      </c>
      <c r="G25" s="8">
        <f t="shared" si="3"/>
        <v>-6527.715119071926</v>
      </c>
      <c r="H25" s="2">
        <v>-1500</v>
      </c>
      <c r="I25" s="7">
        <v>0.3</v>
      </c>
      <c r="J25" s="8">
        <f t="shared" si="13"/>
        <v>-26017.607403158101</v>
      </c>
      <c r="K25" s="9">
        <f t="shared" si="14"/>
        <v>0.06</v>
      </c>
      <c r="L25" s="4">
        <f t="shared" si="4"/>
        <v>-72000</v>
      </c>
      <c r="M25" s="4">
        <f t="shared" si="5"/>
        <v>14400</v>
      </c>
      <c r="N25" s="8">
        <f t="shared" si="6"/>
        <v>3107.7506073689074</v>
      </c>
      <c r="O25" s="11">
        <f t="shared" si="7"/>
        <v>9.4893148316607858E-3</v>
      </c>
      <c r="Q25" s="4">
        <f t="shared" si="15"/>
        <v>1865061.4625919785</v>
      </c>
      <c r="R25" s="4">
        <f t="shared" si="8"/>
        <v>0</v>
      </c>
      <c r="S25" s="4">
        <f t="shared" si="9"/>
        <v>0</v>
      </c>
      <c r="T25" s="13">
        <f t="shared" si="10"/>
        <v>0</v>
      </c>
      <c r="U25" s="8">
        <f t="shared" si="17"/>
        <v>0</v>
      </c>
      <c r="V25" s="8">
        <f t="shared" si="11"/>
        <v>0</v>
      </c>
    </row>
    <row r="26" spans="1:22" x14ac:dyDescent="0.2">
      <c r="A26">
        <f t="shared" si="16"/>
        <v>13</v>
      </c>
      <c r="B26" s="8">
        <f t="shared" si="1"/>
        <v>4321.9056195162848</v>
      </c>
      <c r="C26">
        <v>2</v>
      </c>
      <c r="D26" s="7">
        <v>0.02</v>
      </c>
      <c r="E26" s="4">
        <f t="shared" si="12"/>
        <v>98922.859975878557</v>
      </c>
      <c r="F26" s="8">
        <f t="shared" si="2"/>
        <v>-3804.7253836876366</v>
      </c>
      <c r="G26" s="8">
        <f t="shared" si="3"/>
        <v>-6658.2694214533649</v>
      </c>
      <c r="H26" s="2">
        <v>-1500</v>
      </c>
      <c r="I26" s="7">
        <v>0.3</v>
      </c>
      <c r="J26" s="8">
        <f t="shared" si="13"/>
        <v>-26537.959551221265</v>
      </c>
      <c r="K26" s="9">
        <f t="shared" si="14"/>
        <v>0.06</v>
      </c>
      <c r="L26" s="4">
        <f t="shared" si="4"/>
        <v>-72000</v>
      </c>
      <c r="M26" s="4">
        <f t="shared" si="5"/>
        <v>14400</v>
      </c>
      <c r="N26" s="8">
        <f t="shared" si="6"/>
        <v>4321.9056195162848</v>
      </c>
      <c r="O26" s="11">
        <f t="shared" si="7"/>
        <v>1.3196658380202396E-2</v>
      </c>
      <c r="Q26" s="4">
        <f t="shared" si="15"/>
        <v>1902362.6918438182</v>
      </c>
      <c r="R26" s="4">
        <f t="shared" si="8"/>
        <v>0</v>
      </c>
      <c r="S26" s="4">
        <f t="shared" si="9"/>
        <v>0</v>
      </c>
      <c r="T26" s="13">
        <f t="shared" si="10"/>
        <v>0</v>
      </c>
      <c r="U26" s="8">
        <f t="shared" si="17"/>
        <v>0</v>
      </c>
      <c r="V26" s="8">
        <f t="shared" si="11"/>
        <v>0</v>
      </c>
    </row>
    <row r="27" spans="1:22" x14ac:dyDescent="0.2">
      <c r="A27">
        <f t="shared" si="16"/>
        <v>14</v>
      </c>
      <c r="B27" s="8">
        <f t="shared" si="1"/>
        <v>5560.3437319066288</v>
      </c>
      <c r="C27">
        <v>2</v>
      </c>
      <c r="D27" s="7">
        <v>0.02</v>
      </c>
      <c r="E27" s="4">
        <f t="shared" si="12"/>
        <v>100901.31717539614</v>
      </c>
      <c r="F27" s="8">
        <f t="shared" si="2"/>
        <v>-3880.8198913613896</v>
      </c>
      <c r="G27" s="8">
        <f t="shared" si="3"/>
        <v>-6791.434809882433</v>
      </c>
      <c r="H27" s="2">
        <v>-1500</v>
      </c>
      <c r="I27" s="7">
        <v>0.3</v>
      </c>
      <c r="J27" s="8">
        <f t="shared" si="13"/>
        <v>-27068.718742245695</v>
      </c>
      <c r="K27" s="9">
        <f t="shared" si="14"/>
        <v>0.06</v>
      </c>
      <c r="L27" s="4">
        <f t="shared" si="4"/>
        <v>-72000</v>
      </c>
      <c r="M27" s="4">
        <f t="shared" si="5"/>
        <v>14400</v>
      </c>
      <c r="N27" s="8">
        <f t="shared" si="6"/>
        <v>5560.3437319066288</v>
      </c>
      <c r="O27" s="11">
        <f t="shared" si="7"/>
        <v>1.6978148799714897E-2</v>
      </c>
      <c r="Q27" s="4">
        <f t="shared" si="15"/>
        <v>1940409.9456806947</v>
      </c>
      <c r="R27" s="4">
        <f t="shared" si="8"/>
        <v>0</v>
      </c>
      <c r="S27" s="4">
        <f t="shared" si="9"/>
        <v>0</v>
      </c>
      <c r="T27" s="13">
        <f t="shared" si="10"/>
        <v>0</v>
      </c>
      <c r="U27" s="8">
        <f t="shared" si="17"/>
        <v>0</v>
      </c>
      <c r="V27" s="8">
        <f t="shared" si="11"/>
        <v>0</v>
      </c>
    </row>
    <row r="28" spans="1:22" x14ac:dyDescent="0.2">
      <c r="A28">
        <f t="shared" si="16"/>
        <v>15</v>
      </c>
      <c r="B28" s="8">
        <f t="shared" si="1"/>
        <v>613460.04114745965</v>
      </c>
      <c r="C28">
        <v>2</v>
      </c>
      <c r="D28" s="7">
        <v>0.02</v>
      </c>
      <c r="E28" s="4">
        <f t="shared" si="12"/>
        <v>102919.34351890406</v>
      </c>
      <c r="F28" s="8">
        <f t="shared" si="2"/>
        <v>-3958.4362891886176</v>
      </c>
      <c r="G28" s="8">
        <f t="shared" si="3"/>
        <v>-6927.2635060800822</v>
      </c>
      <c r="H28" s="2">
        <v>-1500</v>
      </c>
      <c r="I28" s="7">
        <v>0.3</v>
      </c>
      <c r="J28" s="8">
        <f t="shared" si="13"/>
        <v>-27610.093117090608</v>
      </c>
      <c r="K28" s="9">
        <f t="shared" si="14"/>
        <v>0.06</v>
      </c>
      <c r="L28" s="4">
        <f t="shared" si="4"/>
        <v>-72000</v>
      </c>
      <c r="M28" s="4">
        <f t="shared" si="5"/>
        <v>14400</v>
      </c>
      <c r="N28" s="8">
        <f t="shared" si="6"/>
        <v>6823.5506065447553</v>
      </c>
      <c r="O28" s="11">
        <f t="shared" si="7"/>
        <v>2.0835269027617575E-2</v>
      </c>
      <c r="Q28" s="4">
        <f t="shared" si="15"/>
        <v>1979218.1445943087</v>
      </c>
      <c r="R28" s="4">
        <f t="shared" si="8"/>
        <v>-98960.907229715434</v>
      </c>
      <c r="S28" s="4">
        <f t="shared" si="9"/>
        <v>-3000</v>
      </c>
      <c r="T28" s="13">
        <f t="shared" si="10"/>
        <v>-36120.731138846131</v>
      </c>
      <c r="U28" s="8">
        <f t="shared" si="17"/>
        <v>-34500.015684832186</v>
      </c>
      <c r="V28" s="8">
        <f t="shared" si="11"/>
        <v>606636.49054091494</v>
      </c>
    </row>
    <row r="29" spans="1:22" x14ac:dyDescent="0.2">
      <c r="A29">
        <f t="shared" si="16"/>
        <v>16</v>
      </c>
      <c r="B29" s="8">
        <f t="shared" si="1"/>
        <v>0</v>
      </c>
      <c r="C29">
        <v>2</v>
      </c>
      <c r="D29" s="7">
        <v>0.02</v>
      </c>
      <c r="E29" s="4">
        <f t="shared" si="12"/>
        <v>104977.73038928215</v>
      </c>
      <c r="F29" s="8">
        <f t="shared" si="2"/>
        <v>-4037.6050149723906</v>
      </c>
      <c r="G29" s="8">
        <f t="shared" si="3"/>
        <v>-7065.8087762016839</v>
      </c>
      <c r="H29" s="2">
        <v>-1500</v>
      </c>
      <c r="I29" s="7">
        <v>0.3</v>
      </c>
      <c r="J29" s="8">
        <f t="shared" si="13"/>
        <v>-28162.294979432423</v>
      </c>
      <c r="K29" s="9">
        <f t="shared" si="14"/>
        <v>0.06</v>
      </c>
      <c r="L29" s="4">
        <f t="shared" si="4"/>
        <v>-72000</v>
      </c>
      <c r="M29" s="4">
        <f t="shared" si="5"/>
        <v>14400</v>
      </c>
      <c r="N29" s="8">
        <f t="shared" si="6"/>
        <v>8112.0216186756588</v>
      </c>
      <c r="O29" s="11">
        <f t="shared" si="7"/>
        <v>2.4769531660078347E-2</v>
      </c>
      <c r="Q29" s="4">
        <f t="shared" si="15"/>
        <v>2018802.5074861948</v>
      </c>
      <c r="R29" s="4">
        <f t="shared" si="8"/>
        <v>0</v>
      </c>
      <c r="S29" s="4">
        <f t="shared" si="9"/>
        <v>0</v>
      </c>
      <c r="T29" s="13">
        <f t="shared" si="10"/>
        <v>0</v>
      </c>
      <c r="U29" s="8">
        <f t="shared" si="17"/>
        <v>0</v>
      </c>
      <c r="V29" s="8">
        <f t="shared" si="11"/>
        <v>0</v>
      </c>
    </row>
    <row r="30" spans="1:22" x14ac:dyDescent="0.2">
      <c r="A30">
        <f t="shared" si="16"/>
        <v>17</v>
      </c>
      <c r="B30" s="8">
        <f t="shared" si="1"/>
        <v>0</v>
      </c>
      <c r="C30">
        <v>2</v>
      </c>
      <c r="D30" s="7">
        <v>0.02</v>
      </c>
      <c r="E30" s="4">
        <f t="shared" si="12"/>
        <v>107077.28499706779</v>
      </c>
      <c r="F30" s="8">
        <f t="shared" si="2"/>
        <v>-4118.3571152718378</v>
      </c>
      <c r="G30" s="8">
        <f t="shared" si="3"/>
        <v>-7207.1249517257174</v>
      </c>
      <c r="H30" s="2">
        <v>-1500</v>
      </c>
      <c r="I30" s="7">
        <v>0.3</v>
      </c>
      <c r="J30" s="8">
        <f t="shared" si="13"/>
        <v>-28725.540879021068</v>
      </c>
      <c r="K30" s="9">
        <f t="shared" si="14"/>
        <v>0.06</v>
      </c>
      <c r="L30" s="4">
        <f t="shared" si="4"/>
        <v>-72000</v>
      </c>
      <c r="M30" s="4">
        <f t="shared" si="5"/>
        <v>14400</v>
      </c>
      <c r="N30" s="8">
        <f t="shared" si="6"/>
        <v>9426.2620510491688</v>
      </c>
      <c r="O30" s="11">
        <f t="shared" si="7"/>
        <v>2.87824795451883E-2</v>
      </c>
      <c r="Q30" s="4">
        <f t="shared" si="15"/>
        <v>2059178.5576359187</v>
      </c>
      <c r="R30" s="4">
        <f t="shared" si="8"/>
        <v>0</v>
      </c>
      <c r="S30" s="4">
        <f t="shared" si="9"/>
        <v>0</v>
      </c>
      <c r="T30" s="13">
        <f t="shared" si="10"/>
        <v>0</v>
      </c>
      <c r="U30" s="8">
        <f t="shared" si="17"/>
        <v>0</v>
      </c>
      <c r="V30" s="8">
        <f t="shared" si="11"/>
        <v>0</v>
      </c>
    </row>
    <row r="31" spans="1:22" x14ac:dyDescent="0.2">
      <c r="A31">
        <f t="shared" si="16"/>
        <v>18</v>
      </c>
      <c r="B31" s="8">
        <f t="shared" si="1"/>
        <v>0</v>
      </c>
      <c r="C31">
        <v>2</v>
      </c>
      <c r="D31" s="7">
        <v>0.02</v>
      </c>
      <c r="E31" s="4">
        <f t="shared" si="12"/>
        <v>109218.83069700915</v>
      </c>
      <c r="F31" s="8">
        <f t="shared" si="2"/>
        <v>-4200.7242575772752</v>
      </c>
      <c r="G31" s="8">
        <f t="shared" si="3"/>
        <v>-7351.2674507602324</v>
      </c>
      <c r="H31" s="2">
        <v>-1500</v>
      </c>
      <c r="I31" s="7">
        <v>0.3</v>
      </c>
      <c r="J31" s="8">
        <f t="shared" si="13"/>
        <v>-29300.051696601495</v>
      </c>
      <c r="K31" s="9">
        <f t="shared" si="14"/>
        <v>0.06</v>
      </c>
      <c r="L31" s="4">
        <f t="shared" si="4"/>
        <v>-72000</v>
      </c>
      <c r="M31" s="4">
        <f t="shared" si="5"/>
        <v>14400</v>
      </c>
      <c r="N31" s="8">
        <f t="shared" si="6"/>
        <v>10766.787292070148</v>
      </c>
      <c r="O31" s="11">
        <f t="shared" si="7"/>
        <v>3.2875686388000452E-2</v>
      </c>
      <c r="Q31" s="4">
        <f t="shared" si="15"/>
        <v>2100362.128788637</v>
      </c>
      <c r="R31" s="4">
        <f t="shared" si="8"/>
        <v>0</v>
      </c>
      <c r="S31" s="4">
        <f t="shared" si="9"/>
        <v>0</v>
      </c>
      <c r="T31" s="13">
        <f t="shared" si="10"/>
        <v>0</v>
      </c>
      <c r="U31" s="8">
        <f t="shared" si="17"/>
        <v>0</v>
      </c>
      <c r="V31" s="8">
        <f t="shared" si="11"/>
        <v>0</v>
      </c>
    </row>
    <row r="32" spans="1:22" x14ac:dyDescent="0.2">
      <c r="A32">
        <f t="shared" si="16"/>
        <v>19</v>
      </c>
      <c r="B32" s="8">
        <f t="shared" si="1"/>
        <v>0</v>
      </c>
      <c r="C32">
        <v>2</v>
      </c>
      <c r="D32" s="7">
        <v>0.02</v>
      </c>
      <c r="E32" s="4">
        <f t="shared" si="12"/>
        <v>111403.20731094934</v>
      </c>
      <c r="F32" s="8">
        <f t="shared" si="2"/>
        <v>-4284.7387427288204</v>
      </c>
      <c r="G32" s="8">
        <f t="shared" si="3"/>
        <v>-7498.2927997754368</v>
      </c>
      <c r="H32" s="2">
        <v>-1500</v>
      </c>
      <c r="I32" s="7">
        <v>0.3</v>
      </c>
      <c r="J32" s="8">
        <f t="shared" si="13"/>
        <v>-29886.052730533524</v>
      </c>
      <c r="K32" s="9">
        <f t="shared" si="14"/>
        <v>0.06</v>
      </c>
      <c r="L32" s="4">
        <f t="shared" si="4"/>
        <v>-72000</v>
      </c>
      <c r="M32" s="4">
        <f t="shared" si="5"/>
        <v>14400</v>
      </c>
      <c r="N32" s="8">
        <f t="shared" si="6"/>
        <v>12134.123037911559</v>
      </c>
      <c r="O32" s="11">
        <f t="shared" si="7"/>
        <v>3.7050757367668878E-2</v>
      </c>
      <c r="Q32" s="4">
        <f t="shared" si="15"/>
        <v>2142369.3713644096</v>
      </c>
      <c r="R32" s="4">
        <f t="shared" si="8"/>
        <v>0</v>
      </c>
      <c r="S32" s="4">
        <f t="shared" si="9"/>
        <v>0</v>
      </c>
      <c r="T32" s="13">
        <f t="shared" si="10"/>
        <v>0</v>
      </c>
      <c r="U32" s="8">
        <f t="shared" si="17"/>
        <v>0</v>
      </c>
      <c r="V32" s="8">
        <f t="shared" si="11"/>
        <v>0</v>
      </c>
    </row>
    <row r="33" spans="1:22" x14ac:dyDescent="0.2">
      <c r="A33">
        <f t="shared" si="16"/>
        <v>20</v>
      </c>
      <c r="B33" s="8">
        <f t="shared" si="1"/>
        <v>0</v>
      </c>
      <c r="C33">
        <v>2</v>
      </c>
      <c r="D33" s="7">
        <v>0.02</v>
      </c>
      <c r="E33" s="4">
        <f t="shared" si="12"/>
        <v>113631.27145716832</v>
      </c>
      <c r="F33" s="8">
        <f t="shared" si="2"/>
        <v>-4370.4335175833967</v>
      </c>
      <c r="G33" s="8">
        <f t="shared" si="3"/>
        <v>-7648.2586557709446</v>
      </c>
      <c r="H33" s="2">
        <v>-1500</v>
      </c>
      <c r="I33" s="7">
        <v>0.3</v>
      </c>
      <c r="J33" s="8">
        <f>-I33*SUM(E33:G33)</f>
        <v>-30483.773785144193</v>
      </c>
      <c r="K33" s="9">
        <f t="shared" si="14"/>
        <v>0.06</v>
      </c>
      <c r="L33" s="4">
        <f t="shared" si="4"/>
        <v>-72000</v>
      </c>
      <c r="M33" s="4">
        <f t="shared" si="5"/>
        <v>14400</v>
      </c>
      <c r="N33" s="8">
        <f t="shared" si="6"/>
        <v>13528.805498669783</v>
      </c>
      <c r="O33" s="11">
        <f t="shared" si="7"/>
        <v>4.1309329766930636E-2</v>
      </c>
      <c r="Q33" s="4">
        <f t="shared" si="15"/>
        <v>2185216.7587916977</v>
      </c>
      <c r="R33" s="4">
        <f t="shared" si="8"/>
        <v>0</v>
      </c>
      <c r="S33" s="4">
        <f t="shared" si="9"/>
        <v>0</v>
      </c>
      <c r="T33" s="13">
        <f t="shared" si="10"/>
        <v>0</v>
      </c>
      <c r="U33" s="8">
        <f>(A33=$E$3)*-$E$9*(Q33-$B$2-$B$7-$B$8+R33+S33+T33)</f>
        <v>0</v>
      </c>
      <c r="V33" s="8">
        <f t="shared" si="11"/>
        <v>0</v>
      </c>
    </row>
  </sheetData>
  <dataValidations count="1">
    <dataValidation type="list" allowBlank="1" showInputMessage="1" showErrorMessage="1" sqref="B1" xr:uid="{6BCD6331-B8B8-C842-A3B4-A4D638FF89CF}">
      <formula1>"Select, Townhouse, Apartment"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to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Giordano</dc:creator>
  <cp:lastModifiedBy>Alberto Giordano</cp:lastModifiedBy>
  <dcterms:created xsi:type="dcterms:W3CDTF">2024-10-09T21:02:42Z</dcterms:created>
  <dcterms:modified xsi:type="dcterms:W3CDTF">2024-10-22T21:19:55Z</dcterms:modified>
</cp:coreProperties>
</file>