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OLUCIONJ\"/>
    </mc:Choice>
  </mc:AlternateContent>
  <xr:revisionPtr revIDLastSave="0" documentId="13_ncr:1_{AD19687A-0AB2-466A-B6DC-EA5EAFD28D8F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rowdfunding" sheetId="1" r:id="rId1"/>
    <sheet name="Category" sheetId="2" r:id="rId2"/>
    <sheet name="Sub-category" sheetId="3" r:id="rId3"/>
    <sheet name="YEARS" sheetId="8" r:id="rId4"/>
    <sheet name="GOALS" sheetId="10" r:id="rId5"/>
    <sheet name="STATISCAL" sheetId="12" r:id="rId6"/>
    <sheet name="TABLES" sheetId="9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2" i="1"/>
  <c r="G10" i="12"/>
  <c r="I10" i="12"/>
  <c r="I9" i="12"/>
  <c r="G9" i="12"/>
  <c r="G7" i="12" l="1"/>
  <c r="I7" i="12"/>
  <c r="I6" i="12"/>
  <c r="G6" i="12"/>
  <c r="I5" i="12" l="1"/>
  <c r="G5" i="12"/>
  <c r="I4" i="12"/>
  <c r="G4" i="12"/>
  <c r="I3" i="12"/>
  <c r="I2" i="12"/>
  <c r="G3" i="12"/>
  <c r="G2" i="12"/>
  <c r="F2" i="10" l="1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13" i="10"/>
  <c r="F3" i="10"/>
  <c r="F4" i="10"/>
  <c r="F5" i="10"/>
  <c r="F6" i="10"/>
  <c r="F7" i="10"/>
  <c r="F8" i="10"/>
  <c r="F9" i="10"/>
  <c r="F10" i="10"/>
  <c r="F11" i="10"/>
  <c r="F1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5" i="10"/>
  <c r="C13" i="10"/>
  <c r="C12" i="10"/>
  <c r="C11" i="10"/>
  <c r="C10" i="10"/>
  <c r="C9" i="10"/>
  <c r="C8" i="10"/>
  <c r="C7" i="10"/>
  <c r="C6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2" i="10"/>
  <c r="B3" i="10"/>
  <c r="I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2" i="1"/>
  <c r="G11" i="2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2" i="3"/>
  <c r="H13" i="3"/>
  <c r="H11" i="3"/>
  <c r="H10" i="3"/>
  <c r="H9" i="3"/>
  <c r="H8" i="3"/>
  <c r="H7" i="3"/>
  <c r="H6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H9" i="2"/>
  <c r="H13" i="2"/>
  <c r="H12" i="2"/>
  <c r="H11" i="2"/>
  <c r="H10" i="2"/>
  <c r="H8" i="2"/>
  <c r="H7" i="2"/>
  <c r="H6" i="2"/>
  <c r="H5" i="2"/>
  <c r="G8" i="2"/>
  <c r="G13" i="2"/>
  <c r="G12" i="2"/>
  <c r="G10" i="2"/>
  <c r="G9" i="2"/>
  <c r="G7" i="2"/>
  <c r="G6" i="2"/>
  <c r="G5" i="2"/>
  <c r="S2" i="1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</calcChain>
</file>

<file path=xl/sharedStrings.xml><?xml version="1.0" encoding="utf-8"?>
<sst xmlns="http://schemas.openxmlformats.org/spreadsheetml/2006/main" count="9225" uniqueCount="2141">
  <si>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</si>
  <si>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</si>
  <si>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</si>
  <si>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</si>
  <si>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</si>
  <si>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</si>
  <si>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</si>
  <si>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</si>
  <si>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</si>
  <si>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</si>
  <si>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</si>
  <si>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</si>
  <si>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</si>
  <si>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</si>
  <si>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</si>
  <si>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</si>
  <si>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</si>
  <si>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</si>
  <si>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</si>
  <si>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</si>
  <si>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</si>
  <si>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</si>
  <si>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</si>
  <si>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</si>
  <si>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</si>
  <si>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</si>
  <si>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</si>
  <si>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</si>
  <si>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</si>
  <si>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</si>
  <si>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</si>
  <si>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</si>
  <si>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</si>
  <si>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</si>
  <si>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</si>
  <si>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</si>
  <si>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</si>
  <si>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</si>
  <si>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</si>
  <si>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</si>
  <si>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</si>
  <si>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</si>
  <si>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</si>
  <si>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</si>
  <si>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</si>
  <si>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</si>
  <si>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</si>
  <si>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</si>
  <si>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</si>
  <si>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</si>
  <si>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</si>
  <si>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</si>
  <si>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</si>
  <si>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</si>
  <si>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</si>
  <si>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</si>
  <si>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</si>
  <si>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</si>
  <si>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</si>
  <si>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</si>
  <si>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</si>
  <si>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</si>
  <si>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</si>
  <si>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</si>
  <si>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</si>
  <si>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</si>
  <si>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</si>
  <si>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</si>
  <si>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</si>
  <si>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</si>
  <si>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</si>
  <si>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</si>
  <si>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</si>
  <si>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</si>
  <si>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</si>
  <si>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</si>
  <si>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</si>
  <si>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</si>
  <si>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</si>
  <si>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</si>
  <si>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</si>
  <si>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</si>
  <si>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</si>
  <si>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</si>
  <si>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</si>
  <si>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</si>
  <si>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</si>
  <si>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</si>
  <si>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</si>
  <si>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</si>
  <si>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</si>
  <si>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</si>
  <si>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</si>
  <si>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</si>
  <si>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</si>
  <si>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</si>
  <si>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</si>
  <si>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</si>
  <si>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</si>
  <si>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</si>
  <si>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</si>
  <si>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</si>
  <si>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</si>
  <si>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</si>
  <si>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</si>
  <si>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</si>
  <si>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</si>
  <si>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</si>
  <si>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</si>
  <si>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</si>
  <si>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</si>
  <si>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</si>
  <si>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</si>
  <si>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</si>
  <si>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</si>
  <si>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</si>
  <si>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</si>
  <si>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</si>
  <si>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</si>
  <si>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</si>
  <si>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</si>
  <si>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</si>
  <si>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</si>
  <si>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</si>
  <si>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</si>
  <si>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</si>
  <si>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</si>
  <si>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</si>
  <si>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</si>
  <si>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</si>
  <si>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</si>
  <si>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</si>
  <si>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</si>
  <si>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</si>
  <si>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</si>
  <si>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</si>
  <si>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</si>
  <si>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</si>
  <si>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</si>
  <si>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</si>
  <si>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</si>
  <si>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</si>
  <si>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</si>
  <si>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</si>
  <si>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</si>
  <si>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</si>
  <si>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</si>
  <si>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</si>
  <si>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</si>
  <si>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</si>
  <si>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</si>
  <si>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</si>
  <si>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</si>
  <si>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</si>
  <si>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</si>
  <si>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</si>
  <si>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</si>
  <si>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</si>
  <si>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</si>
  <si>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</si>
  <si>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</si>
  <si>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</si>
  <si>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</si>
  <si>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</si>
  <si>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</si>
  <si>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</si>
  <si>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</si>
  <si>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</si>
  <si>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</si>
  <si>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</si>
  <si>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</si>
  <si>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</si>
  <si>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</si>
  <si>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</si>
  <si>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</si>
  <si>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</si>
  <si>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</si>
  <si>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</si>
  <si>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</si>
  <si>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</si>
  <si>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</si>
  <si>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</si>
  <si>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</si>
  <si>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</si>
  <si>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</si>
  <si>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</si>
  <si>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</si>
  <si>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</si>
  <si>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</si>
  <si>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</si>
  <si>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</si>
  <si>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</si>
  <si>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</si>
  <si>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</si>
  <si>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</si>
  <si>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</si>
  <si>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</si>
  <si>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</si>
  <si>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</si>
  <si>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</si>
  <si>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</si>
  <si>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</si>
  <si>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</si>
  <si>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</si>
  <si>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</si>
  <si>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</si>
  <si>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</si>
  <si>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</si>
  <si>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</si>
  <si>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</si>
  <si>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</si>
  <si>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</si>
  <si>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</si>
  <si>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</si>
  <si>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</si>
  <si>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</si>
  <si>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</si>
  <si>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</si>
  <si>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</si>
  <si>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</si>
  <si>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</si>
  <si>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</si>
  <si>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</si>
  <si>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</si>
  <si>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</si>
  <si>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</si>
  <si>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</si>
  <si>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</si>
  <si>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</si>
  <si>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</si>
  <si>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</si>
  <si>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</si>
  <si>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</si>
  <si>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</si>
  <si>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</si>
  <si>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</si>
  <si>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</si>
  <si>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</si>
  <si>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</si>
  <si>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</si>
  <si>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</si>
  <si>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</si>
  <si>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</si>
  <si>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</si>
  <si>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</si>
  <si>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</si>
  <si>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</si>
  <si>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</si>
  <si>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</si>
  <si>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</si>
  <si>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</si>
  <si>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</si>
  <si>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</si>
  <si>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</si>
  <si>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</si>
  <si>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</si>
  <si>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</si>
  <si>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</si>
  <si>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</si>
  <si>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</si>
  <si>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</si>
  <si>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</si>
  <si>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</si>
  <si>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</si>
  <si>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</si>
  <si>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</si>
  <si>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</si>
  <si>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</si>
  <si>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</si>
  <si>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</si>
  <si>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</si>
  <si>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</si>
  <si>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</si>
  <si>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</si>
  <si>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</si>
  <si>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</si>
  <si>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</si>
  <si>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</si>
  <si>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</si>
  <si>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</si>
  <si>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</si>
  <si>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</si>
  <si>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</si>
  <si>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</si>
  <si>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</si>
  <si>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</si>
  <si>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</si>
  <si>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</si>
  <si>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</si>
  <si>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</si>
  <si>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</si>
  <si>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</si>
  <si>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</si>
  <si>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</si>
  <si>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</si>
  <si>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</si>
  <si>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</si>
  <si>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</si>
  <si>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</si>
  <si>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</si>
  <si>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</si>
  <si>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</si>
  <si>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</si>
  <si>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</si>
  <si>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</si>
  <si>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</si>
  <si>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</si>
  <si>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</si>
  <si>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</si>
  <si>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</si>
  <si>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</si>
  <si>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</si>
  <si>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</si>
  <si>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</si>
  <si>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</si>
  <si>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</si>
  <si>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</si>
  <si>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</si>
  <si>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</si>
  <si>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</si>
  <si>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</si>
  <si>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</si>
  <si>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</si>
  <si>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</si>
  <si>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</si>
  <si>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</si>
  <si>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</si>
  <si>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</si>
  <si>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</si>
  <si>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</si>
  <si>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</si>
  <si>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</si>
  <si>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</si>
  <si>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</si>
  <si>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</si>
  <si>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</si>
  <si>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</si>
  <si>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</si>
  <si>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</si>
  <si>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</si>
  <si>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</si>
  <si>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</si>
  <si>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</si>
  <si>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</si>
  <si>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</si>
  <si>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</si>
  <si>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</si>
  <si>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</si>
  <si>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</si>
  <si>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</si>
  <si>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</si>
  <si>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</si>
  <si>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</si>
  <si>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</si>
  <si>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</si>
  <si>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</si>
  <si>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</si>
  <si>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</si>
  <si>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</si>
  <si>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</si>
  <si>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</si>
  <si>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</si>
  <si>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</si>
  <si>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</si>
  <si>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</si>
  <si>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</si>
  <si>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</si>
  <si>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</si>
  <si>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</si>
  <si>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</si>
  <si>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</si>
  <si>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</si>
  <si>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</si>
  <si>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</si>
  <si>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</si>
  <si>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</si>
  <si>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</si>
  <si>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</si>
  <si>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</si>
  <si>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</si>
  <si>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</si>
  <si>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</si>
  <si>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</si>
  <si>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</si>
  <si>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</si>
  <si>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</si>
  <si>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</si>
  <si>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</si>
  <si>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</si>
  <si>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</si>
  <si>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</si>
  <si>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</si>
  <si>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</si>
  <si>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</si>
  <si>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</si>
  <si>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</si>
  <si>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</si>
  <si>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</si>
  <si>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</si>
  <si>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</si>
  <si>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</si>
  <si>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</si>
  <si>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</si>
  <si>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</si>
  <si>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</si>
  <si>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</si>
  <si>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</si>
  <si>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</si>
  <si>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</si>
  <si>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</si>
  <si>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</si>
  <si>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</si>
  <si>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</si>
  <si>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</si>
  <si>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</si>
  <si>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</si>
  <si>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</si>
  <si>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</si>
  <si>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</si>
  <si>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</si>
  <si>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</si>
  <si>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</si>
  <si>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</si>
  <si>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</si>
  <si>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</si>
  <si>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</si>
  <si>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</si>
  <si>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</si>
  <si>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</si>
  <si>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</si>
  <si>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</si>
  <si>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</si>
  <si>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</si>
  <si>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</si>
  <si>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</si>
  <si>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</si>
  <si>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</si>
  <si>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</si>
  <si>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</si>
  <si>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</si>
  <si>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</si>
  <si>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</si>
  <si>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</si>
  <si>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</si>
  <si>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</si>
  <si>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</si>
  <si>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</si>
  <si>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</si>
  <si>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</si>
  <si>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</si>
  <si>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</si>
  <si>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</si>
  <si>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</si>
  <si>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</si>
  <si>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</si>
  <si>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</si>
  <si>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</si>
  <si>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</si>
  <si>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</si>
  <si>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</si>
  <si>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</si>
  <si>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</si>
  <si>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</si>
  <si>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</si>
  <si>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</si>
  <si>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</si>
  <si>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</si>
  <si>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</si>
  <si>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</si>
  <si>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</si>
  <si>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</si>
  <si>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</si>
  <si>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</si>
  <si>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</si>
  <si>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</si>
  <si>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</si>
  <si>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</si>
  <si>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</si>
  <si>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</si>
  <si>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</si>
  <si>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</si>
  <si>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</si>
  <si>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</si>
  <si>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</si>
  <si>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</si>
  <si>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</si>
  <si>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</si>
  <si>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</si>
  <si>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</si>
  <si>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</si>
  <si>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</si>
  <si>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</si>
  <si>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</si>
  <si>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</si>
  <si>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</si>
  <si>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</si>
  <si>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</si>
  <si>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</si>
  <si>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</si>
  <si>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</si>
  <si>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</si>
  <si>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</si>
  <si>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</si>
  <si>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</si>
  <si>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</si>
  <si>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</si>
  <si>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</si>
  <si>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</si>
  <si>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</si>
  <si>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</si>
  <si>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</si>
  <si>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</si>
  <si>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</si>
  <si>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</si>
  <si>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</si>
  <si>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</si>
  <si>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</si>
  <si>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</si>
  <si>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</si>
  <si>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</si>
  <si>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</si>
  <si>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</si>
  <si>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</si>
  <si>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</si>
  <si>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</si>
  <si>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</si>
  <si>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</si>
  <si>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</si>
  <si>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</si>
  <si>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</si>
  <si>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</si>
  <si>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</si>
  <si>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</si>
  <si>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</si>
  <si>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</si>
  <si>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</si>
  <si>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</si>
  <si>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</si>
  <si>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</si>
  <si>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</si>
  <si>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</si>
  <si>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</si>
  <si>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</si>
  <si>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</si>
  <si>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</si>
  <si>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</si>
  <si>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</si>
  <si>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</si>
  <si>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</si>
  <si>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</si>
  <si>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</si>
  <si>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</si>
  <si>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</si>
  <si>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</si>
  <si>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</si>
  <si>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</si>
  <si>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</si>
  <si>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</si>
  <si>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</si>
  <si>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</si>
  <si>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</si>
  <si>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</si>
  <si>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</si>
  <si>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</si>
  <si>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</si>
  <si>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</si>
  <si>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</si>
  <si>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</si>
  <si>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</si>
  <si>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</si>
  <si>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</si>
  <si>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</si>
  <si>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</si>
  <si>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</si>
  <si>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</si>
  <si>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</si>
  <si>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</si>
  <si>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</si>
  <si>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</si>
  <si>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</si>
  <si>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</si>
  <si>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</si>
  <si>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</si>
  <si>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</si>
  <si>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</si>
  <si>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</si>
  <si>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</si>
  <si>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</si>
  <si>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</si>
  <si>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</si>
  <si>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</si>
  <si>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</si>
  <si>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</si>
  <si>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</si>
  <si>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</si>
  <si>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</si>
  <si>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</si>
  <si>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</si>
  <si>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</si>
  <si>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</si>
  <si>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</si>
  <si>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</si>
  <si>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</si>
  <si>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</si>
  <si>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</si>
  <si>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</si>
  <si>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</si>
  <si>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</si>
  <si>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</si>
  <si>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</si>
  <si>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</si>
  <si>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</si>
  <si>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</si>
  <si>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</si>
  <si>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</si>
  <si>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</si>
  <si>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</si>
  <si>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</si>
  <si>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</si>
  <si>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</si>
  <si>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</si>
  <si>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</si>
  <si>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</si>
  <si>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</si>
  <si>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</si>
  <si>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</si>
  <si>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</si>
  <si>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</si>
  <si>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</si>
  <si>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</si>
  <si>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</si>
  <si>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</si>
  <si>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</si>
  <si>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</si>
  <si>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</si>
  <si>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</si>
  <si>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</si>
  <si>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</si>
  <si>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</si>
  <si>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</si>
  <si>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</si>
  <si>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</si>
  <si>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</si>
  <si>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</si>
  <si>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</si>
  <si>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</si>
  <si>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</si>
  <si>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</si>
  <si>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</si>
  <si>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</si>
  <si>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</si>
  <si>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</si>
  <si>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</si>
  <si>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</si>
  <si>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</si>
  <si>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</si>
  <si>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</si>
  <si>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</si>
  <si>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</si>
  <si>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</si>
  <si>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</si>
  <si>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</si>
  <si>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</si>
  <si>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</si>
  <si>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</si>
  <si>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</si>
  <si>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</si>
  <si>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</si>
  <si>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</si>
  <si>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</si>
  <si>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</si>
  <si>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</si>
  <si>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</si>
  <si>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</si>
  <si>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</si>
  <si>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</si>
  <si>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</si>
  <si>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</si>
  <si>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</si>
  <si>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</si>
  <si>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</si>
  <si>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</si>
  <si>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</si>
  <si>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</si>
  <si>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</si>
  <si>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</si>
  <si>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</si>
  <si>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</si>
  <si>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</si>
  <si>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</si>
  <si>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</si>
  <si>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</si>
  <si>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</si>
  <si>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</si>
  <si>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</si>
  <si>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</si>
  <si>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</si>
  <si>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</si>
  <si>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</si>
  <si>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</si>
  <si>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</si>
  <si>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</si>
  <si>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</si>
  <si>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</si>
  <si>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</si>
  <si>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</si>
  <si>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</si>
  <si>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</si>
  <si>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</si>
  <si>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</si>
  <si>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</si>
  <si>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</si>
  <si>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</si>
  <si>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</si>
  <si>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</si>
  <si>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</si>
  <si>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</si>
  <si>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</si>
  <si>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</si>
  <si>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</si>
  <si>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</si>
  <si>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</si>
  <si>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</si>
  <si>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</si>
  <si>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</si>
  <si>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</si>
  <si>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</si>
  <si>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</si>
  <si>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</si>
  <si>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</si>
  <si>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</si>
  <si>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</si>
  <si>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</si>
  <si>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</si>
  <si>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</si>
  <si>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</si>
  <si>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</si>
  <si>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</si>
  <si>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</si>
  <si>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</si>
  <si>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</si>
  <si>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</si>
  <si>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</si>
  <si>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</si>
  <si>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</si>
  <si>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</si>
  <si>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</si>
  <si>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</si>
  <si>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</si>
  <si>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</si>
  <si>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</si>
  <si>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</si>
  <si>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</si>
  <si>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</si>
  <si>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</si>
  <si>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</si>
  <si>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</si>
  <si>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</si>
  <si>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</si>
  <si>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</si>
  <si>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</si>
  <si>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</si>
  <si>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</si>
  <si>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</si>
  <si>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</si>
  <si>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</si>
  <si>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</si>
  <si>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</si>
  <si>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</si>
  <si>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</si>
  <si>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</si>
  <si>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</si>
  <si>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</si>
  <si>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</si>
  <si>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</si>
  <si>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</si>
  <si>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</si>
  <si>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</si>
  <si>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</si>
  <si>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</si>
  <si>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</si>
  <si>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</si>
  <si>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</si>
  <si>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</si>
  <si>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</si>
  <si>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</si>
  <si>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</si>
  <si>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</si>
  <si>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</si>
  <si>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</si>
  <si>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</si>
  <si>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</si>
  <si>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</si>
  <si>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</si>
  <si>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</si>
  <si>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</si>
  <si>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</si>
  <si>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</si>
  <si>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</si>
  <si>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</si>
  <si>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</si>
  <si>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</si>
  <si>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</si>
  <si>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</si>
  <si>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</si>
  <si>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</si>
  <si>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</si>
  <si>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</si>
  <si>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</si>
  <si>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</si>
  <si>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</si>
  <si>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</si>
  <si>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</si>
  <si>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</si>
  <si>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</si>
  <si>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</si>
  <si>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</si>
  <si>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</si>
  <si>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</si>
  <si>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</si>
  <si>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</si>
  <si>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</si>
  <si>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</si>
  <si>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</si>
  <si>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</si>
  <si>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</si>
  <si>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</si>
  <si>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</si>
  <si>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</si>
  <si>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</si>
  <si>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</si>
  <si>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</si>
  <si>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</si>
  <si>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</si>
  <si>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</si>
  <si>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</si>
  <si>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</si>
  <si>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</si>
  <si>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</si>
  <si>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</si>
  <si>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</si>
  <si>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</si>
  <si>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</si>
  <si>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</si>
  <si>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</si>
  <si>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</si>
  <si>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</si>
  <si>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</si>
  <si>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</si>
  <si>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</si>
  <si>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</si>
  <si>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</si>
  <si>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</si>
  <si>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</si>
  <si>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</si>
  <si>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</si>
  <si>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</si>
  <si>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</si>
  <si>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</si>
  <si>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</si>
  <si>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</si>
  <si>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</si>
  <si>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</si>
  <si>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</si>
  <si>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</si>
  <si>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</si>
  <si>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</si>
  <si>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</si>
  <si>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</si>
  <si>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</si>
  <si>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</si>
  <si>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</si>
  <si>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</si>
  <si>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</si>
  <si>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</si>
  <si>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</si>
  <si>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</si>
  <si>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</si>
  <si>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</si>
  <si>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</si>
  <si>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</si>
  <si>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</si>
  <si>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</si>
  <si>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</si>
  <si>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</si>
  <si>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</si>
  <si>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</si>
  <si>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</si>
  <si>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</si>
  <si>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</si>
  <si>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</si>
  <si>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</si>
  <si>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</si>
  <si>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</si>
  <si>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</si>
  <si>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</si>
  <si>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</si>
  <si>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</si>
  <si>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</si>
  <si>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</si>
  <si>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</si>
  <si>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</si>
  <si>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</si>
  <si>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</si>
  <si>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</si>
  <si>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</si>
  <si>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</si>
  <si>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</si>
  <si>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</si>
  <si>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</si>
  <si>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</si>
  <si>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</si>
  <si>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</si>
  <si>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</si>
  <si>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</si>
  <si>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</si>
  <si>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</si>
  <si>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</si>
  <si>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</si>
  <si>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</si>
  <si>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</si>
  <si>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</si>
  <si>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</si>
  <si>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</si>
  <si>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</si>
  <si>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</si>
  <si>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</si>
  <si>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</si>
  <si>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</si>
  <si>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</si>
  <si>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</si>
  <si>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</si>
  <si>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</si>
  <si>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</si>
  <si>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</si>
  <si>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</si>
  <si>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</si>
  <si>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</si>
  <si>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</si>
  <si>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</si>
  <si>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</si>
  <si>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</si>
  <si>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</si>
  <si>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</si>
  <si>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</si>
  <si>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</si>
  <si>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</si>
  <si>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</si>
  <si>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</si>
  <si>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</si>
  <si>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</si>
  <si>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</si>
  <si>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</si>
  <si>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</si>
  <si>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</si>
  <si>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</si>
  <si>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</si>
  <si>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</si>
  <si>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</si>
  <si>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</si>
  <si>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</si>
  <si>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</si>
  <si>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</si>
  <si>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</si>
  <si>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</si>
  <si>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</si>
  <si>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</si>
  <si>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</si>
  <si>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</si>
  <si>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</si>
  <si>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</si>
  <si>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</si>
  <si>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</si>
  <si>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</si>
  <si>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</si>
  <si>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</si>
  <si>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</si>
  <si>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</si>
  <si>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</si>
  <si>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</si>
  <si>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</si>
  <si>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</si>
  <si>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</si>
  <si>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</si>
  <si>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</si>
  <si>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</si>
  <si>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</si>
  <si>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</si>
  <si>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</si>
  <si>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</si>
  <si>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</si>
  <si>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</si>
  <si>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</si>
  <si>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</si>
  <si>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</si>
  <si>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</si>
  <si>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</si>
  <si>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</si>
  <si>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</si>
  <si>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</si>
  <si>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</si>
  <si>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</si>
  <si>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</si>
  <si>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</si>
  <si>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</si>
  <si>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</si>
  <si>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</si>
  <si>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</si>
  <si>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</si>
  <si>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</si>
  <si>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</si>
  <si>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</si>
  <si>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</si>
  <si>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</si>
  <si>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</si>
  <si>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</si>
  <si>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</si>
  <si>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</si>
  <si>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</si>
  <si>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</si>
  <si>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</si>
  <si>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</si>
  <si>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</si>
  <si>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</si>
  <si>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</si>
  <si>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</si>
  <si>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</si>
  <si>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</si>
  <si>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</si>
  <si>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</si>
  <si>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</si>
  <si>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</si>
  <si>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</si>
  <si>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</si>
  <si>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</si>
  <si>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</si>
  <si>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</si>
  <si>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</si>
  <si>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</si>
  <si>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</si>
  <si>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</si>
  <si>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</si>
  <si>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</si>
  <si>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</si>
  <si>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</si>
  <si>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</si>
  <si>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</si>
  <si>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</si>
  <si>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</si>
  <si>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</si>
  <si>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</si>
  <si>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</si>
  <si>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</si>
  <si>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</si>
  <si>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</si>
  <si>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</si>
  <si>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</si>
  <si>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</si>
  <si>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</si>
  <si>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</si>
  <si>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</si>
  <si>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</si>
  <si>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</si>
  <si>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</si>
  <si>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</si>
  <si>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</si>
  <si>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</si>
  <si>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</si>
  <si>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</si>
  <si>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</si>
  <si>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</si>
  <si>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</si>
  <si>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</si>
  <si>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</si>
  <si>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</si>
  <si>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</si>
  <si>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</si>
  <si>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</si>
  <si>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</si>
  <si>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</si>
  <si>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</si>
  <si>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</si>
  <si>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</si>
  <si>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</si>
  <si>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</si>
  <si>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</si>
  <si>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</si>
  <si>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</si>
  <si>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</si>
  <si>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</si>
  <si>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</si>
  <si>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</si>
  <si>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</si>
  <si>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</si>
  <si>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</si>
  <si>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</si>
  <si>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</si>
  <si>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</si>
  <si>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</si>
  <si>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</si>
  <si>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</si>
  <si>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</si>
  <si>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</si>
  <si>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</si>
  <si>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</si>
  <si>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</si>
  <si>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</si>
  <si>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</si>
  <si>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</si>
  <si>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</si>
  <si>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</si>
  <si>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</si>
  <si>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</si>
  <si>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</si>
  <si>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</si>
  <si>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</si>
  <si>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</si>
  <si>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</si>
  <si>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</si>
  <si>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</si>
  <si>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</si>
  <si>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</si>
  <si>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</si>
  <si>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</si>
  <si>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</si>
  <si>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</si>
  <si>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</si>
  <si>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</si>
  <si>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</si>
  <si>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</si>
  <si>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</si>
  <si>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</si>
  <si>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</si>
  <si>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</si>
  <si>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</si>
  <si>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</si>
  <si>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</si>
  <si>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</si>
  <si>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</si>
  <si>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</si>
  <si>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</si>
  <si>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</si>
  <si>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</si>
  <si>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</si>
  <si>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</si>
  <si>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</si>
  <si>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</si>
  <si>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</si>
  <si>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</si>
  <si>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</si>
  <si>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</si>
  <si>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</si>
  <si>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</si>
  <si>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</si>
  <si>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</si>
  <si>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</si>
  <si>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</si>
  <si>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</si>
  <si>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</si>
  <si>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</si>
  <si>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</si>
  <si>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</si>
  <si>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</si>
  <si>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</si>
  <si>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</si>
  <si>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</si>
  <si>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</si>
  <si>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</si>
  <si>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</si>
  <si>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</si>
  <si>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</si>
  <si>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</si>
  <si>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</si>
  <si>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</si>
  <si>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</si>
  <si>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</si>
  <si>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</si>
  <si>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</si>
  <si>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</si>
  <si>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</si>
  <si>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</si>
  <si>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</si>
  <si>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</si>
  <si>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</si>
  <si>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</si>
  <si>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</si>
  <si>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</si>
  <si>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</si>
  <si>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</si>
  <si>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</si>
  <si>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</si>
  <si>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</si>
  <si>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</si>
  <si>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</si>
  <si>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</si>
  <si>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</si>
  <si>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</si>
  <si>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</si>
  <si>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</si>
  <si>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</si>
  <si>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</si>
  <si>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</si>
  <si>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</si>
  <si>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</si>
  <si>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</si>
  <si>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</si>
  <si>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</si>
  <si>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</si>
  <si>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</si>
  <si>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</si>
  <si>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</si>
  <si>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</si>
  <si>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</si>
  <si>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</si>
  <si>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</si>
  <si>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</si>
  <si>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</si>
  <si>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</si>
  <si>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</si>
  <si>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</si>
  <si>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</si>
  <si>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</si>
  <si>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</si>
  <si>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</si>
  <si>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</si>
  <si>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</si>
  <si>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</si>
  <si>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</si>
  <si>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</si>
  <si>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</si>
  <si>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</si>
  <si>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</si>
  <si>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</si>
  <si>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</si>
  <si>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</si>
  <si>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</si>
  <si>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</si>
  <si>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</si>
  <si>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</si>
  <si>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</si>
  <si>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</si>
  <si>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</si>
  <si>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</si>
  <si>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</si>
  <si>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</si>
  <si>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</si>
  <si>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</si>
  <si>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</si>
  <si>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</si>
  <si>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</si>
  <si>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</si>
  <si>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</si>
  <si>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</si>
  <si>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</si>
  <si>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</si>
  <si>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</si>
  <si>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</si>
  <si>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</si>
  <si>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</si>
  <si>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</si>
  <si>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</si>
  <si>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</si>
  <si>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</si>
  <si>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</si>
  <si>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</si>
  <si>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</si>
  <si>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</si>
  <si>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</si>
  <si>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</si>
  <si>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</si>
  <si>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</si>
  <si>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</si>
  <si>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</si>
  <si>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</si>
  <si>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</si>
  <si>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</si>
  <si>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</si>
  <si>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</si>
  <si>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</si>
  <si>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</si>
  <si>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</si>
  <si>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</si>
  <si>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</si>
  <si>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</si>
  <si>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</si>
  <si>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</si>
  <si>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</si>
  <si>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</si>
  <si>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</si>
  <si>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</si>
  <si>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</si>
  <si>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</si>
  <si>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</si>
  <si>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</si>
  <si>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</si>
  <si>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</si>
  <si>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</si>
  <si>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</si>
  <si>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</si>
  <si>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</si>
  <si>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</si>
  <si>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</si>
  <si>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</si>
  <si>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</si>
  <si>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</si>
  <si>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</si>
  <si>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</si>
  <si>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</si>
  <si>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</si>
  <si>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</si>
  <si>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</si>
  <si>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</si>
  <si>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</si>
  <si>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</si>
  <si>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</si>
  <si>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</si>
  <si>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</si>
  <si>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</si>
  <si>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</si>
  <si>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</si>
  <si>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</si>
  <si>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</si>
  <si>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</si>
  <si>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</si>
  <si>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</si>
  <si>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</si>
  <si>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</si>
  <si>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</si>
  <si>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</si>
  <si>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</si>
  <si>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</si>
  <si>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</si>
  <si>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</si>
  <si>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</si>
  <si>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</si>
  <si>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</si>
  <si>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</si>
  <si>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</si>
  <si>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</si>
  <si>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</si>
  <si>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</si>
  <si>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</si>
  <si>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</si>
  <si>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</si>
  <si>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</si>
  <si>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</si>
  <si>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</si>
  <si>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</si>
  <si>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</si>
  <si>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</si>
  <si>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</si>
  <si>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</si>
  <si>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</si>
  <si>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</si>
  <si>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</si>
  <si>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</si>
  <si>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</si>
  <si>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</si>
  <si>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</si>
  <si>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</si>
  <si>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</si>
  <si>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</si>
  <si>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</si>
  <si>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</si>
  <si>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</si>
  <si>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</si>
  <si>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</si>
  <si>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</si>
  <si>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</si>
  <si>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</si>
  <si>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</si>
  <si>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</si>
  <si>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</si>
  <si>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</si>
  <si>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</si>
  <si>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</si>
  <si>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</si>
  <si>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</si>
  <si>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</si>
  <si>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</si>
  <si>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</si>
  <si>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</si>
  <si>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</si>
  <si>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</si>
  <si>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</si>
  <si>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</si>
  <si>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</si>
  <si>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</si>
  <si>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</si>
  <si>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</si>
  <si>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</si>
  <si>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</si>
  <si>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</si>
  <si>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</si>
  <si>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</si>
  <si>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</si>
  <si>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</si>
  <si>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</si>
  <si>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</si>
  <si>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</si>
  <si>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</si>
  <si>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</si>
  <si>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</si>
  <si>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</si>
  <si>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</si>
  <si>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</si>
  <si>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</si>
  <si>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</si>
  <si>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</si>
  <si>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</si>
  <si>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</si>
  <si>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</si>
  <si>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</si>
  <si>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</si>
  <si>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</si>
  <si>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</si>
  <si>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</si>
  <si>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</si>
  <si>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</si>
  <si>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</si>
  <si>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</si>
  <si>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</si>
  <si>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</si>
  <si>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</si>
  <si>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</si>
  <si>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</si>
  <si>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</si>
  <si>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</si>
  <si>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</si>
  <si>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</si>
  <si>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</si>
  <si>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</si>
  <si>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</si>
  <si>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</si>
  <si>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</si>
  <si>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</si>
  <si>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</si>
  <si>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</si>
  <si>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</si>
  <si>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</si>
  <si>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</si>
  <si>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</si>
  <si>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</si>
  <si>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</si>
  <si>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</si>
  <si>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</si>
  <si>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</si>
  <si>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</si>
  <si>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</si>
  <si>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</si>
  <si>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</si>
  <si>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</si>
  <si>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</si>
  <si>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</si>
  <si>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</si>
  <si>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</si>
  <si>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</si>
  <si>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</si>
  <si>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</si>
  <si>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</si>
  <si>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</si>
  <si>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</si>
  <si>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</si>
  <si>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</si>
  <si>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</si>
  <si>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</si>
  <si>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</si>
  <si>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</si>
  <si>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</si>
  <si>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</si>
  <si>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</si>
  <si>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</si>
  <si>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</si>
  <si>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</si>
  <si>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</si>
  <si>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</si>
  <si>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</si>
  <si>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</si>
  <si>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</si>
  <si>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</si>
  <si>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</si>
  <si>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</si>
  <si>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</si>
  <si>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</si>
  <si>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</si>
  <si>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</si>
  <si>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</si>
  <si>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</si>
  <si>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</si>
  <si>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</si>
  <si>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</si>
  <si>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</si>
  <si>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</si>
  <si>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</si>
  <si>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</si>
  <si>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</si>
  <si>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</si>
  <si>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</si>
  <si>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</si>
  <si>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</si>
  <si>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</si>
  <si>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</si>
  <si>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</si>
  <si>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</si>
  <si>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</si>
  <si>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</si>
  <si>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</si>
  <si>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</si>
  <si>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</si>
  <si>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</si>
  <si>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</si>
  <si>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</si>
  <si>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</si>
  <si>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</si>
  <si>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</si>
  <si>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</si>
  <si>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</si>
  <si>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</si>
  <si>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</si>
  <si>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</si>
  <si>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</si>
  <si>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</si>
  <si>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</si>
  <si>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</si>
  <si>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</si>
  <si>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</si>
  <si>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</si>
  <si>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</si>
  <si>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</si>
  <si>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</si>
  <si>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</si>
  <si>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</si>
  <si>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</si>
  <si>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</si>
  <si>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</si>
  <si>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</si>
  <si>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</si>
  <si>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</si>
  <si>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</si>
  <si>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</si>
  <si>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</si>
  <si>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</si>
  <si>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</si>
  <si>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</si>
  <si>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</si>
  <si>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</si>
  <si>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</si>
  <si>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</si>
  <si>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</si>
  <si>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</si>
  <si>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</si>
  <si>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</si>
  <si>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</si>
  <si>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</si>
  <si>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</si>
  <si>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</si>
  <si>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</si>
  <si>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</si>
  <si>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</si>
  <si>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</si>
  <si>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</si>
  <si>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</si>
  <si>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</si>
  <si>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</si>
  <si>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</si>
  <si>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</si>
  <si>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</si>
  <si>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</si>
  <si>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</si>
  <si>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</si>
  <si>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</si>
  <si>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</si>
  <si>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</si>
  <si>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</si>
  <si>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</si>
  <si>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</si>
  <si>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</si>
  <si>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</si>
  <si>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</si>
  <si>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</si>
  <si>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</si>
  <si>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</si>
  <si>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</si>
  <si>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</si>
  <si>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</si>
  <si>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</si>
  <si>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</si>
  <si>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</si>
  <si>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</si>
  <si>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</si>
  <si>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</si>
  <si>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</si>
  <si>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</si>
  <si>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</si>
  <si>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</si>
  <si>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</si>
  <si>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</si>
  <si>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</si>
  <si>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</si>
  <si>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</si>
  <si>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</si>
  <si>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</si>
  <si>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</si>
  <si>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</si>
  <si>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</si>
  <si>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</si>
  <si>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</si>
  <si>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</si>
  <si>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</si>
  <si>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</si>
  <si>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</si>
  <si>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</si>
  <si>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</si>
  <si>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</si>
  <si>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</si>
  <si>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</si>
  <si>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</si>
  <si>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</si>
  <si>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</si>
  <si>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</si>
  <si>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</si>
  <si>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</si>
  <si>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</si>
  <si>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</si>
  <si>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</si>
  <si>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</si>
  <si>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</si>
  <si>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</si>
  <si>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</si>
  <si>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</si>
  <si>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</si>
  <si>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</si>
  <si>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</si>
  <si>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</si>
  <si>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</si>
  <si>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</si>
  <si>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</si>
  <si>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</si>
  <si>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</si>
  <si>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</si>
  <si>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</si>
  <si>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</si>
  <si>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</si>
  <si>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</si>
  <si>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</si>
  <si>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</si>
  <si>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</si>
  <si>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</si>
  <si>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</si>
  <si>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</si>
  <si>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</si>
  <si>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</si>
  <si>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</si>
  <si>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</si>
  <si>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</si>
  <si>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</si>
  <si>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</si>
  <si>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</si>
  <si>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</si>
  <si>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</si>
  <si>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</si>
  <si>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</si>
  <si>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</si>
  <si>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</si>
  <si>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</si>
  <si>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</si>
  <si>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</si>
  <si>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</si>
  <si>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</si>
  <si>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</si>
  <si>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</si>
  <si>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</si>
  <si>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</si>
  <si>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</si>
  <si>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</si>
  <si>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</si>
  <si>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</si>
  <si>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</si>
  <si>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</si>
  <si>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</si>
  <si>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</si>
  <si>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</si>
  <si>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</si>
  <si>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</si>
  <si>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</si>
  <si>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</si>
  <si>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</si>
  <si>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</si>
  <si>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</si>
  <si>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</si>
  <si>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</si>
  <si>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</si>
  <si>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</si>
  <si>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</si>
  <si>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</si>
  <si>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</si>
  <si>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</si>
  <si>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</si>
  <si>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</si>
  <si>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</si>
  <si>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</si>
  <si>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</si>
  <si>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</si>
  <si>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</si>
  <si>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</si>
  <si>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</si>
  <si>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</si>
  <si>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</si>
  <si>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</si>
  <si>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</si>
  <si>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</si>
  <si>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</si>
  <si>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</si>
  <si>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</si>
  <si>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</si>
  <si>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</si>
  <si>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</si>
  <si>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</si>
  <si>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</si>
  <si>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</si>
  <si>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</si>
  <si>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</si>
  <si>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</si>
  <si>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</si>
  <si>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</si>
  <si>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</si>
  <si>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</si>
  <si>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</si>
  <si>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</si>
  <si>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</si>
  <si>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</si>
  <si>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</si>
  <si>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</si>
  <si>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</si>
  <si>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</si>
  <si>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</si>
  <si>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</si>
  <si>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</si>
  <si>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</si>
  <si>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</si>
  <si>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</si>
  <si>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</si>
  <si>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</si>
  <si>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</si>
  <si>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</si>
  <si>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</si>
  <si>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</si>
  <si>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</si>
  <si>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</si>
  <si>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</si>
  <si>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</si>
  <si>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</si>
  <si>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</si>
  <si>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</si>
  <si>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</si>
  <si>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</si>
  <si>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</si>
  <si>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</si>
  <si>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</si>
  <si>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</si>
  <si>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</si>
  <si>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</si>
  <si>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</si>
  <si>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</si>
  <si>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</si>
  <si>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</si>
  <si>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</si>
  <si>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</si>
  <si>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</si>
  <si>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</si>
  <si>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</si>
  <si>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</si>
  <si>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</si>
  <si>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</si>
  <si>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</si>
  <si>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</si>
  <si>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</si>
  <si>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</si>
  <si>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</si>
  <si>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</si>
  <si>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</si>
  <si>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</si>
  <si>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</si>
  <si>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</si>
  <si>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</si>
  <si>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</si>
  <si>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</si>
  <si>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</si>
  <si>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</si>
  <si>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</si>
  <si>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</si>
  <si>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</si>
  <si>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</si>
  <si>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</si>
  <si>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</si>
  <si>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</si>
  <si>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</si>
  <si>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</si>
  <si>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</si>
  <si>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</si>
  <si>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</si>
  <si>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</si>
  <si>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</si>
  <si>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</si>
  <si>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</si>
  <si>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</si>
  <si>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</si>
  <si>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</si>
  <si>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</si>
  <si>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</si>
  <si>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</si>
  <si>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</si>
  <si>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</si>
  <si>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</si>
  <si>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</si>
  <si>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</si>
  <si>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</si>
  <si>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</si>
  <si>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</si>
  <si>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</si>
  <si>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</si>
  <si>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</si>
  <si>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</si>
  <si>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</si>
  <si>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</si>
  <si>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</si>
  <si>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</si>
  <si>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</si>
  <si>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</si>
  <si>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</si>
  <si>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</si>
  <si>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</si>
  <si>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</si>
  <si>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</si>
  <si>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</si>
  <si>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</si>
  <si>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</si>
  <si>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</si>
  <si>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</si>
  <si>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</si>
  <si>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</si>
  <si>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</si>
  <si>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</si>
  <si>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</si>
  <si>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</si>
  <si>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</si>
  <si>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</si>
  <si>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</si>
  <si>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</si>
  <si>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</si>
  <si>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</si>
  <si>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</si>
  <si>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</si>
  <si>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</si>
  <si>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</si>
  <si>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</si>
  <si>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</si>
  <si>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</si>
  <si>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</si>
  <si>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</si>
  <si>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</si>
  <si>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</si>
  <si>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</si>
  <si>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</si>
  <si>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</si>
  <si>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</si>
  <si>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</si>
  <si>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</si>
  <si>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</si>
  <si>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</si>
  <si>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</si>
  <si>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</si>
  <si>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</si>
  <si>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</si>
  <si>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</si>
  <si>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</si>
  <si>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</si>
  <si>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</si>
  <si>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</si>
  <si>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</si>
  <si>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</si>
  <si>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</si>
  <si>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</si>
  <si>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</si>
  <si>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</si>
  <si>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</si>
  <si>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</si>
  <si>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</si>
  <si>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</si>
  <si>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</si>
  <si>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</si>
  <si>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</si>
  <si>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</si>
  <si>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</si>
  <si>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</si>
  <si>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</si>
  <si>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</si>
  <si>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</si>
  <si>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</si>
  <si>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</si>
  <si>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</si>
  <si>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</si>
  <si>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</si>
  <si>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</si>
  <si>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</si>
  <si>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</si>
  <si>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</si>
  <si>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</si>
  <si>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</si>
  <si>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</si>
  <si>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</si>
  <si>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</si>
  <si>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</si>
  <si>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</si>
  <si>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</si>
  <si>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</si>
  <si>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</si>
  <si>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</si>
  <si>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</si>
  <si>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</si>
  <si>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</si>
  <si>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</si>
  <si>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</si>
  <si>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</si>
  <si>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</si>
  <si>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</si>
  <si>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</si>
  <si>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</si>
  <si>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</si>
  <si>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</si>
  <si>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</si>
  <si>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</si>
  <si>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</si>
  <si>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</si>
  <si>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</si>
  <si>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</si>
  <si>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</si>
  <si>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</si>
  <si>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</si>
  <si>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</si>
  <si>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</si>
  <si>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</si>
  <si>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</si>
  <si>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</si>
  <si>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</si>
  <si>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</si>
  <si>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</si>
  <si>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</si>
  <si>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</si>
  <si>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</si>
  <si>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</si>
  <si>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</si>
  <si>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</si>
  <si>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</si>
  <si>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</si>
  <si>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</si>
  <si>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</si>
  <si>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</si>
  <si>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</si>
  <si>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</si>
  <si>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</si>
  <si>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</si>
  <si>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</si>
  <si>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</si>
  <si>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</si>
  <si>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</si>
  <si>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</si>
  <si>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</si>
  <si>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</si>
  <si>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</si>
  <si>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</si>
  <si>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</si>
  <si>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</si>
  <si>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</si>
  <si>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</si>
  <si>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</si>
  <si>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</si>
  <si>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</si>
  <si>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</si>
  <si>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</si>
  <si>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</si>
  <si>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</si>
  <si>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</si>
  <si>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</si>
  <si>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</si>
  <si>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</si>
  <si>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</si>
  <si>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</si>
  <si>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</si>
  <si>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</si>
  <si>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</si>
  <si>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</si>
  <si>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</si>
  <si>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</si>
  <si>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</si>
  <si>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</si>
  <si>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</si>
  <si>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</si>
  <si>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</si>
  <si>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</si>
  <si>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</si>
  <si>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</si>
  <si>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</si>
  <si>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</si>
  <si>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</si>
  <si>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</si>
  <si>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</si>
  <si>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</si>
  <si>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</si>
  <si>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</si>
  <si>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</si>
  <si>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</si>
  <si>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</si>
  <si>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</si>
  <si>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</si>
  <si>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</si>
  <si>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</si>
  <si>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</si>
  <si>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</si>
  <si>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</si>
  <si>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</si>
  <si>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</si>
  <si>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</si>
  <si>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</si>
  <si>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</si>
  <si>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</si>
  <si>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</si>
  <si>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</si>
  <si>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</si>
  <si>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</si>
  <si>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</si>
  <si>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</si>
  <si>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</si>
  <si>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</si>
  <si>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</si>
  <si>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</si>
  <si>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</si>
  <si>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</si>
  <si>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</si>
  <si>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</si>
  <si>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</si>
  <si>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</si>
  <si>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</si>
  <si>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</si>
  <si>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</si>
  <si>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</si>
  <si>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</si>
  <si>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</si>
  <si>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</si>
  <si>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</si>
  <si>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</si>
  <si>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</si>
  <si>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</si>
  <si>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</si>
  <si>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</si>
  <si>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</si>
  <si>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</si>
  <si>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</si>
  <si>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</si>
  <si>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</si>
  <si>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</si>
  <si>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</si>
  <si>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</si>
  <si>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</si>
  <si>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</si>
  <si>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</si>
  <si>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Cuenta de outcome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</si>
  <si>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</si>
  <si>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</si>
  <si>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</si>
  <si>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</si>
  <si>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</si>
  <si>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</si>
  <si>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</si>
  <si>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</si>
  <si>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</si>
  <si>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</si>
  <si>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</si>
  <si>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</si>
  <si>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</si>
  <si>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Column Labels</t>
  </si>
  <si>
    <t>Row Labels</t>
  </si>
  <si>
    <t>Grand Total</t>
  </si>
  <si>
    <t>(All)</t>
  </si>
  <si>
    <t>Años (Date created conversion)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</si>
  <si>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</si>
  <si>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</si>
  <si>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</si>
  <si>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</si>
  <si>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</si>
  <si>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</si>
  <si>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</si>
  <si>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</si>
  <si>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</si>
  <si>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</si>
  <si>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</si>
  <si>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</si>
  <si>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Count of outcome</t>
  </si>
  <si>
    <t>%SUCCESFUL</t>
  </si>
  <si>
    <t>%FAILED</t>
  </si>
  <si>
    <t>%FAIL</t>
  </si>
  <si>
    <t>%SUCCES</t>
  </si>
  <si>
    <t>Sum of Average donation</t>
  </si>
  <si>
    <t>Sum of backers_count</t>
  </si>
  <si>
    <t>Etiquetas de columna</t>
  </si>
  <si>
    <t>Etiquetas de fila</t>
  </si>
  <si>
    <t>Total general</t>
  </si>
  <si>
    <t>(Todas)</t>
  </si>
  <si>
    <t>Suma de backers_count</t>
  </si>
  <si>
    <t>Goal</t>
  </si>
  <si>
    <t>Number Failed</t>
  </si>
  <si>
    <t>Number Succesful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</si>
  <si>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</si>
  <si>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</si>
  <si>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</si>
  <si>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</si>
  <si>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</si>
  <si>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</si>
  <si>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</si>
  <si>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</si>
  <si>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</si>
  <si>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</si>
  <si>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</si>
  <si>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</si>
  <si>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</si>
  <si>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</si>
  <si>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</si>
  <si>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</si>
  <si>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</si>
  <si>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</si>
  <si>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</si>
  <si>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 xml:space="preserve"> </t>
  </si>
  <si>
    <t/>
  </si>
  <si>
    <t>Mean</t>
  </si>
  <si>
    <t>Median</t>
  </si>
  <si>
    <t xml:space="preserve">Minimum </t>
  </si>
  <si>
    <t>Maximum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</si>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</sst>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16" fillId="0" borderId="11" xfId="0" applyFont="1" applyBorder="1" applyAlignment="1">
      <alignment horizontal="center"/>
    </xf>
    <xf numFmtId="0" fontId="0" fillId="0" borderId="11" xfId="0" applyBorder="1"/>
    <xf numFmtId="0" fontId="16" fillId="0" borderId="11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final.xlsx]Category!TablaDinámica1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9-412E-9EB8-BC88CAE075A5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9-412E-9EB8-BC88CAE075A5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9-412E-9EB8-BC88CAE075A5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9-412E-9EB8-BC88CAE0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803999"/>
        <c:axId val="1745804479"/>
      </c:barChart>
      <c:catAx>
        <c:axId val="17458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5804479"/>
        <c:crosses val="autoZero"/>
        <c:auto val="1"/>
        <c:lblAlgn val="ctr"/>
        <c:lblOffset val="100"/>
        <c:noMultiLvlLbl val="0"/>
      </c:catAx>
      <c:valAx>
        <c:axId val="17458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58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TABLES!$V$3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TABLES!$U$4:$U$13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TABLES!$V$4:$V$13</c:f>
              <c:numCache>
                <c:formatCode>General</c:formatCode>
                <c:ptCount val="9"/>
                <c:pt idx="0">
                  <c:v>178</c:v>
                </c:pt>
                <c:pt idx="1">
                  <c:v>46</c:v>
                </c:pt>
                <c:pt idx="2">
                  <c:v>48</c:v>
                </c:pt>
                <c:pt idx="3">
                  <c:v>4</c:v>
                </c:pt>
                <c:pt idx="4">
                  <c:v>175</c:v>
                </c:pt>
                <c:pt idx="5">
                  <c:v>42</c:v>
                </c:pt>
                <c:pt idx="6">
                  <c:v>67</c:v>
                </c:pt>
                <c:pt idx="7">
                  <c:v>96</c:v>
                </c:pt>
                <c:pt idx="8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3-4C67-B66C-64B9E80B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56527"/>
        <c:axId val="1356664207"/>
      </c:lineChart>
      <c:catAx>
        <c:axId val="135665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64207"/>
        <c:crosses val="autoZero"/>
        <c:auto val="1"/>
        <c:lblAlgn val="ctr"/>
        <c:lblOffset val="100"/>
        <c:noMultiLvlLbl val="0"/>
      </c:catAx>
      <c:valAx>
        <c:axId val="13566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TABLES!$M$33:$M$34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TABLES!$L$35:$L$47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TABLES!$M$35:$M$47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306-BC6E-F0C6451B48C5}"/>
            </c:ext>
          </c:extLst>
        </c:ser>
        <c:ser>
          <c:idx val="1"/>
          <c:order val="1"/>
          <c:tx>
            <c:strRef>
              <c:f>TABLES!$N$33:$N$34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TABLES!$L$35:$L$47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TABLES!$N$35:$N$47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3-4306-BC6E-F0C6451B48C5}"/>
            </c:ext>
          </c:extLst>
        </c:ser>
        <c:ser>
          <c:idx val="2"/>
          <c:order val="2"/>
          <c:tx>
            <c:strRef>
              <c:f>TABLES!$O$33:$O$34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TABLES!$L$35:$L$47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TABLES!$O$35:$O$47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3-4306-BC6E-F0C6451B48C5}"/>
            </c:ext>
          </c:extLst>
        </c:ser>
        <c:ser>
          <c:idx val="3"/>
          <c:order val="3"/>
          <c:tx>
            <c:strRef>
              <c:f>TABLES!$P$33:$P$34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TABLES!$L$35:$L$47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TABLES!$P$35:$P$47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3-4306-BC6E-F0C6451B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01679"/>
        <c:axId val="1018602159"/>
      </c:lineChart>
      <c:catAx>
        <c:axId val="10186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602159"/>
        <c:crosses val="autoZero"/>
        <c:auto val="1"/>
        <c:lblAlgn val="ctr"/>
        <c:lblOffset val="100"/>
        <c:noMultiLvlLbl val="0"/>
      </c:catAx>
      <c:valAx>
        <c:axId val="10186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6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TABLES!$V$18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TABLES!$U$19:$U$28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TABLES!$V$19:$V$28</c:f>
              <c:numCache>
                <c:formatCode>General</c:formatCode>
                <c:ptCount val="9"/>
                <c:pt idx="0">
                  <c:v>121875</c:v>
                </c:pt>
                <c:pt idx="1">
                  <c:v>28846</c:v>
                </c:pt>
                <c:pt idx="2">
                  <c:v>37662</c:v>
                </c:pt>
                <c:pt idx="3">
                  <c:v>1194</c:v>
                </c:pt>
                <c:pt idx="4">
                  <c:v>129002</c:v>
                </c:pt>
                <c:pt idx="5">
                  <c:v>24044</c:v>
                </c:pt>
                <c:pt idx="6">
                  <c:v>52619</c:v>
                </c:pt>
                <c:pt idx="7">
                  <c:v>67494</c:v>
                </c:pt>
                <c:pt idx="8">
                  <c:v>264269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A-4F45-90BB-4C2B8FD39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56527"/>
        <c:axId val="1356664207"/>
      </c:lineChart>
      <c:catAx>
        <c:axId val="135665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64207"/>
        <c:crosses val="autoZero"/>
        <c:auto val="1"/>
        <c:lblAlgn val="ctr"/>
        <c:lblOffset val="100"/>
        <c:noMultiLvlLbl val="0"/>
      </c:catAx>
      <c:valAx>
        <c:axId val="13566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backers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5652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TABLES!$V$33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TABLES!$U$34:$U$45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TABLES!$V$34:$V$45</c:f>
              <c:numCache>
                <c:formatCode>General</c:formatCode>
                <c:ptCount val="11"/>
                <c:pt idx="0">
                  <c:v>80961</c:v>
                </c:pt>
                <c:pt idx="1">
                  <c:v>75090</c:v>
                </c:pt>
                <c:pt idx="2">
                  <c:v>66346</c:v>
                </c:pt>
                <c:pt idx="3">
                  <c:v>70618</c:v>
                </c:pt>
                <c:pt idx="4">
                  <c:v>98251</c:v>
                </c:pt>
                <c:pt idx="5">
                  <c:v>58219</c:v>
                </c:pt>
                <c:pt idx="6">
                  <c:v>53847</c:v>
                </c:pt>
                <c:pt idx="7">
                  <c:v>86877</c:v>
                </c:pt>
                <c:pt idx="8">
                  <c:v>64400</c:v>
                </c:pt>
                <c:pt idx="9">
                  <c:v>72322</c:v>
                </c:pt>
                <c:pt idx="1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7-4BAD-BD80-0CD6FFD5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073967"/>
        <c:axId val="1017751759"/>
      </c:lineChart>
      <c:catAx>
        <c:axId val="101907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7751759"/>
        <c:crosses val="autoZero"/>
        <c:auto val="1"/>
        <c:lblAlgn val="ctr"/>
        <c:lblOffset val="100"/>
        <c:noMultiLvlLbl val="0"/>
      </c:catAx>
      <c:valAx>
        <c:axId val="10177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9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TABLES!$V$49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TABLES!$U$50:$U$61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TABLES!$V$50:$V$61</c:f>
              <c:numCache>
                <c:formatCode>General</c:formatCode>
                <c:ptCount val="11"/>
                <c:pt idx="0">
                  <c:v>108</c:v>
                </c:pt>
                <c:pt idx="1">
                  <c:v>103</c:v>
                </c:pt>
                <c:pt idx="2">
                  <c:v>84</c:v>
                </c:pt>
                <c:pt idx="3">
                  <c:v>88</c:v>
                </c:pt>
                <c:pt idx="4">
                  <c:v>102</c:v>
                </c:pt>
                <c:pt idx="5">
                  <c:v>105</c:v>
                </c:pt>
                <c:pt idx="6">
                  <c:v>98</c:v>
                </c:pt>
                <c:pt idx="7">
                  <c:v>101</c:v>
                </c:pt>
                <c:pt idx="8">
                  <c:v>102</c:v>
                </c:pt>
                <c:pt idx="9">
                  <c:v>107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3-4DB2-9778-3E8E893C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637999"/>
        <c:axId val="1343656719"/>
      </c:lineChart>
      <c:catAx>
        <c:axId val="134363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656719"/>
        <c:crosses val="autoZero"/>
        <c:auto val="1"/>
        <c:lblAlgn val="ctr"/>
        <c:lblOffset val="100"/>
        <c:noMultiLvlLbl val="0"/>
      </c:catAx>
      <c:valAx>
        <c:axId val="13436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6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TABLES!$U$66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TABLES!$T$67:$T$74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TABLES!$U$67:$U$74</c:f>
              <c:numCache>
                <c:formatCode>General</c:formatCode>
                <c:ptCount val="7"/>
                <c:pt idx="0">
                  <c:v>34226</c:v>
                </c:pt>
                <c:pt idx="1">
                  <c:v>46931</c:v>
                </c:pt>
                <c:pt idx="2">
                  <c:v>14374</c:v>
                </c:pt>
                <c:pt idx="3">
                  <c:v>17188</c:v>
                </c:pt>
                <c:pt idx="4">
                  <c:v>33578</c:v>
                </c:pt>
                <c:pt idx="5">
                  <c:v>35198</c:v>
                </c:pt>
                <c:pt idx="6">
                  <c:v>545510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4-444C-AA76-B6B37D8F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576432"/>
        <c:axId val="780566032"/>
      </c:lineChart>
      <c:catAx>
        <c:axId val="7805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0566032"/>
        <c:crosses val="autoZero"/>
        <c:auto val="1"/>
        <c:lblAlgn val="ctr"/>
        <c:lblOffset val="100"/>
        <c:noMultiLvlLbl val="0"/>
      </c:catAx>
      <c:valAx>
        <c:axId val="7805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backers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05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final.xlsx]Category!TablaDinámica1</c:name>
    <c:fmtId val="3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C-431F-8020-D06054531875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C-431F-8020-D06054531875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C-431F-8020-D06054531875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C-431F-8020-D0605453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59887"/>
        <c:axId val="1356663247"/>
      </c:lineChart>
      <c:catAx>
        <c:axId val="13566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63247"/>
        <c:crosses val="autoZero"/>
        <c:auto val="1"/>
        <c:lblAlgn val="ctr"/>
        <c:lblOffset val="100"/>
        <c:noMultiLvlLbl val="0"/>
      </c:catAx>
      <c:valAx>
        <c:axId val="13566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final.xlsx]Sub-category!TablaDinámica2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7-499C-AC6A-4C17CBB97AB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C-429A-8EB5-E568657EA8B3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C-429A-8EB5-E568657EA8B3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DC-429A-8EB5-E568657E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277951"/>
        <c:axId val="1990273151"/>
      </c:barChart>
      <c:catAx>
        <c:axId val="199027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0273151"/>
        <c:crosses val="autoZero"/>
        <c:auto val="1"/>
        <c:lblAlgn val="ctr"/>
        <c:lblOffset val="100"/>
        <c:noMultiLvlLbl val="0"/>
      </c:catAx>
      <c:valAx>
        <c:axId val="19902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027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final.xlsx]YEARS!PivotTable1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9-47EB-AFF2-EFFA47A109BB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1-4EA1-BD69-833F4D0D2D3F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1-4EA1-BD69-833F4D0D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065279"/>
        <c:axId val="1019062879"/>
      </c:lineChart>
      <c:catAx>
        <c:axId val="101906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9062879"/>
        <c:crosses val="autoZero"/>
        <c:auto val="1"/>
        <c:lblAlgn val="ctr"/>
        <c:lblOffset val="100"/>
        <c:noMultiLvlLbl val="0"/>
      </c:catAx>
      <c:valAx>
        <c:axId val="10190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906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2-46B1-8F38-6E75EB5A14C6}"/>
            </c:ext>
          </c:extLst>
        </c:ser>
        <c:ser>
          <c:idx val="1"/>
          <c:order val="1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2-46B1-8F38-6E75EB5A14C6}"/>
            </c:ext>
          </c:extLst>
        </c:ser>
        <c:ser>
          <c:idx val="2"/>
          <c:order val="2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2-46B1-8F38-6E75EB5A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61248"/>
        <c:axId val="675161664"/>
      </c:lineChart>
      <c:catAx>
        <c:axId val="6751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161664"/>
        <c:crosses val="autoZero"/>
        <c:auto val="1"/>
        <c:lblAlgn val="ctr"/>
        <c:lblOffset val="100"/>
        <c:noMultiLvlLbl val="0"/>
      </c:catAx>
      <c:valAx>
        <c:axId val="675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51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TABLES!$C$33:$C$34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TABLES!$B$35:$B$45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TABLES!$C$35:$C$45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2-4D0E-BB6E-AD6741C70B59}"/>
            </c:ext>
          </c:extLst>
        </c:ser>
        <c:ser>
          <c:idx val="1"/>
          <c:order val="1"/>
          <c:tx>
            <c:strRef>
              <c:f>TABLES!$D$33:$D$34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TABLES!$B$35:$B$45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TABLES!$D$35:$D$45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2-4D0E-BB6E-AD6741C70B59}"/>
            </c:ext>
          </c:extLst>
        </c:ser>
        <c:ser>
          <c:idx val="2"/>
          <c:order val="2"/>
          <c:tx>
            <c:strRef>
              <c:f>TABLES!$E$33:$E$34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TABLES!$B$35:$B$45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TABLES!$E$35:$E$45</c:f>
              <c:numCache>
                <c:formatCode>General</c:formatCode>
                <c:ptCount val="10"/>
                <c:pt idx="0">
                  <c:v>6</c:v>
                </c:pt>
                <c:pt idx="1">
                  <c:v>16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2-4D0E-BB6E-AD6741C7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82895"/>
        <c:axId val="1263092495"/>
      </c:lineChart>
      <c:catAx>
        <c:axId val="126308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3092495"/>
        <c:crosses val="autoZero"/>
        <c:auto val="1"/>
        <c:lblAlgn val="ctr"/>
        <c:lblOffset val="100"/>
        <c:noMultiLvlLbl val="0"/>
      </c:catAx>
      <c:valAx>
        <c:axId val="12630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30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TABLES!$B$4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TABLES!$A$5:$A$16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TABLES!$B$5:$B$16</c:f>
              <c:numCache>
                <c:formatCode>General</c:formatCode>
                <c:ptCount val="11"/>
                <c:pt idx="0">
                  <c:v>7239.670000000001</c:v>
                </c:pt>
                <c:pt idx="1">
                  <c:v>6721.5399999999972</c:v>
                </c:pt>
                <c:pt idx="2">
                  <c:v>5635.420000000001</c:v>
                </c:pt>
                <c:pt idx="3">
                  <c:v>5914.8700000000008</c:v>
                </c:pt>
                <c:pt idx="4">
                  <c:v>6604.6600000000026</c:v>
                </c:pt>
                <c:pt idx="5">
                  <c:v>7215.52</c:v>
                </c:pt>
                <c:pt idx="6">
                  <c:v>6988.4600000000046</c:v>
                </c:pt>
                <c:pt idx="7">
                  <c:v>6635.2400000000025</c:v>
                </c:pt>
                <c:pt idx="8">
                  <c:v>6830.28</c:v>
                </c:pt>
                <c:pt idx="9">
                  <c:v>7583.3200000000006</c:v>
                </c:pt>
                <c:pt idx="10">
                  <c:v>177.93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0-4024-B1CB-D340B2B7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59407"/>
        <c:axId val="1263092015"/>
      </c:lineChart>
      <c:catAx>
        <c:axId val="13566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3092015"/>
        <c:crosses val="autoZero"/>
        <c:auto val="1"/>
        <c:lblAlgn val="ctr"/>
        <c:lblOffset val="100"/>
        <c:noMultiLvlLbl val="0"/>
      </c:catAx>
      <c:valAx>
        <c:axId val="12630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TABLES!$M$3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TABLES!$L$4:$L$13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TABLES!$M$4:$M$13</c:f>
              <c:numCache>
                <c:formatCode>General</c:formatCode>
                <c:ptCount val="9"/>
                <c:pt idx="0">
                  <c:v>12007.639999999998</c:v>
                </c:pt>
                <c:pt idx="1">
                  <c:v>3141.5499999999997</c:v>
                </c:pt>
                <c:pt idx="2">
                  <c:v>3394.5900000000006</c:v>
                </c:pt>
                <c:pt idx="3">
                  <c:v>121.96000000000001</c:v>
                </c:pt>
                <c:pt idx="4">
                  <c:v>11260.91</c:v>
                </c:pt>
                <c:pt idx="5">
                  <c:v>2719.7300000000005</c:v>
                </c:pt>
                <c:pt idx="6">
                  <c:v>4981.8500000000022</c:v>
                </c:pt>
                <c:pt idx="7">
                  <c:v>6190.2</c:v>
                </c:pt>
                <c:pt idx="8">
                  <c:v>23728.479999999978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4-4257-98D1-4D80AA95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54607"/>
        <c:axId val="1356661327"/>
      </c:lineChart>
      <c:catAx>
        <c:axId val="135665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Parent</a:t>
                </a:r>
                <a:r>
                  <a:rPr lang="es-MX" baseline="0"/>
                  <a:t> category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61327"/>
        <c:crosses val="autoZero"/>
        <c:auto val="1"/>
        <c:lblAlgn val="ctr"/>
        <c:lblOffset val="100"/>
        <c:noMultiLvlLbl val="0"/>
      </c:catAx>
      <c:valAx>
        <c:axId val="13566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donation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6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CrowdfundingBook final.xlsx]TABLES!PivotTable6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TABLES!$M$19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TABLES!$L$20:$L$27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TABLES!$M$20:$M$27</c:f>
              <c:numCache>
                <c:formatCode>General</c:formatCode>
                <c:ptCount val="7"/>
                <c:pt idx="0">
                  <c:v>3105.3500000000008</c:v>
                </c:pt>
                <c:pt idx="1">
                  <c:v>2663.9300000000003</c:v>
                </c:pt>
                <c:pt idx="2">
                  <c:v>1460.1499999999999</c:v>
                </c:pt>
                <c:pt idx="3">
                  <c:v>2027.1599999999999</c:v>
                </c:pt>
                <c:pt idx="4">
                  <c:v>3009.7000000000003</c:v>
                </c:pt>
                <c:pt idx="5">
                  <c:v>3399.6299999999997</c:v>
                </c:pt>
                <c:pt idx="6">
                  <c:v>51880.990000000027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B19-9BEF-1B8F88F7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94895"/>
        <c:axId val="1263084815"/>
      </c:lineChart>
      <c:catAx>
        <c:axId val="126309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3084815"/>
        <c:crosses val="autoZero"/>
        <c:auto val="1"/>
        <c:lblAlgn val="ctr"/>
        <c:lblOffset val="100"/>
        <c:noMultiLvlLbl val="0"/>
      </c:catAx>
      <c:valAx>
        <c:axId val="12630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Sum</a:t>
                </a:r>
                <a:r>
                  <a:rPr lang="es-MX" baseline="0"/>
                  <a:t> of average donation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30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159829</xdr:colOff>
      <xdr:row>1</xdr:row>
      <xdr:rowOff>184651</xdr:rowOff>
    </xdr:from>
    <xdr:to>
      <xdr:col>12</xdr:col>
      <xdr:colOff>501266</xdr:colOff>
      <xdr:row>15</xdr:row>
      <xdr:rowOff>152169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5A68C0-6E3A-3E9F-AF71-F38FFFA1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1002530</xdr:colOff>
      <xdr:row>14</xdr:row>
      <xdr:rowOff>160098</xdr:rowOff>
    </xdr:from>
    <xdr:to>
      <xdr:col>6</xdr:col>
      <xdr:colOff>773544</xdr:colOff>
      <xdr:row>28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7C8F1-79F3-59D7-A589-04EE55B61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258668</xdr:colOff>
      <xdr:row>5</xdr:row>
      <xdr:rowOff>89175</xdr:rowOff>
    </xdr:from>
    <xdr:to>
      <xdr:col>18</xdr:col>
      <xdr:colOff>121509</xdr:colOff>
      <xdr:row>27</xdr:row>
      <xdr:rowOff>28214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55498A-887E-F2C5-B3B6-2A4D4AD3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159100</xdr:colOff>
      <xdr:row>4</xdr:row>
      <xdr:rowOff>56103</xdr:rowOff>
    </xdr:from>
    <xdr:to>
      <xdr:col>8</xdr:col>
      <xdr:colOff>309825</xdr:colOff>
      <xdr:row>17</xdr:row>
      <xdr:rowOff>186731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320C8-E064-A801-5E06-BCFE14DC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652462</xdr:colOff>
      <xdr:row>13</xdr:row>
      <xdr:rowOff>161925</xdr:rowOff>
    </xdr:from>
    <xdr:to>
      <xdr:col>5</xdr:col>
      <xdr:colOff>1014412</xdr:colOff>
      <xdr:row>27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61659-EE8F-97A5-7D9A-6F7A7383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201887</xdr:colOff>
      <xdr:row>45</xdr:row>
      <xdr:rowOff>16496</xdr:rowOff>
    </xdr:from>
    <xdr:to>
      <xdr:col>9</xdr:col>
      <xdr:colOff>472440</xdr:colOff>
      <xdr:row>58</xdr:row>
      <xdr:rowOff>147125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840DB-DD0E-462A-AA6A-68474D008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167816</xdr:colOff>
      <xdr:row>0</xdr:row>
      <xdr:rowOff>168513</xdr:rowOff>
    </xdr:from>
    <xdr:to>
      <xdr:col>9</xdr:col>
      <xdr:colOff>176</xdr:colOff>
      <xdr:row>14</xdr:row>
      <xdr:rowOff>138032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D4F35-F5FC-7AE5-5EBC-8812DC73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0</xdr:row>
      <xdr:rowOff>163830</xdr:rowOff>
    </xdr:from>
    <xdr:to>
      <xdr:col>18</xdr:col>
      <xdr:colOff>781050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6FFBB-A58B-4A07-D681-1F8A13A49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635000</xdr:colOff>
      <xdr:row>16</xdr:row>
      <xdr:rowOff>159084</xdr:rowOff>
    </xdr:from>
    <xdr:to>
      <xdr:col>19</xdr:col>
      <xdr:colOff>153737</xdr:colOff>
      <xdr:row>30</xdr:row>
      <xdr:rowOff>94916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FA540-4F3A-6BC5-8786-F461FF6E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190500</xdr:colOff>
      <xdr:row>0</xdr:row>
      <xdr:rowOff>137361</xdr:rowOff>
    </xdr:from>
    <xdr:to>
      <xdr:col>27</xdr:col>
      <xdr:colOff>250659</xdr:colOff>
      <xdr:row>14</xdr:row>
      <xdr:rowOff>73193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B0619-CC8A-6CA9-E8FB-3942C48D9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416515</xdr:colOff>
      <xdr:row>47</xdr:row>
      <xdr:rowOff>156568</xdr:rowOff>
    </xdr:from>
    <xdr:to>
      <xdr:col>17</xdr:col>
      <xdr:colOff>325313</xdr:colOff>
      <xdr:row>61</xdr:row>
      <xdr:rowOff>92400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F688E5-9056-F6AA-56E4-1F6BC2643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302964</xdr:colOff>
      <xdr:row>16</xdr:row>
      <xdr:rowOff>78955</xdr:rowOff>
    </xdr:from>
    <xdr:to>
      <xdr:col>26</xdr:col>
      <xdr:colOff>183615</xdr:colOff>
      <xdr:row>29</xdr:row>
      <xdr:rowOff>196468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BEDFF-6CAD-7E38-0BFE-3720A26B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247879</xdr:colOff>
      <xdr:row>31</xdr:row>
      <xdr:rowOff>124858</xdr:rowOff>
    </xdr:from>
    <xdr:to>
      <xdr:col>26</xdr:col>
      <xdr:colOff>596747</xdr:colOff>
      <xdr:row>45</xdr:row>
      <xdr:rowOff>40395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516F59-E1A5-6A64-E3A4-E2BDAD950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367228</xdr:colOff>
      <xdr:row>49</xdr:row>
      <xdr:rowOff>69774</xdr:rowOff>
    </xdr:from>
    <xdr:to>
      <xdr:col>26</xdr:col>
      <xdr:colOff>716096</xdr:colOff>
      <xdr:row>62</xdr:row>
      <xdr:rowOff>187287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87B241-9B78-6673-5B32-DF2C4896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398859</xdr:colOff>
      <xdr:row>65</xdr:row>
      <xdr:rowOff>152400</xdr:rowOff>
    </xdr:from>
    <xdr:to>
      <xdr:col>25</xdr:col>
      <xdr:colOff>470296</xdr:colOff>
      <xdr:row>79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706945-D930-5BD6-8877-B41970B0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o Mtz" refreshedDate="45090.805731597226" createdVersion="8" refreshedVersion="8" minRefreshableVersion="3" recordCount="1000" xr:uid="{011F49E9-9366-4080-9006-DE81B83CBEB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" refreshedDate="45092.443384027778" createdVersion="8" refreshedVersion="8" minRefreshableVersion="3" recordCount="1000" xr:uid="{4732A4BC-A784-4DE7-84D7-120C0FDFC9CE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Meses (Date created conversion)" numFmtId="0" databaseField="0">
      <fieldGroup base="18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Trimestres (Date created conversion)" numFmtId="0" databaseField="0">
      <fieldGroup base="18">
        <rangePr groupBy="quarters" startDate="2010-01-09T06:00:00" endDate="2020-01-27T06:00:00"/>
        <groupItems count="6">
          <s v="&lt;09/01/2010"/>
          <s v="Trim.1"/>
          <s v="Trim.2"/>
          <s v="Trim.3"/>
          <s v="Trim.4"/>
          <s v="&gt;27/01/2020"/>
        </groupItems>
      </fieldGroup>
    </cacheField>
    <cacheField name="Años (Date created conversion)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Meses (Date Ended conversion)" numFmtId="0" databaseField="0">
      <fieldGroup base="19">
        <rangePr groupBy="months" startDate="2010-01-09T06:00:00" endDate="2020-02-10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0"/>
        </groupItems>
      </fieldGroup>
    </cacheField>
    <cacheField name="Trimestres (Date Ended conversion)" numFmtId="0" databaseField="0">
      <fieldGroup base="19">
        <rangePr groupBy="quarters" startDate="2010-01-09T06:00:00" endDate="2020-02-10T06:00:00"/>
        <groupItems count="6">
          <s v="&lt;09/01/2010"/>
          <s v="Trim.1"/>
          <s v="Trim.2"/>
          <s v="Trim.3"/>
          <s v="Trim.4"/>
          <s v="&gt;10/02/2020"/>
        </groupItems>
      </fieldGroup>
    </cacheField>
    <cacheField name="Años (Date Ended conversion)" numFmtId="0" databaseField="0">
      <fieldGroup base="19">
        <rangePr groupBy="years" startDate="2010-01-09T06:00:00" endDate="2020-02-10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 pivotCacheId="13512259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2"/>
    <x v="2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74"/>
    <x v="0"/>
    <n v="24"/>
    <n v="103.21"/>
    <x v="1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"/>
    <x v="0"/>
    <n v="18"/>
    <n v="60.56"/>
    <x v="4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55"/>
    <x v="0"/>
    <n v="55"/>
    <n v="102.35"/>
    <x v="1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2"/>
    <x v="1"/>
    <n v="98"/>
    <n v="105.05"/>
    <x v="1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287"/>
    <x v="0"/>
    <n v="200"/>
    <n v="94.15"/>
    <x v="1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8"/>
    <x v="0"/>
    <n v="452"/>
    <n v="84.99"/>
    <x v="1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2"/>
    <x v="1"/>
    <n v="142"/>
    <n v="105.23"/>
    <x v="4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2"/>
    <x v="1"/>
    <n v="2220"/>
    <n v="62"/>
    <x v="1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4"/>
    <x v="1"/>
    <n v="1606"/>
    <n v="94"/>
    <x v="5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28"/>
    <x v="1"/>
    <n v="16"/>
    <n v="68.81"/>
    <x v="1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2"/>
    <x v="1"/>
    <n v="111"/>
    <n v="107.42"/>
    <x v="6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9"/>
    <x v="1"/>
    <n v="92"/>
    <n v="46.16"/>
    <x v="1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1"/>
    <x v="1"/>
    <n v="211"/>
    <n v="29.06"/>
    <x v="1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56"/>
    <x v="1"/>
    <n v="128"/>
    <n v="30.09"/>
    <x v="1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"/>
    <x v="1"/>
    <n v="2475"/>
    <n v="64"/>
    <x v="6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37"/>
    <x v="1"/>
    <n v="54"/>
    <n v="74.48"/>
    <x v="1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83"/>
    <x v="0"/>
    <n v="1684"/>
    <n v="57"/>
    <x v="1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12"/>
    <x v="0"/>
    <n v="838"/>
    <n v="48"/>
    <x v="1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72"/>
    <x v="1"/>
    <n v="411"/>
    <n v="92.11"/>
    <x v="1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"/>
    <x v="1"/>
    <n v="180"/>
    <n v="83.18"/>
    <x v="4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56"/>
    <x v="0"/>
    <n v="1482"/>
    <n v="83.02"/>
    <x v="2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74"/>
    <x v="1"/>
    <n v="113"/>
    <n v="106.61"/>
    <x v="1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3"/>
    <x v="1"/>
    <n v="164"/>
    <n v="91.16"/>
    <x v="1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"/>
    <x v="0"/>
    <n v="37"/>
    <n v="66.510000000000005"/>
    <x v="6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1"/>
    <x v="1"/>
    <n v="95"/>
    <n v="103.46"/>
    <x v="1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9"/>
    <x v="1"/>
    <n v="86"/>
    <n v="75.900000000000006"/>
    <x v="1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311"/>
    <x v="0"/>
    <n v="3304"/>
    <n v="44"/>
    <x v="6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9"/>
    <x v="1"/>
    <n v="1782"/>
    <n v="63"/>
    <x v="1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39"/>
    <x v="0"/>
    <n v="3387"/>
    <n v="26"/>
    <x v="1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73"/>
    <x v="0"/>
    <n v="672"/>
    <n v="78.97"/>
    <x v="0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598"/>
    <x v="3"/>
    <n v="532"/>
    <n v="80.069999999999993"/>
    <x v="1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26"/>
    <x v="3"/>
    <n v="55"/>
    <n v="86.47"/>
    <x v="2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66"/>
    <x v="0"/>
    <n v="117"/>
    <n v="46.91"/>
    <x v="1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4"/>
    <x v="1"/>
    <n v="117"/>
    <n v="98.31"/>
    <x v="1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8"/>
    <x v="0"/>
    <n v="1059"/>
    <n v="95.04"/>
    <x v="1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7"/>
    <x v="1"/>
    <n v="246"/>
    <n v="36.03"/>
    <x v="1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5"/>
    <x v="1"/>
    <n v="1396"/>
    <n v="107.99"/>
    <x v="1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55"/>
    <x v="1"/>
    <n v="146"/>
    <n v="74"/>
    <x v="2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63"/>
    <x v="1"/>
    <n v="48"/>
    <n v="111.83"/>
    <x v="1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6"/>
    <x v="0"/>
    <n v="1130"/>
    <n v="42"/>
    <x v="1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52"/>
    <x v="1"/>
    <n v="3537"/>
    <n v="45.01"/>
    <x v="0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51"/>
    <x v="0"/>
    <n v="136"/>
    <n v="39.08"/>
    <x v="1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36"/>
    <x v="0"/>
    <n v="86"/>
    <n v="40.99"/>
    <x v="0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49"/>
    <x v="0"/>
    <n v="86"/>
    <n v="37.07"/>
    <x v="6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14"/>
    <x v="3"/>
    <n v="82"/>
    <n v="79.790000000000006"/>
    <x v="1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11"/>
    <x v="0"/>
    <n v="226"/>
    <n v="28.04"/>
    <x v="3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75"/>
    <x v="0"/>
    <n v="143"/>
    <n v="42.13"/>
    <x v="1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"/>
    <x v="1"/>
    <n v="1815"/>
    <n v="103.98"/>
    <x v="1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94"/>
    <x v="1"/>
    <n v="1539"/>
    <n v="89.99"/>
    <x v="1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6"/>
    <x v="1"/>
    <n v="138"/>
    <n v="47.99"/>
    <x v="1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5"/>
    <x v="1"/>
    <n v="2468"/>
    <n v="67"/>
    <x v="1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8"/>
    <x v="1"/>
    <n v="250"/>
    <n v="42.92"/>
    <x v="1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67"/>
    <x v="1"/>
    <n v="53"/>
    <n v="75.25"/>
    <x v="1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92"/>
    <x v="1"/>
    <n v="214"/>
    <n v="69.02"/>
    <x v="1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6"/>
    <x v="1"/>
    <n v="222"/>
    <n v="65.989999999999995"/>
    <x v="1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6"/>
    <x v="1"/>
    <n v="218"/>
    <n v="60.11"/>
    <x v="2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2"/>
    <x v="0"/>
    <n v="101"/>
    <n v="38.020000000000003"/>
    <x v="1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71"/>
    <x v="1"/>
    <n v="261"/>
    <n v="38.07"/>
    <x v="1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5"/>
    <x v="0"/>
    <n v="454"/>
    <n v="57.94"/>
    <x v="1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6"/>
    <x v="1"/>
    <n v="2768"/>
    <n v="51.99"/>
    <x v="2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8"/>
    <x v="3"/>
    <n v="1890"/>
    <n v="25.01"/>
    <x v="1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6"/>
    <x v="1"/>
    <n v="1894"/>
    <n v="82.02"/>
    <x v="1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3"/>
    <x v="1"/>
    <n v="83"/>
    <n v="89.94"/>
    <x v="1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"/>
    <x v="1"/>
    <n v="546"/>
    <n v="25.01"/>
    <x v="1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5"/>
    <x v="1"/>
    <n v="133"/>
    <n v="68.239999999999995"/>
    <x v="1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5"/>
    <x v="0"/>
    <n v="245"/>
    <n v="98.91"/>
    <x v="1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11"/>
    <x v="1"/>
    <n v="142"/>
    <n v="80.77"/>
    <x v="1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8"/>
    <x v="0"/>
    <n v="7"/>
    <n v="73.430000000000007"/>
    <x v="1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6"/>
    <x v="0"/>
    <n v="17"/>
    <n v="53.12"/>
    <x v="1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49"/>
    <x v="3"/>
    <n v="64"/>
    <n v="50.8"/>
    <x v="1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103"/>
    <x v="0"/>
    <n v="2468"/>
    <n v="65"/>
    <x v="1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1"/>
    <x v="1"/>
    <n v="5168"/>
    <n v="38"/>
    <x v="1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17"/>
    <x v="0"/>
    <n v="73"/>
    <n v="80.78"/>
    <x v="1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3"/>
    <x v="1"/>
    <n v="470"/>
    <n v="88.08"/>
    <x v="1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7"/>
    <x v="1"/>
    <n v="2283"/>
    <n v="87"/>
    <x v="1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27"/>
    <x v="0"/>
    <n v="1072"/>
    <n v="63.99"/>
    <x v="1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71"/>
    <x v="1"/>
    <n v="1690"/>
    <n v="73.989999999999995"/>
    <x v="1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2"/>
    <x v="0"/>
    <n v="331"/>
    <n v="69.97"/>
    <x v="4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9"/>
    <x v="0"/>
    <n v="923"/>
    <n v="103.96"/>
    <x v="1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46"/>
    <x v="0"/>
    <n v="33"/>
    <n v="29.61"/>
    <x v="0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68"/>
    <x v="1"/>
    <n v="139"/>
    <n v="59.93"/>
    <x v="1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3"/>
    <x v="1"/>
    <n v="186"/>
    <n v="78.209999999999994"/>
    <x v="1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53"/>
    <x v="1"/>
    <n v="154"/>
    <n v="95.73"/>
    <x v="1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7"/>
    <x v="1"/>
    <n v="169"/>
    <n v="84.76"/>
    <x v="1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9"/>
    <x v="0"/>
    <n v="441"/>
    <n v="50.05"/>
    <x v="1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86"/>
    <x v="1"/>
    <n v="131"/>
    <n v="93.7"/>
    <x v="1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53"/>
    <x v="0"/>
    <n v="424"/>
    <n v="100.93"/>
    <x v="1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5"/>
    <x v="3"/>
    <n v="145"/>
    <n v="89.23"/>
    <x v="5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6"/>
    <x v="1"/>
    <n v="50"/>
    <n v="89.54"/>
    <x v="1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71"/>
    <x v="0"/>
    <n v="1608"/>
    <n v="42.01"/>
    <x v="1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3"/>
    <x v="1"/>
    <n v="3059"/>
    <n v="47"/>
    <x v="0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5"/>
    <x v="1"/>
    <n v="34"/>
    <n v="110.44"/>
    <x v="1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3"/>
    <x v="1"/>
    <n v="5203"/>
    <n v="27"/>
    <x v="1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6"/>
    <x v="0"/>
    <n v="118"/>
    <n v="50.97"/>
    <x v="1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9"/>
    <x v="1"/>
    <n v="92"/>
    <n v="84.42"/>
    <x v="1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4"/>
    <x v="1"/>
    <n v="2526"/>
    <n v="78"/>
    <x v="1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8"/>
    <x v="1"/>
    <n v="94"/>
    <n v="104.44"/>
    <x v="1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08"/>
    <x v="0"/>
    <n v="91"/>
    <n v="69.989999999999995"/>
    <x v="1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14"/>
    <x v="0"/>
    <n v="792"/>
    <n v="83.02"/>
    <x v="1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51"/>
    <x v="1"/>
    <n v="1713"/>
    <n v="103.98"/>
    <x v="6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41"/>
    <x v="1"/>
    <n v="170"/>
    <n v="63.17"/>
    <x v="1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5"/>
    <x v="1"/>
    <n v="6286"/>
    <n v="29"/>
    <x v="1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5000000000003"/>
    <x v="0"/>
    <n v="39"/>
    <n v="45.21"/>
    <x v="1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"/>
    <x v="0"/>
    <n v="46"/>
    <n v="28.96"/>
    <x v="1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4"/>
    <x v="0"/>
    <n v="535"/>
    <n v="107.91"/>
    <x v="1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67"/>
    <x v="1"/>
    <n v="139"/>
    <n v="57.94"/>
    <x v="0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2"/>
    <x v="1"/>
    <n v="159"/>
    <n v="64.959999999999994"/>
    <x v="1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"/>
    <x v="1"/>
    <n v="106"/>
    <n v="84.03"/>
    <x v="1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5"/>
    <x v="1"/>
    <n v="211"/>
    <n v="39.96"/>
    <x v="1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3"/>
    <x v="0"/>
    <n v="1120"/>
    <n v="51"/>
    <x v="1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2"/>
    <x v="0"/>
    <n v="113"/>
    <n v="40.82"/>
    <x v="1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7"/>
    <x v="1"/>
    <n v="87"/>
    <n v="99.49"/>
    <x v="1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39"/>
    <x v="1"/>
    <n v="85"/>
    <n v="109.87"/>
    <x v="6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52"/>
    <x v="1"/>
    <n v="2443"/>
    <n v="70.989999999999995"/>
    <x v="1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5"/>
    <x v="3"/>
    <n v="595"/>
    <n v="77.03"/>
    <x v="1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83"/>
    <x v="1"/>
    <n v="64"/>
    <n v="101.78"/>
    <x v="1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5"/>
    <x v="1"/>
    <n v="195"/>
    <n v="68.02"/>
    <x v="3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105"/>
    <x v="0"/>
    <n v="120"/>
    <n v="27.91"/>
    <x v="1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71"/>
    <x v="0"/>
    <n v="1796"/>
    <n v="59.99"/>
    <x v="1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2"/>
    <x v="1"/>
    <n v="460"/>
    <n v="99.96"/>
    <x v="1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"/>
    <x v="0"/>
    <n v="62"/>
    <n v="111.68"/>
    <x v="6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2"/>
    <x v="0"/>
    <n v="347"/>
    <n v="36.01"/>
    <x v="1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78"/>
    <x v="1"/>
    <n v="2528"/>
    <n v="66.010000000000005"/>
    <x v="1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54"/>
    <x v="0"/>
    <n v="19"/>
    <n v="44.05"/>
    <x v="1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9"/>
    <x v="1"/>
    <n v="131"/>
    <n v="70.91"/>
    <x v="2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38"/>
    <x v="3"/>
    <n v="35"/>
    <n v="93.14"/>
    <x v="1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6"/>
    <x v="3"/>
    <n v="528"/>
    <n v="58.95"/>
    <x v="5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6"/>
    <x v="1"/>
    <n v="1773"/>
    <n v="101.98"/>
    <x v="1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37"/>
    <x v="1"/>
    <n v="89"/>
    <n v="70.819999999999993"/>
    <x v="1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47"/>
    <x v="0"/>
    <n v="1979"/>
    <n v="41"/>
    <x v="1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"/>
    <x v="0"/>
    <n v="80"/>
    <n v="90.34"/>
    <x v="4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5"/>
    <x v="0"/>
    <n v="9"/>
    <n v="63.78"/>
    <x v="1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77"/>
    <x v="2"/>
    <n v="3640"/>
    <n v="48.99"/>
    <x v="5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5"/>
    <x v="1"/>
    <n v="126"/>
    <n v="63.86"/>
    <x v="0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21"/>
    <x v="1"/>
    <n v="2218"/>
    <n v="83"/>
    <x v="4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55"/>
    <x v="1"/>
    <n v="202"/>
    <n v="62.04"/>
    <x v="6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5"/>
    <x v="1"/>
    <n v="1052"/>
    <n v="94.04"/>
    <x v="3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79"/>
    <x v="0"/>
    <n v="77"/>
    <n v="92.47"/>
    <x v="1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8"/>
    <x v="1"/>
    <n v="88"/>
    <n v="78.069999999999993"/>
    <x v="1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06"/>
    <x v="0"/>
    <n v="92"/>
    <n v="96.37"/>
    <x v="1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6"/>
    <x v="1"/>
    <n v="554"/>
    <n v="26.01"/>
    <x v="0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1"/>
    <x v="1"/>
    <n v="1022"/>
    <n v="104.03"/>
    <x v="1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8"/>
    <x v="0"/>
    <n v="26"/>
    <n v="48.81"/>
    <x v="5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"/>
    <x v="3"/>
    <n v="94"/>
    <n v="52.09"/>
    <x v="1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5"/>
    <x v="1"/>
    <n v="87"/>
    <n v="72.06"/>
    <x v="1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5"/>
    <x v="1"/>
    <n v="3116"/>
    <n v="48"/>
    <x v="1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5"/>
    <x v="1"/>
    <n v="1613"/>
    <n v="64.010000000000005"/>
    <x v="1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67"/>
    <x v="0"/>
    <n v="102"/>
    <n v="50.13"/>
    <x v="1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79"/>
    <x v="0"/>
    <n v="157"/>
    <n v="71.13"/>
    <x v="1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5"/>
    <x v="1"/>
    <n v="2188"/>
    <n v="68"/>
    <x v="1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5"/>
    <x v="0"/>
    <n v="82"/>
    <n v="62.34"/>
    <x v="3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6"/>
    <x v="1"/>
    <n v="102"/>
    <n v="62.18"/>
    <x v="1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895"/>
    <x v="1"/>
    <n v="316"/>
    <n v="35.049999999999997"/>
    <x v="1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2"/>
    <x v="1"/>
    <n v="117"/>
    <n v="102.92"/>
    <x v="1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5"/>
    <x v="1"/>
    <n v="6406"/>
    <n v="28"/>
    <x v="1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6"/>
    <x v="3"/>
    <n v="15"/>
    <n v="75.73"/>
    <x v="1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"/>
    <x v="1"/>
    <n v="170"/>
    <n v="85.22"/>
    <x v="6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2"/>
    <x v="0"/>
    <n v="1198"/>
    <n v="81"/>
    <x v="1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6"/>
    <x v="1"/>
    <n v="2693"/>
    <n v="56"/>
    <x v="4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"/>
    <x v="1"/>
    <n v="189"/>
    <n v="69.87"/>
    <x v="1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36"/>
    <x v="0"/>
    <n v="750"/>
    <n v="73.97"/>
    <x v="1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77"/>
    <x v="2"/>
    <n v="278"/>
    <n v="111.16"/>
    <x v="1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38"/>
    <x v="3"/>
    <n v="1658"/>
    <n v="55.99"/>
    <x v="1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1"/>
    <x v="0"/>
    <n v="2915"/>
    <n v="30"/>
    <x v="1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38"/>
    <x v="3"/>
    <n v="723"/>
    <n v="85.99"/>
    <x v="1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9"/>
    <x v="0"/>
    <n v="602"/>
    <n v="98.01"/>
    <x v="5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5"/>
    <x v="1"/>
    <n v="234"/>
    <n v="59.97"/>
    <x v="1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2"/>
    <x v="1"/>
    <n v="3016"/>
    <n v="59"/>
    <x v="1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06"/>
    <x v="0"/>
    <n v="750"/>
    <n v="76.010000000000005"/>
    <x v="4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2993"/>
    <x v="0"/>
    <n v="752"/>
    <n v="76.959999999999994"/>
    <x v="3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"/>
    <x v="1"/>
    <n v="1073"/>
    <n v="111.02"/>
    <x v="1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23"/>
    <x v="3"/>
    <n v="1218"/>
    <n v="47"/>
    <x v="1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4"/>
    <x v="1"/>
    <n v="69"/>
    <n v="106.49"/>
    <x v="1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11"/>
    <x v="1"/>
    <n v="190"/>
    <n v="42.94"/>
    <x v="1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4"/>
    <x v="0"/>
    <n v="77"/>
    <n v="70.62"/>
    <x v="4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87"/>
    <x v="0"/>
    <n v="889"/>
    <n v="108.99"/>
    <x v="1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16"/>
    <x v="1"/>
    <n v="2893"/>
    <n v="65"/>
    <x v="0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62"/>
    <x v="0"/>
    <n v="83"/>
    <n v="56.75"/>
    <x v="1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"/>
    <x v="1"/>
    <n v="116"/>
    <n v="92.09"/>
    <x v="1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8"/>
    <x v="1"/>
    <n v="1345"/>
    <n v="103.04"/>
    <x v="2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21"/>
    <x v="3"/>
    <n v="60"/>
    <n v="90.48"/>
    <x v="1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14"/>
    <x v="1"/>
    <n v="144"/>
    <n v="92.01"/>
    <x v="2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"/>
    <x v="1"/>
    <n v="121"/>
    <n v="93.07"/>
    <x v="4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6"/>
    <x v="1"/>
    <n v="1071"/>
    <n v="110.97"/>
    <x v="0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7"/>
    <x v="1"/>
    <n v="536"/>
    <n v="25.01"/>
    <x v="1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7"/>
    <x v="1"/>
    <n v="130"/>
    <n v="108.85"/>
    <x v="1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3"/>
    <x v="1"/>
    <n v="122"/>
    <n v="110.76"/>
    <x v="1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"/>
    <x v="1"/>
    <n v="366"/>
    <n v="36.96"/>
    <x v="6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04"/>
    <x v="1"/>
    <n v="1518"/>
    <n v="110.02"/>
    <x v="0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3"/>
    <x v="1"/>
    <n v="235"/>
    <n v="26.97"/>
    <x v="1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13"/>
    <x v="1"/>
    <n v="148"/>
    <n v="54.12"/>
    <x v="1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27"/>
    <x v="0"/>
    <n v="248"/>
    <n v="55.05"/>
    <x v="2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09"/>
    <x v="0"/>
    <n v="513"/>
    <n v="107.94"/>
    <x v="1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45"/>
    <x v="3"/>
    <n v="56"/>
    <n v="78.819999999999993"/>
    <x v="5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08"/>
    <x v="1"/>
    <n v="161"/>
    <n v="68.2"/>
    <x v="1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7"/>
    <x v="1"/>
    <n v="3308"/>
    <n v="31"/>
    <x v="1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07"/>
    <x v="0"/>
    <n v="78"/>
    <n v="54.81"/>
    <x v="1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2"/>
    <x v="1"/>
    <n v="185"/>
    <n v="45.04"/>
    <x v="1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87"/>
    <x v="1"/>
    <n v="106"/>
    <n v="44.03"/>
    <x v="1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65"/>
    <x v="0"/>
    <n v="67"/>
    <n v="73.61"/>
    <x v="2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3"/>
    <x v="0"/>
    <n v="19"/>
    <n v="83.32"/>
    <x v="1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"/>
    <x v="0"/>
    <n v="679"/>
    <n v="105.04"/>
    <x v="1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2"/>
    <x v="1"/>
    <n v="183"/>
    <n v="64.05"/>
    <x v="0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64"/>
    <x v="1"/>
    <n v="2100"/>
    <n v="89.99"/>
    <x v="1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9"/>
    <x v="0"/>
    <n v="33"/>
    <n v="81.91"/>
    <x v="1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66"/>
    <x v="3"/>
    <n v="94"/>
    <n v="93.05"/>
    <x v="1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8"/>
    <x v="1"/>
    <n v="160"/>
    <n v="77.930000000000007"/>
    <x v="1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9"/>
    <x v="1"/>
    <n v="225"/>
    <n v="32.950000000000003"/>
    <x v="5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"/>
    <x v="1"/>
    <n v="163"/>
    <n v="57.16"/>
    <x v="1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2"/>
    <x v="1"/>
    <n v="85"/>
    <n v="77.180000000000007"/>
    <x v="1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5"/>
    <x v="1"/>
    <n v="193"/>
    <n v="41.91"/>
    <x v="1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68"/>
    <x v="0"/>
    <n v="1886"/>
    <n v="57.99"/>
    <x v="1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7"/>
    <x v="0"/>
    <n v="31"/>
    <n v="73.84"/>
    <x v="1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28"/>
    <x v="1"/>
    <n v="122"/>
    <n v="77.930000000000007"/>
    <x v="1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8"/>
    <x v="1"/>
    <n v="1470"/>
    <n v="106.02"/>
    <x v="1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60000000000002"/>
    <x v="1"/>
    <n v="165"/>
    <n v="47.02"/>
    <x v="0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4"/>
    <x v="1"/>
    <n v="182"/>
    <n v="76.02"/>
    <x v="1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9"/>
    <x v="1"/>
    <n v="56"/>
    <n v="57.29"/>
    <x v="4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31"/>
    <x v="0"/>
    <n v="1221"/>
    <n v="76.98"/>
    <x v="1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2"/>
    <x v="1"/>
    <n v="159"/>
    <n v="55.01"/>
    <x v="1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2"/>
    <x v="1"/>
    <n v="110"/>
    <n v="32.130000000000003"/>
    <x v="1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68"/>
    <x v="2"/>
    <n v="14"/>
    <n v="50.64"/>
    <x v="1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"/>
    <x v="0"/>
    <n v="16"/>
    <n v="49.69"/>
    <x v="1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19"/>
    <x v="3"/>
    <n v="296"/>
    <n v="102.08"/>
    <x v="1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6"/>
    <x v="1"/>
    <n v="65"/>
    <n v="103.42"/>
    <x v="1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91"/>
    <x v="1"/>
    <n v="184"/>
    <n v="64.959999999999994"/>
    <x v="4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9"/>
    <x v="1"/>
    <n v="85"/>
    <n v="46.24"/>
    <x v="1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46"/>
    <x v="0"/>
    <n v="112"/>
    <n v="51.15"/>
    <x v="1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5"/>
    <x v="1"/>
    <n v="1902"/>
    <n v="92.02"/>
    <x v="1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4"/>
    <x v="1"/>
    <n v="96"/>
    <n v="105.14"/>
    <x v="1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32"/>
    <x v="2"/>
    <n v="66"/>
    <n v="93.35"/>
    <x v="0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75"/>
    <x v="1"/>
    <n v="1548"/>
    <n v="101.02"/>
    <x v="2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"/>
    <x v="1"/>
    <n v="1573"/>
    <n v="77.010000000000005"/>
    <x v="1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1"/>
    <x v="1"/>
    <n v="114"/>
    <n v="71.2"/>
    <x v="1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22"/>
    <x v="0"/>
    <n v="594"/>
    <n v="97.07"/>
    <x v="1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3"/>
    <x v="1"/>
    <n v="1681"/>
    <n v="58.02"/>
    <x v="1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5"/>
    <x v="1"/>
    <n v="381"/>
    <n v="26.01"/>
    <x v="1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399"/>
    <x v="0"/>
    <n v="4405"/>
    <n v="26"/>
    <x v="1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5"/>
    <x v="1"/>
    <n v="480"/>
    <n v="28"/>
    <x v="1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1"/>
    <x v="1"/>
    <n v="226"/>
    <n v="53.05"/>
    <x v="1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75"/>
    <x v="0"/>
    <n v="842"/>
    <n v="87.97"/>
    <x v="1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6"/>
    <x v="1"/>
    <n v="2043"/>
    <n v="75"/>
    <x v="1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12"/>
    <x v="3"/>
    <n v="139"/>
    <n v="33.119999999999997"/>
    <x v="6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94"/>
    <x v="0"/>
    <n v="374"/>
    <n v="101.13"/>
    <x v="1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11CA5-89CE-4DA7-99CF-CFBE9247287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8"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077B4-2904-4C7F-BDAE-7FCA775398C7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U3:V13" firstHeaderRow="1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2" hier="-1"/>
  </pageFields>
  <dataFields count="1">
    <dataField name="Count of outcome" fld="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C9204-1BE7-4E79-8F08-1A026C4F247F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L19:M27" firstHeaderRow="1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2" hier="-1"/>
  </pageFields>
  <dataFields count="1">
    <dataField name="Sum of Average donation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4CD1B-531F-4126-83F6-C78515422848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U49:V61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outcome" fld="6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A8F38-D2B3-4E7D-A20F-204F4FC17BF0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U33:V45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ackers_count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7541F-A192-47C2-8BA2-E24E031194F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uenta de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1FC19-96F7-46CC-84EA-4B68FD3C96D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5"/>
        <item x="1"/>
        <item x="2"/>
        <item x="3"/>
        <item x="4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22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608B6-B48E-4979-8D9A-00F4E186A154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T66:U74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backers_count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AB327-191E-4462-A4A3-6F6F17C26A6A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L3:M13" firstHeaderRow="1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2" hier="-1"/>
  </pageFields>
  <dataFields count="1">
    <dataField name="Sum of Average donation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CCE6F-48AE-4BAB-A314-DE0630217B45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U18:V2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backers_count" fld="7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1515F-0B81-4088-9F03-2285E8FE3DBF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B16" firstHeaderRow="1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6" hier="-1"/>
  </pageFields>
  <dataFields count="1">
    <dataField name="Sum of Average donation" fld="8" baseField="22" baseItem="11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396CC-213C-41EE-A624-F5F58EFDCEF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3:F45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6" item="0" hier="-1"/>
  </pageFields>
  <dataFields count="1">
    <dataField name="Count of outcome" fld="6" subtotal="count" baseField="0" baseItem="0"/>
  </dataFields>
  <chartFormats count="3"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333ED-6EB1-48BE-B368-77311881FA7E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33:Q47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drawing" Target="../drawings/drawing5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I1" zoomScale="84" workbookViewId="0">
      <selection activeCell="Q2" sqref="Q2"/>
    </sheetView>
  </sheetViews>
  <sheetFormatPr baseColWidth="10"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4" max="4" width="9.25" bestFit="1" customWidth="1"/>
    <col min="5" max="5" width="12.625" bestFit="1" customWidth="1"/>
    <col min="6" max="6" width="13.75" bestFit="1" customWidth="1"/>
    <col min="7" max="7" width="14.875" bestFit="1" customWidth="1"/>
    <col min="8" max="8" width="18" bestFit="1" customWidth="1"/>
    <col min="9" max="9" width="20.75" bestFit="1" customWidth="1"/>
    <col min="12" max="12" width="11.75" bestFit="1" customWidth="1"/>
    <col min="13" max="15" width="11.25" bestFit="1" customWidth="1"/>
    <col min="16" max="16" width="29.125" bestFit="1" customWidth="1"/>
    <col min="17" max="17" width="14.125" bestFit="1" customWidth="1"/>
    <col min="18" max="18" width="28" bestFit="1" customWidth="1"/>
    <col min="19" max="19" width="21.5" bestFit="1" customWidth="1"/>
    <col min="20" max="20" width="20.375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2067</v>
      </c>
      <c r="T1" s="1" t="s">
        <v>2068</v>
      </c>
      <c r="U1"/>
      <c r="V1"/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ROUND((((E2)*100)/D2),0)</f>
        <v>0</v>
      </c>
      <c r="G2" t="s">
        <v>14</v>
      </c>
      <c r="H2">
        <v>0</v>
      </c>
      <c r="I2">
        <f>IF(H2=0,0,ROUND((E2)/H2,2))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6">
        <f>(((L2/60)/60)/24)+DATE(1970,1,1)</f>
        <v>42336.25</v>
      </c>
      <c r="T2" s="6">
        <f>(((M2/60)/60)/24)+DATE(1970,1,1)</f>
        <v>42353.25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ROUND((((E3)*100)/D3),0)</f>
        <v>1040</v>
      </c>
      <c r="G3" t="s">
        <v>20</v>
      </c>
      <c r="H3">
        <v>158</v>
      </c>
      <c r="I3">
        <f>IF(H3=0,0,ROUND((E3)/H3,2))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6">
        <f t="shared" ref="S3:S66" si="1">(((L3/60)/60)/24)+DATE(1970,1,1)</f>
        <v>41870.208333333336</v>
      </c>
      <c r="T3" s="6">
        <f t="shared" ref="T3:T66" si="2">(((M3/60)/60)/24)+DATE(1970,1,1)</f>
        <v>41872.208333333336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6" si="3">IF(H4=0,0,ROUND((E4)/H4,2))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6">
        <f t="shared" si="1"/>
        <v>41595.25</v>
      </c>
      <c r="T4" s="6">
        <f t="shared" si="2"/>
        <v>41597.25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6">
        <f t="shared" si="1"/>
        <v>43688.208333333328</v>
      </c>
      <c r="T5" s="6">
        <f t="shared" si="2"/>
        <v>43728.208333333328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6">
        <f t="shared" si="1"/>
        <v>43485.25</v>
      </c>
      <c r="T6" s="6">
        <f t="shared" si="2"/>
        <v>43489.25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6">
        <f t="shared" si="1"/>
        <v>41149.208333333336</v>
      </c>
      <c r="T7" s="6">
        <f t="shared" si="2"/>
        <v>41160.208333333336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6">
        <f t="shared" si="1"/>
        <v>42991.208333333328</v>
      </c>
      <c r="T8" s="6">
        <f t="shared" si="2"/>
        <v>42992.208333333328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6">
        <f t="shared" si="1"/>
        <v>42229.208333333328</v>
      </c>
      <c r="T9" s="6">
        <f t="shared" si="2"/>
        <v>42231.208333333328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6">
        <f t="shared" si="1"/>
        <v>40399.208333333336</v>
      </c>
      <c r="T10" s="6">
        <f t="shared" si="2"/>
        <v>40401.208333333336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6">
        <f t="shared" si="1"/>
        <v>41536.208333333336</v>
      </c>
      <c r="T11" s="6">
        <f t="shared" si="2"/>
        <v>41585.25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6">
        <f t="shared" si="1"/>
        <v>40404.208333333336</v>
      </c>
      <c r="T12" s="6">
        <f t="shared" si="2"/>
        <v>40452.208333333336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6">
        <f t="shared" si="1"/>
        <v>40442.208333333336</v>
      </c>
      <c r="T13" s="6">
        <f t="shared" si="2"/>
        <v>40448.208333333336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6">
        <f t="shared" si="1"/>
        <v>43760.208333333328</v>
      </c>
      <c r="T14" s="6">
        <f t="shared" si="2"/>
        <v>43768.208333333328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6">
        <f t="shared" si="1"/>
        <v>42532.208333333328</v>
      </c>
      <c r="T15" s="6">
        <f t="shared" si="2"/>
        <v>42544.208333333328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6">
        <f t="shared" si="1"/>
        <v>40974.25</v>
      </c>
      <c r="T16" s="6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6">
        <f t="shared" si="1"/>
        <v>43809.25</v>
      </c>
      <c r="T17" s="6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6">
        <f t="shared" si="1"/>
        <v>41661.25</v>
      </c>
      <c r="T18" s="6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6">
        <f t="shared" si="1"/>
        <v>40555.25</v>
      </c>
      <c r="T19" s="6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6">
        <f t="shared" si="1"/>
        <v>43351.208333333328</v>
      </c>
      <c r="T20" s="6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6">
        <f t="shared" si="1"/>
        <v>43528.25</v>
      </c>
      <c r="T21" s="6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6">
        <f t="shared" si="1"/>
        <v>41848.208333333336</v>
      </c>
      <c r="T22" s="6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6">
        <f t="shared" si="1"/>
        <v>40770.208333333336</v>
      </c>
      <c r="T23" s="6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6">
        <f t="shared" si="1"/>
        <v>43193.208333333328</v>
      </c>
      <c r="T24" s="6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6">
        <f t="shared" si="1"/>
        <v>43510.25</v>
      </c>
      <c r="T25" s="6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6">
        <f t="shared" si="1"/>
        <v>41811.208333333336</v>
      </c>
      <c r="T26" s="6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6">
        <f t="shared" si="1"/>
        <v>40681.208333333336</v>
      </c>
      <c r="T27" s="6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6">
        <f t="shared" si="1"/>
        <v>43312.208333333328</v>
      </c>
      <c r="T28" s="6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6">
        <f t="shared" si="1"/>
        <v>42280.208333333328</v>
      </c>
      <c r="T29" s="6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6">
        <f t="shared" si="1"/>
        <v>40218.25</v>
      </c>
      <c r="T30" s="6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6">
        <f t="shared" si="1"/>
        <v>43301.208333333328</v>
      </c>
      <c r="T31" s="6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6">
        <f t="shared" si="1"/>
        <v>43609.208333333328</v>
      </c>
      <c r="T32" s="6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6">
        <f t="shared" si="1"/>
        <v>42374.25</v>
      </c>
      <c r="T33" s="6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6">
        <f t="shared" si="1"/>
        <v>43110.25</v>
      </c>
      <c r="T34" s="6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6">
        <f t="shared" si="1"/>
        <v>41917.208333333336</v>
      </c>
      <c r="T35" s="6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6">
        <f t="shared" si="1"/>
        <v>42817.208333333328</v>
      </c>
      <c r="T36" s="6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6">
        <f t="shared" si="1"/>
        <v>43484.25</v>
      </c>
      <c r="T37" s="6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6">
        <f t="shared" si="1"/>
        <v>40600.25</v>
      </c>
      <c r="T38" s="6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6">
        <f t="shared" si="1"/>
        <v>43744.208333333328</v>
      </c>
      <c r="T39" s="6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6">
        <f t="shared" si="1"/>
        <v>40469.208333333336</v>
      </c>
      <c r="T40" s="6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6">
        <f t="shared" si="1"/>
        <v>41330.25</v>
      </c>
      <c r="T41" s="6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6">
        <f t="shared" si="1"/>
        <v>40334.208333333336</v>
      </c>
      <c r="T42" s="6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6">
        <f t="shared" si="1"/>
        <v>41156.208333333336</v>
      </c>
      <c r="T43" s="6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6">
        <f t="shared" si="1"/>
        <v>40728.208333333336</v>
      </c>
      <c r="T44" s="6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6">
        <f t="shared" si="1"/>
        <v>41844.208333333336</v>
      </c>
      <c r="T45" s="6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6">
        <f t="shared" si="1"/>
        <v>43541.208333333328</v>
      </c>
      <c r="T46" s="6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6">
        <f t="shared" si="1"/>
        <v>42676.208333333328</v>
      </c>
      <c r="T47" s="6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6">
        <f t="shared" si="1"/>
        <v>40367.208333333336</v>
      </c>
      <c r="T48" s="6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6">
        <f t="shared" si="1"/>
        <v>41727.208333333336</v>
      </c>
      <c r="T49" s="6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6">
        <f t="shared" si="1"/>
        <v>42180.208333333328</v>
      </c>
      <c r="T50" s="6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6">
        <f t="shared" si="1"/>
        <v>43758.208333333328</v>
      </c>
      <c r="T51" s="6">
        <f t="shared" si="2"/>
        <v>43803.25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6">
        <f t="shared" si="1"/>
        <v>41487.208333333336</v>
      </c>
      <c r="T52" s="6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6">
        <f t="shared" si="1"/>
        <v>40995.208333333336</v>
      </c>
      <c r="T53" s="6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6">
        <f t="shared" si="1"/>
        <v>40436.208333333336</v>
      </c>
      <c r="T54" s="6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6">
        <f t="shared" si="1"/>
        <v>41779.208333333336</v>
      </c>
      <c r="T55" s="6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6">
        <f t="shared" si="1"/>
        <v>43170.25</v>
      </c>
      <c r="T56" s="6">
        <f t="shared" si="2"/>
        <v>43176.208333333328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6">
        <f t="shared" si="1"/>
        <v>43311.208333333328</v>
      </c>
      <c r="T57" s="6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6">
        <f t="shared" si="1"/>
        <v>42014.25</v>
      </c>
      <c r="T58" s="6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6">
        <f t="shared" si="1"/>
        <v>42979.208333333328</v>
      </c>
      <c r="T59" s="6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6">
        <f t="shared" si="1"/>
        <v>42268.208333333328</v>
      </c>
      <c r="T60" s="6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6">
        <f t="shared" si="1"/>
        <v>42898.208333333328</v>
      </c>
      <c r="T61" s="6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6">
        <f t="shared" si="1"/>
        <v>41107.208333333336</v>
      </c>
      <c r="T62" s="6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6">
        <f t="shared" si="1"/>
        <v>40595.25</v>
      </c>
      <c r="T63" s="6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6">
        <f t="shared" si="1"/>
        <v>42160.208333333328</v>
      </c>
      <c r="T64" s="6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6">
        <f t="shared" si="1"/>
        <v>42853.208333333328</v>
      </c>
      <c r="T65" s="6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6">
        <f t="shared" si="1"/>
        <v>43283.208333333328</v>
      </c>
      <c r="T66" s="6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ROUND((((E67)*100)/D67),0)</f>
        <v>236</v>
      </c>
      <c r="G67" t="s">
        <v>20</v>
      </c>
      <c r="H67">
        <v>236</v>
      </c>
      <c r="I67">
        <f t="shared" ref="I67:I130" si="5">IF(H67=0,0,ROUND((E67)/H67,2))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6">
        <f t="shared" ref="S67:S130" si="6">(((L67/60)/60)/24)+DATE(1970,1,1)</f>
        <v>40570.25</v>
      </c>
      <c r="T67" s="6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6">
        <f t="shared" si="6"/>
        <v>42102.208333333328</v>
      </c>
      <c r="T68" s="6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6">
        <f t="shared" si="6"/>
        <v>40203.25</v>
      </c>
      <c r="T69" s="6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6">
        <f t="shared" si="6"/>
        <v>42943.208333333328</v>
      </c>
      <c r="T70" s="6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6">
        <f t="shared" si="6"/>
        <v>40531.25</v>
      </c>
      <c r="T71" s="6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6">
        <f t="shared" si="6"/>
        <v>40484.208333333336</v>
      </c>
      <c r="T72" s="6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6">
        <f t="shared" si="6"/>
        <v>43799.25</v>
      </c>
      <c r="T73" s="6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6">
        <f t="shared" si="6"/>
        <v>42186.208333333328</v>
      </c>
      <c r="T74" s="6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6">
        <f t="shared" si="6"/>
        <v>42701.25</v>
      </c>
      <c r="T75" s="6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6">
        <f t="shared" si="6"/>
        <v>42456.208333333328</v>
      </c>
      <c r="T76" s="6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6">
        <f t="shared" si="6"/>
        <v>43296.208333333328</v>
      </c>
      <c r="T77" s="6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6">
        <f t="shared" si="6"/>
        <v>42027.25</v>
      </c>
      <c r="T78" s="6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6">
        <f t="shared" si="6"/>
        <v>40448.208333333336</v>
      </c>
      <c r="T79" s="6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6">
        <f t="shared" si="6"/>
        <v>43206.208333333328</v>
      </c>
      <c r="T80" s="6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6">
        <f t="shared" si="6"/>
        <v>43267.208333333328</v>
      </c>
      <c r="T81" s="6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6">
        <f t="shared" si="6"/>
        <v>42976.208333333328</v>
      </c>
      <c r="T82" s="6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6">
        <f t="shared" si="6"/>
        <v>43062.25</v>
      </c>
      <c r="T83" s="6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6">
        <f t="shared" si="6"/>
        <v>43482.25</v>
      </c>
      <c r="T84" s="6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6">
        <f t="shared" si="6"/>
        <v>42579.208333333328</v>
      </c>
      <c r="T85" s="6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6">
        <f t="shared" si="6"/>
        <v>41118.208333333336</v>
      </c>
      <c r="T86" s="6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6">
        <f t="shared" si="6"/>
        <v>40797.208333333336</v>
      </c>
      <c r="T87" s="6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6">
        <f t="shared" si="6"/>
        <v>42128.208333333328</v>
      </c>
      <c r="T88" s="6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6">
        <f t="shared" si="6"/>
        <v>40610.25</v>
      </c>
      <c r="T89" s="6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6">
        <f t="shared" si="6"/>
        <v>42110.208333333328</v>
      </c>
      <c r="T90" s="6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6">
        <f t="shared" si="6"/>
        <v>40283.208333333336</v>
      </c>
      <c r="T91" s="6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6">
        <f t="shared" si="6"/>
        <v>42425.25</v>
      </c>
      <c r="T92" s="6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6">
        <f t="shared" si="6"/>
        <v>42588.208333333328</v>
      </c>
      <c r="T93" s="6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6">
        <f t="shared" si="6"/>
        <v>40352.208333333336</v>
      </c>
      <c r="T94" s="6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6">
        <f t="shared" si="6"/>
        <v>41202.208333333336</v>
      </c>
      <c r="T95" s="6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6">
        <f t="shared" si="6"/>
        <v>43562.208333333328</v>
      </c>
      <c r="T96" s="6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6">
        <f t="shared" si="6"/>
        <v>43752.208333333328</v>
      </c>
      <c r="T97" s="6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6">
        <f t="shared" si="6"/>
        <v>40612.25</v>
      </c>
      <c r="T98" s="6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6">
        <f t="shared" si="6"/>
        <v>42180.208333333328</v>
      </c>
      <c r="T99" s="6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6">
        <f t="shared" si="6"/>
        <v>42212.208333333328</v>
      </c>
      <c r="T100" s="6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6">
        <f t="shared" si="6"/>
        <v>41968.25</v>
      </c>
      <c r="T101" s="6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6">
        <f t="shared" si="6"/>
        <v>40835.208333333336</v>
      </c>
      <c r="T102" s="6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6">
        <f t="shared" si="6"/>
        <v>42056.25</v>
      </c>
      <c r="T103" s="6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6">
        <f t="shared" si="6"/>
        <v>43234.208333333328</v>
      </c>
      <c r="T104" s="6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6">
        <f t="shared" si="6"/>
        <v>40475.208333333336</v>
      </c>
      <c r="T105" s="6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6">
        <f t="shared" si="6"/>
        <v>42878.208333333328</v>
      </c>
      <c r="T106" s="6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6">
        <f t="shared" si="6"/>
        <v>41366.208333333336</v>
      </c>
      <c r="T107" s="6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6">
        <f t="shared" si="6"/>
        <v>43716.208333333328</v>
      </c>
      <c r="T108" s="6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6">
        <f t="shared" si="6"/>
        <v>43213.208333333328</v>
      </c>
      <c r="T109" s="6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6">
        <f t="shared" si="6"/>
        <v>41005.208333333336</v>
      </c>
      <c r="T110" s="6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6">
        <f t="shared" si="6"/>
        <v>41651.25</v>
      </c>
      <c r="T111" s="6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6">
        <f t="shared" si="6"/>
        <v>43354.208333333328</v>
      </c>
      <c r="T112" s="6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6">
        <f t="shared" si="6"/>
        <v>41174.208333333336</v>
      </c>
      <c r="T113" s="6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6">
        <f t="shared" si="6"/>
        <v>41875.208333333336</v>
      </c>
      <c r="T114" s="6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6">
        <f t="shared" si="6"/>
        <v>42990.208333333328</v>
      </c>
      <c r="T115" s="6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6">
        <f t="shared" si="6"/>
        <v>43564.208333333328</v>
      </c>
      <c r="T116" s="6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6">
        <f t="shared" si="6"/>
        <v>43056.25</v>
      </c>
      <c r="T117" s="6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6">
        <f t="shared" si="6"/>
        <v>42265.208333333328</v>
      </c>
      <c r="T118" s="6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6">
        <f t="shared" si="6"/>
        <v>40808.208333333336</v>
      </c>
      <c r="T119" s="6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6">
        <f t="shared" si="6"/>
        <v>41665.25</v>
      </c>
      <c r="T120" s="6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6">
        <f t="shared" si="6"/>
        <v>41806.208333333336</v>
      </c>
      <c r="T121" s="6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6">
        <f t="shared" si="6"/>
        <v>42111.208333333328</v>
      </c>
      <c r="T122" s="6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6">
        <f t="shared" si="6"/>
        <v>41917.208333333336</v>
      </c>
      <c r="T123" s="6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6">
        <f t="shared" si="6"/>
        <v>41970.25</v>
      </c>
      <c r="T124" s="6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6">
        <f t="shared" si="6"/>
        <v>42332.25</v>
      </c>
      <c r="T125" s="6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6">
        <f t="shared" si="6"/>
        <v>43598.208333333328</v>
      </c>
      <c r="T126" s="6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6">
        <f t="shared" si="6"/>
        <v>43362.208333333328</v>
      </c>
      <c r="T127" s="6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6">
        <f t="shared" si="6"/>
        <v>42596.208333333328</v>
      </c>
      <c r="T128" s="6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6">
        <f t="shared" si="6"/>
        <v>40310.208333333336</v>
      </c>
      <c r="T129" s="6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6">
        <f t="shared" si="6"/>
        <v>40417.208333333336</v>
      </c>
      <c r="T130" s="6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ROUND((((E131)*100)/D131),0)</f>
        <v>3</v>
      </c>
      <c r="G131" t="s">
        <v>74</v>
      </c>
      <c r="H131">
        <v>55</v>
      </c>
      <c r="I131">
        <f t="shared" ref="I131:I194" si="9">IF(H131=0,0,ROUND((E131)/H131,2))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6">
        <f t="shared" ref="S131:S194" si="10">(((L131/60)/60)/24)+DATE(1970,1,1)</f>
        <v>42038.25</v>
      </c>
      <c r="T131" s="6">
        <f t="shared" ref="T131:T194" si="11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6">
        <f t="shared" si="10"/>
        <v>40842.208333333336</v>
      </c>
      <c r="T132" s="6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6">
        <f t="shared" si="10"/>
        <v>41607.25</v>
      </c>
      <c r="T133" s="6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6">
        <f t="shared" si="10"/>
        <v>43112.25</v>
      </c>
      <c r="T134" s="6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6">
        <f t="shared" si="10"/>
        <v>40767.208333333336</v>
      </c>
      <c r="T135" s="6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6">
        <f t="shared" si="10"/>
        <v>40713.208333333336</v>
      </c>
      <c r="T136" s="6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6">
        <f t="shared" si="10"/>
        <v>41340.25</v>
      </c>
      <c r="T137" s="6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6">
        <f t="shared" si="10"/>
        <v>41797.208333333336</v>
      </c>
      <c r="T138" s="6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6">
        <f t="shared" si="10"/>
        <v>40457.208333333336</v>
      </c>
      <c r="T139" s="6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6">
        <f t="shared" si="10"/>
        <v>41180.208333333336</v>
      </c>
      <c r="T140" s="6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6">
        <f t="shared" si="10"/>
        <v>42115.208333333328</v>
      </c>
      <c r="T141" s="6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6">
        <f t="shared" si="10"/>
        <v>43156.25</v>
      </c>
      <c r="T142" s="6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6">
        <f t="shared" si="10"/>
        <v>42167.208333333328</v>
      </c>
      <c r="T143" s="6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6">
        <f t="shared" si="10"/>
        <v>41005.208333333336</v>
      </c>
      <c r="T144" s="6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6">
        <f t="shared" si="10"/>
        <v>40357.208333333336</v>
      </c>
      <c r="T145" s="6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6">
        <f t="shared" si="10"/>
        <v>43633.208333333328</v>
      </c>
      <c r="T146" s="6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6">
        <f t="shared" si="10"/>
        <v>41889.208333333336</v>
      </c>
      <c r="T147" s="6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6">
        <f t="shared" si="10"/>
        <v>40855.25</v>
      </c>
      <c r="T148" s="6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6">
        <f t="shared" si="10"/>
        <v>42534.208333333328</v>
      </c>
      <c r="T149" s="6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6">
        <f t="shared" si="10"/>
        <v>42941.208333333328</v>
      </c>
      <c r="T150" s="6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6">
        <f t="shared" si="10"/>
        <v>41275.25</v>
      </c>
      <c r="T151" s="6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6">
        <f t="shared" si="10"/>
        <v>43450.25</v>
      </c>
      <c r="T152" s="6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6">
        <f t="shared" si="10"/>
        <v>41799.208333333336</v>
      </c>
      <c r="T153" s="6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6">
        <f t="shared" si="10"/>
        <v>42783.25</v>
      </c>
      <c r="T154" s="6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6">
        <f t="shared" si="10"/>
        <v>41201.208333333336</v>
      </c>
      <c r="T155" s="6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6">
        <f t="shared" si="10"/>
        <v>42502.208333333328</v>
      </c>
      <c r="T156" s="6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6">
        <f t="shared" si="10"/>
        <v>40262.208333333336</v>
      </c>
      <c r="T157" s="6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6">
        <f t="shared" si="10"/>
        <v>43743.208333333328</v>
      </c>
      <c r="T158" s="6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6">
        <f t="shared" si="10"/>
        <v>41638.25</v>
      </c>
      <c r="T159" s="6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6">
        <f t="shared" si="10"/>
        <v>42346.25</v>
      </c>
      <c r="T160" s="6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6">
        <f t="shared" si="10"/>
        <v>43551.208333333328</v>
      </c>
      <c r="T161" s="6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6">
        <f t="shared" si="10"/>
        <v>43582.208333333328</v>
      </c>
      <c r="T162" s="6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6">
        <f t="shared" si="10"/>
        <v>42270.208333333328</v>
      </c>
      <c r="T163" s="6">
        <f t="shared" si="11"/>
        <v>42276.208333333328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6">
        <f t="shared" si="10"/>
        <v>43442.25</v>
      </c>
      <c r="T164" s="6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6">
        <f t="shared" si="10"/>
        <v>43028.208333333328</v>
      </c>
      <c r="T165" s="6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6">
        <f t="shared" si="10"/>
        <v>43016.208333333328</v>
      </c>
      <c r="T166" s="6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6">
        <f t="shared" si="10"/>
        <v>42948.208333333328</v>
      </c>
      <c r="T167" s="6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6">
        <f t="shared" si="10"/>
        <v>40534.25</v>
      </c>
      <c r="T168" s="6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6">
        <f t="shared" si="10"/>
        <v>41435.208333333336</v>
      </c>
      <c r="T169" s="6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6">
        <f t="shared" si="10"/>
        <v>43518.25</v>
      </c>
      <c r="T170" s="6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6">
        <f t="shared" si="10"/>
        <v>41077.208333333336</v>
      </c>
      <c r="T171" s="6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6">
        <f t="shared" si="10"/>
        <v>42950.208333333328</v>
      </c>
      <c r="T172" s="6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6">
        <f t="shared" si="10"/>
        <v>41718.208333333336</v>
      </c>
      <c r="T173" s="6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6">
        <f t="shared" si="10"/>
        <v>41839.208333333336</v>
      </c>
      <c r="T174" s="6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6">
        <f t="shared" si="10"/>
        <v>41412.208333333336</v>
      </c>
      <c r="T175" s="6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6">
        <f t="shared" si="10"/>
        <v>42282.208333333328</v>
      </c>
      <c r="T176" s="6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6">
        <f t="shared" si="10"/>
        <v>42613.208333333328</v>
      </c>
      <c r="T177" s="6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6">
        <f t="shared" si="10"/>
        <v>42616.208333333328</v>
      </c>
      <c r="T178" s="6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6">
        <f t="shared" si="10"/>
        <v>40497.25</v>
      </c>
      <c r="T179" s="6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6">
        <f t="shared" si="10"/>
        <v>42999.208333333328</v>
      </c>
      <c r="T180" s="6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6">
        <f t="shared" si="10"/>
        <v>41350.208333333336</v>
      </c>
      <c r="T181" s="6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6">
        <f t="shared" si="10"/>
        <v>40259.208333333336</v>
      </c>
      <c r="T182" s="6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6">
        <f t="shared" si="10"/>
        <v>43012.208333333328</v>
      </c>
      <c r="T183" s="6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6">
        <f t="shared" si="10"/>
        <v>43631.208333333328</v>
      </c>
      <c r="T184" s="6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6">
        <f t="shared" si="10"/>
        <v>40430.208333333336</v>
      </c>
      <c r="T185" s="6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6">
        <f t="shared" si="10"/>
        <v>43588.208333333328</v>
      </c>
      <c r="T186" s="6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6">
        <f t="shared" si="10"/>
        <v>43233.208333333328</v>
      </c>
      <c r="T187" s="6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6">
        <f t="shared" si="10"/>
        <v>41782.208333333336</v>
      </c>
      <c r="T188" s="6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6">
        <f t="shared" si="10"/>
        <v>41328.25</v>
      </c>
      <c r="T189" s="6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6">
        <f t="shared" si="10"/>
        <v>41975.25</v>
      </c>
      <c r="T190" s="6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6">
        <f t="shared" si="10"/>
        <v>42433.25</v>
      </c>
      <c r="T191" s="6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6">
        <f t="shared" si="10"/>
        <v>41429.208333333336</v>
      </c>
      <c r="T192" s="6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6">
        <f t="shared" si="10"/>
        <v>43536.208333333328</v>
      </c>
      <c r="T193" s="6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6">
        <f t="shared" si="10"/>
        <v>41817.208333333336</v>
      </c>
      <c r="T194" s="6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ROUND((((E195)*100)/D195),0)</f>
        <v>46</v>
      </c>
      <c r="G195" t="s">
        <v>14</v>
      </c>
      <c r="H195">
        <v>65</v>
      </c>
      <c r="I195">
        <f t="shared" ref="I195:I258" si="13">IF(H195=0,0,ROUND((E195)/H195,2))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6">
        <f t="shared" ref="S195:S258" si="14">(((L195/60)/60)/24)+DATE(1970,1,1)</f>
        <v>43198.208333333328</v>
      </c>
      <c r="T195" s="6">
        <f t="shared" ref="T195:T258" si="15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6">
        <f t="shared" si="14"/>
        <v>42261.208333333328</v>
      </c>
      <c r="T196" s="6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6">
        <f t="shared" si="14"/>
        <v>43310.208333333328</v>
      </c>
      <c r="T197" s="6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6">
        <f t="shared" si="14"/>
        <v>42616.208333333328</v>
      </c>
      <c r="T198" s="6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6">
        <f t="shared" si="14"/>
        <v>42909.208333333328</v>
      </c>
      <c r="T199" s="6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6">
        <f t="shared" si="14"/>
        <v>40396.208333333336</v>
      </c>
      <c r="T200" s="6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6">
        <f t="shared" si="14"/>
        <v>42192.208333333328</v>
      </c>
      <c r="T201" s="6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6">
        <f t="shared" si="14"/>
        <v>40262.208333333336</v>
      </c>
      <c r="T202" s="6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6">
        <f t="shared" si="14"/>
        <v>41845.208333333336</v>
      </c>
      <c r="T203" s="6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6">
        <f t="shared" si="14"/>
        <v>40818.208333333336</v>
      </c>
      <c r="T204" s="6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6">
        <f t="shared" si="14"/>
        <v>42752.25</v>
      </c>
      <c r="T205" s="6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6">
        <f t="shared" si="14"/>
        <v>40636.208333333336</v>
      </c>
      <c r="T206" s="6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6">
        <f t="shared" si="14"/>
        <v>43390.208333333328</v>
      </c>
      <c r="T207" s="6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6">
        <f t="shared" si="14"/>
        <v>40236.25</v>
      </c>
      <c r="T208" s="6">
        <f t="shared" si="15"/>
        <v>40245.25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6">
        <f t="shared" si="14"/>
        <v>43340.208333333328</v>
      </c>
      <c r="T209" s="6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6">
        <f t="shared" si="14"/>
        <v>43048.25</v>
      </c>
      <c r="T210" s="6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6">
        <f t="shared" si="14"/>
        <v>42496.208333333328</v>
      </c>
      <c r="T211" s="6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6">
        <f t="shared" si="14"/>
        <v>42797.25</v>
      </c>
      <c r="T212" s="6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6">
        <f t="shared" si="14"/>
        <v>41513.208333333336</v>
      </c>
      <c r="T213" s="6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6">
        <f t="shared" si="14"/>
        <v>43814.25</v>
      </c>
      <c r="T214" s="6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6">
        <f t="shared" si="14"/>
        <v>40488.208333333336</v>
      </c>
      <c r="T215" s="6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6">
        <f t="shared" si="14"/>
        <v>40409.208333333336</v>
      </c>
      <c r="T216" s="6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6">
        <f t="shared" si="14"/>
        <v>43509.25</v>
      </c>
      <c r="T217" s="6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6">
        <f t="shared" si="14"/>
        <v>40869.25</v>
      </c>
      <c r="T218" s="6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6">
        <f t="shared" si="14"/>
        <v>43583.208333333328</v>
      </c>
      <c r="T219" s="6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6">
        <f t="shared" si="14"/>
        <v>40858.25</v>
      </c>
      <c r="T220" s="6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6">
        <f t="shared" si="14"/>
        <v>41137.208333333336</v>
      </c>
      <c r="T221" s="6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6">
        <f t="shared" si="14"/>
        <v>40725.208333333336</v>
      </c>
      <c r="T222" s="6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6">
        <f t="shared" si="14"/>
        <v>41081.208333333336</v>
      </c>
      <c r="T223" s="6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6">
        <f t="shared" si="14"/>
        <v>41914.208333333336</v>
      </c>
      <c r="T224" s="6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6">
        <f t="shared" si="14"/>
        <v>42445.208333333328</v>
      </c>
      <c r="T225" s="6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6">
        <f t="shared" si="14"/>
        <v>41906.208333333336</v>
      </c>
      <c r="T226" s="6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6">
        <f t="shared" si="14"/>
        <v>41762.208333333336</v>
      </c>
      <c r="T227" s="6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6">
        <f t="shared" si="14"/>
        <v>40276.208333333336</v>
      </c>
      <c r="T228" s="6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6">
        <f t="shared" si="14"/>
        <v>42139.208333333328</v>
      </c>
      <c r="T229" s="6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6">
        <f t="shared" si="14"/>
        <v>42613.208333333328</v>
      </c>
      <c r="T230" s="6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6">
        <f t="shared" si="14"/>
        <v>42887.208333333328</v>
      </c>
      <c r="T231" s="6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6">
        <f t="shared" si="14"/>
        <v>43805.25</v>
      </c>
      <c r="T232" s="6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6">
        <f t="shared" si="14"/>
        <v>41415.208333333336</v>
      </c>
      <c r="T233" s="6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6">
        <f t="shared" si="14"/>
        <v>42576.208333333328</v>
      </c>
      <c r="T234" s="6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6">
        <f t="shared" si="14"/>
        <v>40706.208333333336</v>
      </c>
      <c r="T235" s="6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6">
        <f t="shared" si="14"/>
        <v>42969.208333333328</v>
      </c>
      <c r="T236" s="6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6">
        <f t="shared" si="14"/>
        <v>42779.25</v>
      </c>
      <c r="T237" s="6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6">
        <f t="shared" si="14"/>
        <v>43641.208333333328</v>
      </c>
      <c r="T238" s="6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6">
        <f t="shared" si="14"/>
        <v>41754.208333333336</v>
      </c>
      <c r="T239" s="6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6">
        <f t="shared" si="14"/>
        <v>43083.25</v>
      </c>
      <c r="T240" s="6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6">
        <f t="shared" si="14"/>
        <v>42245.208333333328</v>
      </c>
      <c r="T241" s="6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6">
        <f t="shared" si="14"/>
        <v>40396.208333333336</v>
      </c>
      <c r="T242" s="6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6">
        <f t="shared" si="14"/>
        <v>41742.208333333336</v>
      </c>
      <c r="T243" s="6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6">
        <f t="shared" si="14"/>
        <v>42865.208333333328</v>
      </c>
      <c r="T244" s="6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6">
        <f t="shared" si="14"/>
        <v>43163.25</v>
      </c>
      <c r="T245" s="6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6">
        <f t="shared" si="14"/>
        <v>41834.208333333336</v>
      </c>
      <c r="T246" s="6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6">
        <f t="shared" si="14"/>
        <v>41736.208333333336</v>
      </c>
      <c r="T247" s="6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6">
        <f t="shared" si="14"/>
        <v>41491.208333333336</v>
      </c>
      <c r="T248" s="6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6">
        <f t="shared" si="14"/>
        <v>42726.25</v>
      </c>
      <c r="T249" s="6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6">
        <f t="shared" si="14"/>
        <v>42004.25</v>
      </c>
      <c r="T250" s="6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6">
        <f t="shared" si="14"/>
        <v>42006.25</v>
      </c>
      <c r="T251" s="6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6">
        <f t="shared" si="14"/>
        <v>40203.25</v>
      </c>
      <c r="T252" s="6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6">
        <f t="shared" si="14"/>
        <v>41252.25</v>
      </c>
      <c r="T253" s="6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6">
        <f t="shared" si="14"/>
        <v>41572.208333333336</v>
      </c>
      <c r="T254" s="6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6">
        <f t="shared" si="14"/>
        <v>40641.208333333336</v>
      </c>
      <c r="T255" s="6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6">
        <f t="shared" si="14"/>
        <v>42787.25</v>
      </c>
      <c r="T256" s="6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6">
        <f t="shared" si="14"/>
        <v>40590.25</v>
      </c>
      <c r="T257" s="6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6">
        <f t="shared" si="14"/>
        <v>42393.25</v>
      </c>
      <c r="T258" s="6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ROUND((((E259)*100)/D259),0)</f>
        <v>146</v>
      </c>
      <c r="G259" t="s">
        <v>20</v>
      </c>
      <c r="H259">
        <v>92</v>
      </c>
      <c r="I259">
        <f t="shared" ref="I259:I322" si="17">IF(H259=0,0,ROUND((E259)/H259,2))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6">
        <f t="shared" ref="S259:S322" si="18">(((L259/60)/60)/24)+DATE(1970,1,1)</f>
        <v>41338.25</v>
      </c>
      <c r="T259" s="6">
        <f t="shared" ref="T259:T322" si="1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6">
        <f t="shared" si="18"/>
        <v>42712.25</v>
      </c>
      <c r="T260" s="6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6">
        <f t="shared" si="18"/>
        <v>41251.25</v>
      </c>
      <c r="T261" s="6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6">
        <f t="shared" si="18"/>
        <v>41180.208333333336</v>
      </c>
      <c r="T262" s="6">
        <f t="shared" si="19"/>
        <v>41192.208333333336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6">
        <f t="shared" si="18"/>
        <v>40415.208333333336</v>
      </c>
      <c r="T263" s="6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6">
        <f t="shared" si="18"/>
        <v>40638.208333333336</v>
      </c>
      <c r="T264" s="6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6">
        <f t="shared" si="18"/>
        <v>40187.25</v>
      </c>
      <c r="T265" s="6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6">
        <f t="shared" si="18"/>
        <v>41317.25</v>
      </c>
      <c r="T266" s="6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6">
        <f t="shared" si="18"/>
        <v>42372.25</v>
      </c>
      <c r="T267" s="6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6">
        <f t="shared" si="18"/>
        <v>41950.25</v>
      </c>
      <c r="T268" s="6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6">
        <f t="shared" si="18"/>
        <v>41206.208333333336</v>
      </c>
      <c r="T269" s="6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6">
        <f t="shared" si="18"/>
        <v>41186.208333333336</v>
      </c>
      <c r="T270" s="6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6">
        <f t="shared" si="18"/>
        <v>43496.25</v>
      </c>
      <c r="T271" s="6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6">
        <f t="shared" si="18"/>
        <v>40514.25</v>
      </c>
      <c r="T272" s="6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6">
        <f t="shared" si="18"/>
        <v>42345.25</v>
      </c>
      <c r="T273" s="6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6">
        <f t="shared" si="18"/>
        <v>43656.208333333328</v>
      </c>
      <c r="T274" s="6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6">
        <f t="shared" si="18"/>
        <v>42995.208333333328</v>
      </c>
      <c r="T275" s="6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6">
        <f t="shared" si="18"/>
        <v>43045.25</v>
      </c>
      <c r="T276" s="6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6">
        <f t="shared" si="18"/>
        <v>43561.208333333328</v>
      </c>
      <c r="T277" s="6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6">
        <f t="shared" si="18"/>
        <v>41018.208333333336</v>
      </c>
      <c r="T278" s="6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6">
        <f t="shared" si="18"/>
        <v>40378.208333333336</v>
      </c>
      <c r="T279" s="6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6">
        <f t="shared" si="18"/>
        <v>41239.25</v>
      </c>
      <c r="T280" s="6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6">
        <f t="shared" si="18"/>
        <v>43346.208333333328</v>
      </c>
      <c r="T281" s="6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6">
        <f t="shared" si="18"/>
        <v>43060.25</v>
      </c>
      <c r="T282" s="6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6">
        <f t="shared" si="18"/>
        <v>40979.25</v>
      </c>
      <c r="T283" s="6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6">
        <f t="shared" si="18"/>
        <v>42701.25</v>
      </c>
      <c r="T284" s="6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6">
        <f t="shared" si="18"/>
        <v>42520.208333333328</v>
      </c>
      <c r="T285" s="6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6">
        <f t="shared" si="18"/>
        <v>41030.208333333336</v>
      </c>
      <c r="T286" s="6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6">
        <f t="shared" si="18"/>
        <v>42623.208333333328</v>
      </c>
      <c r="T287" s="6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6">
        <f t="shared" si="18"/>
        <v>42697.25</v>
      </c>
      <c r="T288" s="6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6">
        <f t="shared" si="18"/>
        <v>42122.208333333328</v>
      </c>
      <c r="T289" s="6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6">
        <f t="shared" si="18"/>
        <v>40982.208333333336</v>
      </c>
      <c r="T290" s="6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6">
        <f t="shared" si="18"/>
        <v>42219.208333333328</v>
      </c>
      <c r="T291" s="6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6">
        <f t="shared" si="18"/>
        <v>41404.208333333336</v>
      </c>
      <c r="T292" s="6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6">
        <f t="shared" si="18"/>
        <v>40831.208333333336</v>
      </c>
      <c r="T293" s="6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6">
        <f t="shared" si="18"/>
        <v>40984.208333333336</v>
      </c>
      <c r="T294" s="6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6">
        <f t="shared" si="18"/>
        <v>40456.208333333336</v>
      </c>
      <c r="T295" s="6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6">
        <f t="shared" si="18"/>
        <v>43399.208333333328</v>
      </c>
      <c r="T296" s="6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6">
        <f t="shared" si="18"/>
        <v>41562.208333333336</v>
      </c>
      <c r="T297" s="6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6">
        <f t="shared" si="18"/>
        <v>43493.25</v>
      </c>
      <c r="T298" s="6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6">
        <f t="shared" si="18"/>
        <v>41653.25</v>
      </c>
      <c r="T299" s="6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6">
        <f t="shared" si="18"/>
        <v>42426.25</v>
      </c>
      <c r="T300" s="6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6">
        <f t="shared" si="18"/>
        <v>42432.25</v>
      </c>
      <c r="T301" s="6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6">
        <f t="shared" si="18"/>
        <v>42977.208333333328</v>
      </c>
      <c r="T302" s="6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6">
        <f t="shared" si="18"/>
        <v>42061.25</v>
      </c>
      <c r="T303" s="6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6">
        <f t="shared" si="18"/>
        <v>43345.208333333328</v>
      </c>
      <c r="T304" s="6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6">
        <f t="shared" si="18"/>
        <v>42376.25</v>
      </c>
      <c r="T305" s="6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6">
        <f t="shared" si="18"/>
        <v>42589.208333333328</v>
      </c>
      <c r="T306" s="6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6">
        <f t="shared" si="18"/>
        <v>42448.208333333328</v>
      </c>
      <c r="T307" s="6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6">
        <f t="shared" si="18"/>
        <v>42930.208333333328</v>
      </c>
      <c r="T308" s="6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6">
        <f t="shared" si="18"/>
        <v>41066.208333333336</v>
      </c>
      <c r="T309" s="6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6">
        <f t="shared" si="18"/>
        <v>40651.208333333336</v>
      </c>
      <c r="T310" s="6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6">
        <f t="shared" si="18"/>
        <v>40807.208333333336</v>
      </c>
      <c r="T311" s="6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6">
        <f t="shared" si="18"/>
        <v>40277.208333333336</v>
      </c>
      <c r="T312" s="6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6">
        <f t="shared" si="18"/>
        <v>40590.25</v>
      </c>
      <c r="T313" s="6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6">
        <f t="shared" si="18"/>
        <v>41572.208333333336</v>
      </c>
      <c r="T314" s="6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6">
        <f t="shared" si="18"/>
        <v>40966.25</v>
      </c>
      <c r="T315" s="6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6">
        <f t="shared" si="18"/>
        <v>43536.208333333328</v>
      </c>
      <c r="T316" s="6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6">
        <f t="shared" si="18"/>
        <v>41783.208333333336</v>
      </c>
      <c r="T317" s="6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6">
        <f t="shared" si="18"/>
        <v>43788.25</v>
      </c>
      <c r="T318" s="6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6">
        <f t="shared" si="18"/>
        <v>42869.208333333328</v>
      </c>
      <c r="T319" s="6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6">
        <f t="shared" si="18"/>
        <v>41684.25</v>
      </c>
      <c r="T320" s="6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6">
        <f t="shared" si="18"/>
        <v>40402.208333333336</v>
      </c>
      <c r="T321" s="6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6">
        <f t="shared" si="18"/>
        <v>40673.208333333336</v>
      </c>
      <c r="T322" s="6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ROUND((((E323)*100)/D323),0)</f>
        <v>94</v>
      </c>
      <c r="G323" t="s">
        <v>14</v>
      </c>
      <c r="H323">
        <v>2468</v>
      </c>
      <c r="I323">
        <f t="shared" ref="I323:I386" si="21">IF(H323=0,0,ROUND((E323)/H323,2))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6">
        <f t="shared" ref="S323:S386" si="22">(((L323/60)/60)/24)+DATE(1970,1,1)</f>
        <v>40634.208333333336</v>
      </c>
      <c r="T323" s="6">
        <f t="shared" ref="T323:T386" si="23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6">
        <f t="shared" si="22"/>
        <v>40507.25</v>
      </c>
      <c r="T324" s="6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6">
        <f t="shared" si="22"/>
        <v>41725.208333333336</v>
      </c>
      <c r="T325" s="6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6">
        <f t="shared" si="22"/>
        <v>42176.208333333328</v>
      </c>
      <c r="T326" s="6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6">
        <f t="shared" si="22"/>
        <v>43267.208333333328</v>
      </c>
      <c r="T327" s="6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6">
        <f t="shared" si="22"/>
        <v>42364.25</v>
      </c>
      <c r="T328" s="6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6">
        <f t="shared" si="22"/>
        <v>43705.208333333328</v>
      </c>
      <c r="T329" s="6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6">
        <f t="shared" si="22"/>
        <v>43434.25</v>
      </c>
      <c r="T330" s="6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6">
        <f t="shared" si="22"/>
        <v>42716.25</v>
      </c>
      <c r="T331" s="6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6">
        <f t="shared" si="22"/>
        <v>43077.25</v>
      </c>
      <c r="T332" s="6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6">
        <f t="shared" si="22"/>
        <v>40896.25</v>
      </c>
      <c r="T333" s="6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6">
        <f t="shared" si="22"/>
        <v>41361.208333333336</v>
      </c>
      <c r="T334" s="6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6">
        <f t="shared" si="22"/>
        <v>43424.25</v>
      </c>
      <c r="T335" s="6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6">
        <f t="shared" si="22"/>
        <v>43110.25</v>
      </c>
      <c r="T336" s="6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6">
        <f t="shared" si="22"/>
        <v>43784.25</v>
      </c>
      <c r="T337" s="6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6">
        <f t="shared" si="22"/>
        <v>40527.25</v>
      </c>
      <c r="T338" s="6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6">
        <f t="shared" si="22"/>
        <v>43780.25</v>
      </c>
      <c r="T339" s="6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6">
        <f t="shared" si="22"/>
        <v>40821.208333333336</v>
      </c>
      <c r="T340" s="6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6">
        <f t="shared" si="22"/>
        <v>42949.208333333328</v>
      </c>
      <c r="T341" s="6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6">
        <f t="shared" si="22"/>
        <v>40889.25</v>
      </c>
      <c r="T342" s="6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6">
        <f t="shared" si="22"/>
        <v>42244.208333333328</v>
      </c>
      <c r="T343" s="6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6">
        <f t="shared" si="22"/>
        <v>41475.208333333336</v>
      </c>
      <c r="T344" s="6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6">
        <f t="shared" si="22"/>
        <v>41597.25</v>
      </c>
      <c r="T345" s="6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6">
        <f t="shared" si="22"/>
        <v>43122.25</v>
      </c>
      <c r="T346" s="6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6">
        <f t="shared" si="22"/>
        <v>42194.208333333328</v>
      </c>
      <c r="T347" s="6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6">
        <f t="shared" si="22"/>
        <v>42971.208333333328</v>
      </c>
      <c r="T348" s="6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6">
        <f t="shared" si="22"/>
        <v>42046.25</v>
      </c>
      <c r="T349" s="6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6">
        <f t="shared" si="22"/>
        <v>42782.25</v>
      </c>
      <c r="T350" s="6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6">
        <f t="shared" si="22"/>
        <v>42930.208333333328</v>
      </c>
      <c r="T351" s="6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6">
        <f t="shared" si="22"/>
        <v>42144.208333333328</v>
      </c>
      <c r="T352" s="6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6">
        <f t="shared" si="22"/>
        <v>42240.208333333328</v>
      </c>
      <c r="T353" s="6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6">
        <f t="shared" si="22"/>
        <v>42315.25</v>
      </c>
      <c r="T354" s="6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6">
        <f t="shared" si="22"/>
        <v>43651.208333333328</v>
      </c>
      <c r="T355" s="6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6">
        <f t="shared" si="22"/>
        <v>41520.208333333336</v>
      </c>
      <c r="T356" s="6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6">
        <f t="shared" si="22"/>
        <v>42757.25</v>
      </c>
      <c r="T357" s="6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6">
        <f t="shared" si="22"/>
        <v>40922.25</v>
      </c>
      <c r="T358" s="6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6">
        <f t="shared" si="22"/>
        <v>42250.208333333328</v>
      </c>
      <c r="T359" s="6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6">
        <f t="shared" si="22"/>
        <v>43322.208333333328</v>
      </c>
      <c r="T360" s="6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6">
        <f t="shared" si="22"/>
        <v>40782.208333333336</v>
      </c>
      <c r="T361" s="6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6">
        <f t="shared" si="22"/>
        <v>40544.25</v>
      </c>
      <c r="T362" s="6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6">
        <f t="shared" si="22"/>
        <v>43015.208333333328</v>
      </c>
      <c r="T363" s="6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6">
        <f t="shared" si="22"/>
        <v>40570.25</v>
      </c>
      <c r="T364" s="6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6">
        <f t="shared" si="22"/>
        <v>40904.25</v>
      </c>
      <c r="T365" s="6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6">
        <f t="shared" si="22"/>
        <v>43164.25</v>
      </c>
      <c r="T366" s="6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6">
        <f t="shared" si="22"/>
        <v>42733.25</v>
      </c>
      <c r="T367" s="6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6">
        <f t="shared" si="22"/>
        <v>40546.25</v>
      </c>
      <c r="T368" s="6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6">
        <f t="shared" si="22"/>
        <v>41930.208333333336</v>
      </c>
      <c r="T369" s="6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6">
        <f t="shared" si="22"/>
        <v>40464.208333333336</v>
      </c>
      <c r="T370" s="6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6">
        <f t="shared" si="22"/>
        <v>41308.25</v>
      </c>
      <c r="T371" s="6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6">
        <f t="shared" si="22"/>
        <v>43570.208333333328</v>
      </c>
      <c r="T372" s="6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6">
        <f t="shared" si="22"/>
        <v>42043.25</v>
      </c>
      <c r="T373" s="6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6">
        <f t="shared" si="22"/>
        <v>42012.25</v>
      </c>
      <c r="T374" s="6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6">
        <f t="shared" si="22"/>
        <v>42964.208333333328</v>
      </c>
      <c r="T375" s="6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6">
        <f t="shared" si="22"/>
        <v>43476.25</v>
      </c>
      <c r="T376" s="6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6">
        <f t="shared" si="22"/>
        <v>42293.208333333328</v>
      </c>
      <c r="T377" s="6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6">
        <f t="shared" si="22"/>
        <v>41826.208333333336</v>
      </c>
      <c r="T378" s="6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6">
        <f t="shared" si="22"/>
        <v>43760.208333333328</v>
      </c>
      <c r="T379" s="6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6">
        <f t="shared" si="22"/>
        <v>43241.208333333328</v>
      </c>
      <c r="T380" s="6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6">
        <f t="shared" si="22"/>
        <v>40843.208333333336</v>
      </c>
      <c r="T381" s="6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6">
        <f t="shared" si="22"/>
        <v>41448.208333333336</v>
      </c>
      <c r="T382" s="6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6">
        <f t="shared" si="22"/>
        <v>42163.208333333328</v>
      </c>
      <c r="T383" s="6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6">
        <f t="shared" si="22"/>
        <v>43024.208333333328</v>
      </c>
      <c r="T384" s="6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6">
        <f t="shared" si="22"/>
        <v>43509.25</v>
      </c>
      <c r="T385" s="6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6">
        <f t="shared" si="22"/>
        <v>42776.25</v>
      </c>
      <c r="T386" s="6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ROUND((((E387)*100)/D387),0)</f>
        <v>146</v>
      </c>
      <c r="G387" t="s">
        <v>20</v>
      </c>
      <c r="H387">
        <v>1137</v>
      </c>
      <c r="I387">
        <f t="shared" ref="I387:I450" si="25">IF(H387=0,0,ROUND((E387)/H387,2))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6">
        <f t="shared" ref="S387:S450" si="26">(((L387/60)/60)/24)+DATE(1970,1,1)</f>
        <v>43553.208333333328</v>
      </c>
      <c r="T387" s="6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6">
        <f t="shared" si="26"/>
        <v>40355.208333333336</v>
      </c>
      <c r="T388" s="6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6">
        <f t="shared" si="26"/>
        <v>41072.208333333336</v>
      </c>
      <c r="T389" s="6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6">
        <f t="shared" si="26"/>
        <v>40912.25</v>
      </c>
      <c r="T390" s="6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6">
        <f t="shared" si="26"/>
        <v>40479.208333333336</v>
      </c>
      <c r="T391" s="6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6">
        <f t="shared" si="26"/>
        <v>41530.208333333336</v>
      </c>
      <c r="T392" s="6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6">
        <f t="shared" si="26"/>
        <v>41653.25</v>
      </c>
      <c r="T393" s="6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6">
        <f t="shared" si="26"/>
        <v>40549.25</v>
      </c>
      <c r="T394" s="6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6">
        <f t="shared" si="26"/>
        <v>42933.208333333328</v>
      </c>
      <c r="T395" s="6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6">
        <f t="shared" si="26"/>
        <v>41484.208333333336</v>
      </c>
      <c r="T396" s="6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6">
        <f t="shared" si="26"/>
        <v>40885.25</v>
      </c>
      <c r="T397" s="6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6">
        <f t="shared" si="26"/>
        <v>43378.208333333328</v>
      </c>
      <c r="T398" s="6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6">
        <f t="shared" si="26"/>
        <v>41417.208333333336</v>
      </c>
      <c r="T399" s="6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6">
        <f t="shared" si="26"/>
        <v>43228.208333333328</v>
      </c>
      <c r="T400" s="6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6">
        <f t="shared" si="26"/>
        <v>40576.25</v>
      </c>
      <c r="T401" s="6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6">
        <f t="shared" si="26"/>
        <v>41502.208333333336</v>
      </c>
      <c r="T402" s="6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6">
        <f t="shared" si="26"/>
        <v>43765.208333333328</v>
      </c>
      <c r="T403" s="6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6">
        <f t="shared" si="26"/>
        <v>40914.25</v>
      </c>
      <c r="T404" s="6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6">
        <f t="shared" si="26"/>
        <v>40310.208333333336</v>
      </c>
      <c r="T405" s="6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6">
        <f t="shared" si="26"/>
        <v>43053.25</v>
      </c>
      <c r="T406" s="6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6">
        <f t="shared" si="26"/>
        <v>43255.208333333328</v>
      </c>
      <c r="T407" s="6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6">
        <f t="shared" si="26"/>
        <v>41304.25</v>
      </c>
      <c r="T408" s="6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6">
        <f t="shared" si="26"/>
        <v>43751.208333333328</v>
      </c>
      <c r="T409" s="6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6">
        <f t="shared" si="26"/>
        <v>42541.208333333328</v>
      </c>
      <c r="T410" s="6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6">
        <f t="shared" si="26"/>
        <v>42843.208333333328</v>
      </c>
      <c r="T411" s="6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6">
        <f t="shared" si="26"/>
        <v>42122.208333333328</v>
      </c>
      <c r="T412" s="6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6">
        <f t="shared" si="26"/>
        <v>42884.208333333328</v>
      </c>
      <c r="T413" s="6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6">
        <f t="shared" si="26"/>
        <v>41642.25</v>
      </c>
      <c r="T414" s="6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6">
        <f t="shared" si="26"/>
        <v>43431.25</v>
      </c>
      <c r="T415" s="6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6">
        <f t="shared" si="26"/>
        <v>40288.208333333336</v>
      </c>
      <c r="T416" s="6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6">
        <f t="shared" si="26"/>
        <v>40921.25</v>
      </c>
      <c r="T417" s="6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6">
        <f t="shared" si="26"/>
        <v>40560.25</v>
      </c>
      <c r="T418" s="6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6">
        <f t="shared" si="26"/>
        <v>43407.208333333328</v>
      </c>
      <c r="T419" s="6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6">
        <f t="shared" si="26"/>
        <v>41035.208333333336</v>
      </c>
      <c r="T420" s="6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6">
        <f t="shared" si="26"/>
        <v>40899.25</v>
      </c>
      <c r="T421" s="6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6">
        <f t="shared" si="26"/>
        <v>42911.208333333328</v>
      </c>
      <c r="T422" s="6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6">
        <f t="shared" si="26"/>
        <v>42915.208333333328</v>
      </c>
      <c r="T423" s="6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6">
        <f t="shared" si="26"/>
        <v>40285.208333333336</v>
      </c>
      <c r="T424" s="6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6">
        <f t="shared" si="26"/>
        <v>40808.208333333336</v>
      </c>
      <c r="T425" s="6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6">
        <f t="shared" si="26"/>
        <v>43208.208333333328</v>
      </c>
      <c r="T426" s="6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6">
        <f t="shared" si="26"/>
        <v>42213.208333333328</v>
      </c>
      <c r="T427" s="6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6">
        <f t="shared" si="26"/>
        <v>41332.25</v>
      </c>
      <c r="T428" s="6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6">
        <f t="shared" si="26"/>
        <v>41895.208333333336</v>
      </c>
      <c r="T429" s="6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6">
        <f t="shared" si="26"/>
        <v>40585.25</v>
      </c>
      <c r="T430" s="6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6">
        <f t="shared" si="26"/>
        <v>41680.25</v>
      </c>
      <c r="T431" s="6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6">
        <f t="shared" si="26"/>
        <v>43737.208333333328</v>
      </c>
      <c r="T432" s="6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6">
        <f t="shared" si="26"/>
        <v>43273.208333333328</v>
      </c>
      <c r="T433" s="6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6">
        <f t="shared" si="26"/>
        <v>41761.208333333336</v>
      </c>
      <c r="T434" s="6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6">
        <f t="shared" si="26"/>
        <v>41603.25</v>
      </c>
      <c r="T435" s="6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6">
        <f t="shared" si="26"/>
        <v>42705.25</v>
      </c>
      <c r="T436" s="6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6">
        <f t="shared" si="26"/>
        <v>41988.25</v>
      </c>
      <c r="T437" s="6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6">
        <f t="shared" si="26"/>
        <v>43575.208333333328</v>
      </c>
      <c r="T438" s="6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6">
        <f t="shared" si="26"/>
        <v>42260.208333333328</v>
      </c>
      <c r="T439" s="6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6">
        <f t="shared" si="26"/>
        <v>41337.25</v>
      </c>
      <c r="T440" s="6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6">
        <f t="shared" si="26"/>
        <v>42680.208333333328</v>
      </c>
      <c r="T441" s="6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6">
        <f t="shared" si="26"/>
        <v>42916.208333333328</v>
      </c>
      <c r="T442" s="6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6">
        <f t="shared" si="26"/>
        <v>41025.208333333336</v>
      </c>
      <c r="T443" s="6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6">
        <f t="shared" si="26"/>
        <v>42980.208333333328</v>
      </c>
      <c r="T444" s="6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6">
        <f t="shared" si="26"/>
        <v>40451.208333333336</v>
      </c>
      <c r="T445" s="6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6">
        <f t="shared" si="26"/>
        <v>40748.208333333336</v>
      </c>
      <c r="T446" s="6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6">
        <f t="shared" si="26"/>
        <v>40515.25</v>
      </c>
      <c r="T447" s="6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6">
        <f t="shared" si="26"/>
        <v>41261.25</v>
      </c>
      <c r="T448" s="6">
        <f t="shared" si="27"/>
        <v>41263.25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6">
        <f t="shared" si="26"/>
        <v>43088.25</v>
      </c>
      <c r="T449" s="6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6">
        <f t="shared" si="26"/>
        <v>41378.208333333336</v>
      </c>
      <c r="T450" s="6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ROUND((((E451)*100)/D451),0)</f>
        <v>967</v>
      </c>
      <c r="G451" t="s">
        <v>20</v>
      </c>
      <c r="H451">
        <v>86</v>
      </c>
      <c r="I451">
        <f t="shared" ref="I451:I514" si="29">IF(H451=0,0,ROUND((E451)/H451,2))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6">
        <f t="shared" ref="S451:S514" si="30">(((L451/60)/60)/24)+DATE(1970,1,1)</f>
        <v>43530.25</v>
      </c>
      <c r="T451" s="6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6">
        <f t="shared" si="30"/>
        <v>43394.208333333328</v>
      </c>
      <c r="T452" s="6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6">
        <f t="shared" si="30"/>
        <v>42935.208333333328</v>
      </c>
      <c r="T453" s="6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6">
        <f t="shared" si="30"/>
        <v>40365.208333333336</v>
      </c>
      <c r="T454" s="6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6">
        <f t="shared" si="30"/>
        <v>42705.25</v>
      </c>
      <c r="T455" s="6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6">
        <f t="shared" si="30"/>
        <v>41568.208333333336</v>
      </c>
      <c r="T456" s="6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6">
        <f t="shared" si="30"/>
        <v>40809.208333333336</v>
      </c>
      <c r="T457" s="6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6">
        <f t="shared" si="30"/>
        <v>43141.25</v>
      </c>
      <c r="T458" s="6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6">
        <f t="shared" si="30"/>
        <v>42657.208333333328</v>
      </c>
      <c r="T459" s="6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6">
        <f t="shared" si="30"/>
        <v>40265.208333333336</v>
      </c>
      <c r="T460" s="6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6">
        <f t="shared" si="30"/>
        <v>42001.25</v>
      </c>
      <c r="T461" s="6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6">
        <f t="shared" si="30"/>
        <v>40399.208333333336</v>
      </c>
      <c r="T462" s="6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6">
        <f t="shared" si="30"/>
        <v>41757.208333333336</v>
      </c>
      <c r="T463" s="6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6">
        <f t="shared" si="30"/>
        <v>41304.25</v>
      </c>
      <c r="T464" s="6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6">
        <f t="shared" si="30"/>
        <v>41639.25</v>
      </c>
      <c r="T465" s="6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6">
        <f t="shared" si="30"/>
        <v>43142.25</v>
      </c>
      <c r="T466" s="6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6">
        <f t="shared" si="30"/>
        <v>43127.25</v>
      </c>
      <c r="T467" s="6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6">
        <f t="shared" si="30"/>
        <v>41409.208333333336</v>
      </c>
      <c r="T468" s="6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6">
        <f t="shared" si="30"/>
        <v>42331.25</v>
      </c>
      <c r="T469" s="6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6">
        <f t="shared" si="30"/>
        <v>43569.208333333328</v>
      </c>
      <c r="T470" s="6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6">
        <f t="shared" si="30"/>
        <v>42142.208333333328</v>
      </c>
      <c r="T471" s="6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6">
        <f t="shared" si="30"/>
        <v>42716.25</v>
      </c>
      <c r="T472" s="6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6">
        <f t="shared" si="30"/>
        <v>41031.208333333336</v>
      </c>
      <c r="T473" s="6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6">
        <f t="shared" si="30"/>
        <v>43535.208333333328</v>
      </c>
      <c r="T474" s="6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6">
        <f t="shared" si="30"/>
        <v>43277.208333333328</v>
      </c>
      <c r="T475" s="6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6">
        <f t="shared" si="30"/>
        <v>41989.25</v>
      </c>
      <c r="T476" s="6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6">
        <f t="shared" si="30"/>
        <v>41450.208333333336</v>
      </c>
      <c r="T477" s="6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6">
        <f t="shared" si="30"/>
        <v>43322.208333333328</v>
      </c>
      <c r="T478" s="6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6">
        <f t="shared" si="30"/>
        <v>40720.208333333336</v>
      </c>
      <c r="T479" s="6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6">
        <f t="shared" si="30"/>
        <v>42072.208333333328</v>
      </c>
      <c r="T480" s="6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6">
        <f t="shared" si="30"/>
        <v>42945.208333333328</v>
      </c>
      <c r="T481" s="6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6">
        <f t="shared" si="30"/>
        <v>40248.25</v>
      </c>
      <c r="T482" s="6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6">
        <f t="shared" si="30"/>
        <v>41913.208333333336</v>
      </c>
      <c r="T483" s="6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6">
        <f t="shared" si="30"/>
        <v>40963.25</v>
      </c>
      <c r="T484" s="6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6">
        <f t="shared" si="30"/>
        <v>43811.25</v>
      </c>
      <c r="T485" s="6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6">
        <f t="shared" si="30"/>
        <v>41855.208333333336</v>
      </c>
      <c r="T486" s="6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6">
        <f t="shared" si="30"/>
        <v>43626.208333333328</v>
      </c>
      <c r="T487" s="6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6">
        <f t="shared" si="30"/>
        <v>43168.25</v>
      </c>
      <c r="T488" s="6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6">
        <f t="shared" si="30"/>
        <v>42845.208333333328</v>
      </c>
      <c r="T489" s="6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6">
        <f t="shared" si="30"/>
        <v>42403.25</v>
      </c>
      <c r="T490" s="6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6">
        <f t="shared" si="30"/>
        <v>40406.208333333336</v>
      </c>
      <c r="T491" s="6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6">
        <f t="shared" si="30"/>
        <v>43786.25</v>
      </c>
      <c r="T492" s="6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6">
        <f t="shared" si="30"/>
        <v>41456.208333333336</v>
      </c>
      <c r="T493" s="6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6">
        <f t="shared" si="30"/>
        <v>40336.208333333336</v>
      </c>
      <c r="T494" s="6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6">
        <f t="shared" si="30"/>
        <v>43645.208333333328</v>
      </c>
      <c r="T495" s="6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6">
        <f t="shared" si="30"/>
        <v>40990.208333333336</v>
      </c>
      <c r="T496" s="6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6">
        <f t="shared" si="30"/>
        <v>41800.208333333336</v>
      </c>
      <c r="T497" s="6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6">
        <f t="shared" si="30"/>
        <v>42876.208333333328</v>
      </c>
      <c r="T498" s="6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6">
        <f t="shared" si="30"/>
        <v>42724.25</v>
      </c>
      <c r="T499" s="6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6">
        <f t="shared" si="30"/>
        <v>42005.25</v>
      </c>
      <c r="T500" s="6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6">
        <f t="shared" si="30"/>
        <v>42444.208333333328</v>
      </c>
      <c r="T501" s="6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6">
        <f t="shared" si="30"/>
        <v>41395.208333333336</v>
      </c>
      <c r="T502" s="6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6">
        <f t="shared" si="30"/>
        <v>41345.208333333336</v>
      </c>
      <c r="T503" s="6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6">
        <f t="shared" si="30"/>
        <v>41117.208333333336</v>
      </c>
      <c r="T504" s="6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6">
        <f t="shared" si="30"/>
        <v>42186.208333333328</v>
      </c>
      <c r="T505" s="6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6">
        <f t="shared" si="30"/>
        <v>42142.208333333328</v>
      </c>
      <c r="T506" s="6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6">
        <f t="shared" si="30"/>
        <v>41341.25</v>
      </c>
      <c r="T507" s="6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6">
        <f t="shared" si="30"/>
        <v>43062.25</v>
      </c>
      <c r="T508" s="6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6">
        <f t="shared" si="30"/>
        <v>41373.208333333336</v>
      </c>
      <c r="T509" s="6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6">
        <f t="shared" si="30"/>
        <v>43310.208333333328</v>
      </c>
      <c r="T510" s="6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6">
        <f t="shared" si="30"/>
        <v>41034.208333333336</v>
      </c>
      <c r="T511" s="6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6">
        <f t="shared" si="30"/>
        <v>43251.208333333328</v>
      </c>
      <c r="T512" s="6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6">
        <f t="shared" si="30"/>
        <v>43671.208333333328</v>
      </c>
      <c r="T513" s="6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6">
        <f t="shared" si="30"/>
        <v>41825.208333333336</v>
      </c>
      <c r="T514" s="6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ROUND((((E515)*100)/D515),0)</f>
        <v>39</v>
      </c>
      <c r="G515" t="s">
        <v>74</v>
      </c>
      <c r="H515">
        <v>35</v>
      </c>
      <c r="I515">
        <f t="shared" ref="I515:I578" si="33">IF(H515=0,0,ROUND((E515)/H515,2))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6">
        <f t="shared" ref="S515:S578" si="34">(((L515/60)/60)/24)+DATE(1970,1,1)</f>
        <v>40430.208333333336</v>
      </c>
      <c r="T515" s="6">
        <f t="shared" ref="T515:T578" si="35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6">
        <f t="shared" si="34"/>
        <v>41614.25</v>
      </c>
      <c r="T516" s="6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6">
        <f t="shared" si="34"/>
        <v>40900.25</v>
      </c>
      <c r="T517" s="6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6">
        <f t="shared" si="34"/>
        <v>40396.208333333336</v>
      </c>
      <c r="T518" s="6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6">
        <f t="shared" si="34"/>
        <v>42860.208333333328</v>
      </c>
      <c r="T519" s="6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6">
        <f t="shared" si="34"/>
        <v>43154.25</v>
      </c>
      <c r="T520" s="6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6">
        <f t="shared" si="34"/>
        <v>42012.25</v>
      </c>
      <c r="T521" s="6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6">
        <f t="shared" si="34"/>
        <v>43574.208333333328</v>
      </c>
      <c r="T522" s="6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6">
        <f t="shared" si="34"/>
        <v>42605.208333333328</v>
      </c>
      <c r="T523" s="6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6">
        <f t="shared" si="34"/>
        <v>41093.208333333336</v>
      </c>
      <c r="T524" s="6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6">
        <f t="shared" si="34"/>
        <v>40241.25</v>
      </c>
      <c r="T525" s="6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6">
        <f t="shared" si="34"/>
        <v>40294.208333333336</v>
      </c>
      <c r="T526" s="6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6">
        <f t="shared" si="34"/>
        <v>40505.25</v>
      </c>
      <c r="T527" s="6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6">
        <f t="shared" si="34"/>
        <v>42364.25</v>
      </c>
      <c r="T528" s="6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6">
        <f t="shared" si="34"/>
        <v>42405.25</v>
      </c>
      <c r="T529" s="6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6">
        <f t="shared" si="34"/>
        <v>41601.25</v>
      </c>
      <c r="T530" s="6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6">
        <f t="shared" si="34"/>
        <v>41769.208333333336</v>
      </c>
      <c r="T531" s="6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6">
        <f t="shared" si="34"/>
        <v>40421.208333333336</v>
      </c>
      <c r="T532" s="6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6">
        <f t="shared" si="34"/>
        <v>41589.25</v>
      </c>
      <c r="T533" s="6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6">
        <f t="shared" si="34"/>
        <v>43125.25</v>
      </c>
      <c r="T534" s="6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6">
        <f t="shared" si="34"/>
        <v>41479.208333333336</v>
      </c>
      <c r="T535" s="6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6">
        <f t="shared" si="34"/>
        <v>43329.208333333328</v>
      </c>
      <c r="T536" s="6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6">
        <f t="shared" si="34"/>
        <v>43259.208333333328</v>
      </c>
      <c r="T537" s="6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6">
        <f t="shared" si="34"/>
        <v>40414.208333333336</v>
      </c>
      <c r="T538" s="6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6">
        <f t="shared" si="34"/>
        <v>43342.208333333328</v>
      </c>
      <c r="T539" s="6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6">
        <f t="shared" si="34"/>
        <v>41539.208333333336</v>
      </c>
      <c r="T540" s="6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6">
        <f t="shared" si="34"/>
        <v>43647.208333333328</v>
      </c>
      <c r="T541" s="6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6">
        <f t="shared" si="34"/>
        <v>43225.208333333328</v>
      </c>
      <c r="T542" s="6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6">
        <f t="shared" si="34"/>
        <v>42165.208333333328</v>
      </c>
      <c r="T543" s="6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6">
        <f t="shared" si="34"/>
        <v>42391.25</v>
      </c>
      <c r="T544" s="6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6">
        <f t="shared" si="34"/>
        <v>41528.208333333336</v>
      </c>
      <c r="T545" s="6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6">
        <f t="shared" si="34"/>
        <v>42377.25</v>
      </c>
      <c r="T546" s="6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6">
        <f t="shared" si="34"/>
        <v>43824.25</v>
      </c>
      <c r="T547" s="6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6">
        <f t="shared" si="34"/>
        <v>43360.208333333328</v>
      </c>
      <c r="T548" s="6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6">
        <f t="shared" si="34"/>
        <v>42029.25</v>
      </c>
      <c r="T549" s="6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6">
        <f t="shared" si="34"/>
        <v>42461.208333333328</v>
      </c>
      <c r="T550" s="6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6">
        <f t="shared" si="34"/>
        <v>41422.208333333336</v>
      </c>
      <c r="T551" s="6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6">
        <f t="shared" si="34"/>
        <v>40968.25</v>
      </c>
      <c r="T552" s="6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6">
        <f t="shared" si="34"/>
        <v>41993.25</v>
      </c>
      <c r="T553" s="6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6">
        <f t="shared" si="34"/>
        <v>42700.25</v>
      </c>
      <c r="T554" s="6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6">
        <f t="shared" si="34"/>
        <v>40545.25</v>
      </c>
      <c r="T555" s="6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6">
        <f t="shared" si="34"/>
        <v>42723.25</v>
      </c>
      <c r="T556" s="6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6">
        <f t="shared" si="34"/>
        <v>41731.208333333336</v>
      </c>
      <c r="T557" s="6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6">
        <f t="shared" si="34"/>
        <v>40792.208333333336</v>
      </c>
      <c r="T558" s="6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6">
        <f t="shared" si="34"/>
        <v>42279.208333333328</v>
      </c>
      <c r="T559" s="6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6">
        <f t="shared" si="34"/>
        <v>42424.25</v>
      </c>
      <c r="T560" s="6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6">
        <f t="shared" si="34"/>
        <v>42584.208333333328</v>
      </c>
      <c r="T561" s="6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6">
        <f t="shared" si="34"/>
        <v>40865.25</v>
      </c>
      <c r="T562" s="6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6">
        <f t="shared" si="34"/>
        <v>40833.208333333336</v>
      </c>
      <c r="T563" s="6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6">
        <f t="shared" si="34"/>
        <v>43536.208333333328</v>
      </c>
      <c r="T564" s="6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6">
        <f t="shared" si="34"/>
        <v>43417.25</v>
      </c>
      <c r="T565" s="6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6">
        <f t="shared" si="34"/>
        <v>42078.208333333328</v>
      </c>
      <c r="T566" s="6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6">
        <f t="shared" si="34"/>
        <v>40862.25</v>
      </c>
      <c r="T567" s="6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6">
        <f t="shared" si="34"/>
        <v>42424.25</v>
      </c>
      <c r="T568" s="6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6">
        <f t="shared" si="34"/>
        <v>41830.208333333336</v>
      </c>
      <c r="T569" s="6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6">
        <f t="shared" si="34"/>
        <v>40374.208333333336</v>
      </c>
      <c r="T570" s="6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6">
        <f t="shared" si="34"/>
        <v>40554.25</v>
      </c>
      <c r="T571" s="6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6">
        <f t="shared" si="34"/>
        <v>41993.25</v>
      </c>
      <c r="T572" s="6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6">
        <f t="shared" si="34"/>
        <v>42174.208333333328</v>
      </c>
      <c r="T573" s="6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6">
        <f t="shared" si="34"/>
        <v>42275.208333333328</v>
      </c>
      <c r="T574" s="6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6">
        <f t="shared" si="34"/>
        <v>41761.208333333336</v>
      </c>
      <c r="T575" s="6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6">
        <f t="shared" si="34"/>
        <v>43806.25</v>
      </c>
      <c r="T576" s="6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6">
        <f t="shared" si="34"/>
        <v>41779.208333333336</v>
      </c>
      <c r="T577" s="6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6">
        <f t="shared" si="34"/>
        <v>43040.208333333328</v>
      </c>
      <c r="T578" s="6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ROUND((((E579)*100)/D579),0)</f>
        <v>19</v>
      </c>
      <c r="G579" t="s">
        <v>74</v>
      </c>
      <c r="H579">
        <v>37</v>
      </c>
      <c r="I579">
        <f t="shared" ref="I579:I642" si="37">IF(H579=0,0,ROUND((E579)/H579,2))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6">
        <f t="shared" ref="S579:S642" si="38">(((L579/60)/60)/24)+DATE(1970,1,1)</f>
        <v>40613.25</v>
      </c>
      <c r="T579" s="6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6">
        <f t="shared" si="38"/>
        <v>40878.25</v>
      </c>
      <c r="T580" s="6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6">
        <f t="shared" si="38"/>
        <v>40762.208333333336</v>
      </c>
      <c r="T581" s="6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6">
        <f t="shared" si="38"/>
        <v>41696.25</v>
      </c>
      <c r="T582" s="6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6">
        <f t="shared" si="38"/>
        <v>40662.208333333336</v>
      </c>
      <c r="T583" s="6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6">
        <f t="shared" si="38"/>
        <v>42165.208333333328</v>
      </c>
      <c r="T584" s="6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6">
        <f t="shared" si="38"/>
        <v>40959.25</v>
      </c>
      <c r="T585" s="6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6">
        <f t="shared" si="38"/>
        <v>41024.208333333336</v>
      </c>
      <c r="T586" s="6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6">
        <f t="shared" si="38"/>
        <v>40255.208333333336</v>
      </c>
      <c r="T587" s="6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6">
        <f t="shared" si="38"/>
        <v>40499.25</v>
      </c>
      <c r="T588" s="6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6">
        <f t="shared" si="38"/>
        <v>43484.25</v>
      </c>
      <c r="T589" s="6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6">
        <f t="shared" si="38"/>
        <v>40262.208333333336</v>
      </c>
      <c r="T590" s="6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6">
        <f t="shared" si="38"/>
        <v>42190.208333333328</v>
      </c>
      <c r="T591" s="6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6">
        <f t="shared" si="38"/>
        <v>41994.25</v>
      </c>
      <c r="T592" s="6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6">
        <f t="shared" si="38"/>
        <v>40373.208333333336</v>
      </c>
      <c r="T593" s="6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6">
        <f t="shared" si="38"/>
        <v>41789.208333333336</v>
      </c>
      <c r="T594" s="6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6">
        <f t="shared" si="38"/>
        <v>41724.208333333336</v>
      </c>
      <c r="T595" s="6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6">
        <f t="shared" si="38"/>
        <v>42548.208333333328</v>
      </c>
      <c r="T596" s="6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6">
        <f t="shared" si="38"/>
        <v>40253.208333333336</v>
      </c>
      <c r="T597" s="6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6">
        <f t="shared" si="38"/>
        <v>42434.25</v>
      </c>
      <c r="T598" s="6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6">
        <f t="shared" si="38"/>
        <v>43786.25</v>
      </c>
      <c r="T599" s="6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6">
        <f t="shared" si="38"/>
        <v>40344.208333333336</v>
      </c>
      <c r="T600" s="6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6">
        <f t="shared" si="38"/>
        <v>42047.25</v>
      </c>
      <c r="T601" s="6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6">
        <f t="shared" si="38"/>
        <v>41485.208333333336</v>
      </c>
      <c r="T602" s="6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6">
        <f t="shared" si="38"/>
        <v>41789.208333333336</v>
      </c>
      <c r="T603" s="6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6">
        <f t="shared" si="38"/>
        <v>42160.208333333328</v>
      </c>
      <c r="T604" s="6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6">
        <f t="shared" si="38"/>
        <v>43573.208333333328</v>
      </c>
      <c r="T605" s="6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6">
        <f t="shared" si="38"/>
        <v>40565.25</v>
      </c>
      <c r="T606" s="6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6">
        <f t="shared" si="38"/>
        <v>42280.208333333328</v>
      </c>
      <c r="T607" s="6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6">
        <f t="shared" si="38"/>
        <v>42436.25</v>
      </c>
      <c r="T608" s="6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6">
        <f t="shared" si="38"/>
        <v>41721.208333333336</v>
      </c>
      <c r="T609" s="6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6">
        <f t="shared" si="38"/>
        <v>43530.25</v>
      </c>
      <c r="T610" s="6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6">
        <f t="shared" si="38"/>
        <v>43481.25</v>
      </c>
      <c r="T611" s="6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6">
        <f t="shared" si="38"/>
        <v>41259.25</v>
      </c>
      <c r="T612" s="6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6">
        <f t="shared" si="38"/>
        <v>41480.208333333336</v>
      </c>
      <c r="T613" s="6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6">
        <f t="shared" si="38"/>
        <v>40474.208333333336</v>
      </c>
      <c r="T614" s="6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6">
        <f t="shared" si="38"/>
        <v>42973.208333333328</v>
      </c>
      <c r="T615" s="6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6">
        <f t="shared" si="38"/>
        <v>42746.25</v>
      </c>
      <c r="T616" s="6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6">
        <f t="shared" si="38"/>
        <v>42489.208333333328</v>
      </c>
      <c r="T617" s="6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6">
        <f t="shared" si="38"/>
        <v>41537.208333333336</v>
      </c>
      <c r="T618" s="6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6">
        <f t="shared" si="38"/>
        <v>41794.208333333336</v>
      </c>
      <c r="T619" s="6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6">
        <f t="shared" si="38"/>
        <v>41396.208333333336</v>
      </c>
      <c r="T620" s="6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6">
        <f t="shared" si="38"/>
        <v>40669.208333333336</v>
      </c>
      <c r="T621" s="6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6">
        <f t="shared" si="38"/>
        <v>42559.208333333328</v>
      </c>
      <c r="T622" s="6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6">
        <f t="shared" si="38"/>
        <v>42626.208333333328</v>
      </c>
      <c r="T623" s="6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6">
        <f t="shared" si="38"/>
        <v>43205.208333333328</v>
      </c>
      <c r="T624" s="6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6">
        <f t="shared" si="38"/>
        <v>42201.208333333328</v>
      </c>
      <c r="T625" s="6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6">
        <f t="shared" si="38"/>
        <v>42029.25</v>
      </c>
      <c r="T626" s="6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6">
        <f t="shared" si="38"/>
        <v>43857.25</v>
      </c>
      <c r="T627" s="6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6">
        <f t="shared" si="38"/>
        <v>40449.208333333336</v>
      </c>
      <c r="T628" s="6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6">
        <f t="shared" si="38"/>
        <v>40345.208333333336</v>
      </c>
      <c r="T629" s="6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6">
        <f t="shared" si="38"/>
        <v>40455.208333333336</v>
      </c>
      <c r="T630" s="6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6">
        <f t="shared" si="38"/>
        <v>42557.208333333328</v>
      </c>
      <c r="T631" s="6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6">
        <f t="shared" si="38"/>
        <v>43586.208333333328</v>
      </c>
      <c r="T632" s="6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6">
        <f t="shared" si="38"/>
        <v>43550.208333333328</v>
      </c>
      <c r="T633" s="6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6">
        <f t="shared" si="38"/>
        <v>41945.208333333336</v>
      </c>
      <c r="T634" s="6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6">
        <f t="shared" si="38"/>
        <v>42315.25</v>
      </c>
      <c r="T635" s="6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6">
        <f t="shared" si="38"/>
        <v>42819.208333333328</v>
      </c>
      <c r="T636" s="6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6">
        <f t="shared" si="38"/>
        <v>41314.25</v>
      </c>
      <c r="T637" s="6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6">
        <f t="shared" si="38"/>
        <v>40926.25</v>
      </c>
      <c r="T638" s="6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6">
        <f t="shared" si="38"/>
        <v>42688.25</v>
      </c>
      <c r="T639" s="6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6">
        <f t="shared" si="38"/>
        <v>40386.208333333336</v>
      </c>
      <c r="T640" s="6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6">
        <f t="shared" si="38"/>
        <v>43309.208333333328</v>
      </c>
      <c r="T641" s="6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6">
        <f t="shared" si="38"/>
        <v>42387.25</v>
      </c>
      <c r="T642" s="6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ROUND((((E643)*100)/D643),0)</f>
        <v>120</v>
      </c>
      <c r="G643" t="s">
        <v>20</v>
      </c>
      <c r="H643">
        <v>194</v>
      </c>
      <c r="I643">
        <f t="shared" ref="I643:I706" si="41">IF(H643=0,0,ROUND((E643)/H643,2))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6">
        <f t="shared" ref="S643:S706" si="42">(((L643/60)/60)/24)+DATE(1970,1,1)</f>
        <v>42786.25</v>
      </c>
      <c r="T643" s="6">
        <f t="shared" ref="T643:T706" si="43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6">
        <f t="shared" si="42"/>
        <v>43451.25</v>
      </c>
      <c r="T644" s="6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6">
        <f t="shared" si="42"/>
        <v>42795.25</v>
      </c>
      <c r="T645" s="6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6">
        <f t="shared" si="42"/>
        <v>43452.25</v>
      </c>
      <c r="T646" s="6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6">
        <f t="shared" si="42"/>
        <v>43369.208333333328</v>
      </c>
      <c r="T647" s="6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6">
        <f t="shared" si="42"/>
        <v>41346.208333333336</v>
      </c>
      <c r="T648" s="6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6">
        <f t="shared" si="42"/>
        <v>43199.208333333328</v>
      </c>
      <c r="T649" s="6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6">
        <f t="shared" si="42"/>
        <v>42922.208333333328</v>
      </c>
      <c r="T650" s="6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6">
        <f t="shared" si="42"/>
        <v>40471.208333333336</v>
      </c>
      <c r="T651" s="6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6">
        <f t="shared" si="42"/>
        <v>41828.208333333336</v>
      </c>
      <c r="T652" s="6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6">
        <f t="shared" si="42"/>
        <v>41692.25</v>
      </c>
      <c r="T653" s="6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6">
        <f t="shared" si="42"/>
        <v>42587.208333333328</v>
      </c>
      <c r="T654" s="6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6">
        <f t="shared" si="42"/>
        <v>42468.208333333328</v>
      </c>
      <c r="T655" s="6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6">
        <f t="shared" si="42"/>
        <v>42240.208333333328</v>
      </c>
      <c r="T656" s="6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6">
        <f t="shared" si="42"/>
        <v>42796.25</v>
      </c>
      <c r="T657" s="6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6">
        <f t="shared" si="42"/>
        <v>43097.25</v>
      </c>
      <c r="T658" s="6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6">
        <f t="shared" si="42"/>
        <v>43096.25</v>
      </c>
      <c r="T659" s="6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6">
        <f t="shared" si="42"/>
        <v>42246.208333333328</v>
      </c>
      <c r="T660" s="6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6">
        <f t="shared" si="42"/>
        <v>40570.25</v>
      </c>
      <c r="T661" s="6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6">
        <f t="shared" si="42"/>
        <v>42237.208333333328</v>
      </c>
      <c r="T662" s="6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6">
        <f t="shared" si="42"/>
        <v>40996.208333333336</v>
      </c>
      <c r="T663" s="6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6">
        <f t="shared" si="42"/>
        <v>43443.25</v>
      </c>
      <c r="T664" s="6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6">
        <f t="shared" si="42"/>
        <v>40458.208333333336</v>
      </c>
      <c r="T665" s="6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6">
        <f t="shared" si="42"/>
        <v>40959.25</v>
      </c>
      <c r="T666" s="6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6">
        <f t="shared" si="42"/>
        <v>40733.208333333336</v>
      </c>
      <c r="T667" s="6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6">
        <f t="shared" si="42"/>
        <v>41516.208333333336</v>
      </c>
      <c r="T668" s="6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6">
        <f t="shared" si="42"/>
        <v>41892.208333333336</v>
      </c>
      <c r="T669" s="6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6">
        <f t="shared" si="42"/>
        <v>41122.208333333336</v>
      </c>
      <c r="T670" s="6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6">
        <f t="shared" si="42"/>
        <v>42912.208333333328</v>
      </c>
      <c r="T671" s="6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6">
        <f t="shared" si="42"/>
        <v>42425.25</v>
      </c>
      <c r="T672" s="6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6">
        <f t="shared" si="42"/>
        <v>40390.208333333336</v>
      </c>
      <c r="T673" s="6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6">
        <f t="shared" si="42"/>
        <v>43180.208333333328</v>
      </c>
      <c r="T674" s="6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6">
        <f t="shared" si="42"/>
        <v>42475.208333333328</v>
      </c>
      <c r="T675" s="6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6">
        <f t="shared" si="42"/>
        <v>40774.208333333336</v>
      </c>
      <c r="T676" s="6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6">
        <f t="shared" si="42"/>
        <v>43719.208333333328</v>
      </c>
      <c r="T677" s="6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6">
        <f t="shared" si="42"/>
        <v>41178.208333333336</v>
      </c>
      <c r="T678" s="6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6">
        <f t="shared" si="42"/>
        <v>42561.208333333328</v>
      </c>
      <c r="T679" s="6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6">
        <f t="shared" si="42"/>
        <v>43484.25</v>
      </c>
      <c r="T680" s="6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6">
        <f t="shared" si="42"/>
        <v>43756.208333333328</v>
      </c>
      <c r="T681" s="6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6">
        <f t="shared" si="42"/>
        <v>43813.25</v>
      </c>
      <c r="T682" s="6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6">
        <f t="shared" si="42"/>
        <v>40898.25</v>
      </c>
      <c r="T683" s="6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6">
        <f t="shared" si="42"/>
        <v>41619.25</v>
      </c>
      <c r="T684" s="6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6">
        <f t="shared" si="42"/>
        <v>43359.208333333328</v>
      </c>
      <c r="T685" s="6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6">
        <f t="shared" si="42"/>
        <v>40358.208333333336</v>
      </c>
      <c r="T686" s="6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6">
        <f t="shared" si="42"/>
        <v>42239.208333333328</v>
      </c>
      <c r="T687" s="6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6">
        <f t="shared" si="42"/>
        <v>43186.208333333328</v>
      </c>
      <c r="T688" s="6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6">
        <f t="shared" si="42"/>
        <v>42806.25</v>
      </c>
      <c r="T689" s="6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6">
        <f t="shared" si="42"/>
        <v>43475.25</v>
      </c>
      <c r="T690" s="6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6">
        <f t="shared" si="42"/>
        <v>41576.208333333336</v>
      </c>
      <c r="T691" s="6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6">
        <f t="shared" si="42"/>
        <v>40874.25</v>
      </c>
      <c r="T692" s="6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6">
        <f t="shared" si="42"/>
        <v>41185.208333333336</v>
      </c>
      <c r="T693" s="6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6">
        <f t="shared" si="42"/>
        <v>43655.208333333328</v>
      </c>
      <c r="T694" s="6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6">
        <f t="shared" si="42"/>
        <v>43025.208333333328</v>
      </c>
      <c r="T695" s="6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6">
        <f t="shared" si="42"/>
        <v>43066.25</v>
      </c>
      <c r="T696" s="6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6">
        <f t="shared" si="42"/>
        <v>42322.25</v>
      </c>
      <c r="T697" s="6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6">
        <f t="shared" si="42"/>
        <v>42114.208333333328</v>
      </c>
      <c r="T698" s="6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6">
        <f t="shared" si="42"/>
        <v>43190.208333333328</v>
      </c>
      <c r="T699" s="6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6">
        <f t="shared" si="42"/>
        <v>40871.25</v>
      </c>
      <c r="T700" s="6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6">
        <f t="shared" si="42"/>
        <v>43641.208333333328</v>
      </c>
      <c r="T701" s="6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6">
        <f t="shared" si="42"/>
        <v>40203.25</v>
      </c>
      <c r="T702" s="6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6">
        <f t="shared" si="42"/>
        <v>40629.208333333336</v>
      </c>
      <c r="T703" s="6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6">
        <f t="shared" si="42"/>
        <v>41477.208333333336</v>
      </c>
      <c r="T704" s="6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6">
        <f t="shared" si="42"/>
        <v>41020.208333333336</v>
      </c>
      <c r="T705" s="6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6">
        <f t="shared" si="42"/>
        <v>42555.208333333328</v>
      </c>
      <c r="T706" s="6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ROUND((((E707)*100)/D707),0)</f>
        <v>99</v>
      </c>
      <c r="G707" t="s">
        <v>14</v>
      </c>
      <c r="H707">
        <v>2025</v>
      </c>
      <c r="I707">
        <f t="shared" ref="I707:I770" si="45">IF(H707=0,0,ROUND((E707)/H707,2))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6">
        <f t="shared" ref="S707:S770" si="46">(((L707/60)/60)/24)+DATE(1970,1,1)</f>
        <v>41619.25</v>
      </c>
      <c r="T707" s="6">
        <f t="shared" ref="T707:T770" si="47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6">
        <f t="shared" si="46"/>
        <v>43471.25</v>
      </c>
      <c r="T708" s="6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6">
        <f t="shared" si="46"/>
        <v>43442.25</v>
      </c>
      <c r="T709" s="6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6">
        <f t="shared" si="46"/>
        <v>42877.208333333328</v>
      </c>
      <c r="T710" s="6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6">
        <f t="shared" si="46"/>
        <v>41018.208333333336</v>
      </c>
      <c r="T711" s="6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6">
        <f t="shared" si="46"/>
        <v>43295.208333333328</v>
      </c>
      <c r="T712" s="6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6">
        <f t="shared" si="46"/>
        <v>42393.25</v>
      </c>
      <c r="T713" s="6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6">
        <f t="shared" si="46"/>
        <v>42559.208333333328</v>
      </c>
      <c r="T714" s="6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6">
        <f t="shared" si="46"/>
        <v>42604.208333333328</v>
      </c>
      <c r="T715" s="6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6">
        <f t="shared" si="46"/>
        <v>41870.208333333336</v>
      </c>
      <c r="T716" s="6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6">
        <f t="shared" si="46"/>
        <v>40397.208333333336</v>
      </c>
      <c r="T717" s="6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6">
        <f t="shared" si="46"/>
        <v>41465.208333333336</v>
      </c>
      <c r="T718" s="6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6">
        <f t="shared" si="46"/>
        <v>40777.208333333336</v>
      </c>
      <c r="T719" s="6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6">
        <f t="shared" si="46"/>
        <v>41442.208333333336</v>
      </c>
      <c r="T720" s="6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6">
        <f t="shared" si="46"/>
        <v>41058.208333333336</v>
      </c>
      <c r="T721" s="6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6">
        <f t="shared" si="46"/>
        <v>43152.25</v>
      </c>
      <c r="T722" s="6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6">
        <f t="shared" si="46"/>
        <v>43194.208333333328</v>
      </c>
      <c r="T723" s="6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6">
        <f t="shared" si="46"/>
        <v>43045.25</v>
      </c>
      <c r="T724" s="6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6">
        <f t="shared" si="46"/>
        <v>42431.25</v>
      </c>
      <c r="T725" s="6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6">
        <f t="shared" si="46"/>
        <v>41934.208333333336</v>
      </c>
      <c r="T726" s="6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6">
        <f t="shared" si="46"/>
        <v>41958.25</v>
      </c>
      <c r="T727" s="6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6">
        <f t="shared" si="46"/>
        <v>40476.208333333336</v>
      </c>
      <c r="T728" s="6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6">
        <f t="shared" si="46"/>
        <v>43485.25</v>
      </c>
      <c r="T729" s="6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6">
        <f t="shared" si="46"/>
        <v>42515.208333333328</v>
      </c>
      <c r="T730" s="6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6">
        <f t="shared" si="46"/>
        <v>41309.25</v>
      </c>
      <c r="T731" s="6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6">
        <f t="shared" si="46"/>
        <v>42147.208333333328</v>
      </c>
      <c r="T732" s="6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6">
        <f t="shared" si="46"/>
        <v>42939.208333333328</v>
      </c>
      <c r="T733" s="6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6">
        <f t="shared" si="46"/>
        <v>42816.208333333328</v>
      </c>
      <c r="T734" s="6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6">
        <f t="shared" si="46"/>
        <v>41844.208333333336</v>
      </c>
      <c r="T735" s="6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6">
        <f t="shared" si="46"/>
        <v>42763.25</v>
      </c>
      <c r="T736" s="6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6">
        <f t="shared" si="46"/>
        <v>42459.208333333328</v>
      </c>
      <c r="T737" s="6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6">
        <f t="shared" si="46"/>
        <v>42055.25</v>
      </c>
      <c r="T738" s="6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6">
        <f t="shared" si="46"/>
        <v>42685.25</v>
      </c>
      <c r="T739" s="6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6">
        <f t="shared" si="46"/>
        <v>41959.25</v>
      </c>
      <c r="T740" s="6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6">
        <f t="shared" si="46"/>
        <v>41089.208333333336</v>
      </c>
      <c r="T741" s="6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6">
        <f t="shared" si="46"/>
        <v>42769.25</v>
      </c>
      <c r="T742" s="6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6">
        <f t="shared" si="46"/>
        <v>40321.208333333336</v>
      </c>
      <c r="T743" s="6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6">
        <f t="shared" si="46"/>
        <v>40197.25</v>
      </c>
      <c r="T744" s="6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6">
        <f t="shared" si="46"/>
        <v>42298.208333333328</v>
      </c>
      <c r="T745" s="6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6">
        <f t="shared" si="46"/>
        <v>43322.208333333328</v>
      </c>
      <c r="T746" s="6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6">
        <f t="shared" si="46"/>
        <v>40328.208333333336</v>
      </c>
      <c r="T747" s="6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6">
        <f t="shared" si="46"/>
        <v>40825.208333333336</v>
      </c>
      <c r="T748" s="6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6">
        <f t="shared" si="46"/>
        <v>40423.208333333336</v>
      </c>
      <c r="T749" s="6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6">
        <f t="shared" si="46"/>
        <v>40238.25</v>
      </c>
      <c r="T750" s="6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6">
        <f t="shared" si="46"/>
        <v>41920.208333333336</v>
      </c>
      <c r="T751" s="6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6">
        <f t="shared" si="46"/>
        <v>40360.208333333336</v>
      </c>
      <c r="T752" s="6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6">
        <f t="shared" si="46"/>
        <v>42446.208333333328</v>
      </c>
      <c r="T753" s="6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6">
        <f t="shared" si="46"/>
        <v>40395.208333333336</v>
      </c>
      <c r="T754" s="6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6">
        <f t="shared" si="46"/>
        <v>40321.208333333336</v>
      </c>
      <c r="T755" s="6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6">
        <f t="shared" si="46"/>
        <v>41210.208333333336</v>
      </c>
      <c r="T756" s="6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6">
        <f t="shared" si="46"/>
        <v>43096.25</v>
      </c>
      <c r="T757" s="6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6">
        <f t="shared" si="46"/>
        <v>42024.25</v>
      </c>
      <c r="T758" s="6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6">
        <f t="shared" si="46"/>
        <v>40675.208333333336</v>
      </c>
      <c r="T759" s="6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6">
        <f t="shared" si="46"/>
        <v>41936.208333333336</v>
      </c>
      <c r="T760" s="6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6">
        <f t="shared" si="46"/>
        <v>43136.25</v>
      </c>
      <c r="T761" s="6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6">
        <f t="shared" si="46"/>
        <v>43678.208333333328</v>
      </c>
      <c r="T762" s="6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6">
        <f t="shared" si="46"/>
        <v>42938.208333333328</v>
      </c>
      <c r="T763" s="6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6">
        <f t="shared" si="46"/>
        <v>41241.25</v>
      </c>
      <c r="T764" s="6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6">
        <f t="shared" si="46"/>
        <v>41037.208333333336</v>
      </c>
      <c r="T765" s="6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6">
        <f t="shared" si="46"/>
        <v>40676.208333333336</v>
      </c>
      <c r="T766" s="6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6">
        <f t="shared" si="46"/>
        <v>42840.208333333328</v>
      </c>
      <c r="T767" s="6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6">
        <f t="shared" si="46"/>
        <v>43362.208333333328</v>
      </c>
      <c r="T768" s="6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6">
        <f t="shared" si="46"/>
        <v>42283.208333333328</v>
      </c>
      <c r="T769" s="6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6">
        <f t="shared" si="46"/>
        <v>41619.25</v>
      </c>
      <c r="T770" s="6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ROUND((((E771)*100)/D771),0)</f>
        <v>87</v>
      </c>
      <c r="G771" t="s">
        <v>14</v>
      </c>
      <c r="H771">
        <v>3410</v>
      </c>
      <c r="I771">
        <f t="shared" ref="I771:I834" si="49">IF(H771=0,0,ROUND((E771)/H771,2))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6">
        <f t="shared" ref="S771:S834" si="50">(((L771/60)/60)/24)+DATE(1970,1,1)</f>
        <v>41501.208333333336</v>
      </c>
      <c r="T771" s="6">
        <f t="shared" ref="T771:T834" si="51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6">
        <f t="shared" si="50"/>
        <v>41743.208333333336</v>
      </c>
      <c r="T772" s="6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6">
        <f t="shared" si="50"/>
        <v>43491.25</v>
      </c>
      <c r="T773" s="6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6">
        <f t="shared" si="50"/>
        <v>43505.25</v>
      </c>
      <c r="T774" s="6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6">
        <f t="shared" si="50"/>
        <v>42838.208333333328</v>
      </c>
      <c r="T775" s="6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6">
        <f t="shared" si="50"/>
        <v>42513.208333333328</v>
      </c>
      <c r="T776" s="6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6">
        <f t="shared" si="50"/>
        <v>41949.25</v>
      </c>
      <c r="T777" s="6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6">
        <f t="shared" si="50"/>
        <v>43650.208333333328</v>
      </c>
      <c r="T778" s="6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6">
        <f t="shared" si="50"/>
        <v>40809.208333333336</v>
      </c>
      <c r="T779" s="6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6">
        <f t="shared" si="50"/>
        <v>40768.208333333336</v>
      </c>
      <c r="T780" s="6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6">
        <f t="shared" si="50"/>
        <v>42230.208333333328</v>
      </c>
      <c r="T781" s="6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6">
        <f t="shared" si="50"/>
        <v>42573.208333333328</v>
      </c>
      <c r="T782" s="6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6">
        <f t="shared" si="50"/>
        <v>40482.208333333336</v>
      </c>
      <c r="T783" s="6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6">
        <f t="shared" si="50"/>
        <v>40603.25</v>
      </c>
      <c r="T784" s="6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6">
        <f t="shared" si="50"/>
        <v>41625.25</v>
      </c>
      <c r="T785" s="6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6">
        <f t="shared" si="50"/>
        <v>42435.25</v>
      </c>
      <c r="T786" s="6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6">
        <f t="shared" si="50"/>
        <v>43582.208333333328</v>
      </c>
      <c r="T787" s="6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6">
        <f t="shared" si="50"/>
        <v>43186.208333333328</v>
      </c>
      <c r="T788" s="6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6">
        <f t="shared" si="50"/>
        <v>40684.208333333336</v>
      </c>
      <c r="T789" s="6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6">
        <f t="shared" si="50"/>
        <v>41202.208333333336</v>
      </c>
      <c r="T790" s="6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6">
        <f t="shared" si="50"/>
        <v>41786.208333333336</v>
      </c>
      <c r="T791" s="6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6">
        <f t="shared" si="50"/>
        <v>40223.25</v>
      </c>
      <c r="T792" s="6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6">
        <f t="shared" si="50"/>
        <v>42715.25</v>
      </c>
      <c r="T793" s="6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6">
        <f t="shared" si="50"/>
        <v>41451.208333333336</v>
      </c>
      <c r="T794" s="6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6">
        <f t="shared" si="50"/>
        <v>41450.208333333336</v>
      </c>
      <c r="T795" s="6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6">
        <f t="shared" si="50"/>
        <v>43091.25</v>
      </c>
      <c r="T796" s="6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6">
        <f t="shared" si="50"/>
        <v>42675.208333333328</v>
      </c>
      <c r="T797" s="6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6">
        <f t="shared" si="50"/>
        <v>41859.208333333336</v>
      </c>
      <c r="T798" s="6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6">
        <f t="shared" si="50"/>
        <v>43464.25</v>
      </c>
      <c r="T799" s="6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6">
        <f t="shared" si="50"/>
        <v>41060.208333333336</v>
      </c>
      <c r="T800" s="6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6">
        <f t="shared" si="50"/>
        <v>42399.25</v>
      </c>
      <c r="T801" s="6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6">
        <f t="shared" si="50"/>
        <v>42167.208333333328</v>
      </c>
      <c r="T802" s="6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6">
        <f t="shared" si="50"/>
        <v>43830.25</v>
      </c>
      <c r="T803" s="6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6">
        <f t="shared" si="50"/>
        <v>43650.208333333328</v>
      </c>
      <c r="T804" s="6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6">
        <f t="shared" si="50"/>
        <v>43492.25</v>
      </c>
      <c r="T805" s="6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6">
        <f t="shared" si="50"/>
        <v>43102.25</v>
      </c>
      <c r="T806" s="6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6">
        <f t="shared" si="50"/>
        <v>41958.25</v>
      </c>
      <c r="T807" s="6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6">
        <f t="shared" si="50"/>
        <v>40973.25</v>
      </c>
      <c r="T808" s="6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6">
        <f t="shared" si="50"/>
        <v>43753.208333333328</v>
      </c>
      <c r="T809" s="6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6">
        <f t="shared" si="50"/>
        <v>42507.208333333328</v>
      </c>
      <c r="T810" s="6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6">
        <f t="shared" si="50"/>
        <v>41135.208333333336</v>
      </c>
      <c r="T811" s="6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6">
        <f t="shared" si="50"/>
        <v>43067.25</v>
      </c>
      <c r="T812" s="6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6">
        <f t="shared" si="50"/>
        <v>42378.25</v>
      </c>
      <c r="T813" s="6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6">
        <f t="shared" si="50"/>
        <v>43206.208333333328</v>
      </c>
      <c r="T814" s="6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6">
        <f t="shared" si="50"/>
        <v>41148.208333333336</v>
      </c>
      <c r="T815" s="6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6">
        <f t="shared" si="50"/>
        <v>42517.208333333328</v>
      </c>
      <c r="T816" s="6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6">
        <f t="shared" si="50"/>
        <v>43068.25</v>
      </c>
      <c r="T817" s="6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6">
        <f t="shared" si="50"/>
        <v>41680.25</v>
      </c>
      <c r="T818" s="6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6">
        <f t="shared" si="50"/>
        <v>43589.208333333328</v>
      </c>
      <c r="T819" s="6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6">
        <f t="shared" si="50"/>
        <v>43486.25</v>
      </c>
      <c r="T820" s="6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6">
        <f t="shared" si="50"/>
        <v>41237.25</v>
      </c>
      <c r="T821" s="6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6">
        <f t="shared" si="50"/>
        <v>43310.208333333328</v>
      </c>
      <c r="T822" s="6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6">
        <f t="shared" si="50"/>
        <v>42794.25</v>
      </c>
      <c r="T823" s="6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6">
        <f t="shared" si="50"/>
        <v>41698.25</v>
      </c>
      <c r="T824" s="6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6">
        <f t="shared" si="50"/>
        <v>41892.208333333336</v>
      </c>
      <c r="T825" s="6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6">
        <f t="shared" si="50"/>
        <v>40348.208333333336</v>
      </c>
      <c r="T826" s="6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6">
        <f t="shared" si="50"/>
        <v>42941.208333333328</v>
      </c>
      <c r="T827" s="6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6">
        <f t="shared" si="50"/>
        <v>40525.25</v>
      </c>
      <c r="T828" s="6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6">
        <f t="shared" si="50"/>
        <v>40666.208333333336</v>
      </c>
      <c r="T829" s="6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6">
        <f t="shared" si="50"/>
        <v>43340.208333333328</v>
      </c>
      <c r="T830" s="6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6">
        <f t="shared" si="50"/>
        <v>42164.208333333328</v>
      </c>
      <c r="T831" s="6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6">
        <f t="shared" si="50"/>
        <v>43103.25</v>
      </c>
      <c r="T832" s="6">
        <f t="shared" si="51"/>
        <v>43162.25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6">
        <f t="shared" si="50"/>
        <v>40994.208333333336</v>
      </c>
      <c r="T833" s="6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6">
        <f t="shared" si="50"/>
        <v>42299.208333333328</v>
      </c>
      <c r="T834" s="6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ROUND((((E835)*100)/D835),0)</f>
        <v>158</v>
      </c>
      <c r="G835" t="s">
        <v>20</v>
      </c>
      <c r="H835">
        <v>165</v>
      </c>
      <c r="I835">
        <f t="shared" ref="I835:I898" si="53">IF(H835=0,0,ROUND((E835)/H835,2))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6">
        <f t="shared" ref="S835:S898" si="54">(((L835/60)/60)/24)+DATE(1970,1,1)</f>
        <v>40588.25</v>
      </c>
      <c r="T835" s="6">
        <f t="shared" ref="T835:T898" si="55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6">
        <f t="shared" si="54"/>
        <v>41448.208333333336</v>
      </c>
      <c r="T836" s="6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6">
        <f t="shared" si="54"/>
        <v>42063.25</v>
      </c>
      <c r="T837" s="6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6">
        <f t="shared" si="54"/>
        <v>40214.25</v>
      </c>
      <c r="T838" s="6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6">
        <f t="shared" si="54"/>
        <v>40629.208333333336</v>
      </c>
      <c r="T839" s="6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6">
        <f t="shared" si="54"/>
        <v>43370.208333333328</v>
      </c>
      <c r="T840" s="6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6">
        <f t="shared" si="54"/>
        <v>41715.208333333336</v>
      </c>
      <c r="T841" s="6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6">
        <f t="shared" si="54"/>
        <v>41836.208333333336</v>
      </c>
      <c r="T842" s="6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6">
        <f t="shared" si="54"/>
        <v>42419.25</v>
      </c>
      <c r="T843" s="6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6">
        <f t="shared" si="54"/>
        <v>43266.208333333328</v>
      </c>
      <c r="T844" s="6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6">
        <f t="shared" si="54"/>
        <v>43338.208333333328</v>
      </c>
      <c r="T845" s="6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6">
        <f t="shared" si="54"/>
        <v>40930.25</v>
      </c>
      <c r="T846" s="6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6">
        <f t="shared" si="54"/>
        <v>43235.208333333328</v>
      </c>
      <c r="T847" s="6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6">
        <f t="shared" si="54"/>
        <v>43302.208333333328</v>
      </c>
      <c r="T848" s="6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6">
        <f t="shared" si="54"/>
        <v>43107.25</v>
      </c>
      <c r="T849" s="6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6">
        <f t="shared" si="54"/>
        <v>40341.208333333336</v>
      </c>
      <c r="T850" s="6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6">
        <f t="shared" si="54"/>
        <v>40948.25</v>
      </c>
      <c r="T851" s="6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6">
        <f t="shared" si="54"/>
        <v>40866.25</v>
      </c>
      <c r="T852" s="6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6">
        <f t="shared" si="54"/>
        <v>41031.208333333336</v>
      </c>
      <c r="T853" s="6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6">
        <f t="shared" si="54"/>
        <v>40740.208333333336</v>
      </c>
      <c r="T854" s="6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6">
        <f t="shared" si="54"/>
        <v>40714.208333333336</v>
      </c>
      <c r="T855" s="6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6">
        <f t="shared" si="54"/>
        <v>43787.25</v>
      </c>
      <c r="T856" s="6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6">
        <f t="shared" si="54"/>
        <v>40712.208333333336</v>
      </c>
      <c r="T857" s="6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6">
        <f t="shared" si="54"/>
        <v>41023.208333333336</v>
      </c>
      <c r="T858" s="6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6">
        <f t="shared" si="54"/>
        <v>40944.25</v>
      </c>
      <c r="T859" s="6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6">
        <f t="shared" si="54"/>
        <v>43211.208333333328</v>
      </c>
      <c r="T860" s="6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6">
        <f t="shared" si="54"/>
        <v>41334.25</v>
      </c>
      <c r="T861" s="6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6">
        <f t="shared" si="54"/>
        <v>43515.25</v>
      </c>
      <c r="T862" s="6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6">
        <f t="shared" si="54"/>
        <v>40258.208333333336</v>
      </c>
      <c r="T863" s="6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6">
        <f t="shared" si="54"/>
        <v>40756.208333333336</v>
      </c>
      <c r="T864" s="6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6">
        <f t="shared" si="54"/>
        <v>42172.208333333328</v>
      </c>
      <c r="T865" s="6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6">
        <f t="shared" si="54"/>
        <v>42601.208333333328</v>
      </c>
      <c r="T866" s="6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6">
        <f t="shared" si="54"/>
        <v>41897.208333333336</v>
      </c>
      <c r="T867" s="6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6">
        <f t="shared" si="54"/>
        <v>40671.208333333336</v>
      </c>
      <c r="T868" s="6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6">
        <f t="shared" si="54"/>
        <v>43382.208333333328</v>
      </c>
      <c r="T869" s="6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6">
        <f t="shared" si="54"/>
        <v>41559.208333333336</v>
      </c>
      <c r="T870" s="6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6">
        <f t="shared" si="54"/>
        <v>40350.208333333336</v>
      </c>
      <c r="T871" s="6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6">
        <f t="shared" si="54"/>
        <v>42240.208333333328</v>
      </c>
      <c r="T872" s="6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6">
        <f t="shared" si="54"/>
        <v>43040.208333333328</v>
      </c>
      <c r="T873" s="6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6">
        <f t="shared" si="54"/>
        <v>43346.208333333328</v>
      </c>
      <c r="T874" s="6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6">
        <f t="shared" si="54"/>
        <v>41647.25</v>
      </c>
      <c r="T875" s="6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6">
        <f t="shared" si="54"/>
        <v>40291.208333333336</v>
      </c>
      <c r="T876" s="6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6">
        <f t="shared" si="54"/>
        <v>40556.25</v>
      </c>
      <c r="T877" s="6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6">
        <f t="shared" si="54"/>
        <v>43624.208333333328</v>
      </c>
      <c r="T878" s="6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6">
        <f t="shared" si="54"/>
        <v>42577.208333333328</v>
      </c>
      <c r="T879" s="6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6">
        <f t="shared" si="54"/>
        <v>43845.25</v>
      </c>
      <c r="T880" s="6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6">
        <f t="shared" si="54"/>
        <v>42788.25</v>
      </c>
      <c r="T881" s="6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6">
        <f t="shared" si="54"/>
        <v>43667.208333333328</v>
      </c>
      <c r="T882" s="6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6">
        <f t="shared" si="54"/>
        <v>42194.208333333328</v>
      </c>
      <c r="T883" s="6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6">
        <f t="shared" si="54"/>
        <v>42025.25</v>
      </c>
      <c r="T884" s="6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6">
        <f t="shared" si="54"/>
        <v>40323.208333333336</v>
      </c>
      <c r="T885" s="6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6">
        <f t="shared" si="54"/>
        <v>41763.208333333336</v>
      </c>
      <c r="T886" s="6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6">
        <f t="shared" si="54"/>
        <v>40335.208333333336</v>
      </c>
      <c r="T887" s="6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6">
        <f t="shared" si="54"/>
        <v>40416.208333333336</v>
      </c>
      <c r="T888" s="6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6">
        <f t="shared" si="54"/>
        <v>42202.208333333328</v>
      </c>
      <c r="T889" s="6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6">
        <f t="shared" si="54"/>
        <v>42836.208333333328</v>
      </c>
      <c r="T890" s="6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6">
        <f t="shared" si="54"/>
        <v>41710.208333333336</v>
      </c>
      <c r="T891" s="6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6">
        <f t="shared" si="54"/>
        <v>43640.208333333328</v>
      </c>
      <c r="T892" s="6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6">
        <f t="shared" si="54"/>
        <v>40880.25</v>
      </c>
      <c r="T893" s="6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6">
        <f t="shared" si="54"/>
        <v>40319.208333333336</v>
      </c>
      <c r="T894" s="6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6">
        <f t="shared" si="54"/>
        <v>42170.208333333328</v>
      </c>
      <c r="T895" s="6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6">
        <f t="shared" si="54"/>
        <v>41466.208333333336</v>
      </c>
      <c r="T896" s="6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6">
        <f t="shared" si="54"/>
        <v>43134.25</v>
      </c>
      <c r="T897" s="6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6">
        <f t="shared" si="54"/>
        <v>40738.208333333336</v>
      </c>
      <c r="T898" s="6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ROUND((((E899)*100)/D899),0)</f>
        <v>28</v>
      </c>
      <c r="G899" t="s">
        <v>14</v>
      </c>
      <c r="H899">
        <v>27</v>
      </c>
      <c r="I899">
        <f t="shared" ref="I899:I962" si="57">IF(H899=0,0,ROUND((E899)/H899,2))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6">
        <f t="shared" ref="S899:S962" si="58">(((L899/60)/60)/24)+DATE(1970,1,1)</f>
        <v>43583.208333333328</v>
      </c>
      <c r="T899" s="6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6">
        <f t="shared" si="58"/>
        <v>43815.25</v>
      </c>
      <c r="T900" s="6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6">
        <f t="shared" si="58"/>
        <v>41554.208333333336</v>
      </c>
      <c r="T901" s="6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6">
        <f t="shared" si="58"/>
        <v>41901.208333333336</v>
      </c>
      <c r="T902" s="6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6">
        <f t="shared" si="58"/>
        <v>43298.208333333328</v>
      </c>
      <c r="T903" s="6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6">
        <f t="shared" si="58"/>
        <v>42399.25</v>
      </c>
      <c r="T904" s="6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6">
        <f t="shared" si="58"/>
        <v>41034.208333333336</v>
      </c>
      <c r="T905" s="6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6">
        <f t="shared" si="58"/>
        <v>41186.208333333336</v>
      </c>
      <c r="T906" s="6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6">
        <f t="shared" si="58"/>
        <v>41536.208333333336</v>
      </c>
      <c r="T907" s="6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6">
        <f t="shared" si="58"/>
        <v>42868.208333333328</v>
      </c>
      <c r="T908" s="6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6">
        <f t="shared" si="58"/>
        <v>40660.208333333336</v>
      </c>
      <c r="T909" s="6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6">
        <f t="shared" si="58"/>
        <v>41031.208333333336</v>
      </c>
      <c r="T910" s="6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6">
        <f t="shared" si="58"/>
        <v>43255.208333333328</v>
      </c>
      <c r="T911" s="6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6">
        <f t="shared" si="58"/>
        <v>42026.25</v>
      </c>
      <c r="T912" s="6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6">
        <f t="shared" si="58"/>
        <v>43717.208333333328</v>
      </c>
      <c r="T913" s="6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6">
        <f t="shared" si="58"/>
        <v>41157.208333333336</v>
      </c>
      <c r="T914" s="6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6">
        <f t="shared" si="58"/>
        <v>43597.208333333328</v>
      </c>
      <c r="T915" s="6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6">
        <f t="shared" si="58"/>
        <v>41490.208333333336</v>
      </c>
      <c r="T916" s="6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6">
        <f t="shared" si="58"/>
        <v>42976.208333333328</v>
      </c>
      <c r="T917" s="6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6">
        <f t="shared" si="58"/>
        <v>41991.25</v>
      </c>
      <c r="T918" s="6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6">
        <f t="shared" si="58"/>
        <v>40722.208333333336</v>
      </c>
      <c r="T919" s="6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6">
        <f t="shared" si="58"/>
        <v>41117.208333333336</v>
      </c>
      <c r="T920" s="6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6">
        <f t="shared" si="58"/>
        <v>43022.208333333328</v>
      </c>
      <c r="T921" s="6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6">
        <f t="shared" si="58"/>
        <v>43503.25</v>
      </c>
      <c r="T922" s="6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6">
        <f t="shared" si="58"/>
        <v>40951.25</v>
      </c>
      <c r="T923" s="6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6">
        <f t="shared" si="58"/>
        <v>43443.25</v>
      </c>
      <c r="T924" s="6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6">
        <f t="shared" si="58"/>
        <v>40373.208333333336</v>
      </c>
      <c r="T925" s="6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6">
        <f t="shared" si="58"/>
        <v>43769.208333333328</v>
      </c>
      <c r="T926" s="6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6">
        <f t="shared" si="58"/>
        <v>43000.208333333328</v>
      </c>
      <c r="T927" s="6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6">
        <f t="shared" si="58"/>
        <v>42502.208333333328</v>
      </c>
      <c r="T928" s="6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6">
        <f t="shared" si="58"/>
        <v>41102.208333333336</v>
      </c>
      <c r="T929" s="6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6">
        <f t="shared" si="58"/>
        <v>41637.25</v>
      </c>
      <c r="T930" s="6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6">
        <f t="shared" si="58"/>
        <v>42858.208333333328</v>
      </c>
      <c r="T931" s="6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6">
        <f t="shared" si="58"/>
        <v>42060.25</v>
      </c>
      <c r="T932" s="6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6">
        <f t="shared" si="58"/>
        <v>41818.208333333336</v>
      </c>
      <c r="T933" s="6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6">
        <f t="shared" si="58"/>
        <v>41709.208333333336</v>
      </c>
      <c r="T934" s="6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6">
        <f t="shared" si="58"/>
        <v>41372.208333333336</v>
      </c>
      <c r="T935" s="6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6">
        <f t="shared" si="58"/>
        <v>42422.25</v>
      </c>
      <c r="T936" s="6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6">
        <f t="shared" si="58"/>
        <v>42209.208333333328</v>
      </c>
      <c r="T937" s="6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6">
        <f t="shared" si="58"/>
        <v>43668.208333333328</v>
      </c>
      <c r="T938" s="6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6">
        <f t="shared" si="58"/>
        <v>42334.25</v>
      </c>
      <c r="T939" s="6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6">
        <f t="shared" si="58"/>
        <v>43263.208333333328</v>
      </c>
      <c r="T940" s="6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6">
        <f t="shared" si="58"/>
        <v>40670.208333333336</v>
      </c>
      <c r="T941" s="6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6">
        <f t="shared" si="58"/>
        <v>41244.25</v>
      </c>
      <c r="T942" s="6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6">
        <f t="shared" si="58"/>
        <v>40552.25</v>
      </c>
      <c r="T943" s="6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6">
        <f t="shared" si="58"/>
        <v>40568.25</v>
      </c>
      <c r="T944" s="6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6">
        <f t="shared" si="58"/>
        <v>41906.208333333336</v>
      </c>
      <c r="T945" s="6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6">
        <f t="shared" si="58"/>
        <v>42776.25</v>
      </c>
      <c r="T946" s="6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6">
        <f t="shared" si="58"/>
        <v>41004.208333333336</v>
      </c>
      <c r="T947" s="6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6">
        <f t="shared" si="58"/>
        <v>40710.208333333336</v>
      </c>
      <c r="T948" s="6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6">
        <f t="shared" si="58"/>
        <v>41908.208333333336</v>
      </c>
      <c r="T949" s="6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6">
        <f t="shared" si="58"/>
        <v>41985.25</v>
      </c>
      <c r="T950" s="6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6">
        <f t="shared" si="58"/>
        <v>42112.208333333328</v>
      </c>
      <c r="T951" s="6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6">
        <f t="shared" si="58"/>
        <v>43571.208333333328</v>
      </c>
      <c r="T952" s="6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6">
        <f t="shared" si="58"/>
        <v>42730.25</v>
      </c>
      <c r="T953" s="6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6">
        <f t="shared" si="58"/>
        <v>42591.208333333328</v>
      </c>
      <c r="T954" s="6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6">
        <f t="shared" si="58"/>
        <v>42358.25</v>
      </c>
      <c r="T955" s="6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6">
        <f t="shared" si="58"/>
        <v>41174.208333333336</v>
      </c>
      <c r="T956" s="6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6">
        <f t="shared" si="58"/>
        <v>41238.25</v>
      </c>
      <c r="T957" s="6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6">
        <f t="shared" si="58"/>
        <v>42360.25</v>
      </c>
      <c r="T958" s="6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6">
        <f t="shared" si="58"/>
        <v>40955.25</v>
      </c>
      <c r="T959" s="6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6">
        <f t="shared" si="58"/>
        <v>40350.208333333336</v>
      </c>
      <c r="T960" s="6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6">
        <f t="shared" si="58"/>
        <v>40357.208333333336</v>
      </c>
      <c r="T961" s="6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6">
        <f t="shared" si="58"/>
        <v>42408.25</v>
      </c>
      <c r="T962" s="6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ROUND((((E963)*100)/D963),0)</f>
        <v>119</v>
      </c>
      <c r="G963" t="s">
        <v>20</v>
      </c>
      <c r="H963">
        <v>155</v>
      </c>
      <c r="I963">
        <f t="shared" ref="I963:I1001" si="61">IF(H963=0,0,ROUND((E963)/H963,2))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6">
        <f t="shared" ref="S963:S1001" si="62">(((L963/60)/60)/24)+DATE(1970,1,1)</f>
        <v>40591.25</v>
      </c>
      <c r="T963" s="6">
        <f t="shared" ref="T963:T1001" si="63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6">
        <f t="shared" si="62"/>
        <v>41592.25</v>
      </c>
      <c r="T964" s="6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6">
        <f t="shared" si="62"/>
        <v>40607.25</v>
      </c>
      <c r="T965" s="6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6">
        <f t="shared" si="62"/>
        <v>42135.208333333328</v>
      </c>
      <c r="T966" s="6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6">
        <f t="shared" si="62"/>
        <v>40203.25</v>
      </c>
      <c r="T967" s="6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6">
        <f t="shared" si="62"/>
        <v>42901.208333333328</v>
      </c>
      <c r="T968" s="6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6">
        <f t="shared" si="62"/>
        <v>41005.208333333336</v>
      </c>
      <c r="T969" s="6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6">
        <f t="shared" si="62"/>
        <v>40544.25</v>
      </c>
      <c r="T970" s="6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6">
        <f t="shared" si="62"/>
        <v>43821.25</v>
      </c>
      <c r="T971" s="6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6">
        <f t="shared" si="62"/>
        <v>40672.208333333336</v>
      </c>
      <c r="T972" s="6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6">
        <f t="shared" si="62"/>
        <v>41555.208333333336</v>
      </c>
      <c r="T973" s="6">
        <f t="shared" si="63"/>
        <v>41561.208333333336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6">
        <f t="shared" si="62"/>
        <v>41792.208333333336</v>
      </c>
      <c r="T974" s="6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6">
        <f t="shared" si="62"/>
        <v>40522.25</v>
      </c>
      <c r="T975" s="6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6">
        <f t="shared" si="62"/>
        <v>41412.208333333336</v>
      </c>
      <c r="T976" s="6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6">
        <f t="shared" si="62"/>
        <v>42337.25</v>
      </c>
      <c r="T977" s="6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6">
        <f t="shared" si="62"/>
        <v>40571.25</v>
      </c>
      <c r="T978" s="6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6">
        <f t="shared" si="62"/>
        <v>43138.25</v>
      </c>
      <c r="T979" s="6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6">
        <f t="shared" si="62"/>
        <v>42686.25</v>
      </c>
      <c r="T980" s="6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6">
        <f t="shared" si="62"/>
        <v>42078.208333333328</v>
      </c>
      <c r="T981" s="6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6">
        <f t="shared" si="62"/>
        <v>42307.208333333328</v>
      </c>
      <c r="T982" s="6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6">
        <f t="shared" si="62"/>
        <v>43094.25</v>
      </c>
      <c r="T983" s="6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6">
        <f t="shared" si="62"/>
        <v>40743.208333333336</v>
      </c>
      <c r="T984" s="6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6">
        <f t="shared" si="62"/>
        <v>43681.208333333328</v>
      </c>
      <c r="T985" s="6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6">
        <f t="shared" si="62"/>
        <v>43716.208333333328</v>
      </c>
      <c r="T986" s="6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6">
        <f t="shared" si="62"/>
        <v>41614.25</v>
      </c>
      <c r="T987" s="6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6">
        <f t="shared" si="62"/>
        <v>40638.208333333336</v>
      </c>
      <c r="T988" s="6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6">
        <f t="shared" si="62"/>
        <v>42852.208333333328</v>
      </c>
      <c r="T989" s="6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6">
        <f t="shared" si="62"/>
        <v>42686.25</v>
      </c>
      <c r="T990" s="6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6">
        <f t="shared" si="62"/>
        <v>43571.208333333328</v>
      </c>
      <c r="T991" s="6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6">
        <f t="shared" si="62"/>
        <v>42432.25</v>
      </c>
      <c r="T992" s="6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6">
        <f t="shared" si="62"/>
        <v>41907.208333333336</v>
      </c>
      <c r="T993" s="6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6">
        <f t="shared" si="62"/>
        <v>43227.208333333328</v>
      </c>
      <c r="T994" s="6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6">
        <f t="shared" si="62"/>
        <v>42362.25</v>
      </c>
      <c r="T995" s="6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6">
        <f t="shared" si="62"/>
        <v>41929.208333333336</v>
      </c>
      <c r="T996" s="6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6">
        <f t="shared" si="62"/>
        <v>43408.208333333328</v>
      </c>
      <c r="T997" s="6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6">
        <f t="shared" si="62"/>
        <v>41276.25</v>
      </c>
      <c r="T998" s="6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6">
        <f t="shared" si="62"/>
        <v>41659.25</v>
      </c>
      <c r="T999" s="6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6">
        <f t="shared" si="62"/>
        <v>40220.25</v>
      </c>
      <c r="T1000" s="6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6">
        <f t="shared" si="62"/>
        <v>42550.208333333328</v>
      </c>
      <c r="T1001" s="6">
        <f t="shared" si="63"/>
        <v>42557.208333333328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2:G1001">
    <cfRule type="containsText" dxfId="17" priority="7" operator="containsText" text="canceled">
      <formula>NOT(ISERROR(SEARCH("canceled",G2)))</formula>
    </cfRule>
    <cfRule type="containsText" dxfId="16" priority="8" operator="containsText" text="live">
      <formula>NOT(ISERROR(SEARCH("live",G2)))</formula>
    </cfRule>
    <cfRule type="containsText" dxfId="15" priority="9" operator="containsText" text="successful">
      <formula>NOT(ISERROR(SEARCH("successful",G2)))</formula>
    </cfRule>
    <cfRule type="cellIs" dxfId="14" priority="12" operator="equal">
      <formula>"""""successful"""</formula>
    </cfRule>
    <cfRule type="cellIs" dxfId="13" priority="13" operator="equal">
      <formula>"""successful"</formula>
    </cfRule>
    <cfRule type="cellIs" dxfId="12" priority="14" operator="equal">
      <formula>"failed"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F41D-B04A-48C3-A598-9ACE2CEA9776}">
  <dimension ref="A1:H14"/>
  <sheetViews>
    <sheetView zoomScale="85" zoomScaleNormal="85" workbookViewId="0">
      <selection activeCell="H7" sqref="H7"/>
    </sheetView>
  </sheetViews>
  <sheetFormatPr baseColWidth="10" defaultColWidth="11.25" defaultRowHeight="15.75" x14ac:dyDescent="0.25"/>
  <cols>
    <col min="1" max="1" width="17.75" bestFit="1" customWidth="1"/>
    <col min="2" max="2" width="15.375" bestFit="1" customWidth="1"/>
    <col min="3" max="3" width="5.75" bestFit="1" customWidth="1"/>
    <col min="4" max="4" width="3.75" bestFit="1" customWidth="1"/>
    <col min="5" max="5" width="9.25" bestFit="1" customWidth="1"/>
    <col min="6" max="6" width="11" bestFit="1" customWidth="1"/>
    <col min="7" max="9" width="21.25" bestFit="1" customWidth="1"/>
    <col min="10" max="10" width="11.875" bestFit="1" customWidth="1"/>
  </cols>
  <sheetData>
    <row r="1" spans="1:8" x14ac:dyDescent="0.25">
      <c r="A1" s="4" t="s">
        <v>6</v>
      </c>
      <c r="B1" t="s">
        <v>2083</v>
      </c>
    </row>
    <row r="3" spans="1:8" x14ac:dyDescent="0.25">
      <c r="A3" s="4" t="s">
        <v>2066</v>
      </c>
      <c r="B3" s="4" t="s">
        <v>2080</v>
      </c>
    </row>
    <row r="4" spans="1:8" x14ac:dyDescent="0.25">
      <c r="A4" s="4" t="s">
        <v>2081</v>
      </c>
      <c r="B4" t="s">
        <v>74</v>
      </c>
      <c r="C4" t="s">
        <v>14</v>
      </c>
      <c r="D4" t="s">
        <v>47</v>
      </c>
      <c r="E4" t="s">
        <v>20</v>
      </c>
      <c r="F4" t="s">
        <v>2082</v>
      </c>
      <c r="G4" t="s">
        <v>2098</v>
      </c>
      <c r="H4" t="s">
        <v>2100</v>
      </c>
    </row>
    <row r="5" spans="1:8" x14ac:dyDescent="0.25">
      <c r="A5" s="5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  <c r="G5">
        <f>GETPIVOTDATA("outcome",$A$3,"outcome","successful","Parent category","film &amp; video")*100/GETPIVOTDATA("outcome",$A$3,"Parent category","film &amp; video")</f>
        <v>57.303370786516851</v>
      </c>
      <c r="H5">
        <f>GETPIVOTDATA("outcome",$A$3,"outcome","failed","Parent category","film &amp; video")*100/GETPIVOTDATA("outcome",$A$3,"Parent category","film &amp; video")</f>
        <v>33.707865168539328</v>
      </c>
    </row>
    <row r="6" spans="1:8" x14ac:dyDescent="0.25">
      <c r="A6" s="5" t="s">
        <v>2033</v>
      </c>
      <c r="B6" s="7">
        <v>4</v>
      </c>
      <c r="C6" s="7">
        <v>20</v>
      </c>
      <c r="D6" s="7"/>
      <c r="E6" s="7">
        <v>22</v>
      </c>
      <c r="F6" s="7">
        <v>46</v>
      </c>
      <c r="G6">
        <f>GETPIVOTDATA("outcome",$A$3,"outcome","successful","Parent category","food")*100/GETPIVOTDATA("outcome",$A$3,"Parent category","food")</f>
        <v>47.826086956521742</v>
      </c>
      <c r="H6">
        <f>GETPIVOTDATA("outcome",$A$3,"outcome","failed","Parent category","food")*100/GETPIVOTDATA("outcome",$A$3,"Parent category","food")</f>
        <v>43.478260869565219</v>
      </c>
    </row>
    <row r="7" spans="1:8" x14ac:dyDescent="0.25">
      <c r="A7" s="5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  <c r="G7">
        <f>GETPIVOTDATA("outcome",$A$3,"outcome","successful","Parent category","games")*100/GETPIVOTDATA("outcome",$A$3,"Parent category","games")</f>
        <v>43.75</v>
      </c>
      <c r="H7">
        <f>GETPIVOTDATA("outcome",$A$3,"outcome","failed","Parent category","games")*100/GETPIVOTDATA("outcome",$A$3,"Parent category","games")</f>
        <v>47.916666666666664</v>
      </c>
    </row>
    <row r="8" spans="1:8" x14ac:dyDescent="0.25">
      <c r="A8" s="5" t="s">
        <v>2064</v>
      </c>
      <c r="B8" s="7"/>
      <c r="C8" s="7"/>
      <c r="D8" s="7"/>
      <c r="E8" s="7">
        <v>4</v>
      </c>
      <c r="F8" s="7">
        <v>4</v>
      </c>
      <c r="G8">
        <f>GETPIVOTDATA("outcome",$A$3,"outcome","successful","Parent category","journalism")*100/GETPIVOTDATA("outcome",$A$3,"Parent category","journalism")</f>
        <v>100</v>
      </c>
      <c r="H8">
        <f>GETPIVOTDATA("outcome",$A$3,"outcome","failed","Parent category","journalism")*100/GETPIVOTDATA("outcome",$A$3,"Parent category","journalism")</f>
        <v>0</v>
      </c>
    </row>
    <row r="9" spans="1:8" x14ac:dyDescent="0.25">
      <c r="A9" s="5" t="s">
        <v>2035</v>
      </c>
      <c r="B9" s="7">
        <v>10</v>
      </c>
      <c r="C9" s="7">
        <v>66</v>
      </c>
      <c r="D9" s="7"/>
      <c r="E9" s="7">
        <v>99</v>
      </c>
      <c r="F9" s="7">
        <v>175</v>
      </c>
      <c r="G9">
        <f>GETPIVOTDATA("outcome",$A$3,"outcome","successful","Parent category","music")*100/GETPIVOTDATA("outcome",$A$3,"Parent category","music")</f>
        <v>56.571428571428569</v>
      </c>
      <c r="H9">
        <f>GETPIVOTDATA("outcome",$A$3,"outcome","failed","Parent category","music")*100/GETPIVOTDATA("outcome",$A$3,"Parent category","music")</f>
        <v>37.714285714285715</v>
      </c>
    </row>
    <row r="10" spans="1:8" x14ac:dyDescent="0.25">
      <c r="A10" s="5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  <c r="G10">
        <f>GETPIVOTDATA("outcome",$A$3,"outcome","successful","Parent category","photography")*100/GETPIVOTDATA("outcome",$A$3,"Parent category","photography")</f>
        <v>61.904761904761905</v>
      </c>
      <c r="H10">
        <f>GETPIVOTDATA("outcome",$A$3,"outcome","failed","Parent category","photography")*100/GETPIVOTDATA("outcome",$A$3,"Parent category","photography")</f>
        <v>26.19047619047619</v>
      </c>
    </row>
    <row r="11" spans="1:8" x14ac:dyDescent="0.25">
      <c r="A11" s="5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  <c r="G11">
        <f>GETPIVOTDATA("outcome",$A$3,"outcome","successful","Parent category","publishing")*100/GETPIVOTDATA("outcome",$A$3,"Parent category","publishing")</f>
        <v>59.701492537313435</v>
      </c>
      <c r="H11">
        <f>GETPIVOTDATA("outcome",$A$3,"outcome","failed","Parent category","publishing")*100/GETPIVOTDATA("outcome",$A$3,"Parent category","publishing")</f>
        <v>35.820895522388057</v>
      </c>
    </row>
    <row r="12" spans="1:8" x14ac:dyDescent="0.25">
      <c r="A12" s="5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  <c r="G12">
        <f>GETPIVOTDATA("outcome",$A$3,"outcome","successful","Parent category","technology")*100/GETPIVOTDATA("outcome",$A$3,"Parent category","technology")</f>
        <v>66.666666666666671</v>
      </c>
      <c r="H12">
        <f>GETPIVOTDATA("outcome",$A$3,"outcome","failed","Parent category","technology")*100/GETPIVOTDATA("outcome",$A$3,"Parent category","technology")</f>
        <v>29.166666666666668</v>
      </c>
    </row>
    <row r="13" spans="1:8" x14ac:dyDescent="0.25">
      <c r="A13" s="5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  <c r="G13">
        <f>GETPIVOTDATA("outcome",$A$3,"outcome","successful","Parent category","theater")*100/GETPIVOTDATA("outcome",$A$3,"Parent category","theater")</f>
        <v>54.360465116279073</v>
      </c>
      <c r="H13">
        <f>GETPIVOTDATA("outcome",$A$3,"outcome","failed","Parent category","theater")*100/GETPIVOTDATA("outcome",$A$3,"Parent category","theater")</f>
        <v>38.372093023255815</v>
      </c>
    </row>
    <row r="14" spans="1:8" x14ac:dyDescent="0.25">
      <c r="A14" s="5" t="s">
        <v>2082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conditionalFormatting sqref="G5:G13">
    <cfRule type="colorScale" priority="1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0A32-9555-4B22-8D35-8A2DF154E04B}">
  <dimension ref="A1:H30"/>
  <sheetViews>
    <sheetView topLeftCell="A4" zoomScale="74" workbookViewId="0">
      <selection activeCell="E23" sqref="E23"/>
    </sheetView>
  </sheetViews>
  <sheetFormatPr baseColWidth="10" defaultColWidth="11.25" defaultRowHeight="15.75" x14ac:dyDescent="0.25"/>
  <cols>
    <col min="1" max="1" width="18.875" bestFit="1" customWidth="1"/>
    <col min="2" max="2" width="21.875" bestFit="1" customWidth="1"/>
    <col min="3" max="3" width="5.875" bestFit="1" customWidth="1"/>
    <col min="4" max="4" width="4.125" bestFit="1" customWidth="1"/>
    <col min="5" max="5" width="9.625" bestFit="1" customWidth="1"/>
    <col min="6" max="6" width="12.125" bestFit="1" customWidth="1"/>
  </cols>
  <sheetData>
    <row r="1" spans="1:8" x14ac:dyDescent="0.25">
      <c r="A1" s="4" t="s">
        <v>6</v>
      </c>
      <c r="B1" t="s">
        <v>2107</v>
      </c>
    </row>
    <row r="2" spans="1:8" x14ac:dyDescent="0.25">
      <c r="A2" s="4" t="s">
        <v>2031</v>
      </c>
      <c r="B2" t="s">
        <v>2107</v>
      </c>
    </row>
    <row r="4" spans="1:8" x14ac:dyDescent="0.25">
      <c r="A4" s="4" t="s">
        <v>2066</v>
      </c>
      <c r="B4" s="4" t="s">
        <v>2104</v>
      </c>
    </row>
    <row r="5" spans="1:8" x14ac:dyDescent="0.25">
      <c r="A5" s="4" t="s">
        <v>2105</v>
      </c>
      <c r="B5" t="s">
        <v>74</v>
      </c>
      <c r="C5" t="s">
        <v>14</v>
      </c>
      <c r="D5" t="s">
        <v>47</v>
      </c>
      <c r="E5" t="s">
        <v>20</v>
      </c>
      <c r="F5" t="s">
        <v>2106</v>
      </c>
      <c r="G5" s="8" t="s">
        <v>2101</v>
      </c>
      <c r="H5" s="8" t="s">
        <v>2099</v>
      </c>
    </row>
    <row r="6" spans="1:8" x14ac:dyDescent="0.25">
      <c r="A6" s="5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  <c r="G6" s="7">
        <f>GETPIVOTDATA("outcome",$A$4,"outcome","successful","Sub-Category","animation")*100/GETPIVOTDATA("outcome",$A$4,"Sub-Category","animation")</f>
        <v>61.764705882352942</v>
      </c>
      <c r="H6" s="7">
        <f>GETPIVOTDATA("outcome",$A$4,"outcome","failed","Sub-Category","animation")*100/GETPIVOTDATA("outcome",$A$4,"Sub-Category","animation")</f>
        <v>29.411764705882351</v>
      </c>
    </row>
    <row r="7" spans="1:8" x14ac:dyDescent="0.25">
      <c r="A7" s="5" t="s">
        <v>2065</v>
      </c>
      <c r="B7" s="7"/>
      <c r="C7" s="7"/>
      <c r="D7" s="7"/>
      <c r="E7" s="7">
        <v>4</v>
      </c>
      <c r="F7" s="7">
        <v>4</v>
      </c>
      <c r="G7" s="7">
        <f>GETPIVOTDATA("outcome",$A$4,"outcome","successful","Sub-Category","audio")*100/GETPIVOTDATA("outcome",$A$4,"Sub-Category","audio")</f>
        <v>100</v>
      </c>
      <c r="H7" s="7">
        <f>GETPIVOTDATA("outcome",$A$4,"outcome","failed","Sub-Category","audio")*100/GETPIVOTDATA("outcome",$A$4,"Sub-Category","audio")</f>
        <v>0</v>
      </c>
    </row>
    <row r="8" spans="1:8" x14ac:dyDescent="0.25">
      <c r="A8" s="5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  <c r="G8" s="7">
        <f>GETPIVOTDATA("outcome",$A$4,"outcome","successful","Sub-Category","documentary")*100/GETPIVOTDATA("outcome",$A$4,"Sub-Category","documentary")</f>
        <v>56.666666666666664</v>
      </c>
      <c r="H8" s="7">
        <f>GETPIVOTDATA("outcome",$A$4,"outcome","failed","Sub-Category","documentary")*100/GETPIVOTDATA("outcome",$A$4,"Sub-Category","documentary")</f>
        <v>35</v>
      </c>
    </row>
    <row r="9" spans="1:8" x14ac:dyDescent="0.25">
      <c r="A9" s="5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  <c r="G9" s="7">
        <f>GETPIVOTDATA("outcome",$A$4,"outcome","successful","Sub-Category","drama")*100/GETPIVOTDATA("outcome",$A$4,"Sub-Category","drama")</f>
        <v>59.45945945945946</v>
      </c>
      <c r="H9" s="7">
        <f>GETPIVOTDATA("outcome",$A$4,"outcome","failed","Sub-Category","drama")*100/GETPIVOTDATA("outcome",$A$4,"Sub-Category","drama")</f>
        <v>32.432432432432435</v>
      </c>
    </row>
    <row r="10" spans="1:8" x14ac:dyDescent="0.25">
      <c r="A10" s="5" t="s">
        <v>2043</v>
      </c>
      <c r="B10" s="7"/>
      <c r="C10" s="7">
        <v>8</v>
      </c>
      <c r="D10" s="7"/>
      <c r="E10" s="7">
        <v>10</v>
      </c>
      <c r="F10" s="7">
        <v>18</v>
      </c>
      <c r="G10" s="7">
        <f>GETPIVOTDATA("outcome",$A$4,"outcome","successful","Sub-Category","electric music")*100/GETPIVOTDATA("outcome",$A$4,"Sub-Category","electric music")</f>
        <v>55.555555555555557</v>
      </c>
      <c r="H10" s="7">
        <f>GETPIVOTDATA("outcome",$A$4,"outcome","failed","Sub-Category","electric music")*100/GETPIVOTDATA("outcome",$A$4,"Sub-Category","electric music")</f>
        <v>44.444444444444443</v>
      </c>
    </row>
    <row r="11" spans="1:8" x14ac:dyDescent="0.25">
      <c r="A11" s="5" t="s">
        <v>2053</v>
      </c>
      <c r="B11" s="7">
        <v>1</v>
      </c>
      <c r="C11" s="7">
        <v>7</v>
      </c>
      <c r="D11" s="7"/>
      <c r="E11" s="7">
        <v>9</v>
      </c>
      <c r="F11" s="7">
        <v>17</v>
      </c>
      <c r="G11" s="7">
        <f>GETPIVOTDATA("outcome",$A$4,"outcome","successful","Sub-Category","fiction")*100/GETPIVOTDATA("outcome",$A$4,"Sub-Category","fiction")</f>
        <v>52.941176470588232</v>
      </c>
      <c r="H11" s="7">
        <f>GETPIVOTDATA("outcome",$A$4,"outcome","failed","Sub-Category","fiction")*100/GETPIVOTDATA("outcome",$A$4,"Sub-Category","fiction")</f>
        <v>41.176470588235297</v>
      </c>
    </row>
    <row r="12" spans="1:8" x14ac:dyDescent="0.25">
      <c r="A12" s="5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  <c r="G12" s="7">
        <f>GETPIVOTDATA("outcome",$A$4,"outcome","successful","Sub-Category","food trucks")*100/GETPIVOTDATA("outcome",$A$4,"Sub-Category","food trucks")</f>
        <v>47.826086956521742</v>
      </c>
      <c r="H12" s="7">
        <f>GETPIVOTDATA("outcome",$A$4,"outcome","failed","Sub-Category","food trucks")*100/GETPIVOTDATA("outcome",$A$4,"Sub-Category","food trucks")</f>
        <v>43.478260869565219</v>
      </c>
    </row>
    <row r="13" spans="1:8" x14ac:dyDescent="0.25">
      <c r="A13" s="5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  <c r="G13" s="7">
        <f>GETPIVOTDATA("outcome",$A$4,"outcome","successful","Sub-Category","indie rock")*100/GETPIVOTDATA("outcome",$A$4,"Sub-Category","indie rock")</f>
        <v>51.111111111111114</v>
      </c>
      <c r="H13" s="7">
        <f>GETPIVOTDATA("outcome",$A$4,"outcome","failed","Sub-Category","indie rock")*100/GETPIVOTDATA("outcome",$A$4,"Sub-Category","indie rock")</f>
        <v>42.222222222222221</v>
      </c>
    </row>
    <row r="14" spans="1:8" x14ac:dyDescent="0.25">
      <c r="A14" s="5" t="s">
        <v>2058</v>
      </c>
      <c r="B14" s="7">
        <v>1</v>
      </c>
      <c r="C14" s="7">
        <v>6</v>
      </c>
      <c r="D14" s="7"/>
      <c r="E14" s="7">
        <v>10</v>
      </c>
      <c r="F14" s="7">
        <v>17</v>
      </c>
      <c r="G14" s="7">
        <f>GETPIVOTDATA("outcome",$A$4,"outcome","successful","Sub-Category","jazz")*100/GETPIVOTDATA("outcome",$A$4,"Sub-Category","jazz")</f>
        <v>58.823529411764703</v>
      </c>
      <c r="H14" s="7">
        <f>GETPIVOTDATA("outcome",$A$4,"outcome","failed","Sub-Category","jazz")*100/GETPIVOTDATA("outcome",$A$4,"Sub-Category","jazz")</f>
        <v>35.294117647058826</v>
      </c>
    </row>
    <row r="15" spans="1:8" x14ac:dyDescent="0.25">
      <c r="A15" s="5" t="s">
        <v>2057</v>
      </c>
      <c r="B15" s="7"/>
      <c r="C15" s="7">
        <v>3</v>
      </c>
      <c r="D15" s="7"/>
      <c r="E15" s="7">
        <v>4</v>
      </c>
      <c r="F15" s="7">
        <v>7</v>
      </c>
      <c r="G15" s="7">
        <f>GETPIVOTDATA("outcome",$A$4,"outcome","successful","Sub-Category","metal")*100/GETPIVOTDATA("outcome",$A$4,"Sub-Category","metal")</f>
        <v>57.142857142857146</v>
      </c>
      <c r="H15" s="7">
        <f>GETPIVOTDATA("outcome",$A$4,"outcome","failed","Sub-Category","metal")*100/GETPIVOTDATA("outcome",$A$4,"Sub-Category","metal")</f>
        <v>42.857142857142854</v>
      </c>
    </row>
    <row r="16" spans="1:8" x14ac:dyDescent="0.25">
      <c r="A16" s="5" t="s">
        <v>2061</v>
      </c>
      <c r="B16" s="7"/>
      <c r="C16" s="7">
        <v>8</v>
      </c>
      <c r="D16" s="7">
        <v>1</v>
      </c>
      <c r="E16" s="7">
        <v>4</v>
      </c>
      <c r="F16" s="7">
        <v>13</v>
      </c>
      <c r="G16" s="7">
        <f>GETPIVOTDATA("outcome",$A$4,"outcome","successful","Sub-Category","mobile games")*100/GETPIVOTDATA("outcome",$A$4,"Sub-Category","mobile games")</f>
        <v>30.76923076923077</v>
      </c>
      <c r="H16" s="7">
        <f>GETPIVOTDATA("outcome",$A$4,"outcome","failed","Sub-Category","mobile games")*100/GETPIVOTDATA("outcome",$A$4,"Sub-Category","mobile games")</f>
        <v>61.53846153846154</v>
      </c>
    </row>
    <row r="17" spans="1:8" x14ac:dyDescent="0.25">
      <c r="A17" s="5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  <c r="G17" s="7">
        <f>GETPIVOTDATA("outcome",$A$4,"outcome","successful","Sub-Category","nonfiction")*100/GETPIVOTDATA("outcome",$A$4,"Sub-Category","nonfiction")</f>
        <v>61.904761904761905</v>
      </c>
      <c r="H17" s="7">
        <f>GETPIVOTDATA("outcome",$A$4,"outcome","failed","Sub-Category","nonfiction")*100/GETPIVOTDATA("outcome",$A$4,"Sub-Category","nonfiction")</f>
        <v>28.571428571428573</v>
      </c>
    </row>
    <row r="18" spans="1:8" x14ac:dyDescent="0.25">
      <c r="A18" s="5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  <c r="G18" s="7">
        <f>GETPIVOTDATA("outcome",$A$4,"outcome","successful","Sub-Category","photography books")*100/GETPIVOTDATA("outcome",$A$4,"Sub-Category","photography books")</f>
        <v>61.904761904761905</v>
      </c>
      <c r="H18" s="7">
        <f>GETPIVOTDATA("outcome",$A$4,"outcome","failed","Sub-Category","photography books")*100/GETPIVOTDATA("outcome",$A$4,"Sub-Category","photography books")</f>
        <v>26.19047619047619</v>
      </c>
    </row>
    <row r="19" spans="1:8" x14ac:dyDescent="0.25">
      <c r="A19" s="5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  <c r="G19" s="7">
        <f>GETPIVOTDATA("outcome",$A$4,"outcome","successful","Sub-Category","plays")*100/GETPIVOTDATA("outcome",$A$4,"Sub-Category","plays")</f>
        <v>54.360465116279073</v>
      </c>
      <c r="H19" s="7">
        <f>GETPIVOTDATA("outcome",$A$4,"outcome","failed","Sub-Category","plays")*100/GETPIVOTDATA("outcome",$A$4,"Sub-Category","plays")</f>
        <v>38.372093023255815</v>
      </c>
    </row>
    <row r="20" spans="1:8" x14ac:dyDescent="0.25">
      <c r="A20" s="5" t="s">
        <v>2056</v>
      </c>
      <c r="B20" s="7"/>
      <c r="C20" s="7">
        <v>4</v>
      </c>
      <c r="D20" s="7"/>
      <c r="E20" s="7">
        <v>4</v>
      </c>
      <c r="F20" s="7">
        <v>8</v>
      </c>
      <c r="G20" s="7">
        <f>GETPIVOTDATA("outcome",$A$4,"outcome","successful","Sub-Category","radio &amp; podcasts")*100/GETPIVOTDATA("outcome",$A$4,"Sub-Category","radio &amp; podcasts")</f>
        <v>50</v>
      </c>
      <c r="H20" s="7">
        <f>GETPIVOTDATA("outcome",$A$4,"outcome","failed","Sub-Category","radio &amp; podcasts")*100/GETPIVOTDATA("outcome",$A$4,"Sub-Category","radio &amp; podcasts")</f>
        <v>50</v>
      </c>
    </row>
    <row r="21" spans="1:8" x14ac:dyDescent="0.25">
      <c r="A21" s="5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  <c r="G21" s="7">
        <f>GETPIVOTDATA("outcome",$A$4,"outcome","successful","Sub-Category","rock")*100/GETPIVOTDATA("outcome",$A$4,"Sub-Category","rock")</f>
        <v>57.647058823529413</v>
      </c>
      <c r="H21" s="7">
        <f>GETPIVOTDATA("outcome",$A$4,"outcome","failed","Sub-Category","rock")*100/GETPIVOTDATA("outcome",$A$4,"Sub-Category","rock")</f>
        <v>35.294117647058826</v>
      </c>
    </row>
    <row r="22" spans="1:8" x14ac:dyDescent="0.25">
      <c r="A22" s="5" t="s">
        <v>2063</v>
      </c>
      <c r="B22" s="7"/>
      <c r="C22" s="7">
        <v>9</v>
      </c>
      <c r="D22" s="7"/>
      <c r="E22" s="7">
        <v>5</v>
      </c>
      <c r="F22" s="7">
        <v>14</v>
      </c>
      <c r="G22" s="7">
        <f>GETPIVOTDATA("outcome",$A$4,"outcome","successful","Sub-Category","science fiction")*100/GETPIVOTDATA("outcome",$A$4,"Sub-Category","science fiction")</f>
        <v>35.714285714285715</v>
      </c>
      <c r="H22" s="7">
        <f>GETPIVOTDATA("outcome",$A$4,"outcome","failed","Sub-Category","science fiction")*100/GETPIVOTDATA("outcome",$A$4,"Sub-Category","science fiction")</f>
        <v>64.285714285714292</v>
      </c>
    </row>
    <row r="23" spans="1:8" x14ac:dyDescent="0.25">
      <c r="A23" s="5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  <c r="G23" s="7">
        <f>GETPIVOTDATA("outcome",$A$4,"outcome","successful","Sub-Category","shorts")*100/GETPIVOTDATA("outcome",$A$4,"Sub-Category","shorts")</f>
        <v>56.25</v>
      </c>
      <c r="H23" s="7">
        <f>GETPIVOTDATA("outcome",$A$4,"outcome","failed","Sub-Category","shorts")*100/GETPIVOTDATA("outcome",$A$4,"Sub-Category","shorts")</f>
        <v>31.25</v>
      </c>
    </row>
    <row r="24" spans="1:8" x14ac:dyDescent="0.25">
      <c r="A24" s="5" t="s">
        <v>2060</v>
      </c>
      <c r="B24" s="7">
        <v>3</v>
      </c>
      <c r="C24" s="7">
        <v>3</v>
      </c>
      <c r="D24" s="7"/>
      <c r="E24" s="7">
        <v>11</v>
      </c>
      <c r="F24" s="7">
        <v>17</v>
      </c>
      <c r="G24" s="7">
        <f>GETPIVOTDATA("outcome",$A$4,"outcome","successful","Sub-Category","television")*100/GETPIVOTDATA("outcome",$A$4,"Sub-Category","television")</f>
        <v>64.705882352941174</v>
      </c>
      <c r="H24" s="7">
        <f>GETPIVOTDATA("outcome",$A$4,"outcome","failed","Sub-Category","television")*100/GETPIVOTDATA("outcome",$A$4,"Sub-Category","television")</f>
        <v>17.647058823529413</v>
      </c>
    </row>
    <row r="25" spans="1:8" x14ac:dyDescent="0.25">
      <c r="A25" s="5" t="s">
        <v>2059</v>
      </c>
      <c r="B25" s="7"/>
      <c r="C25" s="7">
        <v>7</v>
      </c>
      <c r="D25" s="7"/>
      <c r="E25" s="7">
        <v>14</v>
      </c>
      <c r="F25" s="7">
        <v>21</v>
      </c>
      <c r="G25" s="7">
        <f>GETPIVOTDATA("outcome",$A$4,"outcome","successful","Sub-Category","translations")*100/GETPIVOTDATA("outcome",$A$4,"Sub-Category","translations")</f>
        <v>66.666666666666671</v>
      </c>
      <c r="H25" s="7">
        <f>GETPIVOTDATA("outcome",$A$4,"outcome","failed","Sub-Category","translations")*100/GETPIVOTDATA("outcome",$A$4,"Sub-Category","translations")</f>
        <v>33.333333333333336</v>
      </c>
    </row>
    <row r="26" spans="1:8" x14ac:dyDescent="0.25">
      <c r="A26" s="5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  <c r="G26" s="7">
        <f>GETPIVOTDATA("outcome",$A$4,"outcome","successful","Sub-Category","video games")*100/GETPIVOTDATA("outcome",$A$4,"Sub-Category","video games")</f>
        <v>48.571428571428569</v>
      </c>
      <c r="H26" s="7">
        <f>GETPIVOTDATA("outcome",$A$4,"outcome","failed","Sub-Category","video games")*100/GETPIVOTDATA("outcome",$A$4,"Sub-Category","video games")</f>
        <v>42.857142857142854</v>
      </c>
    </row>
    <row r="27" spans="1:8" x14ac:dyDescent="0.25">
      <c r="A27" s="5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  <c r="G27" s="7">
        <f>GETPIVOTDATA("outcome",$A$4,"outcome","successful","Sub-Category","wearables")*100/GETPIVOTDATA("outcome",$A$4,"Sub-Category","wearables")</f>
        <v>62.222222222222221</v>
      </c>
      <c r="H27" s="7">
        <f>GETPIVOTDATA("outcome",$A$4,"outcome","failed","Sub-Category","wearables")*100/GETPIVOTDATA("outcome",$A$4,"Sub-Category","wearables")</f>
        <v>35.555555555555557</v>
      </c>
    </row>
    <row r="28" spans="1:8" x14ac:dyDescent="0.25">
      <c r="A28" s="5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  <c r="G28" s="7">
        <f>GETPIVOTDATA("outcome",$A$4,"outcome","successful","Sub-Category","web")*100/GETPIVOTDATA("outcome",$A$4,"Sub-Category","web")</f>
        <v>70.588235294117652</v>
      </c>
      <c r="H28" s="7">
        <f>GETPIVOTDATA("outcome",$A$4,"outcome","failed","Sub-Category","web")*100/GETPIVOTDATA("outcome",$A$4,"Sub-Category","web")</f>
        <v>23.529411764705884</v>
      </c>
    </row>
    <row r="29" spans="1:8" x14ac:dyDescent="0.25">
      <c r="A29" s="5" t="s">
        <v>2062</v>
      </c>
      <c r="B29" s="7"/>
      <c r="C29" s="7"/>
      <c r="D29" s="7"/>
      <c r="E29" s="7">
        <v>3</v>
      </c>
      <c r="F29" s="7">
        <v>3</v>
      </c>
      <c r="G29" s="7">
        <f>GETPIVOTDATA("outcome",$A$4,"outcome","successful","Sub-Category","world music")*100/GETPIVOTDATA("outcome",$A$4,"Sub-Category","world music")</f>
        <v>100</v>
      </c>
      <c r="H29" s="7">
        <f>GETPIVOTDATA("outcome",$A$4,"outcome","failed","Sub-Category","world music")*100/GETPIVOTDATA("outcome",$A$4,"Sub-Category","world music")</f>
        <v>0</v>
      </c>
    </row>
    <row r="30" spans="1:8" x14ac:dyDescent="0.25">
      <c r="A30" s="5" t="s">
        <v>2106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79AF-CF7F-4B1D-B654-1C1EE093A42A}">
  <dimension ref="A1:E18"/>
  <sheetViews>
    <sheetView zoomScale="91" workbookViewId="0">
      <selection activeCell="B3" sqref="B3"/>
    </sheetView>
  </sheetViews>
  <sheetFormatPr baseColWidth="10" defaultColWidth="11.25" defaultRowHeight="15.75" x14ac:dyDescent="0.25"/>
  <cols>
    <col min="1" max="1" width="28" bestFit="1" customWidth="1"/>
    <col min="2" max="2" width="21.5" bestFit="1" customWidth="1"/>
    <col min="3" max="3" width="5.875" bestFit="1" customWidth="1"/>
    <col min="4" max="4" width="9.625" bestFit="1" customWidth="1"/>
    <col min="5" max="5" width="12.125" bestFit="1" customWidth="1"/>
    <col min="6" max="6" width="10.875" bestFit="1" customWidth="1"/>
    <col min="7" max="7" width="29.625" bestFit="1" customWidth="1"/>
    <col min="8" max="8" width="17.625" bestFit="1" customWidth="1"/>
    <col min="9" max="9" width="29.625" bestFit="1" customWidth="1"/>
    <col min="10" max="10" width="22.5" bestFit="1" customWidth="1"/>
    <col min="11" max="11" width="34.5" bestFit="1" customWidth="1"/>
  </cols>
  <sheetData>
    <row r="1" spans="1:5" x14ac:dyDescent="0.25">
      <c r="A1" s="4" t="s">
        <v>2031</v>
      </c>
      <c r="B1" t="s">
        <v>2039</v>
      </c>
    </row>
    <row r="2" spans="1:5" x14ac:dyDescent="0.25">
      <c r="A2" s="4" t="s">
        <v>2084</v>
      </c>
      <c r="B2" t="s">
        <v>2107</v>
      </c>
    </row>
    <row r="4" spans="1:5" x14ac:dyDescent="0.25">
      <c r="A4" s="4" t="s">
        <v>2097</v>
      </c>
      <c r="B4" s="4" t="s">
        <v>2104</v>
      </c>
    </row>
    <row r="5" spans="1:5" x14ac:dyDescent="0.25">
      <c r="A5" s="4" t="s">
        <v>2105</v>
      </c>
      <c r="B5" t="s">
        <v>74</v>
      </c>
      <c r="C5" t="s">
        <v>14</v>
      </c>
      <c r="D5" t="s">
        <v>20</v>
      </c>
      <c r="E5" t="s">
        <v>2106</v>
      </c>
    </row>
    <row r="6" spans="1:5" x14ac:dyDescent="0.25">
      <c r="A6" s="5" t="s">
        <v>2085</v>
      </c>
      <c r="B6" s="7">
        <v>3</v>
      </c>
      <c r="C6" s="7">
        <v>14</v>
      </c>
      <c r="D6" s="7">
        <v>15</v>
      </c>
      <c r="E6" s="7">
        <v>32</v>
      </c>
    </row>
    <row r="7" spans="1:5" x14ac:dyDescent="0.25">
      <c r="A7" s="5" t="s">
        <v>2086</v>
      </c>
      <c r="B7" s="7">
        <v>2</v>
      </c>
      <c r="C7" s="7">
        <v>7</v>
      </c>
      <c r="D7" s="7">
        <v>14</v>
      </c>
      <c r="E7" s="7">
        <v>23</v>
      </c>
    </row>
    <row r="8" spans="1:5" x14ac:dyDescent="0.25">
      <c r="A8" s="5" t="s">
        <v>2087</v>
      </c>
      <c r="B8" s="7">
        <v>1</v>
      </c>
      <c r="C8" s="7">
        <v>11</v>
      </c>
      <c r="D8" s="7">
        <v>17</v>
      </c>
      <c r="E8" s="7">
        <v>29</v>
      </c>
    </row>
    <row r="9" spans="1:5" x14ac:dyDescent="0.25">
      <c r="A9" s="5" t="s">
        <v>2088</v>
      </c>
      <c r="B9" s="7"/>
      <c r="C9" s="7">
        <v>9</v>
      </c>
      <c r="D9" s="7">
        <v>16</v>
      </c>
      <c r="E9" s="7">
        <v>25</v>
      </c>
    </row>
    <row r="10" spans="1:5" x14ac:dyDescent="0.25">
      <c r="A10" s="5" t="s">
        <v>2089</v>
      </c>
      <c r="B10" s="7">
        <v>2</v>
      </c>
      <c r="C10" s="7">
        <v>15</v>
      </c>
      <c r="D10" s="7">
        <v>10</v>
      </c>
      <c r="E10" s="7">
        <v>27</v>
      </c>
    </row>
    <row r="11" spans="1:5" x14ac:dyDescent="0.25">
      <c r="A11" s="5" t="s">
        <v>2090</v>
      </c>
      <c r="B11" s="7"/>
      <c r="C11" s="7">
        <v>11</v>
      </c>
      <c r="D11" s="7">
        <v>21</v>
      </c>
      <c r="E11" s="7">
        <v>32</v>
      </c>
    </row>
    <row r="12" spans="1:5" x14ac:dyDescent="0.25">
      <c r="A12" s="5" t="s">
        <v>2091</v>
      </c>
      <c r="B12" s="7">
        <v>2</v>
      </c>
      <c r="C12" s="7">
        <v>12</v>
      </c>
      <c r="D12" s="7">
        <v>17</v>
      </c>
      <c r="E12" s="7">
        <v>31</v>
      </c>
    </row>
    <row r="13" spans="1:5" x14ac:dyDescent="0.25">
      <c r="A13" s="5" t="s">
        <v>2092</v>
      </c>
      <c r="B13" s="7">
        <v>3</v>
      </c>
      <c r="C13" s="7">
        <v>12</v>
      </c>
      <c r="D13" s="7">
        <v>10</v>
      </c>
      <c r="E13" s="7">
        <v>25</v>
      </c>
    </row>
    <row r="14" spans="1:5" x14ac:dyDescent="0.25">
      <c r="A14" s="5" t="s">
        <v>2093</v>
      </c>
      <c r="B14" s="7">
        <v>2</v>
      </c>
      <c r="C14" s="7">
        <v>8</v>
      </c>
      <c r="D14" s="7">
        <v>19</v>
      </c>
      <c r="E14" s="7">
        <v>29</v>
      </c>
    </row>
    <row r="15" spans="1:5" x14ac:dyDescent="0.25">
      <c r="A15" s="5" t="s">
        <v>2094</v>
      </c>
      <c r="B15" s="7">
        <v>4</v>
      </c>
      <c r="C15" s="7">
        <v>13</v>
      </c>
      <c r="D15" s="7">
        <v>18</v>
      </c>
      <c r="E15" s="7">
        <v>35</v>
      </c>
    </row>
    <row r="16" spans="1:5" x14ac:dyDescent="0.25">
      <c r="A16" s="5" t="s">
        <v>2095</v>
      </c>
      <c r="B16" s="7">
        <v>2</v>
      </c>
      <c r="C16" s="7">
        <v>11</v>
      </c>
      <c r="D16" s="7">
        <v>16</v>
      </c>
      <c r="E16" s="7">
        <v>29</v>
      </c>
    </row>
    <row r="17" spans="1:5" x14ac:dyDescent="0.25">
      <c r="A17" s="5" t="s">
        <v>2096</v>
      </c>
      <c r="B17" s="7">
        <v>2</v>
      </c>
      <c r="C17" s="7">
        <v>9</v>
      </c>
      <c r="D17" s="7">
        <v>14</v>
      </c>
      <c r="E17" s="7">
        <v>25</v>
      </c>
    </row>
    <row r="18" spans="1:5" x14ac:dyDescent="0.25">
      <c r="A18" s="5" t="s">
        <v>2106</v>
      </c>
      <c r="B18" s="7">
        <v>23</v>
      </c>
      <c r="C18" s="7">
        <v>132</v>
      </c>
      <c r="D18" s="7">
        <v>187</v>
      </c>
      <c r="E18" s="7">
        <v>342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2258-7D3E-493E-B2AA-21ACC3BFCEF6}">
  <dimension ref="A1:H13"/>
  <sheetViews>
    <sheetView workbookViewId="0">
      <selection activeCell="A16" sqref="A16"/>
    </sheetView>
  </sheetViews>
  <sheetFormatPr baseColWidth="10" defaultRowHeight="15.75" x14ac:dyDescent="0.25"/>
  <cols>
    <col min="1" max="1" width="27.75" bestFit="1" customWidth="1"/>
    <col min="2" max="2" width="15.375" bestFit="1" customWidth="1"/>
    <col min="3" max="3" width="12.625" bestFit="1" customWidth="1"/>
    <col min="4" max="4" width="15.25" bestFit="1" customWidth="1"/>
    <col min="5" max="5" width="12" bestFit="1" customWidth="1"/>
    <col min="6" max="6" width="18.25" bestFit="1" customWidth="1"/>
    <col min="7" max="7" width="15.375" bestFit="1" customWidth="1"/>
    <col min="8" max="8" width="17.875" bestFit="1" customWidth="1"/>
  </cols>
  <sheetData>
    <row r="1" spans="1:8" x14ac:dyDescent="0.25">
      <c r="A1" s="11" t="s">
        <v>2109</v>
      </c>
      <c r="B1" s="11" t="s">
        <v>2111</v>
      </c>
      <c r="C1" s="11" t="s">
        <v>2110</v>
      </c>
      <c r="D1" s="11" t="s">
        <v>2112</v>
      </c>
      <c r="E1" s="11" t="s">
        <v>2113</v>
      </c>
      <c r="F1" s="11" t="s">
        <v>2114</v>
      </c>
      <c r="G1" s="11" t="s">
        <v>2115</v>
      </c>
      <c r="H1" s="11" t="s">
        <v>2116</v>
      </c>
    </row>
    <row r="2" spans="1:8" x14ac:dyDescent="0.25">
      <c r="A2" s="11" t="s">
        <v>2117</v>
      </c>
      <c r="B2" s="10">
        <f>COUNTIFS(Crowdfunding!$D$2:$D$1001,"&lt;=999",Crowdfunding!$G$2:$G$1001,"successful")</f>
        <v>30</v>
      </c>
      <c r="C2" s="10">
        <f>COUNTIFS(Crowdfunding!$D$2:$D$1001,"&lt;=999",Crowdfunding!$G$2:$G$1001,"failed")</f>
        <v>20</v>
      </c>
      <c r="D2" s="10">
        <f>COUNTIFS(Crowdfunding!$D$2:$D$1001,"&lt;=999",Crowdfunding!$G$2:$G$1001,"canceled")</f>
        <v>1</v>
      </c>
      <c r="E2" s="10">
        <f>SUM(B2:D2)</f>
        <v>51</v>
      </c>
      <c r="F2" s="10">
        <f>ROUND(B2*100/E2,0)</f>
        <v>59</v>
      </c>
      <c r="G2" s="10">
        <f>ROUND(C2*100/E2,0)</f>
        <v>39</v>
      </c>
      <c r="H2" s="10">
        <f>ROUND(D2*100/E2,0)</f>
        <v>2</v>
      </c>
    </row>
    <row r="3" spans="1:8" x14ac:dyDescent="0.25">
      <c r="A3" s="11" t="s">
        <v>2118</v>
      </c>
      <c r="B3" s="10">
        <f>COUNTIFS(Crowdfunding!$D$2:$D$1001,"&gt;=1000",Crowdfunding!$G$2:$G$1001,"successful",Crowdfunding!$D$2:$D$1001,"&lt;=4999")</f>
        <v>191</v>
      </c>
      <c r="C3" s="10">
        <f>COUNTIFS(Crowdfunding!$D$2:$D$1001,"&gt;=1000",Crowdfunding!$G$2:$G$1001,"failed",Crowdfunding!$D$2:$D$1001,"&lt;=4999")</f>
        <v>38</v>
      </c>
      <c r="D3" s="10">
        <f>COUNTIFS(Crowdfunding!$D$2:$D$1001,"&gt;=1000",Crowdfunding!$G$2:$G$1001,"canceled",Crowdfunding!$D$2:$D$1001,"&lt;=4999")</f>
        <v>2</v>
      </c>
      <c r="E3" s="10">
        <f t="shared" ref="E3:E13" si="0">SUM(B3:D3)</f>
        <v>231</v>
      </c>
      <c r="F3" s="10">
        <f t="shared" ref="F3:F13" si="1">ROUND(B3*100/E3,0)</f>
        <v>83</v>
      </c>
      <c r="G3" s="10">
        <f t="shared" ref="G3:G13" si="2">ROUND(C3*100/E3,0)</f>
        <v>16</v>
      </c>
      <c r="H3" s="10">
        <f t="shared" ref="H3:H13" si="3">ROUND(D3*100/E3,0)</f>
        <v>1</v>
      </c>
    </row>
    <row r="4" spans="1:8" x14ac:dyDescent="0.25">
      <c r="A4" s="11" t="s">
        <v>2119</v>
      </c>
      <c r="B4" s="10">
        <f>COUNTIFS(Crowdfunding!$D$2:$D$1001,"&gt;=5000",Crowdfunding!$G$2:$G$1001,"successful",Crowdfunding!$D$2:$D$1001,"&lt;=9999")</f>
        <v>164</v>
      </c>
      <c r="C4" s="10">
        <f>COUNTIFS(Crowdfunding!$D$2:$D$1001,"&gt;=5000",Crowdfunding!$G$2:$G$1001,"failed",Crowdfunding!$D$2:$D$1001,"&lt;=9999")</f>
        <v>126</v>
      </c>
      <c r="D4" s="10">
        <f>COUNTIFS(Crowdfunding!$D$2:$D$1001,"&gt;=5000",Crowdfunding!$G$2:$G$1001,"canceled",Crowdfunding!$D$2:$D$1001,"&lt;=9999")</f>
        <v>25</v>
      </c>
      <c r="E4" s="10">
        <f t="shared" si="0"/>
        <v>315</v>
      </c>
      <c r="F4" s="10">
        <f t="shared" si="1"/>
        <v>52</v>
      </c>
      <c r="G4" s="10">
        <f t="shared" si="2"/>
        <v>40</v>
      </c>
      <c r="H4" s="10">
        <f t="shared" si="3"/>
        <v>8</v>
      </c>
    </row>
    <row r="5" spans="1:8" x14ac:dyDescent="0.25">
      <c r="A5" s="11" t="s">
        <v>2120</v>
      </c>
      <c r="B5" s="10">
        <f>COUNTIFS(Crowdfunding!$D$2:$D$1001,"&gt;=10000",Crowdfunding!$G$2:$G$1001,"successful",Crowdfunding!$D$2:$D$1001,"&lt;=14999")</f>
        <v>4</v>
      </c>
      <c r="C5" s="10">
        <f>COUNTIFS(Crowdfunding!$D$2:$D$1001,"&gt;=10000",Crowdfunding!$G$2:$G$1001,"failed",Crowdfunding!$D$2:$D$1001,"&lt;=14999")</f>
        <v>5</v>
      </c>
      <c r="D5" s="10">
        <f>COUNTIFS(Crowdfunding!$D$2:$D$1001,"&gt;=10000",Crowdfunding!$G$2:$G$1001,"canceled",Crowdfunding!$D$2:$D$1001,"&lt;=14999")</f>
        <v>0</v>
      </c>
      <c r="E5" s="10">
        <f t="shared" si="0"/>
        <v>9</v>
      </c>
      <c r="F5" s="10">
        <f t="shared" si="1"/>
        <v>44</v>
      </c>
      <c r="G5" s="10">
        <f t="shared" si="2"/>
        <v>56</v>
      </c>
      <c r="H5" s="10">
        <f t="shared" si="3"/>
        <v>0</v>
      </c>
    </row>
    <row r="6" spans="1:8" x14ac:dyDescent="0.25">
      <c r="A6" s="11" t="s">
        <v>2121</v>
      </c>
      <c r="B6" s="10">
        <f>COUNTIFS(Crowdfunding!$D$2:$D$1001,"&gt;=15000",Crowdfunding!$G$2:$G$1001,"successful",Crowdfunding!$D$2:$D$1001,"&lt;=19999")</f>
        <v>10</v>
      </c>
      <c r="C6" s="10">
        <f>COUNTIFS(Crowdfunding!$D$2:$D$1001,"&gt;=15000",Crowdfunding!$G$2:$G$1001,"failed",Crowdfunding!$D$2:$D$1001,"&lt;=19999")</f>
        <v>0</v>
      </c>
      <c r="D6" s="10">
        <f>COUNTIFS(Crowdfunding!$D$2:$D$1001,"&gt;=15000",Crowdfunding!$G$2:$G$1001,"canceled",Crowdfunding!$D$2:$D$1001,"&lt;=19999")</f>
        <v>0</v>
      </c>
      <c r="E6" s="10">
        <f t="shared" si="0"/>
        <v>10</v>
      </c>
      <c r="F6" s="10">
        <f t="shared" si="1"/>
        <v>100</v>
      </c>
      <c r="G6" s="10">
        <f t="shared" si="2"/>
        <v>0</v>
      </c>
      <c r="H6" s="10">
        <f t="shared" si="3"/>
        <v>0</v>
      </c>
    </row>
    <row r="7" spans="1:8" x14ac:dyDescent="0.25">
      <c r="A7" s="11" t="s">
        <v>2122</v>
      </c>
      <c r="B7" s="10">
        <f>COUNTIFS(Crowdfunding!$D$2:$D$1001,"&gt;=20000",Crowdfunding!$G$2:$G$1001,"successful",Crowdfunding!$D$2:$D$1001,"&lt;=24999")</f>
        <v>7</v>
      </c>
      <c r="C7" s="10">
        <f>COUNTIFS(Crowdfunding!$D$2:$D$1001,"&gt;=20000",Crowdfunding!$G$2:$G$1001,"failed",Crowdfunding!$D$2:$D$1001,"&lt;=24999")</f>
        <v>0</v>
      </c>
      <c r="D7" s="10">
        <f>COUNTIFS(Crowdfunding!$D$2:$D$1001,"&gt;=20000",Crowdfunding!$G$2:$G$1001,"canceled",Crowdfunding!$D$2:$D$1001,"&lt;=24999")</f>
        <v>0</v>
      </c>
      <c r="E7" s="10">
        <f t="shared" si="0"/>
        <v>7</v>
      </c>
      <c r="F7" s="10">
        <f t="shared" si="1"/>
        <v>100</v>
      </c>
      <c r="G7" s="10">
        <f t="shared" si="2"/>
        <v>0</v>
      </c>
      <c r="H7" s="10">
        <f t="shared" si="3"/>
        <v>0</v>
      </c>
    </row>
    <row r="8" spans="1:8" x14ac:dyDescent="0.25">
      <c r="A8" s="11" t="s">
        <v>2123</v>
      </c>
      <c r="B8" s="10">
        <f>COUNTIFS(Crowdfunding!$D$2:$D$1001,"&gt;=25000",Crowdfunding!$G$2:$G$1001,"successful",Crowdfunding!$D$2:$D$1001,"&lt;=29999")</f>
        <v>11</v>
      </c>
      <c r="C8" s="10">
        <f>COUNTIFS(Crowdfunding!$D$2:$D$1001,"&gt;=25000",Crowdfunding!$G$2:$G$1001,"failed",Crowdfunding!$D$2:$D$1001,"&lt;=29999")</f>
        <v>3</v>
      </c>
      <c r="D8" s="10">
        <f>COUNTIFS(Crowdfunding!$D$2:$D$1001,"&gt;=25000",Crowdfunding!$G$2:$G$1001,"canceled",Crowdfunding!$D$2:$D$1001,"&lt;=29999")</f>
        <v>0</v>
      </c>
      <c r="E8" s="10">
        <f t="shared" si="0"/>
        <v>14</v>
      </c>
      <c r="F8" s="10">
        <f t="shared" si="1"/>
        <v>79</v>
      </c>
      <c r="G8" s="10">
        <f t="shared" si="2"/>
        <v>21</v>
      </c>
      <c r="H8" s="10">
        <f t="shared" si="3"/>
        <v>0</v>
      </c>
    </row>
    <row r="9" spans="1:8" x14ac:dyDescent="0.25">
      <c r="A9" s="11" t="s">
        <v>2124</v>
      </c>
      <c r="B9" s="10">
        <f>COUNTIFS(Crowdfunding!$D$2:$D$1001,"&gt;=30000",Crowdfunding!$G$2:$G$1001,"successful",Crowdfunding!$D$2:$D$1001,"&lt;=34999")</f>
        <v>7</v>
      </c>
      <c r="C9" s="10">
        <f>COUNTIFS(Crowdfunding!$D$2:$D$1001,"&gt;=30000",Crowdfunding!$G$2:$G$1001,"failed",Crowdfunding!$D$2:$D$1001,"&lt;=34999")</f>
        <v>0</v>
      </c>
      <c r="D9" s="10">
        <f>COUNTIFS(Crowdfunding!$D$2:$D$1001,"&gt;=30000",Crowdfunding!$G$2:$G$1001,"canceled",Crowdfunding!$D$2:$D$1001,"&lt;=34999")</f>
        <v>0</v>
      </c>
      <c r="E9" s="10">
        <f t="shared" si="0"/>
        <v>7</v>
      </c>
      <c r="F9" s="10">
        <f t="shared" si="1"/>
        <v>100</v>
      </c>
      <c r="G9" s="10">
        <f t="shared" si="2"/>
        <v>0</v>
      </c>
      <c r="H9" s="10">
        <f t="shared" si="3"/>
        <v>0</v>
      </c>
    </row>
    <row r="10" spans="1:8" x14ac:dyDescent="0.25">
      <c r="A10" s="11" t="s">
        <v>2125</v>
      </c>
      <c r="B10" s="10">
        <f>COUNTIFS(Crowdfunding!$D$2:$D$1001,"&gt;=35000",Crowdfunding!$G$2:$G$1001,"successful",Crowdfunding!$D$2:$D$1001,"&lt;=39999")</f>
        <v>8</v>
      </c>
      <c r="C10" s="10">
        <f>COUNTIFS(Crowdfunding!$D$2:$D$1001,"&gt;=35000",Crowdfunding!$G$2:$G$1001,"failed",Crowdfunding!$D$2:$D$1001,"&lt;=39999")</f>
        <v>3</v>
      </c>
      <c r="D10" s="10">
        <f>COUNTIFS(Crowdfunding!$D$2:$D$1001,"&gt;=35000",Crowdfunding!$G$2:$G$1001,"canceled",Crowdfunding!$D$2:$D$1001,"&lt;=39999")</f>
        <v>1</v>
      </c>
      <c r="E10" s="10">
        <f t="shared" si="0"/>
        <v>12</v>
      </c>
      <c r="F10" s="10">
        <f t="shared" si="1"/>
        <v>67</v>
      </c>
      <c r="G10" s="10">
        <f t="shared" si="2"/>
        <v>25</v>
      </c>
      <c r="H10" s="10">
        <f t="shared" si="3"/>
        <v>8</v>
      </c>
    </row>
    <row r="11" spans="1:8" x14ac:dyDescent="0.25">
      <c r="A11" s="11" t="s">
        <v>2126</v>
      </c>
      <c r="B11" s="10">
        <f>COUNTIFS(Crowdfunding!$D$2:$D$1001,"&gt;=40000",Crowdfunding!$G$2:$G$1001,"successful",Crowdfunding!$D$2:$D$1001,"&lt;=44999")</f>
        <v>11</v>
      </c>
      <c r="C11" s="10">
        <f>COUNTIFS(Crowdfunding!$D$2:$D$1001,"&gt;=40000",Crowdfunding!$G$2:$G$1001,"failed",Crowdfunding!$D$2:$D$1001,"&lt;=44999")</f>
        <v>3</v>
      </c>
      <c r="D11" s="10">
        <f>COUNTIFS(Crowdfunding!$D$2:$D$1001,"&gt;=40000",Crowdfunding!$G$2:$G$1001,"canceled",Crowdfunding!$D$2:$D$1001,"&lt;=44999")</f>
        <v>0</v>
      </c>
      <c r="E11" s="10">
        <f t="shared" si="0"/>
        <v>14</v>
      </c>
      <c r="F11" s="10">
        <f t="shared" si="1"/>
        <v>79</v>
      </c>
      <c r="G11" s="10">
        <f t="shared" si="2"/>
        <v>21</v>
      </c>
      <c r="H11" s="10">
        <f t="shared" si="3"/>
        <v>0</v>
      </c>
    </row>
    <row r="12" spans="1:8" x14ac:dyDescent="0.25">
      <c r="A12" s="11" t="s">
        <v>2127</v>
      </c>
      <c r="B12" s="10">
        <f>COUNTIFS(Crowdfunding!$D$2:$D$1001,"&gt;=45000",Crowdfunding!$G$2:$G$1001,"successful",Crowdfunding!$D$2:$D$1001,"&lt;=49999")</f>
        <v>8</v>
      </c>
      <c r="C12" s="10">
        <f>COUNTIFS(Crowdfunding!$D$2:$D$1001,"&gt;=45000",Crowdfunding!$G$2:$G$1001,"failed",Crowdfunding!$D$2:$D$1001,"&lt;=49999")</f>
        <v>3</v>
      </c>
      <c r="D12" s="10">
        <f>COUNTIFS(Crowdfunding!$D$2:$D$1001,"&gt;=45000",Crowdfunding!$G$2:$G$1001,"canceled",Crowdfunding!$D$2:$D$1001,"&lt;=49999")</f>
        <v>0</v>
      </c>
      <c r="E12" s="10">
        <f t="shared" si="0"/>
        <v>11</v>
      </c>
      <c r="F12" s="10">
        <f t="shared" si="1"/>
        <v>73</v>
      </c>
      <c r="G12" s="10">
        <f t="shared" si="2"/>
        <v>27</v>
      </c>
      <c r="H12" s="10">
        <f t="shared" si="3"/>
        <v>0</v>
      </c>
    </row>
    <row r="13" spans="1:8" x14ac:dyDescent="0.25">
      <c r="A13" s="11" t="s">
        <v>2128</v>
      </c>
      <c r="B13" s="10">
        <f>COUNTIFS(Crowdfunding!$D$2:$D$1001,"&gt;=50000",Crowdfunding!$G$2:$G$1001,"successful")</f>
        <v>114</v>
      </c>
      <c r="C13" s="10">
        <f>COUNTIFS(Crowdfunding!$D$2:$D$1001,"&gt;=50000",Crowdfunding!$G$2:$G$1001,"failed")</f>
        <v>163</v>
      </c>
      <c r="D13" s="10">
        <f>COUNTIFS(Crowdfunding!$D$2:$D$1001,"&gt;=50000",Crowdfunding!$G$2:$G$1001,"canceled")</f>
        <v>28</v>
      </c>
      <c r="E13" s="10">
        <f t="shared" si="0"/>
        <v>305</v>
      </c>
      <c r="F13" s="10">
        <f t="shared" si="1"/>
        <v>37</v>
      </c>
      <c r="G13" s="10">
        <f t="shared" si="2"/>
        <v>53</v>
      </c>
      <c r="H13" s="10">
        <f t="shared" si="3"/>
        <v>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2E73-A23E-4F86-81A8-FD193DA2718F}">
  <dimension ref="A1:I971"/>
  <sheetViews>
    <sheetView tabSelected="1" zoomScale="85" zoomScaleNormal="85" workbookViewId="0">
      <selection activeCell="F9" sqref="F9"/>
    </sheetView>
  </sheetViews>
  <sheetFormatPr baseColWidth="10" defaultRowHeight="15.75" x14ac:dyDescent="0.25"/>
  <cols>
    <col min="2" max="2" width="13.5" bestFit="1" customWidth="1"/>
    <col min="4" max="4" width="13.5" bestFit="1" customWidth="1"/>
    <col min="6" max="6" width="16.75" bestFit="1" customWidth="1"/>
    <col min="8" max="8" width="16.75" bestFit="1" customWidth="1"/>
  </cols>
  <sheetData>
    <row r="1" spans="1:9" x14ac:dyDescent="0.25">
      <c r="A1" s="11" t="s">
        <v>2129</v>
      </c>
      <c r="B1" s="11" t="s">
        <v>2130</v>
      </c>
      <c r="C1" s="11" t="s">
        <v>2129</v>
      </c>
      <c r="D1" s="11" t="s">
        <v>2130</v>
      </c>
      <c r="F1" s="9" t="s">
        <v>2139</v>
      </c>
      <c r="G1" s="9"/>
      <c r="H1" s="9" t="s">
        <v>2140</v>
      </c>
      <c r="I1" s="9"/>
    </row>
    <row r="2" spans="1:9" x14ac:dyDescent="0.25">
      <c r="A2" s="10" t="s">
        <v>20</v>
      </c>
      <c r="B2" s="10">
        <v>158</v>
      </c>
      <c r="C2" s="10" t="s">
        <v>14</v>
      </c>
      <c r="D2" s="10">
        <v>0</v>
      </c>
      <c r="F2" s="10" t="s">
        <v>2133</v>
      </c>
      <c r="G2" s="10">
        <f>AVERAGE(B2:B566)</f>
        <v>851.14690265486729</v>
      </c>
      <c r="H2" s="10" t="s">
        <v>2133</v>
      </c>
      <c r="I2" s="10">
        <f>AVERAGE(D2:D364)</f>
        <v>586.76584022038571</v>
      </c>
    </row>
    <row r="3" spans="1:9" x14ac:dyDescent="0.25">
      <c r="A3" s="10" t="s">
        <v>20</v>
      </c>
      <c r="B3" s="10">
        <v>1425</v>
      </c>
      <c r="C3" s="10" t="s">
        <v>14</v>
      </c>
      <c r="D3" s="10">
        <v>24</v>
      </c>
      <c r="F3" s="10" t="s">
        <v>2134</v>
      </c>
      <c r="G3" s="10">
        <f>MEDIAN(B2:B566)</f>
        <v>201</v>
      </c>
      <c r="H3" s="10" t="s">
        <v>2134</v>
      </c>
      <c r="I3" s="10">
        <f>MEDIAN(D2:D364)</f>
        <v>114</v>
      </c>
    </row>
    <row r="4" spans="1:9" x14ac:dyDescent="0.25">
      <c r="A4" s="10" t="s">
        <v>20</v>
      </c>
      <c r="B4" s="10">
        <v>174</v>
      </c>
      <c r="C4" s="10" t="s">
        <v>14</v>
      </c>
      <c r="D4" s="10">
        <v>53</v>
      </c>
      <c r="F4" s="10" t="s">
        <v>2135</v>
      </c>
      <c r="G4" s="10">
        <f>MIN(B2:B566)</f>
        <v>16</v>
      </c>
      <c r="H4" s="10" t="s">
        <v>2135</v>
      </c>
      <c r="I4" s="10">
        <f>MIN(D2:D364)</f>
        <v>0</v>
      </c>
    </row>
    <row r="5" spans="1:9" x14ac:dyDescent="0.25">
      <c r="A5" s="10" t="s">
        <v>20</v>
      </c>
      <c r="B5" s="10">
        <v>227</v>
      </c>
      <c r="C5" s="10" t="s">
        <v>14</v>
      </c>
      <c r="D5" s="10">
        <v>18</v>
      </c>
      <c r="F5" s="10" t="s">
        <v>2136</v>
      </c>
      <c r="G5" s="10">
        <f>MAX(B2:B566)</f>
        <v>7295</v>
      </c>
      <c r="H5" s="10" t="s">
        <v>2136</v>
      </c>
      <c r="I5" s="10">
        <f>MAX(D2:D364)</f>
        <v>6080</v>
      </c>
    </row>
    <row r="6" spans="1:9" x14ac:dyDescent="0.25">
      <c r="A6" s="10" t="s">
        <v>20</v>
      </c>
      <c r="B6" s="10">
        <v>220</v>
      </c>
      <c r="C6" s="10" t="s">
        <v>14</v>
      </c>
      <c r="D6" s="10">
        <v>44</v>
      </c>
      <c r="F6" s="10" t="s">
        <v>2137</v>
      </c>
      <c r="G6" s="10">
        <f>_xlfn.VAR.S(B2:B566)</f>
        <v>1606216.5936295739</v>
      </c>
      <c r="H6" s="10" t="s">
        <v>2137</v>
      </c>
      <c r="I6" s="10">
        <f>_xlfn.VAR.S(D2:D364)</f>
        <v>926183.15220005182</v>
      </c>
    </row>
    <row r="7" spans="1:9" x14ac:dyDescent="0.25">
      <c r="A7" s="10" t="s">
        <v>20</v>
      </c>
      <c r="B7" s="10">
        <v>98</v>
      </c>
      <c r="C7" s="10" t="s">
        <v>14</v>
      </c>
      <c r="D7" s="10">
        <v>27</v>
      </c>
      <c r="F7" s="10" t="s">
        <v>2138</v>
      </c>
      <c r="G7" s="10">
        <f>_xlfn.STDEV.S(B2:B566)</f>
        <v>1267.366006183523</v>
      </c>
      <c r="H7" s="10" t="s">
        <v>2138</v>
      </c>
      <c r="I7" s="10">
        <f>_xlfn.STDEV.S(D2:D364)</f>
        <v>962.38409806067136</v>
      </c>
    </row>
    <row r="8" spans="1:9" x14ac:dyDescent="0.25">
      <c r="A8" s="10" t="s">
        <v>20</v>
      </c>
      <c r="B8" s="10">
        <v>100</v>
      </c>
      <c r="C8" s="10" t="s">
        <v>14</v>
      </c>
      <c r="D8" s="10">
        <v>55</v>
      </c>
    </row>
    <row r="9" spans="1:9" x14ac:dyDescent="0.25">
      <c r="A9" s="10" t="s">
        <v>20</v>
      </c>
      <c r="B9" s="10">
        <v>1249</v>
      </c>
      <c r="C9" s="10" t="s">
        <v>14</v>
      </c>
      <c r="D9" s="10">
        <v>200</v>
      </c>
      <c r="G9">
        <f>G2+G7</f>
        <v>2118.5129088383901</v>
      </c>
      <c r="I9">
        <f t="shared" ref="H9:I9" si="0">I2+I7</f>
        <v>1549.1499382810571</v>
      </c>
    </row>
    <row r="10" spans="1:9" x14ac:dyDescent="0.25">
      <c r="A10" s="10" t="s">
        <v>20</v>
      </c>
      <c r="B10" s="10">
        <v>1396</v>
      </c>
      <c r="C10" s="10" t="s">
        <v>14</v>
      </c>
      <c r="D10" s="10">
        <v>452</v>
      </c>
      <c r="G10">
        <f>G2-G7</f>
        <v>-416.21910352865575</v>
      </c>
      <c r="I10">
        <f t="shared" ref="H10:I10" si="1">I2-I7</f>
        <v>-375.61825784028565</v>
      </c>
    </row>
    <row r="11" spans="1:9" x14ac:dyDescent="0.25">
      <c r="A11" s="10" t="s">
        <v>20</v>
      </c>
      <c r="B11" s="10">
        <v>890</v>
      </c>
      <c r="C11" s="10" t="s">
        <v>14</v>
      </c>
      <c r="D11" s="10">
        <v>674</v>
      </c>
    </row>
    <row r="12" spans="1:9" x14ac:dyDescent="0.25">
      <c r="A12" s="10" t="s">
        <v>20</v>
      </c>
      <c r="B12" s="10">
        <v>142</v>
      </c>
      <c r="C12" s="10" t="s">
        <v>14</v>
      </c>
      <c r="D12" s="10">
        <v>558</v>
      </c>
    </row>
    <row r="13" spans="1:9" x14ac:dyDescent="0.25">
      <c r="A13" s="10" t="s">
        <v>20</v>
      </c>
      <c r="B13" s="10">
        <v>2673</v>
      </c>
      <c r="C13" s="10" t="s">
        <v>14</v>
      </c>
      <c r="D13" s="10">
        <v>15</v>
      </c>
    </row>
    <row r="14" spans="1:9" x14ac:dyDescent="0.25">
      <c r="A14" s="10" t="s">
        <v>20</v>
      </c>
      <c r="B14" s="10">
        <v>163</v>
      </c>
      <c r="C14" s="10" t="s">
        <v>14</v>
      </c>
      <c r="D14" s="10">
        <v>2307</v>
      </c>
    </row>
    <row r="15" spans="1:9" x14ac:dyDescent="0.25">
      <c r="A15" s="10" t="s">
        <v>20</v>
      </c>
      <c r="B15" s="10">
        <v>2220</v>
      </c>
      <c r="C15" s="10" t="s">
        <v>14</v>
      </c>
      <c r="D15" s="10">
        <v>88</v>
      </c>
    </row>
    <row r="16" spans="1:9" x14ac:dyDescent="0.25">
      <c r="A16" s="10" t="s">
        <v>20</v>
      </c>
      <c r="B16" s="10">
        <v>1606</v>
      </c>
      <c r="C16" s="10" t="s">
        <v>14</v>
      </c>
      <c r="D16" s="10">
        <v>48</v>
      </c>
    </row>
    <row r="17" spans="1:4" x14ac:dyDescent="0.25">
      <c r="A17" s="10" t="s">
        <v>20</v>
      </c>
      <c r="B17" s="10">
        <v>129</v>
      </c>
      <c r="C17" s="10" t="s">
        <v>14</v>
      </c>
      <c r="D17" s="10">
        <v>1</v>
      </c>
    </row>
    <row r="18" spans="1:4" x14ac:dyDescent="0.25">
      <c r="A18" s="10" t="s">
        <v>20</v>
      </c>
      <c r="B18" s="10">
        <v>226</v>
      </c>
      <c r="C18" s="10" t="s">
        <v>14</v>
      </c>
      <c r="D18" s="10">
        <v>1467</v>
      </c>
    </row>
    <row r="19" spans="1:4" x14ac:dyDescent="0.25">
      <c r="A19" s="10" t="s">
        <v>20</v>
      </c>
      <c r="B19" s="10">
        <v>5419</v>
      </c>
      <c r="C19" s="10" t="s">
        <v>14</v>
      </c>
      <c r="D19" s="10">
        <v>75</v>
      </c>
    </row>
    <row r="20" spans="1:4" x14ac:dyDescent="0.25">
      <c r="A20" s="10" t="s">
        <v>20</v>
      </c>
      <c r="B20" s="10">
        <v>165</v>
      </c>
      <c r="C20" s="10" t="s">
        <v>14</v>
      </c>
      <c r="D20" s="10">
        <v>120</v>
      </c>
    </row>
    <row r="21" spans="1:4" x14ac:dyDescent="0.25">
      <c r="A21" s="10" t="s">
        <v>20</v>
      </c>
      <c r="B21" s="10">
        <v>1965</v>
      </c>
      <c r="C21" s="10" t="s">
        <v>14</v>
      </c>
      <c r="D21" s="10">
        <v>2253</v>
      </c>
    </row>
    <row r="22" spans="1:4" x14ac:dyDescent="0.25">
      <c r="A22" s="10" t="s">
        <v>20</v>
      </c>
      <c r="B22" s="10">
        <v>16</v>
      </c>
      <c r="C22" s="10" t="s">
        <v>14</v>
      </c>
      <c r="D22" s="10">
        <v>5</v>
      </c>
    </row>
    <row r="23" spans="1:4" x14ac:dyDescent="0.25">
      <c r="A23" s="10" t="s">
        <v>20</v>
      </c>
      <c r="B23" s="10">
        <v>107</v>
      </c>
      <c r="C23" s="10" t="s">
        <v>14</v>
      </c>
      <c r="D23" s="10">
        <v>38</v>
      </c>
    </row>
    <row r="24" spans="1:4" x14ac:dyDescent="0.25">
      <c r="A24" s="10" t="s">
        <v>20</v>
      </c>
      <c r="B24" s="10">
        <v>134</v>
      </c>
      <c r="C24" s="10" t="s">
        <v>14</v>
      </c>
      <c r="D24" s="10">
        <v>12</v>
      </c>
    </row>
    <row r="25" spans="1:4" x14ac:dyDescent="0.25">
      <c r="A25" s="10" t="s">
        <v>20</v>
      </c>
      <c r="B25" s="10">
        <v>198</v>
      </c>
      <c r="C25" s="10" t="s">
        <v>14</v>
      </c>
      <c r="D25" s="10">
        <v>1684</v>
      </c>
    </row>
    <row r="26" spans="1:4" x14ac:dyDescent="0.25">
      <c r="A26" s="10" t="s">
        <v>20</v>
      </c>
      <c r="B26" s="10">
        <v>111</v>
      </c>
      <c r="C26" s="10" t="s">
        <v>14</v>
      </c>
      <c r="D26" s="10">
        <v>56</v>
      </c>
    </row>
    <row r="27" spans="1:4" x14ac:dyDescent="0.25">
      <c r="A27" s="10" t="s">
        <v>20</v>
      </c>
      <c r="B27" s="10">
        <v>222</v>
      </c>
      <c r="C27" s="10" t="s">
        <v>14</v>
      </c>
      <c r="D27" s="10">
        <v>838</v>
      </c>
    </row>
    <row r="28" spans="1:4" x14ac:dyDescent="0.25">
      <c r="A28" s="10" t="s">
        <v>20</v>
      </c>
      <c r="B28" s="10">
        <v>6212</v>
      </c>
      <c r="C28" s="10" t="s">
        <v>14</v>
      </c>
      <c r="D28" s="10">
        <v>1000</v>
      </c>
    </row>
    <row r="29" spans="1:4" x14ac:dyDescent="0.25">
      <c r="A29" s="10" t="s">
        <v>20</v>
      </c>
      <c r="B29" s="10">
        <v>98</v>
      </c>
      <c r="C29" s="10" t="s">
        <v>14</v>
      </c>
      <c r="D29" s="10">
        <v>1482</v>
      </c>
    </row>
    <row r="30" spans="1:4" x14ac:dyDescent="0.25">
      <c r="A30" s="10" t="s">
        <v>20</v>
      </c>
      <c r="B30" s="10">
        <v>92</v>
      </c>
      <c r="C30" s="10" t="s">
        <v>14</v>
      </c>
      <c r="D30" s="10">
        <v>106</v>
      </c>
    </row>
    <row r="31" spans="1:4" x14ac:dyDescent="0.25">
      <c r="A31" s="10" t="s">
        <v>20</v>
      </c>
      <c r="B31" s="10">
        <v>149</v>
      </c>
      <c r="C31" s="10" t="s">
        <v>14</v>
      </c>
      <c r="D31" s="10">
        <v>679</v>
      </c>
    </row>
    <row r="32" spans="1:4" x14ac:dyDescent="0.25">
      <c r="A32" s="10" t="s">
        <v>20</v>
      </c>
      <c r="B32" s="10">
        <v>2431</v>
      </c>
      <c r="C32" s="10" t="s">
        <v>14</v>
      </c>
      <c r="D32" s="10">
        <v>1220</v>
      </c>
    </row>
    <row r="33" spans="1:4" x14ac:dyDescent="0.25">
      <c r="A33" s="10" t="s">
        <v>20</v>
      </c>
      <c r="B33" s="10">
        <v>303</v>
      </c>
      <c r="C33" s="10" t="s">
        <v>14</v>
      </c>
      <c r="D33" s="10">
        <v>1</v>
      </c>
    </row>
    <row r="34" spans="1:4" x14ac:dyDescent="0.25">
      <c r="A34" s="10" t="s">
        <v>20</v>
      </c>
      <c r="B34" s="10">
        <v>209</v>
      </c>
      <c r="C34" s="10" t="s">
        <v>14</v>
      </c>
      <c r="D34" s="10">
        <v>37</v>
      </c>
    </row>
    <row r="35" spans="1:4" x14ac:dyDescent="0.25">
      <c r="A35" s="10" t="s">
        <v>20</v>
      </c>
      <c r="B35" s="10">
        <v>131</v>
      </c>
      <c r="C35" s="10" t="s">
        <v>14</v>
      </c>
      <c r="D35" s="10">
        <v>60</v>
      </c>
    </row>
    <row r="36" spans="1:4" x14ac:dyDescent="0.25">
      <c r="A36" s="10" t="s">
        <v>20</v>
      </c>
      <c r="B36" s="10">
        <v>164</v>
      </c>
      <c r="C36" s="10" t="s">
        <v>14</v>
      </c>
      <c r="D36" s="10">
        <v>296</v>
      </c>
    </row>
    <row r="37" spans="1:4" x14ac:dyDescent="0.25">
      <c r="A37" s="10" t="s">
        <v>20</v>
      </c>
      <c r="B37" s="10">
        <v>201</v>
      </c>
      <c r="C37" s="10" t="s">
        <v>14</v>
      </c>
      <c r="D37" s="10">
        <v>3304</v>
      </c>
    </row>
    <row r="38" spans="1:4" x14ac:dyDescent="0.25">
      <c r="A38" s="10" t="s">
        <v>20</v>
      </c>
      <c r="B38" s="10">
        <v>211</v>
      </c>
      <c r="C38" s="10" t="s">
        <v>14</v>
      </c>
      <c r="D38" s="10">
        <v>73</v>
      </c>
    </row>
    <row r="39" spans="1:4" x14ac:dyDescent="0.25">
      <c r="A39" s="10" t="s">
        <v>20</v>
      </c>
      <c r="B39" s="10">
        <v>128</v>
      </c>
      <c r="C39" s="10" t="s">
        <v>14</v>
      </c>
      <c r="D39" s="10">
        <v>3387</v>
      </c>
    </row>
    <row r="40" spans="1:4" x14ac:dyDescent="0.25">
      <c r="A40" s="10" t="s">
        <v>20</v>
      </c>
      <c r="B40" s="10">
        <v>1600</v>
      </c>
      <c r="C40" s="10" t="s">
        <v>14</v>
      </c>
      <c r="D40" s="10">
        <v>662</v>
      </c>
    </row>
    <row r="41" spans="1:4" x14ac:dyDescent="0.25">
      <c r="A41" s="10" t="s">
        <v>20</v>
      </c>
      <c r="B41" s="10">
        <v>249</v>
      </c>
      <c r="C41" s="10" t="s">
        <v>14</v>
      </c>
      <c r="D41" s="10">
        <v>774</v>
      </c>
    </row>
    <row r="42" spans="1:4" x14ac:dyDescent="0.25">
      <c r="A42" s="10" t="s">
        <v>20</v>
      </c>
      <c r="B42" s="10">
        <v>236</v>
      </c>
      <c r="C42" s="10" t="s">
        <v>14</v>
      </c>
      <c r="D42" s="10">
        <v>672</v>
      </c>
    </row>
    <row r="43" spans="1:4" x14ac:dyDescent="0.25">
      <c r="A43" s="10" t="s">
        <v>20</v>
      </c>
      <c r="B43" s="10">
        <v>4065</v>
      </c>
      <c r="C43" s="10" t="s">
        <v>14</v>
      </c>
      <c r="D43" s="10">
        <v>940</v>
      </c>
    </row>
    <row r="44" spans="1:4" x14ac:dyDescent="0.25">
      <c r="A44" s="10" t="s">
        <v>20</v>
      </c>
      <c r="B44" s="10">
        <v>246</v>
      </c>
      <c r="C44" s="10" t="s">
        <v>14</v>
      </c>
      <c r="D44" s="10">
        <v>117</v>
      </c>
    </row>
    <row r="45" spans="1:4" x14ac:dyDescent="0.25">
      <c r="A45" s="10" t="s">
        <v>20</v>
      </c>
      <c r="B45" s="10">
        <v>2475</v>
      </c>
      <c r="C45" s="10" t="s">
        <v>14</v>
      </c>
      <c r="D45" s="10">
        <v>115</v>
      </c>
    </row>
    <row r="46" spans="1:4" x14ac:dyDescent="0.25">
      <c r="A46" s="10" t="s">
        <v>20</v>
      </c>
      <c r="B46" s="10">
        <v>76</v>
      </c>
      <c r="C46" s="10" t="s">
        <v>14</v>
      </c>
      <c r="D46" s="10">
        <v>326</v>
      </c>
    </row>
    <row r="47" spans="1:4" x14ac:dyDescent="0.25">
      <c r="A47" s="10" t="s">
        <v>20</v>
      </c>
      <c r="B47" s="10">
        <v>54</v>
      </c>
      <c r="C47" s="10" t="s">
        <v>14</v>
      </c>
      <c r="D47" s="10">
        <v>1</v>
      </c>
    </row>
    <row r="48" spans="1:4" x14ac:dyDescent="0.25">
      <c r="A48" s="10" t="s">
        <v>20</v>
      </c>
      <c r="B48" s="10">
        <v>88</v>
      </c>
      <c r="C48" s="10" t="s">
        <v>14</v>
      </c>
      <c r="D48" s="10">
        <v>1467</v>
      </c>
    </row>
    <row r="49" spans="1:4" x14ac:dyDescent="0.25">
      <c r="A49" s="10" t="s">
        <v>20</v>
      </c>
      <c r="B49" s="10">
        <v>85</v>
      </c>
      <c r="C49" s="10" t="s">
        <v>14</v>
      </c>
      <c r="D49" s="10">
        <v>5681</v>
      </c>
    </row>
    <row r="50" spans="1:4" x14ac:dyDescent="0.25">
      <c r="A50" s="10" t="s">
        <v>20</v>
      </c>
      <c r="B50" s="10">
        <v>170</v>
      </c>
      <c r="C50" s="10" t="s">
        <v>14</v>
      </c>
      <c r="D50" s="10">
        <v>1059</v>
      </c>
    </row>
    <row r="51" spans="1:4" x14ac:dyDescent="0.25">
      <c r="A51" s="10" t="s">
        <v>20</v>
      </c>
      <c r="B51" s="10">
        <v>330</v>
      </c>
      <c r="C51" s="10" t="s">
        <v>14</v>
      </c>
      <c r="D51" s="10">
        <v>1194</v>
      </c>
    </row>
    <row r="52" spans="1:4" x14ac:dyDescent="0.25">
      <c r="A52" s="10" t="s">
        <v>20</v>
      </c>
      <c r="B52" s="10">
        <v>127</v>
      </c>
      <c r="C52" s="10" t="s">
        <v>14</v>
      </c>
      <c r="D52" s="10">
        <v>30</v>
      </c>
    </row>
    <row r="53" spans="1:4" x14ac:dyDescent="0.25">
      <c r="A53" s="10" t="s">
        <v>20</v>
      </c>
      <c r="B53" s="10">
        <v>411</v>
      </c>
      <c r="C53" s="10" t="s">
        <v>14</v>
      </c>
      <c r="D53" s="10">
        <v>75</v>
      </c>
    </row>
    <row r="54" spans="1:4" x14ac:dyDescent="0.25">
      <c r="A54" s="10" t="s">
        <v>20</v>
      </c>
      <c r="B54" s="10">
        <v>180</v>
      </c>
      <c r="C54" s="10" t="s">
        <v>14</v>
      </c>
      <c r="D54" s="10">
        <v>955</v>
      </c>
    </row>
    <row r="55" spans="1:4" x14ac:dyDescent="0.25">
      <c r="A55" s="10" t="s">
        <v>20</v>
      </c>
      <c r="B55" s="10">
        <v>374</v>
      </c>
      <c r="C55" s="10" t="s">
        <v>14</v>
      </c>
      <c r="D55" s="10">
        <v>67</v>
      </c>
    </row>
    <row r="56" spans="1:4" x14ac:dyDescent="0.25">
      <c r="A56" s="10" t="s">
        <v>20</v>
      </c>
      <c r="B56" s="10">
        <v>71</v>
      </c>
      <c r="C56" s="10" t="s">
        <v>14</v>
      </c>
      <c r="D56" s="10">
        <v>5</v>
      </c>
    </row>
    <row r="57" spans="1:4" x14ac:dyDescent="0.25">
      <c r="A57" s="10" t="s">
        <v>20</v>
      </c>
      <c r="B57" s="10">
        <v>203</v>
      </c>
      <c r="C57" s="10" t="s">
        <v>14</v>
      </c>
      <c r="D57" s="10">
        <v>26</v>
      </c>
    </row>
    <row r="58" spans="1:4" x14ac:dyDescent="0.25">
      <c r="A58" s="10" t="s">
        <v>20</v>
      </c>
      <c r="B58" s="10">
        <v>113</v>
      </c>
      <c r="C58" s="10" t="s">
        <v>14</v>
      </c>
      <c r="D58" s="10">
        <v>1130</v>
      </c>
    </row>
    <row r="59" spans="1:4" x14ac:dyDescent="0.25">
      <c r="A59" s="10" t="s">
        <v>20</v>
      </c>
      <c r="B59" s="10">
        <v>96</v>
      </c>
      <c r="C59" s="10" t="s">
        <v>14</v>
      </c>
      <c r="D59" s="10">
        <v>782</v>
      </c>
    </row>
    <row r="60" spans="1:4" x14ac:dyDescent="0.25">
      <c r="A60" s="10" t="s">
        <v>20</v>
      </c>
      <c r="B60" s="10">
        <v>498</v>
      </c>
      <c r="C60" s="10" t="s">
        <v>14</v>
      </c>
      <c r="D60" s="10">
        <v>210</v>
      </c>
    </row>
    <row r="61" spans="1:4" x14ac:dyDescent="0.25">
      <c r="A61" s="10" t="s">
        <v>20</v>
      </c>
      <c r="B61" s="10">
        <v>180</v>
      </c>
      <c r="C61" s="10" t="s">
        <v>14</v>
      </c>
      <c r="D61" s="10">
        <v>136</v>
      </c>
    </row>
    <row r="62" spans="1:4" x14ac:dyDescent="0.25">
      <c r="A62" s="10" t="s">
        <v>20</v>
      </c>
      <c r="B62" s="10">
        <v>27</v>
      </c>
      <c r="C62" s="10" t="s">
        <v>14</v>
      </c>
      <c r="D62" s="10">
        <v>86</v>
      </c>
    </row>
    <row r="63" spans="1:4" x14ac:dyDescent="0.25">
      <c r="A63" s="10" t="s">
        <v>20</v>
      </c>
      <c r="B63" s="10">
        <v>2331</v>
      </c>
      <c r="C63" s="10" t="s">
        <v>14</v>
      </c>
      <c r="D63" s="10">
        <v>19</v>
      </c>
    </row>
    <row r="64" spans="1:4" x14ac:dyDescent="0.25">
      <c r="A64" s="10" t="s">
        <v>20</v>
      </c>
      <c r="B64" s="10">
        <v>113</v>
      </c>
      <c r="C64" s="10" t="s">
        <v>14</v>
      </c>
      <c r="D64" s="10">
        <v>886</v>
      </c>
    </row>
    <row r="65" spans="1:4" x14ac:dyDescent="0.25">
      <c r="A65" s="10" t="s">
        <v>20</v>
      </c>
      <c r="B65" s="10">
        <v>164</v>
      </c>
      <c r="C65" s="10" t="s">
        <v>14</v>
      </c>
      <c r="D65" s="10">
        <v>35</v>
      </c>
    </row>
    <row r="66" spans="1:4" x14ac:dyDescent="0.25">
      <c r="A66" s="10" t="s">
        <v>20</v>
      </c>
      <c r="B66" s="10">
        <v>164</v>
      </c>
      <c r="C66" s="10" t="s">
        <v>14</v>
      </c>
      <c r="D66" s="10">
        <v>24</v>
      </c>
    </row>
    <row r="67" spans="1:4" x14ac:dyDescent="0.25">
      <c r="A67" s="10" t="s">
        <v>20</v>
      </c>
      <c r="B67" s="10">
        <v>336</v>
      </c>
      <c r="C67" s="10" t="s">
        <v>14</v>
      </c>
      <c r="D67" s="10">
        <v>86</v>
      </c>
    </row>
    <row r="68" spans="1:4" x14ac:dyDescent="0.25">
      <c r="A68" s="10" t="s">
        <v>20</v>
      </c>
      <c r="B68" s="10">
        <v>1917</v>
      </c>
      <c r="C68" s="10" t="s">
        <v>14</v>
      </c>
      <c r="D68" s="10">
        <v>243</v>
      </c>
    </row>
    <row r="69" spans="1:4" x14ac:dyDescent="0.25">
      <c r="A69" s="10" t="s">
        <v>20</v>
      </c>
      <c r="B69" s="10">
        <v>95</v>
      </c>
      <c r="C69" s="10" t="s">
        <v>14</v>
      </c>
      <c r="D69" s="10">
        <v>65</v>
      </c>
    </row>
    <row r="70" spans="1:4" x14ac:dyDescent="0.25">
      <c r="A70" s="10" t="s">
        <v>20</v>
      </c>
      <c r="B70" s="10">
        <v>147</v>
      </c>
      <c r="C70" s="10" t="s">
        <v>14</v>
      </c>
      <c r="D70" s="10">
        <v>100</v>
      </c>
    </row>
    <row r="71" spans="1:4" x14ac:dyDescent="0.25">
      <c r="A71" s="10" t="s">
        <v>20</v>
      </c>
      <c r="B71" s="10">
        <v>86</v>
      </c>
      <c r="C71" s="10" t="s">
        <v>14</v>
      </c>
      <c r="D71" s="10">
        <v>13</v>
      </c>
    </row>
    <row r="72" spans="1:4" x14ac:dyDescent="0.25">
      <c r="A72" s="10" t="s">
        <v>20</v>
      </c>
      <c r="B72" s="10">
        <v>83</v>
      </c>
      <c r="C72" s="10" t="s">
        <v>14</v>
      </c>
      <c r="D72" s="10">
        <v>1</v>
      </c>
    </row>
    <row r="73" spans="1:4" x14ac:dyDescent="0.25">
      <c r="A73" s="10" t="s">
        <v>20</v>
      </c>
      <c r="B73" s="10">
        <v>676</v>
      </c>
      <c r="C73" s="10" t="s">
        <v>14</v>
      </c>
      <c r="D73" s="10">
        <v>40</v>
      </c>
    </row>
    <row r="74" spans="1:4" x14ac:dyDescent="0.25">
      <c r="A74" s="10" t="s">
        <v>20</v>
      </c>
      <c r="B74" s="10">
        <v>361</v>
      </c>
      <c r="C74" s="10" t="s">
        <v>14</v>
      </c>
      <c r="D74" s="10">
        <v>226</v>
      </c>
    </row>
    <row r="75" spans="1:4" x14ac:dyDescent="0.25">
      <c r="A75" s="10" t="s">
        <v>20</v>
      </c>
      <c r="B75" s="10">
        <v>131</v>
      </c>
      <c r="C75" s="10" t="s">
        <v>14</v>
      </c>
      <c r="D75" s="10">
        <v>1625</v>
      </c>
    </row>
    <row r="76" spans="1:4" x14ac:dyDescent="0.25">
      <c r="A76" s="10" t="s">
        <v>20</v>
      </c>
      <c r="B76" s="10">
        <v>126</v>
      </c>
      <c r="C76" s="10" t="s">
        <v>14</v>
      </c>
      <c r="D76" s="10">
        <v>143</v>
      </c>
    </row>
    <row r="77" spans="1:4" x14ac:dyDescent="0.25">
      <c r="A77" s="10" t="s">
        <v>20</v>
      </c>
      <c r="B77" s="10">
        <v>275</v>
      </c>
      <c r="C77" s="10" t="s">
        <v>14</v>
      </c>
      <c r="D77" s="10">
        <v>934</v>
      </c>
    </row>
    <row r="78" spans="1:4" x14ac:dyDescent="0.25">
      <c r="A78" s="10" t="s">
        <v>20</v>
      </c>
      <c r="B78" s="10">
        <v>67</v>
      </c>
      <c r="C78" s="10" t="s">
        <v>14</v>
      </c>
      <c r="D78" s="10">
        <v>17</v>
      </c>
    </row>
    <row r="79" spans="1:4" x14ac:dyDescent="0.25">
      <c r="A79" s="10" t="s">
        <v>20</v>
      </c>
      <c r="B79" s="10">
        <v>154</v>
      </c>
      <c r="C79" s="10" t="s">
        <v>14</v>
      </c>
      <c r="D79" s="10">
        <v>2179</v>
      </c>
    </row>
    <row r="80" spans="1:4" x14ac:dyDescent="0.25">
      <c r="A80" s="10" t="s">
        <v>20</v>
      </c>
      <c r="B80" s="10">
        <v>1782</v>
      </c>
      <c r="C80" s="10" t="s">
        <v>14</v>
      </c>
      <c r="D80" s="10">
        <v>931</v>
      </c>
    </row>
    <row r="81" spans="1:4" x14ac:dyDescent="0.25">
      <c r="A81" s="10" t="s">
        <v>20</v>
      </c>
      <c r="B81" s="10">
        <v>903</v>
      </c>
      <c r="C81" s="10" t="s">
        <v>14</v>
      </c>
      <c r="D81" s="10">
        <v>92</v>
      </c>
    </row>
    <row r="82" spans="1:4" x14ac:dyDescent="0.25">
      <c r="A82" s="10" t="s">
        <v>20</v>
      </c>
      <c r="B82" s="10">
        <v>94</v>
      </c>
      <c r="C82" s="10" t="s">
        <v>14</v>
      </c>
      <c r="D82" s="10">
        <v>57</v>
      </c>
    </row>
    <row r="83" spans="1:4" x14ac:dyDescent="0.25">
      <c r="A83" s="10" t="s">
        <v>20</v>
      </c>
      <c r="B83" s="10">
        <v>180</v>
      </c>
      <c r="C83" s="10" t="s">
        <v>14</v>
      </c>
      <c r="D83" s="10">
        <v>41</v>
      </c>
    </row>
    <row r="84" spans="1:4" x14ac:dyDescent="0.25">
      <c r="A84" s="10" t="s">
        <v>20</v>
      </c>
      <c r="B84" s="10">
        <v>533</v>
      </c>
      <c r="C84" s="10" t="s">
        <v>14</v>
      </c>
      <c r="D84" s="10">
        <v>1</v>
      </c>
    </row>
    <row r="85" spans="1:4" x14ac:dyDescent="0.25">
      <c r="A85" s="10" t="s">
        <v>20</v>
      </c>
      <c r="B85" s="10">
        <v>2443</v>
      </c>
      <c r="C85" s="10" t="s">
        <v>14</v>
      </c>
      <c r="D85" s="10">
        <v>101</v>
      </c>
    </row>
    <row r="86" spans="1:4" x14ac:dyDescent="0.25">
      <c r="A86" s="10" t="s">
        <v>20</v>
      </c>
      <c r="B86" s="10">
        <v>89</v>
      </c>
      <c r="C86" s="10" t="s">
        <v>14</v>
      </c>
      <c r="D86" s="10">
        <v>1335</v>
      </c>
    </row>
    <row r="87" spans="1:4" x14ac:dyDescent="0.25">
      <c r="A87" s="10" t="s">
        <v>20</v>
      </c>
      <c r="B87" s="10">
        <v>159</v>
      </c>
      <c r="C87" s="10" t="s">
        <v>14</v>
      </c>
      <c r="D87" s="10">
        <v>15</v>
      </c>
    </row>
    <row r="88" spans="1:4" x14ac:dyDescent="0.25">
      <c r="A88" s="10" t="s">
        <v>20</v>
      </c>
      <c r="B88" s="10">
        <v>50</v>
      </c>
      <c r="C88" s="10" t="s">
        <v>14</v>
      </c>
      <c r="D88" s="10">
        <v>454</v>
      </c>
    </row>
    <row r="89" spans="1:4" x14ac:dyDescent="0.25">
      <c r="A89" s="10" t="s">
        <v>20</v>
      </c>
      <c r="B89" s="10">
        <v>186</v>
      </c>
      <c r="C89" s="10" t="s">
        <v>14</v>
      </c>
      <c r="D89" s="10">
        <v>3182</v>
      </c>
    </row>
    <row r="90" spans="1:4" x14ac:dyDescent="0.25">
      <c r="A90" s="10" t="s">
        <v>20</v>
      </c>
      <c r="B90" s="10">
        <v>1071</v>
      </c>
      <c r="C90" s="10" t="s">
        <v>14</v>
      </c>
      <c r="D90" s="10">
        <v>15</v>
      </c>
    </row>
    <row r="91" spans="1:4" x14ac:dyDescent="0.25">
      <c r="A91" s="10" t="s">
        <v>20</v>
      </c>
      <c r="B91" s="10">
        <v>117</v>
      </c>
      <c r="C91" s="10" t="s">
        <v>14</v>
      </c>
      <c r="D91" s="10">
        <v>133</v>
      </c>
    </row>
    <row r="92" spans="1:4" x14ac:dyDescent="0.25">
      <c r="A92" s="10" t="s">
        <v>20</v>
      </c>
      <c r="B92" s="10">
        <v>70</v>
      </c>
      <c r="C92" s="10" t="s">
        <v>14</v>
      </c>
      <c r="D92" s="10">
        <v>2062</v>
      </c>
    </row>
    <row r="93" spans="1:4" x14ac:dyDescent="0.25">
      <c r="A93" s="10" t="s">
        <v>20</v>
      </c>
      <c r="B93" s="10">
        <v>135</v>
      </c>
      <c r="C93" s="10" t="s">
        <v>14</v>
      </c>
      <c r="D93" s="10">
        <v>29</v>
      </c>
    </row>
    <row r="94" spans="1:4" x14ac:dyDescent="0.25">
      <c r="A94" s="10" t="s">
        <v>20</v>
      </c>
      <c r="B94" s="10">
        <v>768</v>
      </c>
      <c r="C94" s="10" t="s">
        <v>14</v>
      </c>
      <c r="D94" s="10">
        <v>132</v>
      </c>
    </row>
    <row r="95" spans="1:4" x14ac:dyDescent="0.25">
      <c r="A95" s="10" t="s">
        <v>20</v>
      </c>
      <c r="B95" s="10">
        <v>199</v>
      </c>
      <c r="C95" s="10" t="s">
        <v>14</v>
      </c>
      <c r="D95" s="10">
        <v>137</v>
      </c>
    </row>
    <row r="96" spans="1:4" x14ac:dyDescent="0.25">
      <c r="A96" s="10" t="s">
        <v>20</v>
      </c>
      <c r="B96" s="10">
        <v>107</v>
      </c>
      <c r="C96" s="10" t="s">
        <v>14</v>
      </c>
      <c r="D96" s="10">
        <v>908</v>
      </c>
    </row>
    <row r="97" spans="1:4" x14ac:dyDescent="0.25">
      <c r="A97" s="10" t="s">
        <v>20</v>
      </c>
      <c r="B97" s="10">
        <v>195</v>
      </c>
      <c r="C97" s="10" t="s">
        <v>14</v>
      </c>
      <c r="D97" s="10">
        <v>10</v>
      </c>
    </row>
    <row r="98" spans="1:4" x14ac:dyDescent="0.25">
      <c r="A98" s="10" t="s">
        <v>20</v>
      </c>
      <c r="B98" s="10">
        <v>3376</v>
      </c>
      <c r="C98" s="10" t="s">
        <v>14</v>
      </c>
      <c r="D98" s="10">
        <v>1910</v>
      </c>
    </row>
    <row r="99" spans="1:4" x14ac:dyDescent="0.25">
      <c r="A99" s="10" t="s">
        <v>20</v>
      </c>
      <c r="B99" s="10">
        <v>41</v>
      </c>
      <c r="C99" s="10" t="s">
        <v>14</v>
      </c>
      <c r="D99" s="10">
        <v>38</v>
      </c>
    </row>
    <row r="100" spans="1:4" x14ac:dyDescent="0.25">
      <c r="A100" s="10" t="s">
        <v>20</v>
      </c>
      <c r="B100" s="10">
        <v>1821</v>
      </c>
      <c r="C100" s="10" t="s">
        <v>14</v>
      </c>
      <c r="D100" s="10">
        <v>104</v>
      </c>
    </row>
    <row r="101" spans="1:4" x14ac:dyDescent="0.25">
      <c r="A101" s="10" t="s">
        <v>20</v>
      </c>
      <c r="B101" s="10">
        <v>164</v>
      </c>
      <c r="C101" s="10" t="s">
        <v>14</v>
      </c>
      <c r="D101" s="10">
        <v>49</v>
      </c>
    </row>
    <row r="102" spans="1:4" x14ac:dyDescent="0.25">
      <c r="A102" s="10" t="s">
        <v>20</v>
      </c>
      <c r="B102" s="10">
        <v>157</v>
      </c>
      <c r="C102" s="10" t="s">
        <v>14</v>
      </c>
      <c r="D102" s="10">
        <v>1</v>
      </c>
    </row>
    <row r="103" spans="1:4" x14ac:dyDescent="0.25">
      <c r="A103" s="10" t="s">
        <v>20</v>
      </c>
      <c r="B103" s="10">
        <v>246</v>
      </c>
      <c r="C103" s="10" t="s">
        <v>14</v>
      </c>
      <c r="D103" s="10">
        <v>245</v>
      </c>
    </row>
    <row r="104" spans="1:4" x14ac:dyDescent="0.25">
      <c r="A104" s="10" t="s">
        <v>20</v>
      </c>
      <c r="B104" s="10">
        <v>1396</v>
      </c>
      <c r="C104" s="10" t="s">
        <v>14</v>
      </c>
      <c r="D104" s="10">
        <v>32</v>
      </c>
    </row>
    <row r="105" spans="1:4" x14ac:dyDescent="0.25">
      <c r="A105" s="10" t="s">
        <v>20</v>
      </c>
      <c r="B105" s="10">
        <v>2506</v>
      </c>
      <c r="C105" s="10" t="s">
        <v>14</v>
      </c>
      <c r="D105" s="10">
        <v>7</v>
      </c>
    </row>
    <row r="106" spans="1:4" x14ac:dyDescent="0.25">
      <c r="A106" s="10" t="s">
        <v>20</v>
      </c>
      <c r="B106" s="10">
        <v>244</v>
      </c>
      <c r="C106" s="10" t="s">
        <v>14</v>
      </c>
      <c r="D106" s="10">
        <v>803</v>
      </c>
    </row>
    <row r="107" spans="1:4" x14ac:dyDescent="0.25">
      <c r="A107" s="10" t="s">
        <v>20</v>
      </c>
      <c r="B107" s="10">
        <v>146</v>
      </c>
      <c r="C107" s="10" t="s">
        <v>14</v>
      </c>
      <c r="D107" s="10">
        <v>16</v>
      </c>
    </row>
    <row r="108" spans="1:4" x14ac:dyDescent="0.25">
      <c r="A108" s="10" t="s">
        <v>20</v>
      </c>
      <c r="B108" s="10">
        <v>1267</v>
      </c>
      <c r="C108" s="10" t="s">
        <v>14</v>
      </c>
      <c r="D108" s="10">
        <v>31</v>
      </c>
    </row>
    <row r="109" spans="1:4" x14ac:dyDescent="0.25">
      <c r="A109" s="10" t="s">
        <v>20</v>
      </c>
      <c r="B109" s="10">
        <v>1561</v>
      </c>
      <c r="C109" s="10" t="s">
        <v>14</v>
      </c>
      <c r="D109" s="10">
        <v>108</v>
      </c>
    </row>
    <row r="110" spans="1:4" x14ac:dyDescent="0.25">
      <c r="A110" s="10" t="s">
        <v>20</v>
      </c>
      <c r="B110" s="10">
        <v>48</v>
      </c>
      <c r="C110" s="10" t="s">
        <v>14</v>
      </c>
      <c r="D110" s="10">
        <v>30</v>
      </c>
    </row>
    <row r="111" spans="1:4" x14ac:dyDescent="0.25">
      <c r="A111" s="10" t="s">
        <v>20</v>
      </c>
      <c r="B111" s="10">
        <v>2739</v>
      </c>
      <c r="C111" s="10" t="s">
        <v>14</v>
      </c>
      <c r="D111" s="10">
        <v>17</v>
      </c>
    </row>
    <row r="112" spans="1:4" x14ac:dyDescent="0.25">
      <c r="A112" s="10" t="s">
        <v>20</v>
      </c>
      <c r="B112" s="10">
        <v>3537</v>
      </c>
      <c r="C112" s="10" t="s">
        <v>14</v>
      </c>
      <c r="D112" s="10">
        <v>80</v>
      </c>
    </row>
    <row r="113" spans="1:4" x14ac:dyDescent="0.25">
      <c r="A113" s="10" t="s">
        <v>20</v>
      </c>
      <c r="B113" s="10">
        <v>2107</v>
      </c>
      <c r="C113" s="10" t="s">
        <v>14</v>
      </c>
      <c r="D113" s="10">
        <v>2468</v>
      </c>
    </row>
    <row r="114" spans="1:4" x14ac:dyDescent="0.25">
      <c r="A114" s="10" t="s">
        <v>20</v>
      </c>
      <c r="B114" s="10">
        <v>3318</v>
      </c>
      <c r="C114" s="10" t="s">
        <v>14</v>
      </c>
      <c r="D114" s="10">
        <v>26</v>
      </c>
    </row>
    <row r="115" spans="1:4" x14ac:dyDescent="0.25">
      <c r="A115" s="10" t="s">
        <v>20</v>
      </c>
      <c r="B115" s="10">
        <v>340</v>
      </c>
      <c r="C115" s="10" t="s">
        <v>14</v>
      </c>
      <c r="D115" s="10">
        <v>73</v>
      </c>
    </row>
    <row r="116" spans="1:4" x14ac:dyDescent="0.25">
      <c r="A116" s="10" t="s">
        <v>20</v>
      </c>
      <c r="B116" s="10">
        <v>1442</v>
      </c>
      <c r="C116" s="10" t="s">
        <v>14</v>
      </c>
      <c r="D116" s="10">
        <v>128</v>
      </c>
    </row>
    <row r="117" spans="1:4" x14ac:dyDescent="0.25">
      <c r="A117" s="10" t="s">
        <v>20</v>
      </c>
      <c r="B117" s="10">
        <v>126</v>
      </c>
      <c r="C117" s="10" t="s">
        <v>14</v>
      </c>
      <c r="D117" s="10">
        <v>33</v>
      </c>
    </row>
    <row r="118" spans="1:4" x14ac:dyDescent="0.25">
      <c r="A118" s="10" t="s">
        <v>20</v>
      </c>
      <c r="B118" s="10">
        <v>524</v>
      </c>
      <c r="C118" s="10" t="s">
        <v>14</v>
      </c>
      <c r="D118" s="10">
        <v>1072</v>
      </c>
    </row>
    <row r="119" spans="1:4" x14ac:dyDescent="0.25">
      <c r="A119" s="10" t="s">
        <v>20</v>
      </c>
      <c r="B119" s="10">
        <v>1989</v>
      </c>
      <c r="C119" s="10" t="s">
        <v>14</v>
      </c>
      <c r="D119" s="10">
        <v>393</v>
      </c>
    </row>
    <row r="120" spans="1:4" x14ac:dyDescent="0.25">
      <c r="A120" s="10" t="s">
        <v>20</v>
      </c>
      <c r="B120" s="10">
        <v>157</v>
      </c>
      <c r="C120" s="10" t="s">
        <v>14</v>
      </c>
      <c r="D120" s="10">
        <v>1257</v>
      </c>
    </row>
    <row r="121" spans="1:4" x14ac:dyDescent="0.25">
      <c r="A121" s="10" t="s">
        <v>20</v>
      </c>
      <c r="B121" s="10">
        <v>4498</v>
      </c>
      <c r="C121" s="10" t="s">
        <v>14</v>
      </c>
      <c r="D121" s="10">
        <v>328</v>
      </c>
    </row>
    <row r="122" spans="1:4" x14ac:dyDescent="0.25">
      <c r="A122" s="10" t="s">
        <v>20</v>
      </c>
      <c r="B122" s="10">
        <v>80</v>
      </c>
      <c r="C122" s="10" t="s">
        <v>14</v>
      </c>
      <c r="D122" s="10">
        <v>147</v>
      </c>
    </row>
    <row r="123" spans="1:4" x14ac:dyDescent="0.25">
      <c r="A123" s="10" t="s">
        <v>20</v>
      </c>
      <c r="B123" s="10">
        <v>43</v>
      </c>
      <c r="C123" s="10" t="s">
        <v>14</v>
      </c>
      <c r="D123" s="10">
        <v>830</v>
      </c>
    </row>
    <row r="124" spans="1:4" x14ac:dyDescent="0.25">
      <c r="A124" s="10" t="s">
        <v>20</v>
      </c>
      <c r="B124" s="10">
        <v>2053</v>
      </c>
      <c r="C124" s="10" t="s">
        <v>14</v>
      </c>
      <c r="D124" s="10">
        <v>331</v>
      </c>
    </row>
    <row r="125" spans="1:4" x14ac:dyDescent="0.25">
      <c r="A125" s="10" t="s">
        <v>20</v>
      </c>
      <c r="B125" s="10">
        <v>168</v>
      </c>
      <c r="C125" s="10" t="s">
        <v>14</v>
      </c>
      <c r="D125" s="10">
        <v>25</v>
      </c>
    </row>
    <row r="126" spans="1:4" x14ac:dyDescent="0.25">
      <c r="A126" s="10" t="s">
        <v>20</v>
      </c>
      <c r="B126" s="10">
        <v>4289</v>
      </c>
      <c r="C126" s="10" t="s">
        <v>14</v>
      </c>
      <c r="D126" s="10">
        <v>3483</v>
      </c>
    </row>
    <row r="127" spans="1:4" x14ac:dyDescent="0.25">
      <c r="A127" s="10" t="s">
        <v>20</v>
      </c>
      <c r="B127" s="10">
        <v>165</v>
      </c>
      <c r="C127" s="10" t="s">
        <v>14</v>
      </c>
      <c r="D127" s="10">
        <v>923</v>
      </c>
    </row>
    <row r="128" spans="1:4" x14ac:dyDescent="0.25">
      <c r="A128" s="10" t="s">
        <v>20</v>
      </c>
      <c r="B128" s="10">
        <v>1815</v>
      </c>
      <c r="C128" s="10" t="s">
        <v>14</v>
      </c>
      <c r="D128" s="10">
        <v>1</v>
      </c>
    </row>
    <row r="129" spans="1:4" x14ac:dyDescent="0.25">
      <c r="A129" s="10" t="s">
        <v>20</v>
      </c>
      <c r="B129" s="10">
        <v>397</v>
      </c>
      <c r="C129" s="10" t="s">
        <v>14</v>
      </c>
      <c r="D129" s="10">
        <v>33</v>
      </c>
    </row>
    <row r="130" spans="1:4" x14ac:dyDescent="0.25">
      <c r="A130" s="10" t="s">
        <v>20</v>
      </c>
      <c r="B130" s="10">
        <v>1539</v>
      </c>
      <c r="C130" s="10" t="s">
        <v>14</v>
      </c>
      <c r="D130" s="10">
        <v>40</v>
      </c>
    </row>
    <row r="131" spans="1:4" x14ac:dyDescent="0.25">
      <c r="A131" s="10" t="s">
        <v>20</v>
      </c>
      <c r="B131" s="10">
        <v>138</v>
      </c>
      <c r="C131" s="10" t="s">
        <v>14</v>
      </c>
      <c r="D131" s="10">
        <v>23</v>
      </c>
    </row>
    <row r="132" spans="1:4" x14ac:dyDescent="0.25">
      <c r="A132" s="10" t="s">
        <v>20</v>
      </c>
      <c r="B132" s="10">
        <v>3594</v>
      </c>
      <c r="C132" s="10" t="s">
        <v>14</v>
      </c>
      <c r="D132" s="10">
        <v>75</v>
      </c>
    </row>
    <row r="133" spans="1:4" x14ac:dyDescent="0.25">
      <c r="A133" s="10" t="s">
        <v>20</v>
      </c>
      <c r="B133" s="10">
        <v>5880</v>
      </c>
      <c r="C133" s="10" t="s">
        <v>14</v>
      </c>
      <c r="D133" s="10">
        <v>2176</v>
      </c>
    </row>
    <row r="134" spans="1:4" x14ac:dyDescent="0.25">
      <c r="A134" s="10" t="s">
        <v>20</v>
      </c>
      <c r="B134" s="10">
        <v>112</v>
      </c>
      <c r="C134" s="10" t="s">
        <v>14</v>
      </c>
      <c r="D134" s="10">
        <v>441</v>
      </c>
    </row>
    <row r="135" spans="1:4" x14ac:dyDescent="0.25">
      <c r="A135" s="10" t="s">
        <v>20</v>
      </c>
      <c r="B135" s="10">
        <v>943</v>
      </c>
      <c r="C135" s="10" t="s">
        <v>14</v>
      </c>
      <c r="D135" s="10">
        <v>25</v>
      </c>
    </row>
    <row r="136" spans="1:4" x14ac:dyDescent="0.25">
      <c r="A136" s="10" t="s">
        <v>20</v>
      </c>
      <c r="B136" s="10">
        <v>2468</v>
      </c>
      <c r="C136" s="10" t="s">
        <v>14</v>
      </c>
      <c r="D136" s="10">
        <v>127</v>
      </c>
    </row>
    <row r="137" spans="1:4" x14ac:dyDescent="0.25">
      <c r="A137" s="10" t="s">
        <v>20</v>
      </c>
      <c r="B137" s="10">
        <v>2551</v>
      </c>
      <c r="C137" s="10" t="s">
        <v>14</v>
      </c>
      <c r="D137" s="10">
        <v>355</v>
      </c>
    </row>
    <row r="138" spans="1:4" x14ac:dyDescent="0.25">
      <c r="A138" s="10" t="s">
        <v>20</v>
      </c>
      <c r="B138" s="10">
        <v>101</v>
      </c>
      <c r="C138" s="10" t="s">
        <v>14</v>
      </c>
      <c r="D138" s="10">
        <v>44</v>
      </c>
    </row>
    <row r="139" spans="1:4" x14ac:dyDescent="0.25">
      <c r="A139" s="10" t="s">
        <v>20</v>
      </c>
      <c r="B139" s="10">
        <v>92</v>
      </c>
      <c r="C139" s="10" t="s">
        <v>14</v>
      </c>
      <c r="D139" s="10">
        <v>67</v>
      </c>
    </row>
    <row r="140" spans="1:4" x14ac:dyDescent="0.25">
      <c r="A140" s="10" t="s">
        <v>20</v>
      </c>
      <c r="B140" s="10">
        <v>62</v>
      </c>
      <c r="C140" s="10" t="s">
        <v>14</v>
      </c>
      <c r="D140" s="10">
        <v>1068</v>
      </c>
    </row>
    <row r="141" spans="1:4" x14ac:dyDescent="0.25">
      <c r="A141" s="10" t="s">
        <v>20</v>
      </c>
      <c r="B141" s="10">
        <v>149</v>
      </c>
      <c r="C141" s="10" t="s">
        <v>14</v>
      </c>
      <c r="D141" s="10">
        <v>424</v>
      </c>
    </row>
    <row r="142" spans="1:4" x14ac:dyDescent="0.25">
      <c r="A142" s="10" t="s">
        <v>20</v>
      </c>
      <c r="B142" s="10">
        <v>329</v>
      </c>
      <c r="C142" s="10" t="s">
        <v>14</v>
      </c>
      <c r="D142" s="10">
        <v>151</v>
      </c>
    </row>
    <row r="143" spans="1:4" x14ac:dyDescent="0.25">
      <c r="A143" s="10" t="s">
        <v>20</v>
      </c>
      <c r="B143" s="10">
        <v>97</v>
      </c>
      <c r="C143" s="10" t="s">
        <v>14</v>
      </c>
      <c r="D143" s="10">
        <v>1608</v>
      </c>
    </row>
    <row r="144" spans="1:4" x14ac:dyDescent="0.25">
      <c r="A144" s="10" t="s">
        <v>20</v>
      </c>
      <c r="B144" s="10">
        <v>1784</v>
      </c>
      <c r="C144" s="10" t="s">
        <v>14</v>
      </c>
      <c r="D144" s="10">
        <v>941</v>
      </c>
    </row>
    <row r="145" spans="1:4" x14ac:dyDescent="0.25">
      <c r="A145" s="10" t="s">
        <v>20</v>
      </c>
      <c r="B145" s="10">
        <v>1684</v>
      </c>
      <c r="C145" s="10" t="s">
        <v>14</v>
      </c>
      <c r="D145" s="10">
        <v>1</v>
      </c>
    </row>
    <row r="146" spans="1:4" x14ac:dyDescent="0.25">
      <c r="A146" s="10" t="s">
        <v>20</v>
      </c>
      <c r="B146" s="10">
        <v>250</v>
      </c>
      <c r="C146" s="10" t="s">
        <v>14</v>
      </c>
      <c r="D146" s="10">
        <v>40</v>
      </c>
    </row>
    <row r="147" spans="1:4" x14ac:dyDescent="0.25">
      <c r="A147" s="10" t="s">
        <v>20</v>
      </c>
      <c r="B147" s="10">
        <v>238</v>
      </c>
      <c r="C147" s="10" t="s">
        <v>14</v>
      </c>
      <c r="D147" s="10">
        <v>3015</v>
      </c>
    </row>
    <row r="148" spans="1:4" x14ac:dyDescent="0.25">
      <c r="A148" s="10" t="s">
        <v>20</v>
      </c>
      <c r="B148" s="10">
        <v>53</v>
      </c>
      <c r="C148" s="10" t="s">
        <v>14</v>
      </c>
      <c r="D148" s="10">
        <v>435</v>
      </c>
    </row>
    <row r="149" spans="1:4" x14ac:dyDescent="0.25">
      <c r="A149" s="10" t="s">
        <v>20</v>
      </c>
      <c r="B149" s="10">
        <v>214</v>
      </c>
      <c r="C149" s="10" t="s">
        <v>14</v>
      </c>
      <c r="D149" s="10">
        <v>714</v>
      </c>
    </row>
    <row r="150" spans="1:4" x14ac:dyDescent="0.25">
      <c r="A150" s="10" t="s">
        <v>20</v>
      </c>
      <c r="B150" s="10">
        <v>222</v>
      </c>
      <c r="C150" s="10" t="s">
        <v>14</v>
      </c>
      <c r="D150" s="10">
        <v>5497</v>
      </c>
    </row>
    <row r="151" spans="1:4" x14ac:dyDescent="0.25">
      <c r="A151" s="10" t="s">
        <v>20</v>
      </c>
      <c r="B151" s="10">
        <v>1884</v>
      </c>
      <c r="C151" s="10" t="s">
        <v>14</v>
      </c>
      <c r="D151" s="10">
        <v>418</v>
      </c>
    </row>
    <row r="152" spans="1:4" x14ac:dyDescent="0.25">
      <c r="A152" s="10" t="s">
        <v>20</v>
      </c>
      <c r="B152" s="10">
        <v>218</v>
      </c>
      <c r="C152" s="10" t="s">
        <v>14</v>
      </c>
      <c r="D152" s="10">
        <v>1439</v>
      </c>
    </row>
    <row r="153" spans="1:4" x14ac:dyDescent="0.25">
      <c r="A153" s="10" t="s">
        <v>20</v>
      </c>
      <c r="B153" s="10">
        <v>6465</v>
      </c>
      <c r="C153" s="10" t="s">
        <v>14</v>
      </c>
      <c r="D153" s="10">
        <v>15</v>
      </c>
    </row>
    <row r="154" spans="1:4" x14ac:dyDescent="0.25">
      <c r="A154" s="10" t="s">
        <v>20</v>
      </c>
      <c r="B154" s="10">
        <v>59</v>
      </c>
      <c r="C154" s="10" t="s">
        <v>14</v>
      </c>
      <c r="D154" s="10">
        <v>1999</v>
      </c>
    </row>
    <row r="155" spans="1:4" x14ac:dyDescent="0.25">
      <c r="A155" s="10" t="s">
        <v>20</v>
      </c>
      <c r="B155" s="10">
        <v>88</v>
      </c>
      <c r="C155" s="10" t="s">
        <v>14</v>
      </c>
      <c r="D155" s="10">
        <v>118</v>
      </c>
    </row>
    <row r="156" spans="1:4" x14ac:dyDescent="0.25">
      <c r="A156" s="10" t="s">
        <v>20</v>
      </c>
      <c r="B156" s="10">
        <v>1697</v>
      </c>
      <c r="C156" s="10" t="s">
        <v>14</v>
      </c>
      <c r="D156" s="10">
        <v>162</v>
      </c>
    </row>
    <row r="157" spans="1:4" x14ac:dyDescent="0.25">
      <c r="A157" s="10" t="s">
        <v>20</v>
      </c>
      <c r="B157" s="10">
        <v>92</v>
      </c>
      <c r="C157" s="10" t="s">
        <v>14</v>
      </c>
      <c r="D157" s="10">
        <v>83</v>
      </c>
    </row>
    <row r="158" spans="1:4" x14ac:dyDescent="0.25">
      <c r="A158" s="10" t="s">
        <v>20</v>
      </c>
      <c r="B158" s="10">
        <v>186</v>
      </c>
      <c r="C158" s="10" t="s">
        <v>14</v>
      </c>
      <c r="D158" s="10">
        <v>747</v>
      </c>
    </row>
    <row r="159" spans="1:4" x14ac:dyDescent="0.25">
      <c r="A159" s="10" t="s">
        <v>20</v>
      </c>
      <c r="B159" s="10">
        <v>138</v>
      </c>
      <c r="C159" s="10" t="s">
        <v>14</v>
      </c>
      <c r="D159" s="10">
        <v>84</v>
      </c>
    </row>
    <row r="160" spans="1:4" x14ac:dyDescent="0.25">
      <c r="A160" s="10" t="s">
        <v>20</v>
      </c>
      <c r="B160" s="10">
        <v>261</v>
      </c>
      <c r="C160" s="10" t="s">
        <v>14</v>
      </c>
      <c r="D160" s="10">
        <v>91</v>
      </c>
    </row>
    <row r="161" spans="1:4" x14ac:dyDescent="0.25">
      <c r="A161" s="10" t="s">
        <v>20</v>
      </c>
      <c r="B161" s="10">
        <v>107</v>
      </c>
      <c r="C161" s="10" t="s">
        <v>14</v>
      </c>
      <c r="D161" s="10">
        <v>792</v>
      </c>
    </row>
    <row r="162" spans="1:4" x14ac:dyDescent="0.25">
      <c r="A162" s="10" t="s">
        <v>20</v>
      </c>
      <c r="B162" s="10">
        <v>199</v>
      </c>
      <c r="C162" s="10" t="s">
        <v>14</v>
      </c>
      <c r="D162" s="10">
        <v>32</v>
      </c>
    </row>
    <row r="163" spans="1:4" x14ac:dyDescent="0.25">
      <c r="A163" s="10" t="s">
        <v>20</v>
      </c>
      <c r="B163" s="10">
        <v>5512</v>
      </c>
      <c r="C163" s="10" t="s">
        <v>14</v>
      </c>
      <c r="D163" s="10">
        <v>186</v>
      </c>
    </row>
    <row r="164" spans="1:4" x14ac:dyDescent="0.25">
      <c r="A164" s="10" t="s">
        <v>20</v>
      </c>
      <c r="B164" s="10">
        <v>86</v>
      </c>
      <c r="C164" s="10" t="s">
        <v>14</v>
      </c>
      <c r="D164" s="10">
        <v>605</v>
      </c>
    </row>
    <row r="165" spans="1:4" x14ac:dyDescent="0.25">
      <c r="A165" s="10" t="s">
        <v>20</v>
      </c>
      <c r="B165" s="10">
        <v>2768</v>
      </c>
      <c r="C165" s="10" t="s">
        <v>14</v>
      </c>
      <c r="D165" s="10">
        <v>1</v>
      </c>
    </row>
    <row r="166" spans="1:4" x14ac:dyDescent="0.25">
      <c r="A166" s="10" t="s">
        <v>20</v>
      </c>
      <c r="B166" s="10">
        <v>48</v>
      </c>
      <c r="C166" s="10" t="s">
        <v>14</v>
      </c>
      <c r="D166" s="10">
        <v>31</v>
      </c>
    </row>
    <row r="167" spans="1:4" x14ac:dyDescent="0.25">
      <c r="A167" s="10" t="s">
        <v>20</v>
      </c>
      <c r="B167" s="10">
        <v>87</v>
      </c>
      <c r="C167" s="10" t="s">
        <v>14</v>
      </c>
      <c r="D167" s="10">
        <v>1181</v>
      </c>
    </row>
    <row r="168" spans="1:4" x14ac:dyDescent="0.25">
      <c r="A168" s="10" t="s">
        <v>20</v>
      </c>
      <c r="B168" s="10">
        <v>1894</v>
      </c>
      <c r="C168" s="10" t="s">
        <v>14</v>
      </c>
      <c r="D168" s="10">
        <v>39</v>
      </c>
    </row>
    <row r="169" spans="1:4" x14ac:dyDescent="0.25">
      <c r="A169" s="10" t="s">
        <v>20</v>
      </c>
      <c r="B169" s="10">
        <v>282</v>
      </c>
      <c r="C169" s="10" t="s">
        <v>14</v>
      </c>
      <c r="D169" s="10">
        <v>46</v>
      </c>
    </row>
    <row r="170" spans="1:4" x14ac:dyDescent="0.25">
      <c r="A170" s="10" t="s">
        <v>20</v>
      </c>
      <c r="B170" s="10">
        <v>116</v>
      </c>
      <c r="C170" s="10" t="s">
        <v>14</v>
      </c>
      <c r="D170" s="10">
        <v>105</v>
      </c>
    </row>
    <row r="171" spans="1:4" x14ac:dyDescent="0.25">
      <c r="A171" s="10" t="s">
        <v>20</v>
      </c>
      <c r="B171" s="10">
        <v>83</v>
      </c>
      <c r="C171" s="10" t="s">
        <v>14</v>
      </c>
      <c r="D171" s="10">
        <v>535</v>
      </c>
    </row>
    <row r="172" spans="1:4" x14ac:dyDescent="0.25">
      <c r="A172" s="10" t="s">
        <v>20</v>
      </c>
      <c r="B172" s="10">
        <v>91</v>
      </c>
      <c r="C172" s="10" t="s">
        <v>14</v>
      </c>
      <c r="D172" s="10">
        <v>16</v>
      </c>
    </row>
    <row r="173" spans="1:4" x14ac:dyDescent="0.25">
      <c r="A173" s="10" t="s">
        <v>20</v>
      </c>
      <c r="B173" s="10">
        <v>546</v>
      </c>
      <c r="C173" s="10" t="s">
        <v>14</v>
      </c>
      <c r="D173" s="10">
        <v>575</v>
      </c>
    </row>
    <row r="174" spans="1:4" x14ac:dyDescent="0.25">
      <c r="A174" s="10" t="s">
        <v>20</v>
      </c>
      <c r="B174" s="10">
        <v>393</v>
      </c>
      <c r="C174" s="10" t="s">
        <v>14</v>
      </c>
      <c r="D174" s="10">
        <v>1120</v>
      </c>
    </row>
    <row r="175" spans="1:4" x14ac:dyDescent="0.25">
      <c r="A175" s="10" t="s">
        <v>20</v>
      </c>
      <c r="B175" s="10">
        <v>133</v>
      </c>
      <c r="C175" s="10" t="s">
        <v>14</v>
      </c>
      <c r="D175" s="10">
        <v>113</v>
      </c>
    </row>
    <row r="176" spans="1:4" x14ac:dyDescent="0.25">
      <c r="A176" s="10" t="s">
        <v>20</v>
      </c>
      <c r="B176" s="10">
        <v>254</v>
      </c>
      <c r="C176" s="10" t="s">
        <v>14</v>
      </c>
      <c r="D176" s="10">
        <v>1538</v>
      </c>
    </row>
    <row r="177" spans="1:4" x14ac:dyDescent="0.25">
      <c r="A177" s="10" t="s">
        <v>20</v>
      </c>
      <c r="B177" s="10">
        <v>176</v>
      </c>
      <c r="C177" s="10" t="s">
        <v>14</v>
      </c>
      <c r="D177" s="10">
        <v>9</v>
      </c>
    </row>
    <row r="178" spans="1:4" x14ac:dyDescent="0.25">
      <c r="A178" s="10" t="s">
        <v>20</v>
      </c>
      <c r="B178" s="10">
        <v>337</v>
      </c>
      <c r="C178" s="10" t="s">
        <v>14</v>
      </c>
      <c r="D178" s="10">
        <v>554</v>
      </c>
    </row>
    <row r="179" spans="1:4" x14ac:dyDescent="0.25">
      <c r="A179" s="10" t="s">
        <v>20</v>
      </c>
      <c r="B179" s="10">
        <v>107</v>
      </c>
      <c r="C179" s="10" t="s">
        <v>14</v>
      </c>
      <c r="D179" s="10">
        <v>648</v>
      </c>
    </row>
    <row r="180" spans="1:4" x14ac:dyDescent="0.25">
      <c r="A180" s="10" t="s">
        <v>20</v>
      </c>
      <c r="B180" s="10">
        <v>183</v>
      </c>
      <c r="C180" s="10" t="s">
        <v>14</v>
      </c>
      <c r="D180" s="10">
        <v>21</v>
      </c>
    </row>
    <row r="181" spans="1:4" x14ac:dyDescent="0.25">
      <c r="A181" s="10" t="s">
        <v>20</v>
      </c>
      <c r="B181" s="10">
        <v>72</v>
      </c>
      <c r="C181" s="10" t="s">
        <v>14</v>
      </c>
      <c r="D181" s="10">
        <v>54</v>
      </c>
    </row>
    <row r="182" spans="1:4" x14ac:dyDescent="0.25">
      <c r="A182" s="10" t="s">
        <v>20</v>
      </c>
      <c r="B182" s="10">
        <v>295</v>
      </c>
      <c r="C182" s="10" t="s">
        <v>14</v>
      </c>
      <c r="D182" s="10">
        <v>120</v>
      </c>
    </row>
    <row r="183" spans="1:4" x14ac:dyDescent="0.25">
      <c r="A183" s="10" t="s">
        <v>20</v>
      </c>
      <c r="B183" s="10">
        <v>142</v>
      </c>
      <c r="C183" s="10" t="s">
        <v>14</v>
      </c>
      <c r="D183" s="10">
        <v>579</v>
      </c>
    </row>
    <row r="184" spans="1:4" x14ac:dyDescent="0.25">
      <c r="A184" s="10" t="s">
        <v>20</v>
      </c>
      <c r="B184" s="10">
        <v>85</v>
      </c>
      <c r="C184" s="10" t="s">
        <v>14</v>
      </c>
      <c r="D184" s="10">
        <v>2072</v>
      </c>
    </row>
    <row r="185" spans="1:4" x14ac:dyDescent="0.25">
      <c r="A185" s="10" t="s">
        <v>20</v>
      </c>
      <c r="B185" s="10">
        <v>659</v>
      </c>
      <c r="C185" s="10" t="s">
        <v>14</v>
      </c>
      <c r="D185" s="10">
        <v>0</v>
      </c>
    </row>
    <row r="186" spans="1:4" x14ac:dyDescent="0.25">
      <c r="A186" s="10" t="s">
        <v>20</v>
      </c>
      <c r="B186" s="10">
        <v>121</v>
      </c>
      <c r="C186" s="10" t="s">
        <v>14</v>
      </c>
      <c r="D186" s="10">
        <v>1796</v>
      </c>
    </row>
    <row r="187" spans="1:4" x14ac:dyDescent="0.25">
      <c r="A187" s="10" t="s">
        <v>20</v>
      </c>
      <c r="B187" s="10">
        <v>3742</v>
      </c>
      <c r="C187" s="10" t="s">
        <v>14</v>
      </c>
      <c r="D187" s="10">
        <v>62</v>
      </c>
    </row>
    <row r="188" spans="1:4" x14ac:dyDescent="0.25">
      <c r="A188" s="10" t="s">
        <v>20</v>
      </c>
      <c r="B188" s="10">
        <v>223</v>
      </c>
      <c r="C188" s="10" t="s">
        <v>14</v>
      </c>
      <c r="D188" s="10">
        <v>347</v>
      </c>
    </row>
    <row r="189" spans="1:4" x14ac:dyDescent="0.25">
      <c r="A189" s="10" t="s">
        <v>20</v>
      </c>
      <c r="B189" s="10">
        <v>133</v>
      </c>
      <c r="C189" s="10" t="s">
        <v>14</v>
      </c>
      <c r="D189" s="10">
        <v>19</v>
      </c>
    </row>
    <row r="190" spans="1:4" x14ac:dyDescent="0.25">
      <c r="A190" s="10" t="s">
        <v>20</v>
      </c>
      <c r="B190" s="10">
        <v>5168</v>
      </c>
      <c r="C190" s="10" t="s">
        <v>14</v>
      </c>
      <c r="D190" s="10">
        <v>1258</v>
      </c>
    </row>
    <row r="191" spans="1:4" x14ac:dyDescent="0.25">
      <c r="A191" s="10" t="s">
        <v>20</v>
      </c>
      <c r="B191" s="10">
        <v>307</v>
      </c>
      <c r="C191" s="10" t="s">
        <v>14</v>
      </c>
      <c r="D191" s="10">
        <v>362</v>
      </c>
    </row>
    <row r="192" spans="1:4" x14ac:dyDescent="0.25">
      <c r="A192" s="10" t="s">
        <v>20</v>
      </c>
      <c r="B192" s="10">
        <v>2441</v>
      </c>
      <c r="C192" s="10" t="s">
        <v>14</v>
      </c>
      <c r="D192" s="10">
        <v>133</v>
      </c>
    </row>
    <row r="193" spans="1:4" x14ac:dyDescent="0.25">
      <c r="A193" s="10" t="s">
        <v>20</v>
      </c>
      <c r="B193" s="10">
        <v>1385</v>
      </c>
      <c r="C193" s="10" t="s">
        <v>14</v>
      </c>
      <c r="D193" s="10">
        <v>846</v>
      </c>
    </row>
    <row r="194" spans="1:4" x14ac:dyDescent="0.25">
      <c r="A194" s="10" t="s">
        <v>20</v>
      </c>
      <c r="B194" s="10">
        <v>190</v>
      </c>
      <c r="C194" s="10" t="s">
        <v>14</v>
      </c>
      <c r="D194" s="10">
        <v>10</v>
      </c>
    </row>
    <row r="195" spans="1:4" x14ac:dyDescent="0.25">
      <c r="A195" s="10" t="s">
        <v>20</v>
      </c>
      <c r="B195" s="10">
        <v>470</v>
      </c>
      <c r="C195" s="10" t="s">
        <v>14</v>
      </c>
      <c r="D195" s="10">
        <v>191</v>
      </c>
    </row>
    <row r="196" spans="1:4" x14ac:dyDescent="0.25">
      <c r="A196" s="10" t="s">
        <v>20</v>
      </c>
      <c r="B196" s="10">
        <v>253</v>
      </c>
      <c r="C196" s="10" t="s">
        <v>14</v>
      </c>
      <c r="D196" s="10">
        <v>1979</v>
      </c>
    </row>
    <row r="197" spans="1:4" x14ac:dyDescent="0.25">
      <c r="A197" s="10" t="s">
        <v>20</v>
      </c>
      <c r="B197" s="10">
        <v>1113</v>
      </c>
      <c r="C197" s="10" t="s">
        <v>14</v>
      </c>
      <c r="D197" s="10">
        <v>63</v>
      </c>
    </row>
    <row r="198" spans="1:4" x14ac:dyDescent="0.25">
      <c r="A198" s="10" t="s">
        <v>20</v>
      </c>
      <c r="B198" s="10">
        <v>2283</v>
      </c>
      <c r="C198" s="10" t="s">
        <v>14</v>
      </c>
      <c r="D198" s="10">
        <v>6080</v>
      </c>
    </row>
    <row r="199" spans="1:4" x14ac:dyDescent="0.25">
      <c r="A199" s="10" t="s">
        <v>20</v>
      </c>
      <c r="B199" s="10">
        <v>1095</v>
      </c>
      <c r="C199" s="10" t="s">
        <v>14</v>
      </c>
      <c r="D199" s="10">
        <v>80</v>
      </c>
    </row>
    <row r="200" spans="1:4" x14ac:dyDescent="0.25">
      <c r="A200" s="10" t="s">
        <v>20</v>
      </c>
      <c r="B200" s="10">
        <v>1690</v>
      </c>
      <c r="C200" s="10" t="s">
        <v>14</v>
      </c>
      <c r="D200" s="10">
        <v>9</v>
      </c>
    </row>
    <row r="201" spans="1:4" x14ac:dyDescent="0.25">
      <c r="A201" s="10" t="s">
        <v>20</v>
      </c>
      <c r="B201" s="10">
        <v>191</v>
      </c>
      <c r="C201" s="10" t="s">
        <v>14</v>
      </c>
      <c r="D201" s="10">
        <v>1784</v>
      </c>
    </row>
    <row r="202" spans="1:4" x14ac:dyDescent="0.25">
      <c r="A202" s="10" t="s">
        <v>20</v>
      </c>
      <c r="B202" s="10">
        <v>2013</v>
      </c>
      <c r="C202" s="10" t="s">
        <v>14</v>
      </c>
      <c r="D202" s="10">
        <v>243</v>
      </c>
    </row>
    <row r="203" spans="1:4" x14ac:dyDescent="0.25">
      <c r="A203" s="10" t="s">
        <v>20</v>
      </c>
      <c r="B203" s="10">
        <v>1703</v>
      </c>
      <c r="C203" s="10" t="s">
        <v>14</v>
      </c>
      <c r="D203" s="10">
        <v>1296</v>
      </c>
    </row>
    <row r="204" spans="1:4" x14ac:dyDescent="0.25">
      <c r="A204" s="10" t="s">
        <v>20</v>
      </c>
      <c r="B204" s="10">
        <v>80</v>
      </c>
      <c r="C204" s="10" t="s">
        <v>14</v>
      </c>
      <c r="D204" s="10">
        <v>77</v>
      </c>
    </row>
    <row r="205" spans="1:4" x14ac:dyDescent="0.25">
      <c r="A205" s="10" t="s">
        <v>20</v>
      </c>
      <c r="B205" s="10">
        <v>41</v>
      </c>
      <c r="C205" s="10" t="s">
        <v>14</v>
      </c>
      <c r="D205" s="10">
        <v>395</v>
      </c>
    </row>
    <row r="206" spans="1:4" x14ac:dyDescent="0.25">
      <c r="A206" s="10" t="s">
        <v>20</v>
      </c>
      <c r="B206" s="10">
        <v>187</v>
      </c>
      <c r="C206" s="10" t="s">
        <v>14</v>
      </c>
      <c r="D206" s="10">
        <v>49</v>
      </c>
    </row>
    <row r="207" spans="1:4" x14ac:dyDescent="0.25">
      <c r="A207" s="10" t="s">
        <v>20</v>
      </c>
      <c r="B207" s="10">
        <v>2875</v>
      </c>
      <c r="C207" s="10" t="s">
        <v>14</v>
      </c>
      <c r="D207" s="10">
        <v>180</v>
      </c>
    </row>
    <row r="208" spans="1:4" x14ac:dyDescent="0.25">
      <c r="A208" s="10" t="s">
        <v>20</v>
      </c>
      <c r="B208" s="10">
        <v>88</v>
      </c>
      <c r="C208" s="10" t="s">
        <v>14</v>
      </c>
      <c r="D208" s="10">
        <v>2690</v>
      </c>
    </row>
    <row r="209" spans="1:4" x14ac:dyDescent="0.25">
      <c r="A209" s="10" t="s">
        <v>20</v>
      </c>
      <c r="B209" s="10">
        <v>191</v>
      </c>
      <c r="C209" s="10" t="s">
        <v>14</v>
      </c>
      <c r="D209" s="10">
        <v>2779</v>
      </c>
    </row>
    <row r="210" spans="1:4" x14ac:dyDescent="0.25">
      <c r="A210" s="10" t="s">
        <v>20</v>
      </c>
      <c r="B210" s="10">
        <v>139</v>
      </c>
      <c r="C210" s="10" t="s">
        <v>14</v>
      </c>
      <c r="D210" s="10">
        <v>92</v>
      </c>
    </row>
    <row r="211" spans="1:4" x14ac:dyDescent="0.25">
      <c r="A211" s="10" t="s">
        <v>20</v>
      </c>
      <c r="B211" s="10">
        <v>186</v>
      </c>
      <c r="C211" s="10" t="s">
        <v>14</v>
      </c>
      <c r="D211" s="10">
        <v>1028</v>
      </c>
    </row>
    <row r="212" spans="1:4" x14ac:dyDescent="0.25">
      <c r="A212" s="10" t="s">
        <v>20</v>
      </c>
      <c r="B212" s="10">
        <v>112</v>
      </c>
      <c r="C212" s="10" t="s">
        <v>14</v>
      </c>
      <c r="D212" s="10">
        <v>26</v>
      </c>
    </row>
    <row r="213" spans="1:4" x14ac:dyDescent="0.25">
      <c r="A213" s="10" t="s">
        <v>20</v>
      </c>
      <c r="B213" s="10">
        <v>101</v>
      </c>
      <c r="C213" s="10" t="s">
        <v>14</v>
      </c>
      <c r="D213" s="10">
        <v>1790</v>
      </c>
    </row>
    <row r="214" spans="1:4" x14ac:dyDescent="0.25">
      <c r="A214" s="10" t="s">
        <v>20</v>
      </c>
      <c r="B214" s="10">
        <v>206</v>
      </c>
      <c r="C214" s="10" t="s">
        <v>14</v>
      </c>
      <c r="D214" s="10">
        <v>37</v>
      </c>
    </row>
    <row r="215" spans="1:4" x14ac:dyDescent="0.25">
      <c r="A215" s="10" t="s">
        <v>20</v>
      </c>
      <c r="B215" s="10">
        <v>154</v>
      </c>
      <c r="C215" s="10" t="s">
        <v>14</v>
      </c>
      <c r="D215" s="10">
        <v>35</v>
      </c>
    </row>
    <row r="216" spans="1:4" x14ac:dyDescent="0.25">
      <c r="A216" s="10" t="s">
        <v>20</v>
      </c>
      <c r="B216" s="10">
        <v>5966</v>
      </c>
      <c r="C216" s="10" t="s">
        <v>14</v>
      </c>
      <c r="D216" s="10">
        <v>558</v>
      </c>
    </row>
    <row r="217" spans="1:4" x14ac:dyDescent="0.25">
      <c r="A217" s="10" t="s">
        <v>20</v>
      </c>
      <c r="B217" s="10">
        <v>169</v>
      </c>
      <c r="C217" s="10" t="s">
        <v>14</v>
      </c>
      <c r="D217" s="10">
        <v>64</v>
      </c>
    </row>
    <row r="218" spans="1:4" x14ac:dyDescent="0.25">
      <c r="A218" s="10" t="s">
        <v>20</v>
      </c>
      <c r="B218" s="10">
        <v>2106</v>
      </c>
      <c r="C218" s="10" t="s">
        <v>14</v>
      </c>
      <c r="D218" s="10">
        <v>245</v>
      </c>
    </row>
    <row r="219" spans="1:4" x14ac:dyDescent="0.25">
      <c r="A219" s="10" t="s">
        <v>20</v>
      </c>
      <c r="B219" s="10">
        <v>131</v>
      </c>
      <c r="C219" s="10" t="s">
        <v>14</v>
      </c>
      <c r="D219" s="10">
        <v>71</v>
      </c>
    </row>
    <row r="220" spans="1:4" x14ac:dyDescent="0.25">
      <c r="A220" s="10" t="s">
        <v>20</v>
      </c>
      <c r="B220" s="10">
        <v>84</v>
      </c>
      <c r="C220" s="10" t="s">
        <v>14</v>
      </c>
      <c r="D220" s="10">
        <v>42</v>
      </c>
    </row>
    <row r="221" spans="1:4" x14ac:dyDescent="0.25">
      <c r="A221" s="10" t="s">
        <v>20</v>
      </c>
      <c r="B221" s="10">
        <v>155</v>
      </c>
      <c r="C221" s="10" t="s">
        <v>14</v>
      </c>
      <c r="D221" s="10">
        <v>156</v>
      </c>
    </row>
    <row r="222" spans="1:4" x14ac:dyDescent="0.25">
      <c r="A222" s="10" t="s">
        <v>20</v>
      </c>
      <c r="B222" s="10">
        <v>189</v>
      </c>
      <c r="C222" s="10" t="s">
        <v>14</v>
      </c>
      <c r="D222" s="10">
        <v>1368</v>
      </c>
    </row>
    <row r="223" spans="1:4" x14ac:dyDescent="0.25">
      <c r="A223" s="10" t="s">
        <v>20</v>
      </c>
      <c r="B223" s="10">
        <v>4799</v>
      </c>
      <c r="C223" s="10" t="s">
        <v>14</v>
      </c>
      <c r="D223" s="10">
        <v>102</v>
      </c>
    </row>
    <row r="224" spans="1:4" x14ac:dyDescent="0.25">
      <c r="A224" s="10" t="s">
        <v>20</v>
      </c>
      <c r="B224" s="10">
        <v>1137</v>
      </c>
      <c r="C224" s="10" t="s">
        <v>14</v>
      </c>
      <c r="D224" s="10">
        <v>86</v>
      </c>
    </row>
    <row r="225" spans="1:4" x14ac:dyDescent="0.25">
      <c r="A225" s="10" t="s">
        <v>20</v>
      </c>
      <c r="B225" s="10">
        <v>1152</v>
      </c>
      <c r="C225" s="10" t="s">
        <v>14</v>
      </c>
      <c r="D225" s="10">
        <v>253</v>
      </c>
    </row>
    <row r="226" spans="1:4" x14ac:dyDescent="0.25">
      <c r="A226" s="10" t="s">
        <v>20</v>
      </c>
      <c r="B226" s="10">
        <v>50</v>
      </c>
      <c r="C226" s="10" t="s">
        <v>14</v>
      </c>
      <c r="D226" s="10">
        <v>157</v>
      </c>
    </row>
    <row r="227" spans="1:4" x14ac:dyDescent="0.25">
      <c r="A227" s="10" t="s">
        <v>20</v>
      </c>
      <c r="B227" s="10">
        <v>3059</v>
      </c>
      <c r="C227" s="10" t="s">
        <v>14</v>
      </c>
      <c r="D227" s="10">
        <v>183</v>
      </c>
    </row>
    <row r="228" spans="1:4" x14ac:dyDescent="0.25">
      <c r="A228" s="10" t="s">
        <v>20</v>
      </c>
      <c r="B228" s="10">
        <v>34</v>
      </c>
      <c r="C228" s="10" t="s">
        <v>14</v>
      </c>
      <c r="D228" s="10">
        <v>82</v>
      </c>
    </row>
    <row r="229" spans="1:4" x14ac:dyDescent="0.25">
      <c r="A229" s="10" t="s">
        <v>20</v>
      </c>
      <c r="B229" s="10">
        <v>220</v>
      </c>
      <c r="C229" s="10" t="s">
        <v>14</v>
      </c>
      <c r="D229" s="10">
        <v>1</v>
      </c>
    </row>
    <row r="230" spans="1:4" x14ac:dyDescent="0.25">
      <c r="A230" s="10" t="s">
        <v>20</v>
      </c>
      <c r="B230" s="10">
        <v>1604</v>
      </c>
      <c r="C230" s="10" t="s">
        <v>14</v>
      </c>
      <c r="D230" s="10">
        <v>1198</v>
      </c>
    </row>
    <row r="231" spans="1:4" x14ac:dyDescent="0.25">
      <c r="A231" s="10" t="s">
        <v>20</v>
      </c>
      <c r="B231" s="10">
        <v>454</v>
      </c>
      <c r="C231" s="10" t="s">
        <v>14</v>
      </c>
      <c r="D231" s="10">
        <v>648</v>
      </c>
    </row>
    <row r="232" spans="1:4" x14ac:dyDescent="0.25">
      <c r="A232" s="10" t="s">
        <v>20</v>
      </c>
      <c r="B232" s="10">
        <v>123</v>
      </c>
      <c r="C232" s="10" t="s">
        <v>14</v>
      </c>
      <c r="D232" s="10">
        <v>64</v>
      </c>
    </row>
    <row r="233" spans="1:4" x14ac:dyDescent="0.25">
      <c r="A233" s="10" t="s">
        <v>20</v>
      </c>
      <c r="B233" s="10">
        <v>299</v>
      </c>
      <c r="C233" s="10" t="s">
        <v>14</v>
      </c>
      <c r="D233" s="10">
        <v>62</v>
      </c>
    </row>
    <row r="234" spans="1:4" x14ac:dyDescent="0.25">
      <c r="A234" s="10" t="s">
        <v>20</v>
      </c>
      <c r="B234" s="10">
        <v>2237</v>
      </c>
      <c r="C234" s="10" t="s">
        <v>14</v>
      </c>
      <c r="D234" s="10">
        <v>750</v>
      </c>
    </row>
    <row r="235" spans="1:4" x14ac:dyDescent="0.25">
      <c r="A235" s="10" t="s">
        <v>20</v>
      </c>
      <c r="B235" s="10">
        <v>645</v>
      </c>
      <c r="C235" s="10" t="s">
        <v>14</v>
      </c>
      <c r="D235" s="10">
        <v>105</v>
      </c>
    </row>
    <row r="236" spans="1:4" x14ac:dyDescent="0.25">
      <c r="A236" s="10" t="s">
        <v>20</v>
      </c>
      <c r="B236" s="10">
        <v>484</v>
      </c>
      <c r="C236" s="10" t="s">
        <v>14</v>
      </c>
      <c r="D236" s="10">
        <v>2604</v>
      </c>
    </row>
    <row r="237" spans="1:4" x14ac:dyDescent="0.25">
      <c r="A237" s="10" t="s">
        <v>20</v>
      </c>
      <c r="B237" s="10">
        <v>154</v>
      </c>
      <c r="C237" s="10" t="s">
        <v>14</v>
      </c>
      <c r="D237" s="10">
        <v>65</v>
      </c>
    </row>
    <row r="238" spans="1:4" x14ac:dyDescent="0.25">
      <c r="A238" s="10" t="s">
        <v>20</v>
      </c>
      <c r="B238" s="10">
        <v>82</v>
      </c>
      <c r="C238" s="10" t="s">
        <v>14</v>
      </c>
      <c r="D238" s="10">
        <v>94</v>
      </c>
    </row>
    <row r="239" spans="1:4" x14ac:dyDescent="0.25">
      <c r="A239" s="10" t="s">
        <v>20</v>
      </c>
      <c r="B239" s="10">
        <v>134</v>
      </c>
      <c r="C239" s="10" t="s">
        <v>14</v>
      </c>
      <c r="D239" s="10">
        <v>257</v>
      </c>
    </row>
    <row r="240" spans="1:4" x14ac:dyDescent="0.25">
      <c r="A240" s="10" t="s">
        <v>20</v>
      </c>
      <c r="B240" s="10">
        <v>5203</v>
      </c>
      <c r="C240" s="10" t="s">
        <v>14</v>
      </c>
      <c r="D240" s="10">
        <v>2928</v>
      </c>
    </row>
    <row r="241" spans="1:4" x14ac:dyDescent="0.25">
      <c r="A241" s="10" t="s">
        <v>20</v>
      </c>
      <c r="B241" s="10">
        <v>94</v>
      </c>
      <c r="C241" s="10" t="s">
        <v>14</v>
      </c>
      <c r="D241" s="10">
        <v>4697</v>
      </c>
    </row>
    <row r="242" spans="1:4" x14ac:dyDescent="0.25">
      <c r="A242" s="10" t="s">
        <v>20</v>
      </c>
      <c r="B242" s="10">
        <v>205</v>
      </c>
      <c r="C242" s="10" t="s">
        <v>14</v>
      </c>
      <c r="D242" s="10">
        <v>2915</v>
      </c>
    </row>
    <row r="243" spans="1:4" x14ac:dyDescent="0.25">
      <c r="A243" s="10" t="s">
        <v>20</v>
      </c>
      <c r="B243" s="10">
        <v>92</v>
      </c>
      <c r="C243" s="10" t="s">
        <v>14</v>
      </c>
      <c r="D243" s="10">
        <v>18</v>
      </c>
    </row>
    <row r="244" spans="1:4" x14ac:dyDescent="0.25">
      <c r="A244" s="10" t="s">
        <v>20</v>
      </c>
      <c r="B244" s="10">
        <v>219</v>
      </c>
      <c r="C244" s="10" t="s">
        <v>14</v>
      </c>
      <c r="D244" s="10">
        <v>602</v>
      </c>
    </row>
    <row r="245" spans="1:4" x14ac:dyDescent="0.25">
      <c r="A245" s="10" t="s">
        <v>20</v>
      </c>
      <c r="B245" s="10">
        <v>2526</v>
      </c>
      <c r="C245" s="10" t="s">
        <v>14</v>
      </c>
      <c r="D245" s="10">
        <v>1</v>
      </c>
    </row>
    <row r="246" spans="1:4" x14ac:dyDescent="0.25">
      <c r="A246" s="10" t="s">
        <v>20</v>
      </c>
      <c r="B246" s="10">
        <v>94</v>
      </c>
      <c r="C246" s="10" t="s">
        <v>14</v>
      </c>
      <c r="D246" s="10">
        <v>3868</v>
      </c>
    </row>
    <row r="247" spans="1:4" x14ac:dyDescent="0.25">
      <c r="A247" s="10" t="s">
        <v>20</v>
      </c>
      <c r="B247" s="10">
        <v>1713</v>
      </c>
      <c r="C247" s="10" t="s">
        <v>14</v>
      </c>
      <c r="D247" s="10">
        <v>504</v>
      </c>
    </row>
    <row r="248" spans="1:4" x14ac:dyDescent="0.25">
      <c r="A248" s="10" t="s">
        <v>20</v>
      </c>
      <c r="B248" s="10">
        <v>249</v>
      </c>
      <c r="C248" s="10" t="s">
        <v>14</v>
      </c>
      <c r="D248" s="10">
        <v>14</v>
      </c>
    </row>
    <row r="249" spans="1:4" x14ac:dyDescent="0.25">
      <c r="A249" s="10" t="s">
        <v>20</v>
      </c>
      <c r="B249" s="10">
        <v>192</v>
      </c>
      <c r="C249" s="10" t="s">
        <v>14</v>
      </c>
      <c r="D249" s="10">
        <v>750</v>
      </c>
    </row>
    <row r="250" spans="1:4" x14ac:dyDescent="0.25">
      <c r="A250" s="10" t="s">
        <v>20</v>
      </c>
      <c r="B250" s="10">
        <v>247</v>
      </c>
      <c r="C250" s="10" t="s">
        <v>14</v>
      </c>
      <c r="D250" s="10">
        <v>77</v>
      </c>
    </row>
    <row r="251" spans="1:4" x14ac:dyDescent="0.25">
      <c r="A251" s="10" t="s">
        <v>20</v>
      </c>
      <c r="B251" s="10">
        <v>2293</v>
      </c>
      <c r="C251" s="10" t="s">
        <v>14</v>
      </c>
      <c r="D251" s="10">
        <v>752</v>
      </c>
    </row>
    <row r="252" spans="1:4" x14ac:dyDescent="0.25">
      <c r="A252" s="10" t="s">
        <v>20</v>
      </c>
      <c r="B252" s="10">
        <v>3131</v>
      </c>
      <c r="C252" s="10" t="s">
        <v>14</v>
      </c>
      <c r="D252" s="10">
        <v>131</v>
      </c>
    </row>
    <row r="253" spans="1:4" x14ac:dyDescent="0.25">
      <c r="A253" s="10" t="s">
        <v>20</v>
      </c>
      <c r="B253" s="10">
        <v>143</v>
      </c>
      <c r="C253" s="10" t="s">
        <v>14</v>
      </c>
      <c r="D253" s="10">
        <v>87</v>
      </c>
    </row>
    <row r="254" spans="1:4" x14ac:dyDescent="0.25">
      <c r="A254" s="10" t="s">
        <v>20</v>
      </c>
      <c r="B254" s="10">
        <v>296</v>
      </c>
      <c r="C254" s="10" t="s">
        <v>14</v>
      </c>
      <c r="D254" s="10">
        <v>1063</v>
      </c>
    </row>
    <row r="255" spans="1:4" x14ac:dyDescent="0.25">
      <c r="A255" s="10" t="s">
        <v>20</v>
      </c>
      <c r="B255" s="10">
        <v>170</v>
      </c>
      <c r="C255" s="10" t="s">
        <v>14</v>
      </c>
      <c r="D255" s="10">
        <v>76</v>
      </c>
    </row>
    <row r="256" spans="1:4" x14ac:dyDescent="0.25">
      <c r="A256" s="10" t="s">
        <v>20</v>
      </c>
      <c r="B256" s="10">
        <v>86</v>
      </c>
      <c r="C256" s="10" t="s">
        <v>14</v>
      </c>
      <c r="D256" s="10">
        <v>4428</v>
      </c>
    </row>
    <row r="257" spans="1:4" x14ac:dyDescent="0.25">
      <c r="A257" s="10" t="s">
        <v>20</v>
      </c>
      <c r="B257" s="10">
        <v>6286</v>
      </c>
      <c r="C257" s="10" t="s">
        <v>14</v>
      </c>
      <c r="D257" s="10">
        <v>58</v>
      </c>
    </row>
    <row r="258" spans="1:4" x14ac:dyDescent="0.25">
      <c r="A258" s="10" t="s">
        <v>20</v>
      </c>
      <c r="B258" s="10">
        <v>3727</v>
      </c>
      <c r="C258" s="10" t="s">
        <v>14</v>
      </c>
      <c r="D258" s="10">
        <v>111</v>
      </c>
    </row>
    <row r="259" spans="1:4" x14ac:dyDescent="0.25">
      <c r="A259" s="10" t="s">
        <v>20</v>
      </c>
      <c r="B259" s="10">
        <v>1605</v>
      </c>
      <c r="C259" s="10" t="s">
        <v>14</v>
      </c>
      <c r="D259" s="10">
        <v>2955</v>
      </c>
    </row>
    <row r="260" spans="1:4" x14ac:dyDescent="0.25">
      <c r="A260" s="10" t="s">
        <v>20</v>
      </c>
      <c r="B260" s="10">
        <v>2120</v>
      </c>
      <c r="C260" s="10" t="s">
        <v>14</v>
      </c>
      <c r="D260" s="10">
        <v>1657</v>
      </c>
    </row>
    <row r="261" spans="1:4" x14ac:dyDescent="0.25">
      <c r="A261" s="10" t="s">
        <v>20</v>
      </c>
      <c r="B261" s="10">
        <v>50</v>
      </c>
      <c r="C261" s="10" t="s">
        <v>14</v>
      </c>
      <c r="D261" s="10">
        <v>926</v>
      </c>
    </row>
    <row r="262" spans="1:4" x14ac:dyDescent="0.25">
      <c r="A262" s="10" t="s">
        <v>20</v>
      </c>
      <c r="B262" s="10">
        <v>2080</v>
      </c>
      <c r="C262" s="10" t="s">
        <v>14</v>
      </c>
      <c r="D262" s="10">
        <v>77</v>
      </c>
    </row>
    <row r="263" spans="1:4" x14ac:dyDescent="0.25">
      <c r="A263" s="10" t="s">
        <v>20</v>
      </c>
      <c r="B263" s="10">
        <v>2105</v>
      </c>
      <c r="C263" s="10" t="s">
        <v>14</v>
      </c>
      <c r="D263" s="10">
        <v>1748</v>
      </c>
    </row>
    <row r="264" spans="1:4" x14ac:dyDescent="0.25">
      <c r="A264" s="10" t="s">
        <v>20</v>
      </c>
      <c r="B264" s="10">
        <v>2436</v>
      </c>
      <c r="C264" s="10" t="s">
        <v>14</v>
      </c>
      <c r="D264" s="10">
        <v>79</v>
      </c>
    </row>
    <row r="265" spans="1:4" x14ac:dyDescent="0.25">
      <c r="A265" s="10" t="s">
        <v>20</v>
      </c>
      <c r="B265" s="10">
        <v>80</v>
      </c>
      <c r="C265" s="10" t="s">
        <v>14</v>
      </c>
      <c r="D265" s="10">
        <v>889</v>
      </c>
    </row>
    <row r="266" spans="1:4" x14ac:dyDescent="0.25">
      <c r="A266" s="10" t="s">
        <v>20</v>
      </c>
      <c r="B266" s="10">
        <v>42</v>
      </c>
      <c r="C266" s="10" t="s">
        <v>14</v>
      </c>
      <c r="D266" s="10">
        <v>56</v>
      </c>
    </row>
    <row r="267" spans="1:4" x14ac:dyDescent="0.25">
      <c r="A267" s="10" t="s">
        <v>20</v>
      </c>
      <c r="B267" s="10">
        <v>139</v>
      </c>
      <c r="C267" s="10" t="s">
        <v>14</v>
      </c>
      <c r="D267" s="10">
        <v>1</v>
      </c>
    </row>
    <row r="268" spans="1:4" x14ac:dyDescent="0.25">
      <c r="A268" s="10" t="s">
        <v>20</v>
      </c>
      <c r="B268" s="10">
        <v>159</v>
      </c>
      <c r="C268" s="10" t="s">
        <v>14</v>
      </c>
      <c r="D268" s="10">
        <v>83</v>
      </c>
    </row>
    <row r="269" spans="1:4" x14ac:dyDescent="0.25">
      <c r="A269" s="10" t="s">
        <v>20</v>
      </c>
      <c r="B269" s="10">
        <v>381</v>
      </c>
      <c r="C269" s="10" t="s">
        <v>14</v>
      </c>
      <c r="D269" s="10">
        <v>2025</v>
      </c>
    </row>
    <row r="270" spans="1:4" x14ac:dyDescent="0.25">
      <c r="A270" s="10" t="s">
        <v>20</v>
      </c>
      <c r="B270" s="10">
        <v>194</v>
      </c>
      <c r="C270" s="10" t="s">
        <v>14</v>
      </c>
      <c r="D270" s="10">
        <v>14</v>
      </c>
    </row>
    <row r="271" spans="1:4" x14ac:dyDescent="0.25">
      <c r="A271" s="10" t="s">
        <v>20</v>
      </c>
      <c r="B271" s="10">
        <v>106</v>
      </c>
      <c r="C271" s="10" t="s">
        <v>14</v>
      </c>
      <c r="D271" s="10">
        <v>656</v>
      </c>
    </row>
    <row r="272" spans="1:4" x14ac:dyDescent="0.25">
      <c r="A272" s="10" t="s">
        <v>20</v>
      </c>
      <c r="B272" s="10">
        <v>142</v>
      </c>
      <c r="C272" s="10" t="s">
        <v>14</v>
      </c>
      <c r="D272" s="10">
        <v>1596</v>
      </c>
    </row>
    <row r="273" spans="1:4" x14ac:dyDescent="0.25">
      <c r="A273" s="10" t="s">
        <v>20</v>
      </c>
      <c r="B273" s="10">
        <v>211</v>
      </c>
      <c r="C273" s="10" t="s">
        <v>14</v>
      </c>
      <c r="D273" s="10">
        <v>10</v>
      </c>
    </row>
    <row r="274" spans="1:4" x14ac:dyDescent="0.25">
      <c r="A274" s="10" t="s">
        <v>20</v>
      </c>
      <c r="B274" s="10">
        <v>2756</v>
      </c>
      <c r="C274" s="10" t="s">
        <v>14</v>
      </c>
      <c r="D274" s="10">
        <v>1121</v>
      </c>
    </row>
    <row r="275" spans="1:4" x14ac:dyDescent="0.25">
      <c r="A275" s="10" t="s">
        <v>20</v>
      </c>
      <c r="B275" s="10">
        <v>173</v>
      </c>
      <c r="C275" s="10" t="s">
        <v>14</v>
      </c>
      <c r="D275" s="10">
        <v>15</v>
      </c>
    </row>
    <row r="276" spans="1:4" x14ac:dyDescent="0.25">
      <c r="A276" s="10" t="s">
        <v>20</v>
      </c>
      <c r="B276" s="10">
        <v>87</v>
      </c>
      <c r="C276" s="10" t="s">
        <v>14</v>
      </c>
      <c r="D276" s="10">
        <v>191</v>
      </c>
    </row>
    <row r="277" spans="1:4" x14ac:dyDescent="0.25">
      <c r="A277" s="10" t="s">
        <v>20</v>
      </c>
      <c r="B277" s="10">
        <v>1572</v>
      </c>
      <c r="C277" s="10" t="s">
        <v>14</v>
      </c>
      <c r="D277" s="10">
        <v>16</v>
      </c>
    </row>
    <row r="278" spans="1:4" x14ac:dyDescent="0.25">
      <c r="A278" s="10" t="s">
        <v>20</v>
      </c>
      <c r="B278" s="10">
        <v>2346</v>
      </c>
      <c r="C278" s="10" t="s">
        <v>14</v>
      </c>
      <c r="D278" s="10">
        <v>17</v>
      </c>
    </row>
    <row r="279" spans="1:4" x14ac:dyDescent="0.25">
      <c r="A279" s="10" t="s">
        <v>20</v>
      </c>
      <c r="B279" s="10">
        <v>115</v>
      </c>
      <c r="C279" s="10" t="s">
        <v>14</v>
      </c>
      <c r="D279" s="10">
        <v>34</v>
      </c>
    </row>
    <row r="280" spans="1:4" x14ac:dyDescent="0.25">
      <c r="A280" s="10" t="s">
        <v>20</v>
      </c>
      <c r="B280" s="10">
        <v>85</v>
      </c>
      <c r="C280" s="10" t="s">
        <v>14</v>
      </c>
      <c r="D280" s="10">
        <v>1</v>
      </c>
    </row>
    <row r="281" spans="1:4" x14ac:dyDescent="0.25">
      <c r="A281" s="10" t="s">
        <v>20</v>
      </c>
      <c r="B281" s="10">
        <v>144</v>
      </c>
      <c r="C281" s="10" t="s">
        <v>14</v>
      </c>
      <c r="D281" s="10">
        <v>1274</v>
      </c>
    </row>
    <row r="282" spans="1:4" x14ac:dyDescent="0.25">
      <c r="A282" s="10" t="s">
        <v>20</v>
      </c>
      <c r="B282" s="10">
        <v>2443</v>
      </c>
      <c r="C282" s="10" t="s">
        <v>14</v>
      </c>
      <c r="D282" s="10">
        <v>210</v>
      </c>
    </row>
    <row r="283" spans="1:4" x14ac:dyDescent="0.25">
      <c r="A283" s="10" t="s">
        <v>20</v>
      </c>
      <c r="B283" s="10">
        <v>64</v>
      </c>
      <c r="C283" s="10" t="s">
        <v>14</v>
      </c>
      <c r="D283" s="10">
        <v>248</v>
      </c>
    </row>
    <row r="284" spans="1:4" x14ac:dyDescent="0.25">
      <c r="A284" s="10" t="s">
        <v>20</v>
      </c>
      <c r="B284" s="10">
        <v>268</v>
      </c>
      <c r="C284" s="10" t="s">
        <v>14</v>
      </c>
      <c r="D284" s="10">
        <v>513</v>
      </c>
    </row>
    <row r="285" spans="1:4" x14ac:dyDescent="0.25">
      <c r="A285" s="10" t="s">
        <v>20</v>
      </c>
      <c r="B285" s="10">
        <v>195</v>
      </c>
      <c r="C285" s="10" t="s">
        <v>14</v>
      </c>
      <c r="D285" s="10">
        <v>3410</v>
      </c>
    </row>
    <row r="286" spans="1:4" x14ac:dyDescent="0.25">
      <c r="A286" s="10" t="s">
        <v>20</v>
      </c>
      <c r="B286" s="10">
        <v>186</v>
      </c>
      <c r="C286" s="10" t="s">
        <v>14</v>
      </c>
      <c r="D286" s="10">
        <v>10</v>
      </c>
    </row>
    <row r="287" spans="1:4" x14ac:dyDescent="0.25">
      <c r="A287" s="10" t="s">
        <v>20</v>
      </c>
      <c r="B287" s="10">
        <v>460</v>
      </c>
      <c r="C287" s="10" t="s">
        <v>14</v>
      </c>
      <c r="D287" s="10">
        <v>2201</v>
      </c>
    </row>
    <row r="288" spans="1:4" x14ac:dyDescent="0.25">
      <c r="A288" s="10" t="s">
        <v>20</v>
      </c>
      <c r="B288" s="10">
        <v>2528</v>
      </c>
      <c r="C288" s="10" t="s">
        <v>14</v>
      </c>
      <c r="D288" s="10">
        <v>676</v>
      </c>
    </row>
    <row r="289" spans="1:4" x14ac:dyDescent="0.25">
      <c r="A289" s="10" t="s">
        <v>20</v>
      </c>
      <c r="B289" s="10">
        <v>3657</v>
      </c>
      <c r="C289" s="10" t="s">
        <v>14</v>
      </c>
      <c r="D289" s="10">
        <v>831</v>
      </c>
    </row>
    <row r="290" spans="1:4" x14ac:dyDescent="0.25">
      <c r="A290" s="10" t="s">
        <v>20</v>
      </c>
      <c r="B290" s="10">
        <v>131</v>
      </c>
      <c r="C290" s="10" t="s">
        <v>14</v>
      </c>
      <c r="D290" s="10">
        <v>859</v>
      </c>
    </row>
    <row r="291" spans="1:4" x14ac:dyDescent="0.25">
      <c r="A291" s="10" t="s">
        <v>20</v>
      </c>
      <c r="B291" s="10">
        <v>239</v>
      </c>
      <c r="C291" s="10" t="s">
        <v>14</v>
      </c>
      <c r="D291" s="10">
        <v>45</v>
      </c>
    </row>
    <row r="292" spans="1:4" x14ac:dyDescent="0.25">
      <c r="A292" s="10" t="s">
        <v>20</v>
      </c>
      <c r="B292" s="10">
        <v>78</v>
      </c>
      <c r="C292" s="10" t="s">
        <v>14</v>
      </c>
      <c r="D292" s="10">
        <v>6</v>
      </c>
    </row>
    <row r="293" spans="1:4" x14ac:dyDescent="0.25">
      <c r="A293" s="10" t="s">
        <v>20</v>
      </c>
      <c r="B293" s="10">
        <v>1773</v>
      </c>
      <c r="C293" s="10" t="s">
        <v>14</v>
      </c>
      <c r="D293" s="10">
        <v>7</v>
      </c>
    </row>
    <row r="294" spans="1:4" x14ac:dyDescent="0.25">
      <c r="A294" s="10" t="s">
        <v>20</v>
      </c>
      <c r="B294" s="10">
        <v>32</v>
      </c>
      <c r="C294" s="10" t="s">
        <v>14</v>
      </c>
      <c r="D294" s="10">
        <v>31</v>
      </c>
    </row>
    <row r="295" spans="1:4" x14ac:dyDescent="0.25">
      <c r="A295" s="10" t="s">
        <v>20</v>
      </c>
      <c r="B295" s="10">
        <v>369</v>
      </c>
      <c r="C295" s="10" t="s">
        <v>14</v>
      </c>
      <c r="D295" s="10">
        <v>78</v>
      </c>
    </row>
    <row r="296" spans="1:4" x14ac:dyDescent="0.25">
      <c r="A296" s="10" t="s">
        <v>20</v>
      </c>
      <c r="B296" s="10">
        <v>89</v>
      </c>
      <c r="C296" s="10" t="s">
        <v>14</v>
      </c>
      <c r="D296" s="10">
        <v>1225</v>
      </c>
    </row>
    <row r="297" spans="1:4" x14ac:dyDescent="0.25">
      <c r="A297" s="10" t="s">
        <v>20</v>
      </c>
      <c r="B297" s="10">
        <v>147</v>
      </c>
      <c r="C297" s="10" t="s">
        <v>14</v>
      </c>
      <c r="D297" s="10">
        <v>1</v>
      </c>
    </row>
    <row r="298" spans="1:4" x14ac:dyDescent="0.25">
      <c r="A298" s="10" t="s">
        <v>20</v>
      </c>
      <c r="B298" s="10">
        <v>126</v>
      </c>
      <c r="C298" s="10" t="s">
        <v>14</v>
      </c>
      <c r="D298" s="10">
        <v>67</v>
      </c>
    </row>
    <row r="299" spans="1:4" x14ac:dyDescent="0.25">
      <c r="A299" s="10" t="s">
        <v>20</v>
      </c>
      <c r="B299" s="10">
        <v>2218</v>
      </c>
      <c r="C299" s="10" t="s">
        <v>14</v>
      </c>
      <c r="D299" s="10">
        <v>19</v>
      </c>
    </row>
    <row r="300" spans="1:4" x14ac:dyDescent="0.25">
      <c r="A300" s="10" t="s">
        <v>20</v>
      </c>
      <c r="B300" s="10">
        <v>202</v>
      </c>
      <c r="C300" s="10" t="s">
        <v>14</v>
      </c>
      <c r="D300" s="10">
        <v>2108</v>
      </c>
    </row>
    <row r="301" spans="1:4" x14ac:dyDescent="0.25">
      <c r="A301" s="10" t="s">
        <v>20</v>
      </c>
      <c r="B301" s="10">
        <v>140</v>
      </c>
      <c r="C301" s="10" t="s">
        <v>14</v>
      </c>
      <c r="D301" s="10">
        <v>679</v>
      </c>
    </row>
    <row r="302" spans="1:4" x14ac:dyDescent="0.25">
      <c r="A302" s="10" t="s">
        <v>20</v>
      </c>
      <c r="B302" s="10">
        <v>1052</v>
      </c>
      <c r="C302" s="10" t="s">
        <v>14</v>
      </c>
      <c r="D302" s="10">
        <v>36</v>
      </c>
    </row>
    <row r="303" spans="1:4" x14ac:dyDescent="0.25">
      <c r="A303" s="10" t="s">
        <v>20</v>
      </c>
      <c r="B303" s="10">
        <v>247</v>
      </c>
      <c r="C303" s="10" t="s">
        <v>14</v>
      </c>
      <c r="D303" s="10">
        <v>47</v>
      </c>
    </row>
    <row r="304" spans="1:4" x14ac:dyDescent="0.25">
      <c r="A304" s="10" t="s">
        <v>20</v>
      </c>
      <c r="B304" s="10">
        <v>84</v>
      </c>
      <c r="C304" s="10" t="s">
        <v>14</v>
      </c>
      <c r="D304" s="10">
        <v>70</v>
      </c>
    </row>
    <row r="305" spans="1:4" x14ac:dyDescent="0.25">
      <c r="A305" s="10" t="s">
        <v>20</v>
      </c>
      <c r="B305" s="10">
        <v>88</v>
      </c>
      <c r="C305" s="10" t="s">
        <v>14</v>
      </c>
      <c r="D305" s="10">
        <v>154</v>
      </c>
    </row>
    <row r="306" spans="1:4" x14ac:dyDescent="0.25">
      <c r="A306" s="10" t="s">
        <v>20</v>
      </c>
      <c r="B306" s="10">
        <v>156</v>
      </c>
      <c r="C306" s="10" t="s">
        <v>14</v>
      </c>
      <c r="D306" s="10">
        <v>22</v>
      </c>
    </row>
    <row r="307" spans="1:4" x14ac:dyDescent="0.25">
      <c r="A307" s="10" t="s">
        <v>20</v>
      </c>
      <c r="B307" s="10">
        <v>2985</v>
      </c>
      <c r="C307" s="10" t="s">
        <v>14</v>
      </c>
      <c r="D307" s="10">
        <v>1758</v>
      </c>
    </row>
    <row r="308" spans="1:4" x14ac:dyDescent="0.25">
      <c r="A308" s="10" t="s">
        <v>20</v>
      </c>
      <c r="B308" s="10">
        <v>762</v>
      </c>
      <c r="C308" s="10" t="s">
        <v>14</v>
      </c>
      <c r="D308" s="10">
        <v>94</v>
      </c>
    </row>
    <row r="309" spans="1:4" x14ac:dyDescent="0.25">
      <c r="A309" s="10" t="s">
        <v>20</v>
      </c>
      <c r="B309" s="10">
        <v>554</v>
      </c>
      <c r="C309" s="10" t="s">
        <v>14</v>
      </c>
      <c r="D309" s="10">
        <v>33</v>
      </c>
    </row>
    <row r="310" spans="1:4" x14ac:dyDescent="0.25">
      <c r="A310" s="10" t="s">
        <v>20</v>
      </c>
      <c r="B310" s="10">
        <v>135</v>
      </c>
      <c r="C310" s="10" t="s">
        <v>14</v>
      </c>
      <c r="D310" s="10">
        <v>1</v>
      </c>
    </row>
    <row r="311" spans="1:4" x14ac:dyDescent="0.25">
      <c r="A311" s="10" t="s">
        <v>20</v>
      </c>
      <c r="B311" s="10">
        <v>122</v>
      </c>
      <c r="C311" s="10" t="s">
        <v>14</v>
      </c>
      <c r="D311" s="10">
        <v>31</v>
      </c>
    </row>
    <row r="312" spans="1:4" x14ac:dyDescent="0.25">
      <c r="A312" s="10" t="s">
        <v>20</v>
      </c>
      <c r="B312" s="10">
        <v>221</v>
      </c>
      <c r="C312" s="10" t="s">
        <v>14</v>
      </c>
      <c r="D312" s="10">
        <v>35</v>
      </c>
    </row>
    <row r="313" spans="1:4" x14ac:dyDescent="0.25">
      <c r="A313" s="10" t="s">
        <v>20</v>
      </c>
      <c r="B313" s="10">
        <v>126</v>
      </c>
      <c r="C313" s="10" t="s">
        <v>14</v>
      </c>
      <c r="D313" s="10">
        <v>63</v>
      </c>
    </row>
    <row r="314" spans="1:4" x14ac:dyDescent="0.25">
      <c r="A314" s="10" t="s">
        <v>20</v>
      </c>
      <c r="B314" s="10">
        <v>1022</v>
      </c>
      <c r="C314" s="10" t="s">
        <v>14</v>
      </c>
      <c r="D314" s="10">
        <v>526</v>
      </c>
    </row>
    <row r="315" spans="1:4" x14ac:dyDescent="0.25">
      <c r="A315" s="10" t="s">
        <v>20</v>
      </c>
      <c r="B315" s="10">
        <v>3177</v>
      </c>
      <c r="C315" s="10" t="s">
        <v>14</v>
      </c>
      <c r="D315" s="10">
        <v>121</v>
      </c>
    </row>
    <row r="316" spans="1:4" x14ac:dyDescent="0.25">
      <c r="A316" s="10" t="s">
        <v>20</v>
      </c>
      <c r="B316" s="10">
        <v>198</v>
      </c>
      <c r="C316" s="10" t="s">
        <v>14</v>
      </c>
      <c r="D316" s="10">
        <v>67</v>
      </c>
    </row>
    <row r="317" spans="1:4" x14ac:dyDescent="0.25">
      <c r="A317" s="10" t="s">
        <v>20</v>
      </c>
      <c r="B317" s="10">
        <v>85</v>
      </c>
      <c r="C317" s="10" t="s">
        <v>14</v>
      </c>
      <c r="D317" s="10">
        <v>57</v>
      </c>
    </row>
    <row r="318" spans="1:4" x14ac:dyDescent="0.25">
      <c r="A318" s="10" t="s">
        <v>20</v>
      </c>
      <c r="B318" s="10">
        <v>3596</v>
      </c>
      <c r="C318" s="10" t="s">
        <v>14</v>
      </c>
      <c r="D318" s="10">
        <v>1229</v>
      </c>
    </row>
    <row r="319" spans="1:4" x14ac:dyDescent="0.25">
      <c r="A319" s="10" t="s">
        <v>20</v>
      </c>
      <c r="B319" s="10">
        <v>244</v>
      </c>
      <c r="C319" s="10" t="s">
        <v>14</v>
      </c>
      <c r="D319" s="10">
        <v>12</v>
      </c>
    </row>
    <row r="320" spans="1:4" x14ac:dyDescent="0.25">
      <c r="A320" s="10" t="s">
        <v>20</v>
      </c>
      <c r="B320" s="10">
        <v>5180</v>
      </c>
      <c r="C320" s="10" t="s">
        <v>14</v>
      </c>
      <c r="D320" s="10">
        <v>452</v>
      </c>
    </row>
    <row r="321" spans="1:4" x14ac:dyDescent="0.25">
      <c r="A321" s="10" t="s">
        <v>20</v>
      </c>
      <c r="B321" s="10">
        <v>589</v>
      </c>
      <c r="C321" s="10" t="s">
        <v>14</v>
      </c>
      <c r="D321" s="10">
        <v>1886</v>
      </c>
    </row>
    <row r="322" spans="1:4" x14ac:dyDescent="0.25">
      <c r="A322" s="10" t="s">
        <v>20</v>
      </c>
      <c r="B322" s="10">
        <v>2725</v>
      </c>
      <c r="C322" s="10" t="s">
        <v>14</v>
      </c>
      <c r="D322" s="10">
        <v>1825</v>
      </c>
    </row>
    <row r="323" spans="1:4" x14ac:dyDescent="0.25">
      <c r="A323" s="10" t="s">
        <v>20</v>
      </c>
      <c r="B323" s="10">
        <v>300</v>
      </c>
      <c r="C323" s="10" t="s">
        <v>14</v>
      </c>
      <c r="D323" s="10">
        <v>31</v>
      </c>
    </row>
    <row r="324" spans="1:4" x14ac:dyDescent="0.25">
      <c r="A324" s="10" t="s">
        <v>20</v>
      </c>
      <c r="B324" s="10">
        <v>144</v>
      </c>
      <c r="C324" s="10" t="s">
        <v>14</v>
      </c>
      <c r="D324" s="10">
        <v>107</v>
      </c>
    </row>
    <row r="325" spans="1:4" x14ac:dyDescent="0.25">
      <c r="A325" s="10" t="s">
        <v>20</v>
      </c>
      <c r="B325" s="10">
        <v>87</v>
      </c>
      <c r="C325" s="10" t="s">
        <v>14</v>
      </c>
      <c r="D325" s="10">
        <v>27</v>
      </c>
    </row>
    <row r="326" spans="1:4" x14ac:dyDescent="0.25">
      <c r="A326" s="10" t="s">
        <v>20</v>
      </c>
      <c r="B326" s="10">
        <v>3116</v>
      </c>
      <c r="C326" s="10" t="s">
        <v>14</v>
      </c>
      <c r="D326" s="10">
        <v>1221</v>
      </c>
    </row>
    <row r="327" spans="1:4" x14ac:dyDescent="0.25">
      <c r="A327" s="10" t="s">
        <v>20</v>
      </c>
      <c r="B327" s="10">
        <v>909</v>
      </c>
      <c r="C327" s="10" t="s">
        <v>14</v>
      </c>
      <c r="D327" s="10">
        <v>1</v>
      </c>
    </row>
    <row r="328" spans="1:4" x14ac:dyDescent="0.25">
      <c r="A328" s="10" t="s">
        <v>20</v>
      </c>
      <c r="B328" s="10">
        <v>1613</v>
      </c>
      <c r="C328" s="10" t="s">
        <v>14</v>
      </c>
      <c r="D328" s="10">
        <v>16</v>
      </c>
    </row>
    <row r="329" spans="1:4" x14ac:dyDescent="0.25">
      <c r="A329" s="10" t="s">
        <v>20</v>
      </c>
      <c r="B329" s="10">
        <v>136</v>
      </c>
      <c r="C329" s="10" t="s">
        <v>14</v>
      </c>
      <c r="D329" s="10">
        <v>41</v>
      </c>
    </row>
    <row r="330" spans="1:4" x14ac:dyDescent="0.25">
      <c r="A330" s="10" t="s">
        <v>20</v>
      </c>
      <c r="B330" s="10">
        <v>130</v>
      </c>
      <c r="C330" s="10" t="s">
        <v>14</v>
      </c>
      <c r="D330" s="10">
        <v>523</v>
      </c>
    </row>
    <row r="331" spans="1:4" x14ac:dyDescent="0.25">
      <c r="A331" s="10" t="s">
        <v>20</v>
      </c>
      <c r="B331" s="10">
        <v>102</v>
      </c>
      <c r="C331" s="10" t="s">
        <v>14</v>
      </c>
      <c r="D331" s="10">
        <v>141</v>
      </c>
    </row>
    <row r="332" spans="1:4" x14ac:dyDescent="0.25">
      <c r="A332" s="10" t="s">
        <v>20</v>
      </c>
      <c r="B332" s="10">
        <v>4006</v>
      </c>
      <c r="C332" s="10" t="s">
        <v>14</v>
      </c>
      <c r="D332" s="10">
        <v>52</v>
      </c>
    </row>
    <row r="333" spans="1:4" x14ac:dyDescent="0.25">
      <c r="A333" s="10" t="s">
        <v>20</v>
      </c>
      <c r="B333" s="10">
        <v>1629</v>
      </c>
      <c r="C333" s="10" t="s">
        <v>14</v>
      </c>
      <c r="D333" s="10">
        <v>225</v>
      </c>
    </row>
    <row r="334" spans="1:4" x14ac:dyDescent="0.25">
      <c r="A334" s="10" t="s">
        <v>20</v>
      </c>
      <c r="B334" s="10">
        <v>2188</v>
      </c>
      <c r="C334" s="10" t="s">
        <v>14</v>
      </c>
      <c r="D334" s="10">
        <v>38</v>
      </c>
    </row>
    <row r="335" spans="1:4" x14ac:dyDescent="0.25">
      <c r="A335" s="10" t="s">
        <v>20</v>
      </c>
      <c r="B335" s="10">
        <v>2409</v>
      </c>
      <c r="C335" s="10" t="s">
        <v>14</v>
      </c>
      <c r="D335" s="10">
        <v>15</v>
      </c>
    </row>
    <row r="336" spans="1:4" x14ac:dyDescent="0.25">
      <c r="A336" s="10" t="s">
        <v>20</v>
      </c>
      <c r="B336" s="10">
        <v>194</v>
      </c>
      <c r="C336" s="10" t="s">
        <v>14</v>
      </c>
      <c r="D336" s="10">
        <v>37</v>
      </c>
    </row>
    <row r="337" spans="1:4" x14ac:dyDescent="0.25">
      <c r="A337" s="10" t="s">
        <v>20</v>
      </c>
      <c r="B337" s="10">
        <v>1140</v>
      </c>
      <c r="C337" s="10" t="s">
        <v>14</v>
      </c>
      <c r="D337" s="10">
        <v>112</v>
      </c>
    </row>
    <row r="338" spans="1:4" x14ac:dyDescent="0.25">
      <c r="A338" s="10" t="s">
        <v>20</v>
      </c>
      <c r="B338" s="10">
        <v>102</v>
      </c>
      <c r="C338" s="10" t="s">
        <v>14</v>
      </c>
      <c r="D338" s="10">
        <v>21</v>
      </c>
    </row>
    <row r="339" spans="1:4" x14ac:dyDescent="0.25">
      <c r="A339" s="10" t="s">
        <v>20</v>
      </c>
      <c r="B339" s="10">
        <v>2857</v>
      </c>
      <c r="C339" s="10" t="s">
        <v>14</v>
      </c>
      <c r="D339" s="10">
        <v>67</v>
      </c>
    </row>
    <row r="340" spans="1:4" x14ac:dyDescent="0.25">
      <c r="A340" s="10" t="s">
        <v>20</v>
      </c>
      <c r="B340" s="10">
        <v>107</v>
      </c>
      <c r="C340" s="10" t="s">
        <v>14</v>
      </c>
      <c r="D340" s="10">
        <v>78</v>
      </c>
    </row>
    <row r="341" spans="1:4" x14ac:dyDescent="0.25">
      <c r="A341" s="10" t="s">
        <v>20</v>
      </c>
      <c r="B341" s="10">
        <v>160</v>
      </c>
      <c r="C341" s="10" t="s">
        <v>14</v>
      </c>
      <c r="D341" s="10">
        <v>67</v>
      </c>
    </row>
    <row r="342" spans="1:4" x14ac:dyDescent="0.25">
      <c r="A342" s="10" t="s">
        <v>20</v>
      </c>
      <c r="B342" s="10">
        <v>2230</v>
      </c>
      <c r="C342" s="10" t="s">
        <v>14</v>
      </c>
      <c r="D342" s="10">
        <v>263</v>
      </c>
    </row>
    <row r="343" spans="1:4" x14ac:dyDescent="0.25">
      <c r="A343" s="10" t="s">
        <v>20</v>
      </c>
      <c r="B343" s="10">
        <v>316</v>
      </c>
      <c r="C343" s="10" t="s">
        <v>14</v>
      </c>
      <c r="D343" s="10">
        <v>1691</v>
      </c>
    </row>
    <row r="344" spans="1:4" x14ac:dyDescent="0.25">
      <c r="A344" s="10" t="s">
        <v>20</v>
      </c>
      <c r="B344" s="10">
        <v>117</v>
      </c>
      <c r="C344" s="10" t="s">
        <v>14</v>
      </c>
      <c r="D344" s="10">
        <v>181</v>
      </c>
    </row>
    <row r="345" spans="1:4" x14ac:dyDescent="0.25">
      <c r="A345" s="10" t="s">
        <v>20</v>
      </c>
      <c r="B345" s="10">
        <v>6406</v>
      </c>
      <c r="C345" s="10" t="s">
        <v>14</v>
      </c>
      <c r="D345" s="10">
        <v>13</v>
      </c>
    </row>
    <row r="346" spans="1:4" x14ac:dyDescent="0.25">
      <c r="A346" s="10" t="s">
        <v>20</v>
      </c>
      <c r="B346" s="10">
        <v>192</v>
      </c>
      <c r="C346" s="10" t="s">
        <v>14</v>
      </c>
      <c r="D346" s="10">
        <v>1</v>
      </c>
    </row>
    <row r="347" spans="1:4" x14ac:dyDescent="0.25">
      <c r="A347" s="10" t="s">
        <v>20</v>
      </c>
      <c r="B347" s="10">
        <v>26</v>
      </c>
      <c r="C347" s="10" t="s">
        <v>14</v>
      </c>
      <c r="D347" s="10">
        <v>21</v>
      </c>
    </row>
    <row r="348" spans="1:4" x14ac:dyDescent="0.25">
      <c r="A348" s="10" t="s">
        <v>20</v>
      </c>
      <c r="B348" s="10">
        <v>723</v>
      </c>
      <c r="C348" s="10" t="s">
        <v>14</v>
      </c>
      <c r="D348" s="10">
        <v>830</v>
      </c>
    </row>
    <row r="349" spans="1:4" x14ac:dyDescent="0.25">
      <c r="A349" s="10" t="s">
        <v>20</v>
      </c>
      <c r="B349" s="10">
        <v>170</v>
      </c>
      <c r="C349" s="10" t="s">
        <v>14</v>
      </c>
      <c r="D349" s="10">
        <v>130</v>
      </c>
    </row>
    <row r="350" spans="1:4" x14ac:dyDescent="0.25">
      <c r="A350" s="10" t="s">
        <v>20</v>
      </c>
      <c r="B350" s="10">
        <v>238</v>
      </c>
      <c r="C350" s="10" t="s">
        <v>14</v>
      </c>
      <c r="D350" s="10">
        <v>55</v>
      </c>
    </row>
    <row r="351" spans="1:4" x14ac:dyDescent="0.25">
      <c r="A351" s="10" t="s">
        <v>20</v>
      </c>
      <c r="B351" s="10">
        <v>55</v>
      </c>
      <c r="C351" s="10" t="s">
        <v>14</v>
      </c>
      <c r="D351" s="10">
        <v>114</v>
      </c>
    </row>
    <row r="352" spans="1:4" x14ac:dyDescent="0.25">
      <c r="A352" s="10" t="s">
        <v>20</v>
      </c>
      <c r="B352" s="10">
        <v>128</v>
      </c>
      <c r="C352" s="10" t="s">
        <v>14</v>
      </c>
      <c r="D352" s="10">
        <v>594</v>
      </c>
    </row>
    <row r="353" spans="1:4" x14ac:dyDescent="0.25">
      <c r="A353" s="10" t="s">
        <v>20</v>
      </c>
      <c r="B353" s="10">
        <v>2144</v>
      </c>
      <c r="C353" s="10" t="s">
        <v>14</v>
      </c>
      <c r="D353" s="10">
        <v>24</v>
      </c>
    </row>
    <row r="354" spans="1:4" x14ac:dyDescent="0.25">
      <c r="A354" s="10" t="s">
        <v>20</v>
      </c>
      <c r="B354" s="10">
        <v>2693</v>
      </c>
      <c r="C354" s="10" t="s">
        <v>14</v>
      </c>
      <c r="D354" s="10">
        <v>252</v>
      </c>
    </row>
    <row r="355" spans="1:4" x14ac:dyDescent="0.25">
      <c r="A355" s="10" t="s">
        <v>20</v>
      </c>
      <c r="B355" s="10">
        <v>432</v>
      </c>
      <c r="C355" s="10" t="s">
        <v>14</v>
      </c>
      <c r="D355" s="10">
        <v>67</v>
      </c>
    </row>
    <row r="356" spans="1:4" x14ac:dyDescent="0.25">
      <c r="A356" s="10" t="s">
        <v>20</v>
      </c>
      <c r="B356" s="10">
        <v>189</v>
      </c>
      <c r="C356" s="10" t="s">
        <v>14</v>
      </c>
      <c r="D356" s="10">
        <v>742</v>
      </c>
    </row>
    <row r="357" spans="1:4" x14ac:dyDescent="0.25">
      <c r="A357" s="10" t="s">
        <v>20</v>
      </c>
      <c r="B357" s="10">
        <v>154</v>
      </c>
      <c r="C357" s="10" t="s">
        <v>14</v>
      </c>
      <c r="D357" s="10">
        <v>75</v>
      </c>
    </row>
    <row r="358" spans="1:4" x14ac:dyDescent="0.25">
      <c r="A358" s="10" t="s">
        <v>20</v>
      </c>
      <c r="B358" s="10">
        <v>96</v>
      </c>
      <c r="C358" s="10" t="s">
        <v>14</v>
      </c>
      <c r="D358" s="10">
        <v>4405</v>
      </c>
    </row>
    <row r="359" spans="1:4" x14ac:dyDescent="0.25">
      <c r="A359" s="10" t="s">
        <v>20</v>
      </c>
      <c r="B359" s="10">
        <v>3063</v>
      </c>
      <c r="C359" s="10" t="s">
        <v>14</v>
      </c>
      <c r="D359" s="10">
        <v>92</v>
      </c>
    </row>
    <row r="360" spans="1:4" x14ac:dyDescent="0.25">
      <c r="A360" s="10" t="s">
        <v>20</v>
      </c>
      <c r="B360" s="10">
        <v>2266</v>
      </c>
      <c r="C360" s="10" t="s">
        <v>14</v>
      </c>
      <c r="D360" s="10">
        <v>64</v>
      </c>
    </row>
    <row r="361" spans="1:4" x14ac:dyDescent="0.25">
      <c r="A361" s="10" t="s">
        <v>20</v>
      </c>
      <c r="B361" s="10">
        <v>194</v>
      </c>
      <c r="C361" s="10" t="s">
        <v>14</v>
      </c>
      <c r="D361" s="10">
        <v>64</v>
      </c>
    </row>
    <row r="362" spans="1:4" x14ac:dyDescent="0.25">
      <c r="A362" s="10" t="s">
        <v>20</v>
      </c>
      <c r="B362" s="10">
        <v>129</v>
      </c>
      <c r="C362" s="10" t="s">
        <v>14</v>
      </c>
      <c r="D362" s="10">
        <v>842</v>
      </c>
    </row>
    <row r="363" spans="1:4" x14ac:dyDescent="0.25">
      <c r="A363" s="10" t="s">
        <v>20</v>
      </c>
      <c r="B363" s="10">
        <v>375</v>
      </c>
      <c r="C363" s="10" t="s">
        <v>14</v>
      </c>
      <c r="D363" s="10">
        <v>112</v>
      </c>
    </row>
    <row r="364" spans="1:4" x14ac:dyDescent="0.25">
      <c r="A364" s="10" t="s">
        <v>20</v>
      </c>
      <c r="B364" s="10">
        <v>409</v>
      </c>
      <c r="C364" s="10" t="s">
        <v>14</v>
      </c>
      <c r="D364" s="10">
        <v>374</v>
      </c>
    </row>
    <row r="365" spans="1:4" x14ac:dyDescent="0.25">
      <c r="A365" s="10" t="s">
        <v>20</v>
      </c>
      <c r="B365" s="10">
        <v>234</v>
      </c>
    </row>
    <row r="366" spans="1:4" x14ac:dyDescent="0.25">
      <c r="A366" s="10" t="s">
        <v>20</v>
      </c>
      <c r="B366" s="10">
        <v>3016</v>
      </c>
    </row>
    <row r="367" spans="1:4" x14ac:dyDescent="0.25">
      <c r="A367" s="10" t="s">
        <v>20</v>
      </c>
      <c r="B367" s="10">
        <v>264</v>
      </c>
    </row>
    <row r="368" spans="1:4" x14ac:dyDescent="0.25">
      <c r="A368" s="10" t="s">
        <v>20</v>
      </c>
      <c r="B368" s="10">
        <v>272</v>
      </c>
    </row>
    <row r="369" spans="1:2" x14ac:dyDescent="0.25">
      <c r="A369" s="10" t="s">
        <v>20</v>
      </c>
      <c r="B369" s="10">
        <v>419</v>
      </c>
    </row>
    <row r="370" spans="1:2" x14ac:dyDescent="0.25">
      <c r="A370" s="10" t="s">
        <v>20</v>
      </c>
      <c r="B370" s="10">
        <v>1621</v>
      </c>
    </row>
    <row r="371" spans="1:2" x14ac:dyDescent="0.25">
      <c r="A371" s="10" t="s">
        <v>20</v>
      </c>
      <c r="B371" s="10">
        <v>1101</v>
      </c>
    </row>
    <row r="372" spans="1:2" x14ac:dyDescent="0.25">
      <c r="A372" s="10" t="s">
        <v>20</v>
      </c>
      <c r="B372" s="10">
        <v>1073</v>
      </c>
    </row>
    <row r="373" spans="1:2" x14ac:dyDescent="0.25">
      <c r="A373" s="10" t="s">
        <v>20</v>
      </c>
      <c r="B373" s="10">
        <v>331</v>
      </c>
    </row>
    <row r="374" spans="1:2" x14ac:dyDescent="0.25">
      <c r="A374" s="10" t="s">
        <v>20</v>
      </c>
      <c r="B374" s="10">
        <v>1170</v>
      </c>
    </row>
    <row r="375" spans="1:2" x14ac:dyDescent="0.25">
      <c r="A375" s="10" t="s">
        <v>20</v>
      </c>
      <c r="B375" s="10">
        <v>363</v>
      </c>
    </row>
    <row r="376" spans="1:2" x14ac:dyDescent="0.25">
      <c r="A376" s="10" t="s">
        <v>20</v>
      </c>
      <c r="B376" s="10">
        <v>103</v>
      </c>
    </row>
    <row r="377" spans="1:2" x14ac:dyDescent="0.25">
      <c r="A377" s="10" t="s">
        <v>20</v>
      </c>
      <c r="B377" s="10">
        <v>147</v>
      </c>
    </row>
    <row r="378" spans="1:2" x14ac:dyDescent="0.25">
      <c r="A378" s="10" t="s">
        <v>20</v>
      </c>
      <c r="B378" s="10">
        <v>110</v>
      </c>
    </row>
    <row r="379" spans="1:2" x14ac:dyDescent="0.25">
      <c r="A379" s="10" t="s">
        <v>20</v>
      </c>
      <c r="B379" s="10">
        <v>134</v>
      </c>
    </row>
    <row r="380" spans="1:2" x14ac:dyDescent="0.25">
      <c r="A380" s="10" t="s">
        <v>20</v>
      </c>
      <c r="B380" s="10">
        <v>269</v>
      </c>
    </row>
    <row r="381" spans="1:2" x14ac:dyDescent="0.25">
      <c r="A381" s="10" t="s">
        <v>20</v>
      </c>
      <c r="B381" s="10">
        <v>175</v>
      </c>
    </row>
    <row r="382" spans="1:2" x14ac:dyDescent="0.25">
      <c r="A382" s="10" t="s">
        <v>20</v>
      </c>
      <c r="B382" s="10">
        <v>69</v>
      </c>
    </row>
    <row r="383" spans="1:2" x14ac:dyDescent="0.25">
      <c r="A383" s="10" t="s">
        <v>20</v>
      </c>
      <c r="B383" s="10">
        <v>190</v>
      </c>
    </row>
    <row r="384" spans="1:2" x14ac:dyDescent="0.25">
      <c r="A384" s="10" t="s">
        <v>20</v>
      </c>
      <c r="B384" s="10">
        <v>237</v>
      </c>
    </row>
    <row r="385" spans="1:2" x14ac:dyDescent="0.25">
      <c r="A385" s="10" t="s">
        <v>20</v>
      </c>
      <c r="B385" s="10">
        <v>196</v>
      </c>
    </row>
    <row r="386" spans="1:2" x14ac:dyDescent="0.25">
      <c r="A386" s="10" t="s">
        <v>20</v>
      </c>
      <c r="B386" s="10">
        <v>7295</v>
      </c>
    </row>
    <row r="387" spans="1:2" x14ac:dyDescent="0.25">
      <c r="A387" s="10" t="s">
        <v>20</v>
      </c>
      <c r="B387" s="10">
        <v>2893</v>
      </c>
    </row>
    <row r="388" spans="1:2" x14ac:dyDescent="0.25">
      <c r="A388" s="10" t="s">
        <v>20</v>
      </c>
      <c r="B388" s="10">
        <v>820</v>
      </c>
    </row>
    <row r="389" spans="1:2" x14ac:dyDescent="0.25">
      <c r="A389" s="10" t="s">
        <v>20</v>
      </c>
      <c r="B389" s="10">
        <v>2038</v>
      </c>
    </row>
    <row r="390" spans="1:2" x14ac:dyDescent="0.25">
      <c r="A390" s="10" t="s">
        <v>20</v>
      </c>
      <c r="B390" s="10">
        <v>116</v>
      </c>
    </row>
    <row r="391" spans="1:2" x14ac:dyDescent="0.25">
      <c r="A391" s="10" t="s">
        <v>20</v>
      </c>
      <c r="B391" s="10">
        <v>1345</v>
      </c>
    </row>
    <row r="392" spans="1:2" x14ac:dyDescent="0.25">
      <c r="A392" s="10" t="s">
        <v>20</v>
      </c>
      <c r="B392" s="10">
        <v>168</v>
      </c>
    </row>
    <row r="393" spans="1:2" x14ac:dyDescent="0.25">
      <c r="A393" s="10" t="s">
        <v>20</v>
      </c>
      <c r="B393" s="10">
        <v>137</v>
      </c>
    </row>
    <row r="394" spans="1:2" x14ac:dyDescent="0.25">
      <c r="A394" s="10" t="s">
        <v>20</v>
      </c>
      <c r="B394" s="10">
        <v>186</v>
      </c>
    </row>
    <row r="395" spans="1:2" x14ac:dyDescent="0.25">
      <c r="A395" s="10" t="s">
        <v>20</v>
      </c>
      <c r="B395" s="10">
        <v>125</v>
      </c>
    </row>
    <row r="396" spans="1:2" x14ac:dyDescent="0.25">
      <c r="A396" s="10" t="s">
        <v>20</v>
      </c>
      <c r="B396" s="10">
        <v>202</v>
      </c>
    </row>
    <row r="397" spans="1:2" x14ac:dyDescent="0.25">
      <c r="A397" s="10" t="s">
        <v>20</v>
      </c>
      <c r="B397" s="10">
        <v>103</v>
      </c>
    </row>
    <row r="398" spans="1:2" x14ac:dyDescent="0.25">
      <c r="A398" s="10" t="s">
        <v>20</v>
      </c>
      <c r="B398" s="10">
        <v>1785</v>
      </c>
    </row>
    <row r="399" spans="1:2" x14ac:dyDescent="0.25">
      <c r="A399" s="10" t="s">
        <v>20</v>
      </c>
      <c r="B399" s="10">
        <v>157</v>
      </c>
    </row>
    <row r="400" spans="1:2" x14ac:dyDescent="0.25">
      <c r="A400" s="10" t="s">
        <v>20</v>
      </c>
      <c r="B400" s="10">
        <v>555</v>
      </c>
    </row>
    <row r="401" spans="1:2" x14ac:dyDescent="0.25">
      <c r="A401" s="10" t="s">
        <v>20</v>
      </c>
      <c r="B401" s="10">
        <v>297</v>
      </c>
    </row>
    <row r="402" spans="1:2" x14ac:dyDescent="0.25">
      <c r="A402" s="10" t="s">
        <v>20</v>
      </c>
      <c r="B402" s="10">
        <v>123</v>
      </c>
    </row>
    <row r="403" spans="1:2" x14ac:dyDescent="0.25">
      <c r="A403" s="10" t="s">
        <v>20</v>
      </c>
      <c r="B403" s="10">
        <v>3036</v>
      </c>
    </row>
    <row r="404" spans="1:2" x14ac:dyDescent="0.25">
      <c r="A404" s="10" t="s">
        <v>20</v>
      </c>
      <c r="B404" s="10">
        <v>144</v>
      </c>
    </row>
    <row r="405" spans="1:2" x14ac:dyDescent="0.25">
      <c r="A405" s="10" t="s">
        <v>20</v>
      </c>
      <c r="B405" s="10">
        <v>121</v>
      </c>
    </row>
    <row r="406" spans="1:2" x14ac:dyDescent="0.25">
      <c r="A406" s="10" t="s">
        <v>20</v>
      </c>
      <c r="B406" s="10">
        <v>181</v>
      </c>
    </row>
    <row r="407" spans="1:2" x14ac:dyDescent="0.25">
      <c r="A407" s="10" t="s">
        <v>20</v>
      </c>
      <c r="B407" s="10">
        <v>122</v>
      </c>
    </row>
    <row r="408" spans="1:2" x14ac:dyDescent="0.25">
      <c r="A408" s="10" t="s">
        <v>20</v>
      </c>
      <c r="B408" s="10">
        <v>1071</v>
      </c>
    </row>
    <row r="409" spans="1:2" x14ac:dyDescent="0.25">
      <c r="A409" s="10" t="s">
        <v>20</v>
      </c>
      <c r="B409" s="10">
        <v>980</v>
      </c>
    </row>
    <row r="410" spans="1:2" x14ac:dyDescent="0.25">
      <c r="A410" s="10" t="s">
        <v>20</v>
      </c>
      <c r="B410" s="10">
        <v>536</v>
      </c>
    </row>
    <row r="411" spans="1:2" x14ac:dyDescent="0.25">
      <c r="A411" s="10" t="s">
        <v>20</v>
      </c>
      <c r="B411" s="10">
        <v>1991</v>
      </c>
    </row>
    <row r="412" spans="1:2" x14ac:dyDescent="0.25">
      <c r="A412" s="10" t="s">
        <v>20</v>
      </c>
      <c r="B412" s="10">
        <v>180</v>
      </c>
    </row>
    <row r="413" spans="1:2" x14ac:dyDescent="0.25">
      <c r="A413" s="10" t="s">
        <v>20</v>
      </c>
      <c r="B413" s="10">
        <v>130</v>
      </c>
    </row>
    <row r="414" spans="1:2" x14ac:dyDescent="0.25">
      <c r="A414" s="10" t="s">
        <v>20</v>
      </c>
      <c r="B414" s="10">
        <v>122</v>
      </c>
    </row>
    <row r="415" spans="1:2" x14ac:dyDescent="0.25">
      <c r="A415" s="10" t="s">
        <v>20</v>
      </c>
      <c r="B415" s="10">
        <v>140</v>
      </c>
    </row>
    <row r="416" spans="1:2" x14ac:dyDescent="0.25">
      <c r="A416" s="10" t="s">
        <v>20</v>
      </c>
      <c r="B416" s="10">
        <v>3388</v>
      </c>
    </row>
    <row r="417" spans="1:2" x14ac:dyDescent="0.25">
      <c r="A417" s="10" t="s">
        <v>20</v>
      </c>
      <c r="B417" s="10">
        <v>280</v>
      </c>
    </row>
    <row r="418" spans="1:2" x14ac:dyDescent="0.25">
      <c r="A418" s="10" t="s">
        <v>20</v>
      </c>
      <c r="B418" s="10">
        <v>366</v>
      </c>
    </row>
    <row r="419" spans="1:2" x14ac:dyDescent="0.25">
      <c r="A419" s="10" t="s">
        <v>20</v>
      </c>
      <c r="B419" s="10">
        <v>270</v>
      </c>
    </row>
    <row r="420" spans="1:2" x14ac:dyDescent="0.25">
      <c r="A420" s="10" t="s">
        <v>20</v>
      </c>
      <c r="B420" s="10">
        <v>137</v>
      </c>
    </row>
    <row r="421" spans="1:2" x14ac:dyDescent="0.25">
      <c r="A421" s="10" t="s">
        <v>20</v>
      </c>
      <c r="B421" s="10">
        <v>3205</v>
      </c>
    </row>
    <row r="422" spans="1:2" x14ac:dyDescent="0.25">
      <c r="A422" s="10" t="s">
        <v>20</v>
      </c>
      <c r="B422" s="10">
        <v>288</v>
      </c>
    </row>
    <row r="423" spans="1:2" x14ac:dyDescent="0.25">
      <c r="A423" s="10" t="s">
        <v>20</v>
      </c>
      <c r="B423" s="10">
        <v>148</v>
      </c>
    </row>
    <row r="424" spans="1:2" x14ac:dyDescent="0.25">
      <c r="A424" s="10" t="s">
        <v>20</v>
      </c>
      <c r="B424" s="10">
        <v>114</v>
      </c>
    </row>
    <row r="425" spans="1:2" x14ac:dyDescent="0.25">
      <c r="A425" s="10" t="s">
        <v>20</v>
      </c>
      <c r="B425" s="10">
        <v>1518</v>
      </c>
    </row>
    <row r="426" spans="1:2" x14ac:dyDescent="0.25">
      <c r="A426" s="10" t="s">
        <v>20</v>
      </c>
      <c r="B426" s="10">
        <v>166</v>
      </c>
    </row>
    <row r="427" spans="1:2" x14ac:dyDescent="0.25">
      <c r="A427" s="10" t="s">
        <v>20</v>
      </c>
      <c r="B427" s="10">
        <v>100</v>
      </c>
    </row>
    <row r="428" spans="1:2" x14ac:dyDescent="0.25">
      <c r="A428" s="10" t="s">
        <v>20</v>
      </c>
      <c r="B428" s="10">
        <v>235</v>
      </c>
    </row>
    <row r="429" spans="1:2" x14ac:dyDescent="0.25">
      <c r="A429" s="10" t="s">
        <v>20</v>
      </c>
      <c r="B429" s="10">
        <v>148</v>
      </c>
    </row>
    <row r="430" spans="1:2" x14ac:dyDescent="0.25">
      <c r="A430" s="10" t="s">
        <v>20</v>
      </c>
      <c r="B430" s="10">
        <v>198</v>
      </c>
    </row>
    <row r="431" spans="1:2" x14ac:dyDescent="0.25">
      <c r="A431" s="10" t="s">
        <v>20</v>
      </c>
      <c r="B431" s="10">
        <v>150</v>
      </c>
    </row>
    <row r="432" spans="1:2" x14ac:dyDescent="0.25">
      <c r="A432" s="10" t="s">
        <v>20</v>
      </c>
      <c r="B432" s="10">
        <v>216</v>
      </c>
    </row>
    <row r="433" spans="1:2" x14ac:dyDescent="0.25">
      <c r="A433" s="10" t="s">
        <v>20</v>
      </c>
      <c r="B433" s="10">
        <v>5139</v>
      </c>
    </row>
    <row r="434" spans="1:2" x14ac:dyDescent="0.25">
      <c r="A434" s="10" t="s">
        <v>20</v>
      </c>
      <c r="B434" s="10">
        <v>2353</v>
      </c>
    </row>
    <row r="435" spans="1:2" x14ac:dyDescent="0.25">
      <c r="A435" s="10" t="s">
        <v>20</v>
      </c>
      <c r="B435" s="10">
        <v>78</v>
      </c>
    </row>
    <row r="436" spans="1:2" x14ac:dyDescent="0.25">
      <c r="A436" s="10" t="s">
        <v>20</v>
      </c>
      <c r="B436" s="10">
        <v>174</v>
      </c>
    </row>
    <row r="437" spans="1:2" x14ac:dyDescent="0.25">
      <c r="A437" s="10" t="s">
        <v>20</v>
      </c>
      <c r="B437" s="10">
        <v>164</v>
      </c>
    </row>
    <row r="438" spans="1:2" x14ac:dyDescent="0.25">
      <c r="A438" s="10" t="s">
        <v>20</v>
      </c>
      <c r="B438" s="10">
        <v>161</v>
      </c>
    </row>
    <row r="439" spans="1:2" x14ac:dyDescent="0.25">
      <c r="A439" s="10" t="s">
        <v>20</v>
      </c>
      <c r="B439" s="10">
        <v>138</v>
      </c>
    </row>
    <row r="440" spans="1:2" x14ac:dyDescent="0.25">
      <c r="A440" s="10" t="s">
        <v>20</v>
      </c>
      <c r="B440" s="10">
        <v>3308</v>
      </c>
    </row>
    <row r="441" spans="1:2" x14ac:dyDescent="0.25">
      <c r="A441" s="10" t="s">
        <v>20</v>
      </c>
      <c r="B441" s="10">
        <v>127</v>
      </c>
    </row>
    <row r="442" spans="1:2" x14ac:dyDescent="0.25">
      <c r="A442" s="10" t="s">
        <v>20</v>
      </c>
      <c r="B442" s="10">
        <v>207</v>
      </c>
    </row>
    <row r="443" spans="1:2" x14ac:dyDescent="0.25">
      <c r="A443" s="10" t="s">
        <v>20</v>
      </c>
      <c r="B443" s="10">
        <v>181</v>
      </c>
    </row>
    <row r="444" spans="1:2" x14ac:dyDescent="0.25">
      <c r="A444" s="10" t="s">
        <v>20</v>
      </c>
      <c r="B444" s="10">
        <v>110</v>
      </c>
    </row>
    <row r="445" spans="1:2" x14ac:dyDescent="0.25">
      <c r="A445" s="10" t="s">
        <v>20</v>
      </c>
      <c r="B445" s="10">
        <v>185</v>
      </c>
    </row>
    <row r="446" spans="1:2" x14ac:dyDescent="0.25">
      <c r="A446" s="10" t="s">
        <v>20</v>
      </c>
      <c r="B446" s="10">
        <v>121</v>
      </c>
    </row>
    <row r="447" spans="1:2" x14ac:dyDescent="0.25">
      <c r="A447" s="10" t="s">
        <v>20</v>
      </c>
      <c r="B447" s="10">
        <v>106</v>
      </c>
    </row>
    <row r="448" spans="1:2" x14ac:dyDescent="0.25">
      <c r="A448" s="10" t="s">
        <v>20</v>
      </c>
      <c r="B448" s="10">
        <v>142</v>
      </c>
    </row>
    <row r="449" spans="1:2" x14ac:dyDescent="0.25">
      <c r="A449" s="10" t="s">
        <v>20</v>
      </c>
      <c r="B449" s="10">
        <v>233</v>
      </c>
    </row>
    <row r="450" spans="1:2" x14ac:dyDescent="0.25">
      <c r="A450" s="10" t="s">
        <v>20</v>
      </c>
      <c r="B450" s="10">
        <v>218</v>
      </c>
    </row>
    <row r="451" spans="1:2" x14ac:dyDescent="0.25">
      <c r="A451" s="10" t="s">
        <v>20</v>
      </c>
      <c r="B451" s="10">
        <v>76</v>
      </c>
    </row>
    <row r="452" spans="1:2" x14ac:dyDescent="0.25">
      <c r="A452" s="10" t="s">
        <v>20</v>
      </c>
      <c r="B452" s="10">
        <v>43</v>
      </c>
    </row>
    <row r="453" spans="1:2" x14ac:dyDescent="0.25">
      <c r="A453" s="10" t="s">
        <v>20</v>
      </c>
      <c r="B453" s="10">
        <v>221</v>
      </c>
    </row>
    <row r="454" spans="1:2" x14ac:dyDescent="0.25">
      <c r="A454" s="10" t="s">
        <v>20</v>
      </c>
      <c r="B454" s="10">
        <v>2805</v>
      </c>
    </row>
    <row r="455" spans="1:2" x14ac:dyDescent="0.25">
      <c r="A455" s="10" t="s">
        <v>20</v>
      </c>
      <c r="B455" s="10">
        <v>68</v>
      </c>
    </row>
    <row r="456" spans="1:2" x14ac:dyDescent="0.25">
      <c r="A456" s="10" t="s">
        <v>20</v>
      </c>
      <c r="B456" s="10">
        <v>183</v>
      </c>
    </row>
    <row r="457" spans="1:2" x14ac:dyDescent="0.25">
      <c r="A457" s="10" t="s">
        <v>20</v>
      </c>
      <c r="B457" s="10">
        <v>133</v>
      </c>
    </row>
    <row r="458" spans="1:2" x14ac:dyDescent="0.25">
      <c r="A458" s="10" t="s">
        <v>20</v>
      </c>
      <c r="B458" s="10">
        <v>2489</v>
      </c>
    </row>
    <row r="459" spans="1:2" x14ac:dyDescent="0.25">
      <c r="A459" s="10" t="s">
        <v>20</v>
      </c>
      <c r="B459" s="10">
        <v>69</v>
      </c>
    </row>
    <row r="460" spans="1:2" x14ac:dyDescent="0.25">
      <c r="A460" s="10" t="s">
        <v>20</v>
      </c>
      <c r="B460" s="10">
        <v>279</v>
      </c>
    </row>
    <row r="461" spans="1:2" x14ac:dyDescent="0.25">
      <c r="A461" s="10" t="s">
        <v>20</v>
      </c>
      <c r="B461" s="10">
        <v>210</v>
      </c>
    </row>
    <row r="462" spans="1:2" x14ac:dyDescent="0.25">
      <c r="A462" s="10" t="s">
        <v>20</v>
      </c>
      <c r="B462" s="10">
        <v>2100</v>
      </c>
    </row>
    <row r="463" spans="1:2" x14ac:dyDescent="0.25">
      <c r="A463" s="10" t="s">
        <v>20</v>
      </c>
      <c r="B463" s="10">
        <v>252</v>
      </c>
    </row>
    <row r="464" spans="1:2" x14ac:dyDescent="0.25">
      <c r="A464" s="10" t="s">
        <v>20</v>
      </c>
      <c r="B464" s="10">
        <v>1280</v>
      </c>
    </row>
    <row r="465" spans="1:2" x14ac:dyDescent="0.25">
      <c r="A465" s="10" t="s">
        <v>20</v>
      </c>
      <c r="B465" s="10">
        <v>157</v>
      </c>
    </row>
    <row r="466" spans="1:2" x14ac:dyDescent="0.25">
      <c r="A466" s="10" t="s">
        <v>20</v>
      </c>
      <c r="B466" s="10">
        <v>194</v>
      </c>
    </row>
    <row r="467" spans="1:2" x14ac:dyDescent="0.25">
      <c r="A467" s="10" t="s">
        <v>20</v>
      </c>
      <c r="B467" s="10">
        <v>82</v>
      </c>
    </row>
    <row r="468" spans="1:2" x14ac:dyDescent="0.25">
      <c r="A468" s="10" t="s">
        <v>20</v>
      </c>
      <c r="B468" s="10">
        <v>4233</v>
      </c>
    </row>
    <row r="469" spans="1:2" x14ac:dyDescent="0.25">
      <c r="A469" s="10" t="s">
        <v>20</v>
      </c>
      <c r="B469" s="10">
        <v>1297</v>
      </c>
    </row>
    <row r="470" spans="1:2" x14ac:dyDescent="0.25">
      <c r="A470" s="10" t="s">
        <v>20</v>
      </c>
      <c r="B470" s="10">
        <v>165</v>
      </c>
    </row>
    <row r="471" spans="1:2" x14ac:dyDescent="0.25">
      <c r="A471" s="10" t="s">
        <v>20</v>
      </c>
      <c r="B471" s="10">
        <v>119</v>
      </c>
    </row>
    <row r="472" spans="1:2" x14ac:dyDescent="0.25">
      <c r="A472" s="10" t="s">
        <v>20</v>
      </c>
      <c r="B472" s="10">
        <v>1797</v>
      </c>
    </row>
    <row r="473" spans="1:2" x14ac:dyDescent="0.25">
      <c r="A473" s="10" t="s">
        <v>20</v>
      </c>
      <c r="B473" s="10">
        <v>261</v>
      </c>
    </row>
    <row r="474" spans="1:2" x14ac:dyDescent="0.25">
      <c r="A474" s="10" t="s">
        <v>20</v>
      </c>
      <c r="B474" s="10">
        <v>157</v>
      </c>
    </row>
    <row r="475" spans="1:2" x14ac:dyDescent="0.25">
      <c r="A475" s="10" t="s">
        <v>20</v>
      </c>
      <c r="B475" s="10">
        <v>3533</v>
      </c>
    </row>
    <row r="476" spans="1:2" x14ac:dyDescent="0.25">
      <c r="A476" s="10" t="s">
        <v>20</v>
      </c>
      <c r="B476" s="10">
        <v>155</v>
      </c>
    </row>
    <row r="477" spans="1:2" x14ac:dyDescent="0.25">
      <c r="A477" s="10" t="s">
        <v>20</v>
      </c>
      <c r="B477" s="10">
        <v>132</v>
      </c>
    </row>
    <row r="478" spans="1:2" x14ac:dyDescent="0.25">
      <c r="A478" s="10" t="s">
        <v>20</v>
      </c>
      <c r="B478" s="10">
        <v>1354</v>
      </c>
    </row>
    <row r="479" spans="1:2" x14ac:dyDescent="0.25">
      <c r="A479" s="10" t="s">
        <v>20</v>
      </c>
      <c r="B479" s="10">
        <v>48</v>
      </c>
    </row>
    <row r="480" spans="1:2" x14ac:dyDescent="0.25">
      <c r="A480" s="10" t="s">
        <v>20</v>
      </c>
      <c r="B480" s="10">
        <v>110</v>
      </c>
    </row>
    <row r="481" spans="1:2" x14ac:dyDescent="0.25">
      <c r="A481" s="10" t="s">
        <v>20</v>
      </c>
      <c r="B481" s="10">
        <v>172</v>
      </c>
    </row>
    <row r="482" spans="1:2" x14ac:dyDescent="0.25">
      <c r="A482" s="10" t="s">
        <v>20</v>
      </c>
      <c r="B482" s="10">
        <v>307</v>
      </c>
    </row>
    <row r="483" spans="1:2" x14ac:dyDescent="0.25">
      <c r="A483" s="10" t="s">
        <v>20</v>
      </c>
      <c r="B483" s="10">
        <v>160</v>
      </c>
    </row>
    <row r="484" spans="1:2" x14ac:dyDescent="0.25">
      <c r="A484" s="10" t="s">
        <v>20</v>
      </c>
      <c r="B484" s="10">
        <v>1467</v>
      </c>
    </row>
    <row r="485" spans="1:2" x14ac:dyDescent="0.25">
      <c r="A485" s="10" t="s">
        <v>20</v>
      </c>
      <c r="B485" s="10">
        <v>2662</v>
      </c>
    </row>
    <row r="486" spans="1:2" x14ac:dyDescent="0.25">
      <c r="A486" s="10" t="s">
        <v>20</v>
      </c>
      <c r="B486" s="10">
        <v>452</v>
      </c>
    </row>
    <row r="487" spans="1:2" x14ac:dyDescent="0.25">
      <c r="A487" s="10" t="s">
        <v>20</v>
      </c>
      <c r="B487" s="10">
        <v>158</v>
      </c>
    </row>
    <row r="488" spans="1:2" x14ac:dyDescent="0.25">
      <c r="A488" s="10" t="s">
        <v>20</v>
      </c>
      <c r="B488" s="10">
        <v>225</v>
      </c>
    </row>
    <row r="489" spans="1:2" x14ac:dyDescent="0.25">
      <c r="A489" s="10" t="s">
        <v>20</v>
      </c>
      <c r="B489" s="10">
        <v>65</v>
      </c>
    </row>
    <row r="490" spans="1:2" x14ac:dyDescent="0.25">
      <c r="A490" s="10" t="s">
        <v>20</v>
      </c>
      <c r="B490" s="10">
        <v>163</v>
      </c>
    </row>
    <row r="491" spans="1:2" x14ac:dyDescent="0.25">
      <c r="A491" s="10" t="s">
        <v>20</v>
      </c>
      <c r="B491" s="10">
        <v>85</v>
      </c>
    </row>
    <row r="492" spans="1:2" x14ac:dyDescent="0.25">
      <c r="A492" s="10" t="s">
        <v>20</v>
      </c>
      <c r="B492" s="10">
        <v>217</v>
      </c>
    </row>
    <row r="493" spans="1:2" x14ac:dyDescent="0.25">
      <c r="A493" s="10" t="s">
        <v>20</v>
      </c>
      <c r="B493" s="10">
        <v>150</v>
      </c>
    </row>
    <row r="494" spans="1:2" x14ac:dyDescent="0.25">
      <c r="A494" s="10" t="s">
        <v>20</v>
      </c>
      <c r="B494" s="10">
        <v>3272</v>
      </c>
    </row>
    <row r="495" spans="1:2" x14ac:dyDescent="0.25">
      <c r="A495" s="10" t="s">
        <v>20</v>
      </c>
      <c r="B495" s="10">
        <v>300</v>
      </c>
    </row>
    <row r="496" spans="1:2" x14ac:dyDescent="0.25">
      <c r="A496" s="10" t="s">
        <v>20</v>
      </c>
      <c r="B496" s="10">
        <v>126</v>
      </c>
    </row>
    <row r="497" spans="1:2" x14ac:dyDescent="0.25">
      <c r="A497" s="10" t="s">
        <v>20</v>
      </c>
      <c r="B497" s="10">
        <v>2320</v>
      </c>
    </row>
    <row r="498" spans="1:2" x14ac:dyDescent="0.25">
      <c r="A498" s="10" t="s">
        <v>20</v>
      </c>
      <c r="B498" s="10">
        <v>81</v>
      </c>
    </row>
    <row r="499" spans="1:2" x14ac:dyDescent="0.25">
      <c r="A499" s="10" t="s">
        <v>20</v>
      </c>
      <c r="B499" s="10">
        <v>1887</v>
      </c>
    </row>
    <row r="500" spans="1:2" x14ac:dyDescent="0.25">
      <c r="A500" s="10" t="s">
        <v>20</v>
      </c>
      <c r="B500" s="10">
        <v>4358</v>
      </c>
    </row>
    <row r="501" spans="1:2" x14ac:dyDescent="0.25">
      <c r="A501" s="10" t="s">
        <v>20</v>
      </c>
      <c r="B501" s="10">
        <v>53</v>
      </c>
    </row>
    <row r="502" spans="1:2" x14ac:dyDescent="0.25">
      <c r="A502" s="10" t="s">
        <v>20</v>
      </c>
      <c r="B502" s="10">
        <v>2414</v>
      </c>
    </row>
    <row r="503" spans="1:2" x14ac:dyDescent="0.25">
      <c r="A503" s="10" t="s">
        <v>20</v>
      </c>
      <c r="B503" s="10">
        <v>80</v>
      </c>
    </row>
    <row r="504" spans="1:2" x14ac:dyDescent="0.25">
      <c r="A504" s="10" t="s">
        <v>20</v>
      </c>
      <c r="B504" s="10">
        <v>193</v>
      </c>
    </row>
    <row r="505" spans="1:2" x14ac:dyDescent="0.25">
      <c r="A505" s="10" t="s">
        <v>20</v>
      </c>
      <c r="B505" s="10">
        <v>52</v>
      </c>
    </row>
    <row r="506" spans="1:2" x14ac:dyDescent="0.25">
      <c r="A506" s="10" t="s">
        <v>20</v>
      </c>
      <c r="B506" s="10">
        <v>290</v>
      </c>
    </row>
    <row r="507" spans="1:2" x14ac:dyDescent="0.25">
      <c r="A507" s="10" t="s">
        <v>20</v>
      </c>
      <c r="B507" s="10">
        <v>122</v>
      </c>
    </row>
    <row r="508" spans="1:2" x14ac:dyDescent="0.25">
      <c r="A508" s="10" t="s">
        <v>20</v>
      </c>
      <c r="B508" s="10">
        <v>1470</v>
      </c>
    </row>
    <row r="509" spans="1:2" x14ac:dyDescent="0.25">
      <c r="A509" s="10" t="s">
        <v>20</v>
      </c>
      <c r="B509" s="10">
        <v>165</v>
      </c>
    </row>
    <row r="510" spans="1:2" x14ac:dyDescent="0.25">
      <c r="A510" s="10" t="s">
        <v>20</v>
      </c>
      <c r="B510" s="10">
        <v>182</v>
      </c>
    </row>
    <row r="511" spans="1:2" x14ac:dyDescent="0.25">
      <c r="A511" s="10" t="s">
        <v>20</v>
      </c>
      <c r="B511" s="10">
        <v>199</v>
      </c>
    </row>
    <row r="512" spans="1:2" x14ac:dyDescent="0.25">
      <c r="A512" s="10" t="s">
        <v>20</v>
      </c>
      <c r="B512" s="10">
        <v>56</v>
      </c>
    </row>
    <row r="513" spans="1:2" x14ac:dyDescent="0.25">
      <c r="A513" s="10" t="s">
        <v>20</v>
      </c>
      <c r="B513" s="10">
        <v>1460</v>
      </c>
    </row>
    <row r="514" spans="1:2" x14ac:dyDescent="0.25">
      <c r="A514" s="10" t="s">
        <v>20</v>
      </c>
      <c r="B514" s="10">
        <v>123</v>
      </c>
    </row>
    <row r="515" spans="1:2" x14ac:dyDescent="0.25">
      <c r="A515" s="10" t="s">
        <v>20</v>
      </c>
      <c r="B515" s="10">
        <v>159</v>
      </c>
    </row>
    <row r="516" spans="1:2" x14ac:dyDescent="0.25">
      <c r="A516" s="10" t="s">
        <v>20</v>
      </c>
      <c r="B516" s="10">
        <v>110</v>
      </c>
    </row>
    <row r="517" spans="1:2" x14ac:dyDescent="0.25">
      <c r="A517" s="10" t="s">
        <v>20</v>
      </c>
      <c r="B517" s="10">
        <v>236</v>
      </c>
    </row>
    <row r="518" spans="1:2" x14ac:dyDescent="0.25">
      <c r="A518" s="10" t="s">
        <v>20</v>
      </c>
      <c r="B518" s="10">
        <v>191</v>
      </c>
    </row>
    <row r="519" spans="1:2" x14ac:dyDescent="0.25">
      <c r="A519" s="10" t="s">
        <v>20</v>
      </c>
      <c r="B519" s="10">
        <v>3934</v>
      </c>
    </row>
    <row r="520" spans="1:2" x14ac:dyDescent="0.25">
      <c r="A520" s="10" t="s">
        <v>20</v>
      </c>
      <c r="B520" s="10">
        <v>80</v>
      </c>
    </row>
    <row r="521" spans="1:2" x14ac:dyDescent="0.25">
      <c r="A521" s="10" t="s">
        <v>20</v>
      </c>
      <c r="B521" s="10">
        <v>462</v>
      </c>
    </row>
    <row r="522" spans="1:2" x14ac:dyDescent="0.25">
      <c r="A522" s="10" t="s">
        <v>20</v>
      </c>
      <c r="B522" s="10">
        <v>179</v>
      </c>
    </row>
    <row r="523" spans="1:2" x14ac:dyDescent="0.25">
      <c r="A523" s="10" t="s">
        <v>20</v>
      </c>
      <c r="B523" s="10">
        <v>1866</v>
      </c>
    </row>
    <row r="524" spans="1:2" x14ac:dyDescent="0.25">
      <c r="A524" s="10" t="s">
        <v>20</v>
      </c>
      <c r="B524" s="10">
        <v>156</v>
      </c>
    </row>
    <row r="525" spans="1:2" x14ac:dyDescent="0.25">
      <c r="A525" s="10" t="s">
        <v>20</v>
      </c>
      <c r="B525" s="10">
        <v>255</v>
      </c>
    </row>
    <row r="526" spans="1:2" x14ac:dyDescent="0.25">
      <c r="A526" s="10" t="s">
        <v>20</v>
      </c>
      <c r="B526" s="10">
        <v>2261</v>
      </c>
    </row>
    <row r="527" spans="1:2" x14ac:dyDescent="0.25">
      <c r="A527" s="10" t="s">
        <v>20</v>
      </c>
      <c r="B527" s="10">
        <v>40</v>
      </c>
    </row>
    <row r="528" spans="1:2" x14ac:dyDescent="0.25">
      <c r="A528" s="10" t="s">
        <v>20</v>
      </c>
      <c r="B528" s="10">
        <v>2289</v>
      </c>
    </row>
    <row r="529" spans="1:2" x14ac:dyDescent="0.25">
      <c r="A529" s="10" t="s">
        <v>20</v>
      </c>
      <c r="B529" s="10">
        <v>65</v>
      </c>
    </row>
    <row r="530" spans="1:2" x14ac:dyDescent="0.25">
      <c r="A530" s="10" t="s">
        <v>20</v>
      </c>
      <c r="B530" s="10">
        <v>3777</v>
      </c>
    </row>
    <row r="531" spans="1:2" x14ac:dyDescent="0.25">
      <c r="A531" s="10" t="s">
        <v>20</v>
      </c>
      <c r="B531" s="10">
        <v>184</v>
      </c>
    </row>
    <row r="532" spans="1:2" x14ac:dyDescent="0.25">
      <c r="A532" s="10" t="s">
        <v>20</v>
      </c>
      <c r="B532" s="10">
        <v>85</v>
      </c>
    </row>
    <row r="533" spans="1:2" x14ac:dyDescent="0.25">
      <c r="A533" s="10" t="s">
        <v>20</v>
      </c>
      <c r="B533" s="10">
        <v>144</v>
      </c>
    </row>
    <row r="534" spans="1:2" x14ac:dyDescent="0.25">
      <c r="A534" s="10" t="s">
        <v>20</v>
      </c>
      <c r="B534" s="10">
        <v>1902</v>
      </c>
    </row>
    <row r="535" spans="1:2" x14ac:dyDescent="0.25">
      <c r="A535" s="10" t="s">
        <v>20</v>
      </c>
      <c r="B535" s="10">
        <v>105</v>
      </c>
    </row>
    <row r="536" spans="1:2" x14ac:dyDescent="0.25">
      <c r="A536" s="10" t="s">
        <v>20</v>
      </c>
      <c r="B536" s="10">
        <v>132</v>
      </c>
    </row>
    <row r="537" spans="1:2" x14ac:dyDescent="0.25">
      <c r="A537" s="10" t="s">
        <v>20</v>
      </c>
      <c r="B537" s="10">
        <v>96</v>
      </c>
    </row>
    <row r="538" spans="1:2" x14ac:dyDescent="0.25">
      <c r="A538" s="10" t="s">
        <v>20</v>
      </c>
      <c r="B538" s="10">
        <v>114</v>
      </c>
    </row>
    <row r="539" spans="1:2" x14ac:dyDescent="0.25">
      <c r="A539" s="10" t="s">
        <v>20</v>
      </c>
      <c r="B539" s="10">
        <v>203</v>
      </c>
    </row>
    <row r="540" spans="1:2" x14ac:dyDescent="0.25">
      <c r="A540" s="10" t="s">
        <v>20</v>
      </c>
      <c r="B540" s="10">
        <v>1559</v>
      </c>
    </row>
    <row r="541" spans="1:2" x14ac:dyDescent="0.25">
      <c r="A541" s="10" t="s">
        <v>20</v>
      </c>
      <c r="B541" s="10">
        <v>1548</v>
      </c>
    </row>
    <row r="542" spans="1:2" x14ac:dyDescent="0.25">
      <c r="A542" s="10" t="s">
        <v>20</v>
      </c>
      <c r="B542" s="10">
        <v>80</v>
      </c>
    </row>
    <row r="543" spans="1:2" x14ac:dyDescent="0.25">
      <c r="A543" s="10" t="s">
        <v>20</v>
      </c>
      <c r="B543" s="10">
        <v>131</v>
      </c>
    </row>
    <row r="544" spans="1:2" x14ac:dyDescent="0.25">
      <c r="A544" s="10" t="s">
        <v>20</v>
      </c>
      <c r="B544" s="10">
        <v>112</v>
      </c>
    </row>
    <row r="545" spans="1:2" x14ac:dyDescent="0.25">
      <c r="A545" s="10" t="s">
        <v>20</v>
      </c>
      <c r="B545" s="10">
        <v>155</v>
      </c>
    </row>
    <row r="546" spans="1:2" x14ac:dyDescent="0.25">
      <c r="A546" s="10" t="s">
        <v>20</v>
      </c>
      <c r="B546" s="10">
        <v>266</v>
      </c>
    </row>
    <row r="547" spans="1:2" x14ac:dyDescent="0.25">
      <c r="A547" s="10" t="s">
        <v>20</v>
      </c>
      <c r="B547" s="10">
        <v>155</v>
      </c>
    </row>
    <row r="548" spans="1:2" x14ac:dyDescent="0.25">
      <c r="A548" s="10" t="s">
        <v>20</v>
      </c>
      <c r="B548" s="10">
        <v>207</v>
      </c>
    </row>
    <row r="549" spans="1:2" x14ac:dyDescent="0.25">
      <c r="A549" s="10" t="s">
        <v>20</v>
      </c>
      <c r="B549" s="10">
        <v>245</v>
      </c>
    </row>
    <row r="550" spans="1:2" x14ac:dyDescent="0.25">
      <c r="A550" s="10" t="s">
        <v>20</v>
      </c>
      <c r="B550" s="10">
        <v>1573</v>
      </c>
    </row>
    <row r="551" spans="1:2" x14ac:dyDescent="0.25">
      <c r="A551" s="10" t="s">
        <v>20</v>
      </c>
      <c r="B551" s="10">
        <v>114</v>
      </c>
    </row>
    <row r="552" spans="1:2" x14ac:dyDescent="0.25">
      <c r="A552" s="10" t="s">
        <v>20</v>
      </c>
      <c r="B552" s="10">
        <v>93</v>
      </c>
    </row>
    <row r="553" spans="1:2" x14ac:dyDescent="0.25">
      <c r="A553" s="10" t="s">
        <v>20</v>
      </c>
      <c r="B553" s="10">
        <v>1681</v>
      </c>
    </row>
    <row r="554" spans="1:2" x14ac:dyDescent="0.25">
      <c r="A554" s="10" t="s">
        <v>20</v>
      </c>
      <c r="B554" s="10">
        <v>32</v>
      </c>
    </row>
    <row r="555" spans="1:2" x14ac:dyDescent="0.25">
      <c r="A555" s="10" t="s">
        <v>20</v>
      </c>
      <c r="B555" s="10">
        <v>135</v>
      </c>
    </row>
    <row r="556" spans="1:2" x14ac:dyDescent="0.25">
      <c r="A556" s="10" t="s">
        <v>20</v>
      </c>
      <c r="B556" s="10">
        <v>140</v>
      </c>
    </row>
    <row r="557" spans="1:2" x14ac:dyDescent="0.25">
      <c r="A557" s="10" t="s">
        <v>20</v>
      </c>
      <c r="B557" s="10">
        <v>92</v>
      </c>
    </row>
    <row r="558" spans="1:2" x14ac:dyDescent="0.25">
      <c r="A558" s="10" t="s">
        <v>20</v>
      </c>
      <c r="B558" s="10">
        <v>1015</v>
      </c>
    </row>
    <row r="559" spans="1:2" x14ac:dyDescent="0.25">
      <c r="A559" s="10" t="s">
        <v>20</v>
      </c>
      <c r="B559" s="10">
        <v>323</v>
      </c>
    </row>
    <row r="560" spans="1:2" x14ac:dyDescent="0.25">
      <c r="A560" s="10" t="s">
        <v>20</v>
      </c>
      <c r="B560" s="10">
        <v>2326</v>
      </c>
    </row>
    <row r="561" spans="1:2" x14ac:dyDescent="0.25">
      <c r="A561" s="10" t="s">
        <v>20</v>
      </c>
      <c r="B561" s="10">
        <v>381</v>
      </c>
    </row>
    <row r="562" spans="1:2" x14ac:dyDescent="0.25">
      <c r="A562" s="10" t="s">
        <v>20</v>
      </c>
      <c r="B562" s="10">
        <v>480</v>
      </c>
    </row>
    <row r="563" spans="1:2" x14ac:dyDescent="0.25">
      <c r="A563" s="10" t="s">
        <v>20</v>
      </c>
      <c r="B563" s="10">
        <v>226</v>
      </c>
    </row>
    <row r="564" spans="1:2" x14ac:dyDescent="0.25">
      <c r="A564" s="10" t="s">
        <v>20</v>
      </c>
      <c r="B564" s="10">
        <v>241</v>
      </c>
    </row>
    <row r="565" spans="1:2" x14ac:dyDescent="0.25">
      <c r="A565" s="10" t="s">
        <v>20</v>
      </c>
      <c r="B565" s="10">
        <v>132</v>
      </c>
    </row>
    <row r="566" spans="1:2" x14ac:dyDescent="0.25">
      <c r="A566" s="10" t="s">
        <v>20</v>
      </c>
      <c r="B566" s="10">
        <v>2043</v>
      </c>
    </row>
    <row r="624" spans="2:2" x14ac:dyDescent="0.25">
      <c r="B624" t="s">
        <v>2132</v>
      </c>
    </row>
    <row r="642" spans="2:2" x14ac:dyDescent="0.25">
      <c r="B642" t="s">
        <v>2132</v>
      </c>
    </row>
    <row r="643" spans="2:2" x14ac:dyDescent="0.25">
      <c r="B643" t="s">
        <v>2132</v>
      </c>
    </row>
    <row r="644" spans="2:2" x14ac:dyDescent="0.25">
      <c r="B644" t="s">
        <v>2132</v>
      </c>
    </row>
    <row r="969" spans="1:1" x14ac:dyDescent="0.25">
      <c r="A969" t="s">
        <v>2131</v>
      </c>
    </row>
    <row r="970" spans="1:1" x14ac:dyDescent="0.25">
      <c r="A970" t="s">
        <v>2131</v>
      </c>
    </row>
    <row r="971" spans="1:1" x14ac:dyDescent="0.25">
      <c r="A971" t="s">
        <v>2131</v>
      </c>
    </row>
  </sheetData>
  <mergeCells count="2">
    <mergeCell ref="F1:G1"/>
    <mergeCell ref="H1:I1"/>
  </mergeCells>
  <conditionalFormatting sqref="A2:A566">
    <cfRule type="containsText" dxfId="11" priority="7" operator="containsText" text="canceled">
      <formula>NOT(ISERROR(SEARCH("canceled",A2)))</formula>
    </cfRule>
    <cfRule type="containsText" dxfId="10" priority="8" operator="containsText" text="live">
      <formula>NOT(ISERROR(SEARCH("live",A2)))</formula>
    </cfRule>
    <cfRule type="containsText" dxfId="9" priority="9" operator="containsText" text="successful">
      <formula>NOT(ISERROR(SEARCH("successful",A2)))</formula>
    </cfRule>
    <cfRule type="cellIs" dxfId="8" priority="10" operator="equal">
      <formula>"""""successful"""</formula>
    </cfRule>
    <cfRule type="cellIs" dxfId="7" priority="11" operator="equal">
      <formula>"""successful"</formula>
    </cfRule>
    <cfRule type="cellIs" dxfId="6" priority="12" operator="equal">
      <formula>"failed"</formula>
    </cfRule>
  </conditionalFormatting>
  <conditionalFormatting sqref="C2:C364">
    <cfRule type="containsText" dxfId="5" priority="1" operator="containsText" text="canceled">
      <formula>NOT(ISERROR(SEARCH("canceled",C2)))</formula>
    </cfRule>
    <cfRule type="containsText" dxfId="4" priority="2" operator="containsText" text="live">
      <formula>NOT(ISERROR(SEARCH("live",C2)))</formula>
    </cfRule>
    <cfRule type="containsText" dxfId="3" priority="3" operator="containsText" text="successful">
      <formula>NOT(ISERROR(SEARCH("successful",C2)))</formula>
    </cfRule>
    <cfRule type="cellIs" dxfId="2" priority="4" operator="equal">
      <formula>"""""successful"""</formula>
    </cfRule>
    <cfRule type="cellIs" dxfId="1" priority="5" operator="equal">
      <formula>"""successful"</formula>
    </cfRule>
    <cfRule type="cellIs" dxfId="0" priority="6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0C8A-7EC7-4A62-A8B7-0F5283727559}">
  <dimension ref="A1:V74"/>
  <sheetViews>
    <sheetView topLeftCell="P26" zoomScale="70" zoomScaleNormal="70" workbookViewId="0">
      <selection activeCell="W84" sqref="W84"/>
    </sheetView>
  </sheetViews>
  <sheetFormatPr baseColWidth="10" defaultColWidth="9" defaultRowHeight="15.75" x14ac:dyDescent="0.25"/>
  <cols>
    <col min="1" max="2" width="17.125" bestFit="1" customWidth="1"/>
    <col min="3" max="3" width="21.875" bestFit="1" customWidth="1"/>
    <col min="4" max="4" width="5.875" bestFit="1" customWidth="1"/>
    <col min="5" max="5" width="9.375" bestFit="1" customWidth="1"/>
    <col min="6" max="6" width="12.125" bestFit="1" customWidth="1"/>
    <col min="7" max="7" width="8.875" bestFit="1" customWidth="1"/>
    <col min="8" max="9" width="11.875" bestFit="1" customWidth="1"/>
    <col min="10" max="10" width="7.875" bestFit="1" customWidth="1"/>
    <col min="11" max="11" width="5.875" bestFit="1" customWidth="1"/>
    <col min="12" max="12" width="27.75" bestFit="1" customWidth="1"/>
    <col min="13" max="13" width="23" bestFit="1" customWidth="1"/>
    <col min="14" max="14" width="5.875" bestFit="1" customWidth="1"/>
    <col min="15" max="15" width="4.25" bestFit="1" customWidth="1"/>
    <col min="16" max="16" width="9.375" bestFit="1" customWidth="1"/>
    <col min="17" max="17" width="12.125" bestFit="1" customWidth="1"/>
    <col min="18" max="18" width="9.875" bestFit="1" customWidth="1"/>
    <col min="19" max="19" width="10.875" bestFit="1" customWidth="1"/>
    <col min="20" max="20" width="17.125" bestFit="1" customWidth="1"/>
    <col min="21" max="21" width="21.5" bestFit="1" customWidth="1"/>
    <col min="22" max="22" width="20" bestFit="1" customWidth="1"/>
    <col min="23" max="23" width="6.125" customWidth="1"/>
    <col min="24" max="24" width="16" customWidth="1"/>
    <col min="25" max="25" width="20.5" customWidth="1"/>
    <col min="26" max="26" width="18.875" customWidth="1"/>
    <col min="27" max="27" width="25.25" customWidth="1"/>
    <col min="28" max="28" width="20.5" customWidth="1"/>
    <col min="29" max="29" width="8.75" customWidth="1"/>
    <col min="30" max="112" width="2.875" bestFit="1" customWidth="1"/>
    <col min="113" max="380" width="3.875" bestFit="1" customWidth="1"/>
    <col min="381" max="610" width="4.875" bestFit="1" customWidth="1"/>
    <col min="611" max="611" width="10.875" bestFit="1" customWidth="1"/>
    <col min="612" max="626" width="11.875" bestFit="1" customWidth="1"/>
    <col min="627" max="627" width="10.875" bestFit="1" customWidth="1"/>
    <col min="628" max="630" width="11.875" bestFit="1" customWidth="1"/>
    <col min="631" max="631" width="10.875" bestFit="1" customWidth="1"/>
    <col min="632" max="633" width="11.875" bestFit="1" customWidth="1"/>
    <col min="634" max="634" width="10.875" bestFit="1" customWidth="1"/>
    <col min="635" max="657" width="11.875" bestFit="1" customWidth="1"/>
    <col min="658" max="658" width="5.875" bestFit="1" customWidth="1"/>
    <col min="659" max="662" width="11.875" bestFit="1" customWidth="1"/>
    <col min="663" max="663" width="4.875" bestFit="1" customWidth="1"/>
    <col min="664" max="664" width="11.875" bestFit="1" customWidth="1"/>
    <col min="665" max="665" width="9.875" bestFit="1" customWidth="1"/>
    <col min="666" max="680" width="11.875" bestFit="1" customWidth="1"/>
    <col min="681" max="681" width="9.875" bestFit="1" customWidth="1"/>
    <col min="682" max="688" width="11.875" bestFit="1" customWidth="1"/>
    <col min="689" max="689" width="10.875" bestFit="1" customWidth="1"/>
    <col min="690" max="700" width="11.875" bestFit="1" customWidth="1"/>
    <col min="701" max="701" width="10.875" bestFit="1" customWidth="1"/>
    <col min="702" max="702" width="11.875" bestFit="1" customWidth="1"/>
    <col min="703" max="703" width="7.875" bestFit="1" customWidth="1"/>
    <col min="704" max="720" width="11.875" bestFit="1" customWidth="1"/>
    <col min="721" max="721" width="6.875" bestFit="1" customWidth="1"/>
    <col min="722" max="729" width="11.875" bestFit="1" customWidth="1"/>
    <col min="730" max="730" width="10.875" bestFit="1" customWidth="1"/>
    <col min="731" max="733" width="11.875" bestFit="1" customWidth="1"/>
    <col min="734" max="734" width="10.875" bestFit="1" customWidth="1"/>
    <col min="735" max="739" width="11.875" bestFit="1" customWidth="1"/>
    <col min="740" max="740" width="5.875" bestFit="1" customWidth="1"/>
    <col min="741" max="741" width="11.875" bestFit="1" customWidth="1"/>
    <col min="742" max="742" width="2.875" bestFit="1" customWidth="1"/>
    <col min="743" max="759" width="11.875" bestFit="1" customWidth="1"/>
    <col min="760" max="760" width="10.875" bestFit="1" customWidth="1"/>
    <col min="761" max="767" width="11.875" bestFit="1" customWidth="1"/>
    <col min="768" max="768" width="6.875" bestFit="1" customWidth="1"/>
    <col min="769" max="781" width="11.875" bestFit="1" customWidth="1"/>
    <col min="782" max="782" width="5.875" bestFit="1" customWidth="1"/>
    <col min="783" max="790" width="11.875" bestFit="1" customWidth="1"/>
    <col min="791" max="791" width="10.875" bestFit="1" customWidth="1"/>
    <col min="792" max="792" width="11.875" bestFit="1" customWidth="1"/>
    <col min="793" max="793" width="5.875" bestFit="1" customWidth="1"/>
    <col min="794" max="796" width="11.875" bestFit="1" customWidth="1"/>
    <col min="797" max="797" width="10.875" bestFit="1" customWidth="1"/>
    <col min="798" max="798" width="9.875" bestFit="1" customWidth="1"/>
    <col min="799" max="799" width="10.875" bestFit="1" customWidth="1"/>
    <col min="800" max="800" width="11.875" bestFit="1" customWidth="1"/>
    <col min="801" max="801" width="10.875" bestFit="1" customWidth="1"/>
    <col min="802" max="808" width="11.875" bestFit="1" customWidth="1"/>
    <col min="809" max="809" width="9.875" bestFit="1" customWidth="1"/>
    <col min="810" max="810" width="2.875" bestFit="1" customWidth="1"/>
    <col min="811" max="832" width="11.875" bestFit="1" customWidth="1"/>
    <col min="833" max="833" width="5.875" bestFit="1" customWidth="1"/>
    <col min="834" max="835" width="11.875" bestFit="1" customWidth="1"/>
    <col min="836" max="836" width="10.875" bestFit="1" customWidth="1"/>
    <col min="837" max="838" width="11.875" bestFit="1" customWidth="1"/>
    <col min="839" max="839" width="10.875" bestFit="1" customWidth="1"/>
    <col min="840" max="847" width="11.875" bestFit="1" customWidth="1"/>
    <col min="848" max="848" width="10.875" bestFit="1" customWidth="1"/>
    <col min="849" max="851" width="11.875" bestFit="1" customWidth="1"/>
    <col min="852" max="852" width="10.875" bestFit="1" customWidth="1"/>
    <col min="853" max="853" width="11.875" bestFit="1" customWidth="1"/>
    <col min="854" max="854" width="8.875" bestFit="1" customWidth="1"/>
    <col min="855" max="858" width="11.875" bestFit="1" customWidth="1"/>
    <col min="859" max="859" width="5.875" bestFit="1" customWidth="1"/>
    <col min="860" max="860" width="11.875" bestFit="1" customWidth="1"/>
    <col min="861" max="861" width="5.875" bestFit="1" customWidth="1"/>
    <col min="862" max="865" width="11.875" bestFit="1" customWidth="1"/>
    <col min="866" max="866" width="10.875" bestFit="1" customWidth="1"/>
    <col min="867" max="869" width="11.875" bestFit="1" customWidth="1"/>
    <col min="870" max="870" width="10.875" bestFit="1" customWidth="1"/>
    <col min="871" max="877" width="11.875" bestFit="1" customWidth="1"/>
    <col min="878" max="878" width="7.875" bestFit="1" customWidth="1"/>
    <col min="879" max="879" width="5.875" bestFit="1" customWidth="1"/>
    <col min="880" max="883" width="11.875" bestFit="1" customWidth="1"/>
    <col min="884" max="884" width="2.875" bestFit="1" customWidth="1"/>
    <col min="885" max="891" width="11.875" bestFit="1" customWidth="1"/>
    <col min="892" max="892" width="10.875" bestFit="1" customWidth="1"/>
    <col min="893" max="894" width="11.875" bestFit="1" customWidth="1"/>
    <col min="895" max="895" width="5.875" bestFit="1" customWidth="1"/>
    <col min="896" max="901" width="11.875" bestFit="1" customWidth="1"/>
    <col min="902" max="902" width="9.875" bestFit="1" customWidth="1"/>
    <col min="903" max="909" width="11.875" bestFit="1" customWidth="1"/>
    <col min="910" max="910" width="10.875" bestFit="1" customWidth="1"/>
    <col min="911" max="923" width="11.875" bestFit="1" customWidth="1"/>
    <col min="924" max="924" width="10.875" bestFit="1" customWidth="1"/>
    <col min="925" max="926" width="11.875" bestFit="1" customWidth="1"/>
    <col min="927" max="927" width="5.875" bestFit="1" customWidth="1"/>
    <col min="928" max="942" width="11.875" bestFit="1" customWidth="1"/>
    <col min="943" max="943" width="8.875" bestFit="1" customWidth="1"/>
    <col min="944" max="949" width="11.875" bestFit="1" customWidth="1"/>
    <col min="950" max="950" width="8.875" bestFit="1" customWidth="1"/>
    <col min="951" max="957" width="11.875" bestFit="1" customWidth="1"/>
    <col min="958" max="958" width="8.875" bestFit="1" customWidth="1"/>
    <col min="959" max="965" width="11.875" bestFit="1" customWidth="1"/>
    <col min="966" max="967" width="10.875" bestFit="1" customWidth="1"/>
    <col min="968" max="970" width="11.875" bestFit="1" customWidth="1"/>
    <col min="971" max="971" width="10.875" bestFit="1" customWidth="1"/>
    <col min="972" max="972" width="11.875" bestFit="1" customWidth="1"/>
    <col min="973" max="973" width="9.875" bestFit="1" customWidth="1"/>
    <col min="974" max="974" width="8.875" bestFit="1" customWidth="1"/>
    <col min="975" max="975" width="6.875" bestFit="1" customWidth="1"/>
    <col min="976" max="978" width="11.875" bestFit="1" customWidth="1"/>
    <col min="979" max="979" width="10.875" bestFit="1" customWidth="1"/>
    <col min="980" max="989" width="11.875" bestFit="1" customWidth="1"/>
    <col min="990" max="990" width="14.125" bestFit="1" customWidth="1"/>
    <col min="991" max="991" width="10.875" bestFit="1" customWidth="1"/>
  </cols>
  <sheetData>
    <row r="1" spans="1:22" x14ac:dyDescent="0.25">
      <c r="L1" s="4" t="s">
        <v>2084</v>
      </c>
      <c r="M1" t="s">
        <v>2107</v>
      </c>
      <c r="U1" s="4" t="s">
        <v>2084</v>
      </c>
      <c r="V1" t="s">
        <v>2107</v>
      </c>
    </row>
    <row r="2" spans="1:22" x14ac:dyDescent="0.25">
      <c r="A2" s="4" t="s">
        <v>2031</v>
      </c>
      <c r="B2" t="s">
        <v>2107</v>
      </c>
    </row>
    <row r="3" spans="1:22" x14ac:dyDescent="0.25">
      <c r="L3" s="4" t="s">
        <v>2105</v>
      </c>
      <c r="M3" t="s">
        <v>2102</v>
      </c>
      <c r="U3" s="4" t="s">
        <v>2105</v>
      </c>
      <c r="V3" t="s">
        <v>2097</v>
      </c>
    </row>
    <row r="4" spans="1:22" x14ac:dyDescent="0.25">
      <c r="A4" s="4" t="s">
        <v>2105</v>
      </c>
      <c r="B4" t="s">
        <v>2102</v>
      </c>
      <c r="L4" s="5" t="s">
        <v>2041</v>
      </c>
      <c r="M4" s="7">
        <v>12007.639999999998</v>
      </c>
      <c r="U4" s="5" t="s">
        <v>2041</v>
      </c>
      <c r="V4" s="7">
        <v>178</v>
      </c>
    </row>
    <row r="5" spans="1:22" x14ac:dyDescent="0.25">
      <c r="A5" s="5" t="s">
        <v>2069</v>
      </c>
      <c r="B5" s="7">
        <v>7239.670000000001</v>
      </c>
      <c r="L5" s="5" t="s">
        <v>2033</v>
      </c>
      <c r="M5" s="7">
        <v>3141.5499999999997</v>
      </c>
      <c r="U5" s="5" t="s">
        <v>2033</v>
      </c>
      <c r="V5" s="7">
        <v>46</v>
      </c>
    </row>
    <row r="6" spans="1:22" x14ac:dyDescent="0.25">
      <c r="A6" s="5" t="s">
        <v>2070</v>
      </c>
      <c r="B6" s="7">
        <v>6721.5399999999972</v>
      </c>
      <c r="L6" s="5" t="s">
        <v>2050</v>
      </c>
      <c r="M6" s="7">
        <v>3394.5900000000006</v>
      </c>
      <c r="U6" s="5" t="s">
        <v>2050</v>
      </c>
      <c r="V6" s="7">
        <v>48</v>
      </c>
    </row>
    <row r="7" spans="1:22" x14ac:dyDescent="0.25">
      <c r="A7" s="5" t="s">
        <v>2071</v>
      </c>
      <c r="B7" s="7">
        <v>5635.420000000001</v>
      </c>
      <c r="L7" s="5" t="s">
        <v>2064</v>
      </c>
      <c r="M7" s="7">
        <v>121.96000000000001</v>
      </c>
      <c r="U7" s="5" t="s">
        <v>2064</v>
      </c>
      <c r="V7" s="7">
        <v>4</v>
      </c>
    </row>
    <row r="8" spans="1:22" x14ac:dyDescent="0.25">
      <c r="A8" s="5" t="s">
        <v>2072</v>
      </c>
      <c r="B8" s="7">
        <v>5914.8700000000008</v>
      </c>
      <c r="L8" s="5" t="s">
        <v>2035</v>
      </c>
      <c r="M8" s="7">
        <v>11260.91</v>
      </c>
      <c r="U8" s="5" t="s">
        <v>2035</v>
      </c>
      <c r="V8" s="7">
        <v>175</v>
      </c>
    </row>
    <row r="9" spans="1:22" x14ac:dyDescent="0.25">
      <c r="A9" s="5" t="s">
        <v>2073</v>
      </c>
      <c r="B9" s="7">
        <v>6604.6600000000026</v>
      </c>
      <c r="L9" s="5" t="s">
        <v>2054</v>
      </c>
      <c r="M9" s="7">
        <v>2719.7300000000005</v>
      </c>
      <c r="U9" s="5" t="s">
        <v>2054</v>
      </c>
      <c r="V9" s="7">
        <v>42</v>
      </c>
    </row>
    <row r="10" spans="1:22" x14ac:dyDescent="0.25">
      <c r="A10" s="5" t="s">
        <v>2074</v>
      </c>
      <c r="B10" s="7">
        <v>7215.52</v>
      </c>
      <c r="L10" s="5" t="s">
        <v>2047</v>
      </c>
      <c r="M10" s="7">
        <v>4981.8500000000022</v>
      </c>
      <c r="U10" s="5" t="s">
        <v>2047</v>
      </c>
      <c r="V10" s="7">
        <v>67</v>
      </c>
    </row>
    <row r="11" spans="1:22" x14ac:dyDescent="0.25">
      <c r="A11" s="5" t="s">
        <v>2075</v>
      </c>
      <c r="B11" s="7">
        <v>6988.4600000000046</v>
      </c>
      <c r="L11" s="5" t="s">
        <v>2037</v>
      </c>
      <c r="M11" s="7">
        <v>6190.2</v>
      </c>
      <c r="U11" s="5" t="s">
        <v>2037</v>
      </c>
      <c r="V11" s="7">
        <v>96</v>
      </c>
    </row>
    <row r="12" spans="1:22" x14ac:dyDescent="0.25">
      <c r="A12" s="5" t="s">
        <v>2076</v>
      </c>
      <c r="B12" s="7">
        <v>6635.2400000000025</v>
      </c>
      <c r="L12" s="5" t="s">
        <v>2039</v>
      </c>
      <c r="M12" s="7">
        <v>23728.479999999978</v>
      </c>
      <c r="U12" s="5" t="s">
        <v>2039</v>
      </c>
      <c r="V12" s="7">
        <v>344</v>
      </c>
    </row>
    <row r="13" spans="1:22" x14ac:dyDescent="0.25">
      <c r="A13" s="5" t="s">
        <v>2077</v>
      </c>
      <c r="B13" s="7">
        <v>6830.28</v>
      </c>
      <c r="L13" s="5" t="s">
        <v>2106</v>
      </c>
      <c r="M13" s="7">
        <v>67546.909999999974</v>
      </c>
      <c r="U13" s="5" t="s">
        <v>2106</v>
      </c>
      <c r="V13" s="7">
        <v>1000</v>
      </c>
    </row>
    <row r="14" spans="1:22" x14ac:dyDescent="0.25">
      <c r="A14" s="5" t="s">
        <v>2078</v>
      </c>
      <c r="B14" s="7">
        <v>7583.3200000000006</v>
      </c>
    </row>
    <row r="15" spans="1:22" x14ac:dyDescent="0.25">
      <c r="A15" s="5" t="s">
        <v>2079</v>
      </c>
      <c r="B15" s="7">
        <v>177.93</v>
      </c>
    </row>
    <row r="16" spans="1:22" x14ac:dyDescent="0.25">
      <c r="A16" s="5" t="s">
        <v>2106</v>
      </c>
      <c r="B16" s="7">
        <v>67546.910000000018</v>
      </c>
    </row>
    <row r="17" spans="2:22" x14ac:dyDescent="0.25">
      <c r="L17" s="4" t="s">
        <v>2084</v>
      </c>
      <c r="M17" t="s">
        <v>2107</v>
      </c>
    </row>
    <row r="18" spans="2:22" x14ac:dyDescent="0.25">
      <c r="U18" s="4" t="s">
        <v>2105</v>
      </c>
      <c r="V18" t="s">
        <v>2103</v>
      </c>
    </row>
    <row r="19" spans="2:22" x14ac:dyDescent="0.25">
      <c r="L19" s="4" t="s">
        <v>2105</v>
      </c>
      <c r="M19" t="s">
        <v>2102</v>
      </c>
      <c r="U19" s="5" t="s">
        <v>2041</v>
      </c>
      <c r="V19" s="7">
        <v>121875</v>
      </c>
    </row>
    <row r="20" spans="2:22" x14ac:dyDescent="0.25">
      <c r="L20" s="5" t="s">
        <v>26</v>
      </c>
      <c r="M20" s="7">
        <v>3105.3500000000008</v>
      </c>
      <c r="U20" s="5" t="s">
        <v>2033</v>
      </c>
      <c r="V20" s="7">
        <v>28846</v>
      </c>
    </row>
    <row r="21" spans="2:22" x14ac:dyDescent="0.25">
      <c r="L21" s="5" t="s">
        <v>15</v>
      </c>
      <c r="M21" s="7">
        <v>2663.9300000000003</v>
      </c>
      <c r="U21" s="5" t="s">
        <v>2050</v>
      </c>
      <c r="V21" s="7">
        <v>37662</v>
      </c>
    </row>
    <row r="22" spans="2:22" x14ac:dyDescent="0.25">
      <c r="L22" s="5" t="s">
        <v>98</v>
      </c>
      <c r="M22" s="7">
        <v>1460.1499999999999</v>
      </c>
      <c r="U22" s="5" t="s">
        <v>2064</v>
      </c>
      <c r="V22" s="7">
        <v>1194</v>
      </c>
    </row>
    <row r="23" spans="2:22" x14ac:dyDescent="0.25">
      <c r="L23" s="5" t="s">
        <v>36</v>
      </c>
      <c r="M23" s="7">
        <v>2027.1599999999999</v>
      </c>
      <c r="U23" s="5" t="s">
        <v>2035</v>
      </c>
      <c r="V23" s="7">
        <v>129002</v>
      </c>
    </row>
    <row r="24" spans="2:22" x14ac:dyDescent="0.25">
      <c r="L24" s="5" t="s">
        <v>40</v>
      </c>
      <c r="M24" s="7">
        <v>3009.7000000000003</v>
      </c>
      <c r="U24" s="5" t="s">
        <v>2054</v>
      </c>
      <c r="V24" s="7">
        <v>24044</v>
      </c>
    </row>
    <row r="25" spans="2:22" x14ac:dyDescent="0.25">
      <c r="L25" s="5" t="s">
        <v>107</v>
      </c>
      <c r="M25" s="7">
        <v>3399.6299999999997</v>
      </c>
      <c r="U25" s="5" t="s">
        <v>2047</v>
      </c>
      <c r="V25" s="7">
        <v>52619</v>
      </c>
    </row>
    <row r="26" spans="2:22" x14ac:dyDescent="0.25">
      <c r="L26" s="5" t="s">
        <v>21</v>
      </c>
      <c r="M26" s="7">
        <v>51880.990000000027</v>
      </c>
      <c r="U26" s="5" t="s">
        <v>2037</v>
      </c>
      <c r="V26" s="7">
        <v>67494</v>
      </c>
    </row>
    <row r="27" spans="2:22" x14ac:dyDescent="0.25">
      <c r="L27" s="5" t="s">
        <v>2106</v>
      </c>
      <c r="M27" s="7">
        <v>67546.910000000033</v>
      </c>
      <c r="U27" s="5" t="s">
        <v>2039</v>
      </c>
      <c r="V27" s="7">
        <v>264269</v>
      </c>
    </row>
    <row r="28" spans="2:22" x14ac:dyDescent="0.25">
      <c r="U28" s="5" t="s">
        <v>2106</v>
      </c>
      <c r="V28" s="7">
        <v>727005</v>
      </c>
    </row>
    <row r="31" spans="2:22" x14ac:dyDescent="0.25">
      <c r="B31" s="4" t="s">
        <v>2031</v>
      </c>
      <c r="C31" t="s">
        <v>2041</v>
      </c>
    </row>
    <row r="33" spans="2:22" x14ac:dyDescent="0.25">
      <c r="B33" s="4" t="s">
        <v>2097</v>
      </c>
      <c r="C33" s="4" t="s">
        <v>2104</v>
      </c>
      <c r="L33" s="4" t="s">
        <v>2097</v>
      </c>
      <c r="M33" s="4" t="s">
        <v>2104</v>
      </c>
      <c r="U33" s="4" t="s">
        <v>2105</v>
      </c>
      <c r="V33" t="s">
        <v>2103</v>
      </c>
    </row>
    <row r="34" spans="2:22" x14ac:dyDescent="0.25">
      <c r="B34" s="4" t="s">
        <v>2105</v>
      </c>
      <c r="C34" t="s">
        <v>74</v>
      </c>
      <c r="D34" t="s">
        <v>14</v>
      </c>
      <c r="E34" t="s">
        <v>20</v>
      </c>
      <c r="F34" t="s">
        <v>2106</v>
      </c>
      <c r="L34" s="4" t="s">
        <v>2105</v>
      </c>
      <c r="M34" t="s">
        <v>74</v>
      </c>
      <c r="N34" t="s">
        <v>14</v>
      </c>
      <c r="O34" t="s">
        <v>47</v>
      </c>
      <c r="P34" t="s">
        <v>20</v>
      </c>
      <c r="Q34" t="s">
        <v>2106</v>
      </c>
      <c r="U34" s="5" t="s">
        <v>2069</v>
      </c>
      <c r="V34" s="7">
        <v>80961</v>
      </c>
    </row>
    <row r="35" spans="2:22" x14ac:dyDescent="0.25">
      <c r="B35" s="5" t="s">
        <v>2069</v>
      </c>
      <c r="C35" s="7">
        <v>3</v>
      </c>
      <c r="D35" s="7">
        <v>3</v>
      </c>
      <c r="E35" s="7">
        <v>6</v>
      </c>
      <c r="F35" s="7">
        <v>12</v>
      </c>
      <c r="L35" s="5" t="s">
        <v>2085</v>
      </c>
      <c r="M35" s="7">
        <v>8</v>
      </c>
      <c r="N35" s="7">
        <v>34</v>
      </c>
      <c r="O35" s="7">
        <v>2</v>
      </c>
      <c r="P35" s="7">
        <v>44</v>
      </c>
      <c r="Q35" s="7">
        <v>88</v>
      </c>
      <c r="U35" s="5" t="s">
        <v>2070</v>
      </c>
      <c r="V35" s="7">
        <v>75090</v>
      </c>
    </row>
    <row r="36" spans="2:22" x14ac:dyDescent="0.25">
      <c r="B36" s="5" t="s">
        <v>2070</v>
      </c>
      <c r="C36" s="7"/>
      <c r="D36" s="7">
        <v>9</v>
      </c>
      <c r="E36" s="7">
        <v>16</v>
      </c>
      <c r="F36" s="7">
        <v>25</v>
      </c>
      <c r="L36" s="5" t="s">
        <v>2086</v>
      </c>
      <c r="M36" s="7">
        <v>4</v>
      </c>
      <c r="N36" s="7">
        <v>23</v>
      </c>
      <c r="O36" s="7"/>
      <c r="P36" s="7">
        <v>37</v>
      </c>
      <c r="Q36" s="7">
        <v>64</v>
      </c>
      <c r="U36" s="5" t="s">
        <v>2071</v>
      </c>
      <c r="V36" s="7">
        <v>66346</v>
      </c>
    </row>
    <row r="37" spans="2:22" x14ac:dyDescent="0.25">
      <c r="B37" s="5" t="s">
        <v>2071</v>
      </c>
      <c r="C37" s="7">
        <v>1</v>
      </c>
      <c r="D37" s="7">
        <v>5</v>
      </c>
      <c r="E37" s="7">
        <v>9</v>
      </c>
      <c r="F37" s="7">
        <v>15</v>
      </c>
      <c r="L37" s="5" t="s">
        <v>2087</v>
      </c>
      <c r="M37" s="7">
        <v>6</v>
      </c>
      <c r="N37" s="7">
        <v>42</v>
      </c>
      <c r="O37" s="7">
        <v>1</v>
      </c>
      <c r="P37" s="7">
        <v>59</v>
      </c>
      <c r="Q37" s="7">
        <v>108</v>
      </c>
      <c r="U37" s="5" t="s">
        <v>2072</v>
      </c>
      <c r="V37" s="7">
        <v>70618</v>
      </c>
    </row>
    <row r="38" spans="2:22" x14ac:dyDescent="0.25">
      <c r="B38" s="5" t="s">
        <v>2072</v>
      </c>
      <c r="C38" s="7"/>
      <c r="D38" s="7">
        <v>5</v>
      </c>
      <c r="E38" s="7">
        <v>9</v>
      </c>
      <c r="F38" s="7">
        <v>14</v>
      </c>
      <c r="L38" s="5" t="s">
        <v>2088</v>
      </c>
      <c r="M38" s="7">
        <v>3</v>
      </c>
      <c r="N38" s="7">
        <v>32</v>
      </c>
      <c r="O38" s="7">
        <v>1</v>
      </c>
      <c r="P38" s="7">
        <v>41</v>
      </c>
      <c r="Q38" s="7">
        <v>77</v>
      </c>
      <c r="U38" s="5" t="s">
        <v>2073</v>
      </c>
      <c r="V38" s="7">
        <v>98251</v>
      </c>
    </row>
    <row r="39" spans="2:22" x14ac:dyDescent="0.25">
      <c r="B39" s="5" t="s">
        <v>2073</v>
      </c>
      <c r="C39" s="7">
        <v>2</v>
      </c>
      <c r="D39" s="7">
        <v>6</v>
      </c>
      <c r="E39" s="7">
        <v>9</v>
      </c>
      <c r="F39" s="7">
        <v>17</v>
      </c>
      <c r="L39" s="5" t="s">
        <v>2089</v>
      </c>
      <c r="M39" s="7">
        <v>2</v>
      </c>
      <c r="N39" s="7">
        <v>32</v>
      </c>
      <c r="O39" s="7">
        <v>2</v>
      </c>
      <c r="P39" s="7">
        <v>52</v>
      </c>
      <c r="Q39" s="7">
        <v>88</v>
      </c>
      <c r="U39" s="5" t="s">
        <v>2074</v>
      </c>
      <c r="V39" s="7">
        <v>58219</v>
      </c>
    </row>
    <row r="40" spans="2:22" x14ac:dyDescent="0.25">
      <c r="B40" s="5" t="s">
        <v>2074</v>
      </c>
      <c r="C40" s="7">
        <v>1</v>
      </c>
      <c r="D40" s="7">
        <v>8</v>
      </c>
      <c r="E40" s="7">
        <v>10</v>
      </c>
      <c r="F40" s="7">
        <v>19</v>
      </c>
      <c r="L40" s="5" t="s">
        <v>2090</v>
      </c>
      <c r="M40" s="7">
        <v>1</v>
      </c>
      <c r="N40" s="7">
        <v>26</v>
      </c>
      <c r="O40" s="7"/>
      <c r="P40" s="7">
        <v>44</v>
      </c>
      <c r="Q40" s="7">
        <v>71</v>
      </c>
      <c r="U40" s="5" t="s">
        <v>2075</v>
      </c>
      <c r="V40" s="7">
        <v>53847</v>
      </c>
    </row>
    <row r="41" spans="2:22" x14ac:dyDescent="0.25">
      <c r="B41" s="5" t="s">
        <v>2075</v>
      </c>
      <c r="C41" s="7">
        <v>1</v>
      </c>
      <c r="D41" s="7">
        <v>6</v>
      </c>
      <c r="E41" s="7">
        <v>9</v>
      </c>
      <c r="F41" s="7">
        <v>16</v>
      </c>
      <c r="L41" s="5" t="s">
        <v>2091</v>
      </c>
      <c r="M41" s="7">
        <v>5</v>
      </c>
      <c r="N41" s="7">
        <v>34</v>
      </c>
      <c r="O41" s="7">
        <v>2</v>
      </c>
      <c r="P41" s="7">
        <v>58</v>
      </c>
      <c r="Q41" s="7">
        <v>99</v>
      </c>
      <c r="U41" s="5" t="s">
        <v>2076</v>
      </c>
      <c r="V41" s="7">
        <v>86877</v>
      </c>
    </row>
    <row r="42" spans="2:22" x14ac:dyDescent="0.25">
      <c r="B42" s="5" t="s">
        <v>2076</v>
      </c>
      <c r="C42" s="7">
        <v>2</v>
      </c>
      <c r="D42" s="7">
        <v>5</v>
      </c>
      <c r="E42" s="7">
        <v>13</v>
      </c>
      <c r="F42" s="7">
        <v>20</v>
      </c>
      <c r="L42" s="5" t="s">
        <v>2092</v>
      </c>
      <c r="M42" s="7">
        <v>5</v>
      </c>
      <c r="N42" s="7">
        <v>28</v>
      </c>
      <c r="O42" s="7">
        <v>1</v>
      </c>
      <c r="P42" s="7">
        <v>49</v>
      </c>
      <c r="Q42" s="7">
        <v>83</v>
      </c>
      <c r="U42" s="5" t="s">
        <v>2077</v>
      </c>
      <c r="V42" s="7">
        <v>64400</v>
      </c>
    </row>
    <row r="43" spans="2:22" x14ac:dyDescent="0.25">
      <c r="B43" s="5" t="s">
        <v>2077</v>
      </c>
      <c r="C43" s="7"/>
      <c r="D43" s="7">
        <v>7</v>
      </c>
      <c r="E43" s="7">
        <v>10</v>
      </c>
      <c r="F43" s="7">
        <v>17</v>
      </c>
      <c r="L43" s="5" t="s">
        <v>2093</v>
      </c>
      <c r="M43" s="7">
        <v>6</v>
      </c>
      <c r="N43" s="7">
        <v>35</v>
      </c>
      <c r="O43" s="7"/>
      <c r="P43" s="7">
        <v>52</v>
      </c>
      <c r="Q43" s="7">
        <v>93</v>
      </c>
      <c r="U43" s="5" t="s">
        <v>2078</v>
      </c>
      <c r="V43" s="7">
        <v>72322</v>
      </c>
    </row>
    <row r="44" spans="2:22" x14ac:dyDescent="0.25">
      <c r="B44" s="5" t="s">
        <v>2078</v>
      </c>
      <c r="C44" s="7">
        <v>1</v>
      </c>
      <c r="D44" s="7">
        <v>6</v>
      </c>
      <c r="E44" s="7">
        <v>11</v>
      </c>
      <c r="F44" s="7">
        <v>18</v>
      </c>
      <c r="L44" s="5" t="s">
        <v>2094</v>
      </c>
      <c r="M44" s="7">
        <v>9</v>
      </c>
      <c r="N44" s="7">
        <v>18</v>
      </c>
      <c r="O44" s="7"/>
      <c r="P44" s="7">
        <v>39</v>
      </c>
      <c r="Q44" s="7">
        <v>66</v>
      </c>
      <c r="U44" s="5" t="s">
        <v>2079</v>
      </c>
      <c r="V44" s="7">
        <v>74</v>
      </c>
    </row>
    <row r="45" spans="2:22" x14ac:dyDescent="0.25">
      <c r="B45" s="5" t="s">
        <v>2106</v>
      </c>
      <c r="C45" s="7">
        <v>11</v>
      </c>
      <c r="D45" s="7">
        <v>60</v>
      </c>
      <c r="E45" s="7">
        <v>102</v>
      </c>
      <c r="F45" s="7">
        <v>173</v>
      </c>
      <c r="L45" s="5" t="s">
        <v>2095</v>
      </c>
      <c r="M45" s="7">
        <v>2</v>
      </c>
      <c r="N45" s="7">
        <v>30</v>
      </c>
      <c r="O45" s="7">
        <v>2</v>
      </c>
      <c r="P45" s="7">
        <v>33</v>
      </c>
      <c r="Q45" s="7">
        <v>67</v>
      </c>
      <c r="U45" s="5" t="s">
        <v>2106</v>
      </c>
      <c r="V45" s="7">
        <v>727005</v>
      </c>
    </row>
    <row r="46" spans="2:22" x14ac:dyDescent="0.25">
      <c r="L46" s="5" t="s">
        <v>2096</v>
      </c>
      <c r="M46" s="7">
        <v>6</v>
      </c>
      <c r="N46" s="7">
        <v>30</v>
      </c>
      <c r="O46" s="7">
        <v>3</v>
      </c>
      <c r="P46" s="7">
        <v>57</v>
      </c>
      <c r="Q46" s="7">
        <v>96</v>
      </c>
    </row>
    <row r="47" spans="2:22" x14ac:dyDescent="0.25">
      <c r="L47" s="5" t="s">
        <v>2106</v>
      </c>
      <c r="M47" s="7">
        <v>57</v>
      </c>
      <c r="N47" s="7">
        <v>364</v>
      </c>
      <c r="O47" s="7">
        <v>14</v>
      </c>
      <c r="P47" s="7">
        <v>565</v>
      </c>
      <c r="Q47" s="7">
        <v>1000</v>
      </c>
    </row>
    <row r="49" spans="21:22" x14ac:dyDescent="0.25">
      <c r="U49" s="4" t="s">
        <v>2105</v>
      </c>
      <c r="V49" t="s">
        <v>2097</v>
      </c>
    </row>
    <row r="50" spans="21:22" x14ac:dyDescent="0.25">
      <c r="U50" s="5" t="s">
        <v>2069</v>
      </c>
      <c r="V50" s="7">
        <v>108</v>
      </c>
    </row>
    <row r="51" spans="21:22" x14ac:dyDescent="0.25">
      <c r="U51" s="5" t="s">
        <v>2070</v>
      </c>
      <c r="V51" s="7">
        <v>103</v>
      </c>
    </row>
    <row r="52" spans="21:22" x14ac:dyDescent="0.25">
      <c r="U52" s="5" t="s">
        <v>2071</v>
      </c>
      <c r="V52" s="7">
        <v>84</v>
      </c>
    </row>
    <row r="53" spans="21:22" x14ac:dyDescent="0.25">
      <c r="U53" s="5" t="s">
        <v>2072</v>
      </c>
      <c r="V53" s="7">
        <v>88</v>
      </c>
    </row>
    <row r="54" spans="21:22" x14ac:dyDescent="0.25">
      <c r="U54" s="5" t="s">
        <v>2073</v>
      </c>
      <c r="V54" s="7">
        <v>102</v>
      </c>
    </row>
    <row r="55" spans="21:22" x14ac:dyDescent="0.25">
      <c r="U55" s="5" t="s">
        <v>2074</v>
      </c>
      <c r="V55" s="7">
        <v>105</v>
      </c>
    </row>
    <row r="56" spans="21:22" x14ac:dyDescent="0.25">
      <c r="U56" s="5" t="s">
        <v>2075</v>
      </c>
      <c r="V56" s="7">
        <v>98</v>
      </c>
    </row>
    <row r="57" spans="21:22" x14ac:dyDescent="0.25">
      <c r="U57" s="5" t="s">
        <v>2076</v>
      </c>
      <c r="V57" s="7">
        <v>101</v>
      </c>
    </row>
    <row r="58" spans="21:22" x14ac:dyDescent="0.25">
      <c r="U58" s="5" t="s">
        <v>2077</v>
      </c>
      <c r="V58" s="7">
        <v>102</v>
      </c>
    </row>
    <row r="59" spans="21:22" x14ac:dyDescent="0.25">
      <c r="U59" s="5" t="s">
        <v>2078</v>
      </c>
      <c r="V59" s="7">
        <v>107</v>
      </c>
    </row>
    <row r="60" spans="21:22" x14ac:dyDescent="0.25">
      <c r="U60" s="5" t="s">
        <v>2079</v>
      </c>
      <c r="V60" s="7">
        <v>2</v>
      </c>
    </row>
    <row r="61" spans="21:22" x14ac:dyDescent="0.25">
      <c r="U61" s="5" t="s">
        <v>2106</v>
      </c>
      <c r="V61" s="7">
        <v>1000</v>
      </c>
    </row>
    <row r="66" spans="20:21" x14ac:dyDescent="0.25">
      <c r="T66" s="4" t="s">
        <v>2105</v>
      </c>
      <c r="U66" t="s">
        <v>2108</v>
      </c>
    </row>
    <row r="67" spans="20:21" x14ac:dyDescent="0.25">
      <c r="T67" s="5" t="s">
        <v>26</v>
      </c>
      <c r="U67" s="7">
        <v>34226</v>
      </c>
    </row>
    <row r="68" spans="20:21" x14ac:dyDescent="0.25">
      <c r="T68" s="5" t="s">
        <v>15</v>
      </c>
      <c r="U68" s="7">
        <v>46931</v>
      </c>
    </row>
    <row r="69" spans="20:21" x14ac:dyDescent="0.25">
      <c r="T69" s="5" t="s">
        <v>98</v>
      </c>
      <c r="U69" s="7">
        <v>14374</v>
      </c>
    </row>
    <row r="70" spans="20:21" x14ac:dyDescent="0.25">
      <c r="T70" s="5" t="s">
        <v>36</v>
      </c>
      <c r="U70" s="7">
        <v>17188</v>
      </c>
    </row>
    <row r="71" spans="20:21" x14ac:dyDescent="0.25">
      <c r="T71" s="5" t="s">
        <v>40</v>
      </c>
      <c r="U71" s="7">
        <v>33578</v>
      </c>
    </row>
    <row r="72" spans="20:21" x14ac:dyDescent="0.25">
      <c r="T72" s="5" t="s">
        <v>107</v>
      </c>
      <c r="U72" s="7">
        <v>35198</v>
      </c>
    </row>
    <row r="73" spans="20:21" x14ac:dyDescent="0.25">
      <c r="T73" s="5" t="s">
        <v>21</v>
      </c>
      <c r="U73" s="7">
        <v>545510</v>
      </c>
    </row>
    <row r="74" spans="20:21" x14ac:dyDescent="0.25">
      <c r="T74" s="5" t="s">
        <v>2106</v>
      </c>
      <c r="U74" s="7">
        <v>727005</v>
      </c>
    </row>
  </sheetData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Crowdfunding</vt:lpstr>
      <vt:lpstr>Category</vt:lpstr>
      <vt:lpstr>Sub-category</vt:lpstr>
      <vt:lpstr>YEARS</vt:lpstr>
      <vt:lpstr>GOALS</vt:lpstr>
      <vt:lpstr>STATISCAL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Antonio</cp:lastModifiedBy>
  <dcterms:created xsi:type="dcterms:W3CDTF">2021-09-29T18:52:28Z</dcterms:created>
  <dcterms:modified xsi:type="dcterms:W3CDTF">2023-06-15T23:25:06Z</dcterms:modified>
</cp:coreProperties>
</file>