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\OneDrive\Documentos\ESTUDOS\PYTHON PARA EXCEL\5.Analise de Dados com pandas\"/>
    </mc:Choice>
  </mc:AlternateContent>
  <xr:revisionPtr revIDLastSave="0" documentId="13_ncr:1_{EB40B784-5D56-4418-9AF5-2E0566900AA6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RESULTADO ELEIÇÕES PREFEITOS 20" sheetId="1" r:id="rId1"/>
    <sheet name="Planilha1" sheetId="5" r:id="rId2"/>
    <sheet name="RESULTADOS PRIMEIRO TURNO" sheetId="2" r:id="rId3"/>
    <sheet name="IMAGENS CANDIDATOS PREFEITOS" sheetId="3" r:id="rId4"/>
    <sheet name="NÚMEROS DE CANDIDATOS POR MUNIC" sheetId="4" r:id="rId5"/>
  </sheets>
  <definedNames>
    <definedName name="_xlnm._FilterDatabase" localSheetId="4" hidden="1">'NÚMEROS DE CANDIDATOS POR MUNIC'!$A$1:$H$185</definedName>
    <definedName name="_xlnm._FilterDatabase" localSheetId="0" hidden="1">'RESULTADO ELEIÇÕES PREFEITOS 20'!$A$1:$Y$504</definedName>
    <definedName name="_xlnm._FilterDatabase" localSheetId="2" hidden="1">'RESULTADOS PRIMEIRO TURNO'!$A$1:$Y$14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6" i="5" l="1"/>
  <c r="D19" i="5"/>
  <c r="D20" i="5"/>
  <c r="D21" i="5"/>
  <c r="D22" i="5"/>
  <c r="D40" i="5"/>
  <c r="D41" i="5"/>
  <c r="D85" i="5"/>
  <c r="D86" i="5"/>
  <c r="D87" i="5"/>
  <c r="D88" i="5"/>
  <c r="D106" i="5"/>
  <c r="D128" i="5"/>
  <c r="D129" i="5"/>
  <c r="D130" i="5"/>
  <c r="D131" i="5"/>
  <c r="B3" i="5"/>
  <c r="D3" i="5" s="1"/>
  <c r="B4" i="5"/>
  <c r="D4" i="5" s="1"/>
  <c r="B5" i="5"/>
  <c r="D5" i="5" s="1"/>
  <c r="B6" i="5"/>
  <c r="D6" i="5" s="1"/>
  <c r="B7" i="5"/>
  <c r="D7" i="5" s="1"/>
  <c r="B8" i="5"/>
  <c r="D8" i="5" s="1"/>
  <c r="B9" i="5"/>
  <c r="D9" i="5" s="1"/>
  <c r="B10" i="5"/>
  <c r="D10" i="5" s="1"/>
  <c r="B11" i="5"/>
  <c r="D11" i="5" s="1"/>
  <c r="B12" i="5"/>
  <c r="D12" i="5" s="1"/>
  <c r="B13" i="5"/>
  <c r="D13" i="5" s="1"/>
  <c r="B14" i="5"/>
  <c r="D14" i="5" s="1"/>
  <c r="B15" i="5"/>
  <c r="D15" i="5" s="1"/>
  <c r="B16" i="5"/>
  <c r="D16" i="5" s="1"/>
  <c r="B17" i="5"/>
  <c r="D17" i="5" s="1"/>
  <c r="B18" i="5"/>
  <c r="D18" i="5" s="1"/>
  <c r="B19" i="5"/>
  <c r="B20" i="5"/>
  <c r="B21" i="5"/>
  <c r="B22" i="5"/>
  <c r="B23" i="5"/>
  <c r="D23" i="5" s="1"/>
  <c r="B24" i="5"/>
  <c r="D24" i="5" s="1"/>
  <c r="B25" i="5"/>
  <c r="D25" i="5" s="1"/>
  <c r="B26" i="5"/>
  <c r="D26" i="5" s="1"/>
  <c r="B27" i="5"/>
  <c r="D27" i="5" s="1"/>
  <c r="B28" i="5"/>
  <c r="D28" i="5" s="1"/>
  <c r="B29" i="5"/>
  <c r="D29" i="5" s="1"/>
  <c r="B30" i="5"/>
  <c r="D30" i="5" s="1"/>
  <c r="B31" i="5"/>
  <c r="D31" i="5" s="1"/>
  <c r="B32" i="5"/>
  <c r="D32" i="5" s="1"/>
  <c r="B33" i="5"/>
  <c r="D33" i="5" s="1"/>
  <c r="B34" i="5"/>
  <c r="D34" i="5" s="1"/>
  <c r="B35" i="5"/>
  <c r="D35" i="5" s="1"/>
  <c r="B36" i="5"/>
  <c r="D36" i="5" s="1"/>
  <c r="B37" i="5"/>
  <c r="D37" i="5" s="1"/>
  <c r="B38" i="5"/>
  <c r="D38" i="5" s="1"/>
  <c r="B39" i="5"/>
  <c r="D39" i="5" s="1"/>
  <c r="B40" i="5"/>
  <c r="B41" i="5"/>
  <c r="B42" i="5"/>
  <c r="D42" i="5" s="1"/>
  <c r="B43" i="5"/>
  <c r="D43" i="5" s="1"/>
  <c r="B44" i="5"/>
  <c r="D44" i="5" s="1"/>
  <c r="B45" i="5"/>
  <c r="D45" i="5" s="1"/>
  <c r="B46" i="5"/>
  <c r="D46" i="5" s="1"/>
  <c r="B47" i="5"/>
  <c r="D47" i="5" s="1"/>
  <c r="B48" i="5"/>
  <c r="D48" i="5" s="1"/>
  <c r="B49" i="5"/>
  <c r="D49" i="5" s="1"/>
  <c r="B50" i="5"/>
  <c r="D50" i="5" s="1"/>
  <c r="B51" i="5"/>
  <c r="D51" i="5" s="1"/>
  <c r="B52" i="5"/>
  <c r="D52" i="5" s="1"/>
  <c r="B53" i="5"/>
  <c r="D53" i="5" s="1"/>
  <c r="B54" i="5"/>
  <c r="D54" i="5" s="1"/>
  <c r="B55" i="5"/>
  <c r="D55" i="5" s="1"/>
  <c r="B56" i="5"/>
  <c r="D56" i="5" s="1"/>
  <c r="B57" i="5"/>
  <c r="D57" i="5" s="1"/>
  <c r="B58" i="5"/>
  <c r="D58" i="5" s="1"/>
  <c r="B59" i="5"/>
  <c r="D59" i="5" s="1"/>
  <c r="B60" i="5"/>
  <c r="D60" i="5" s="1"/>
  <c r="B61" i="5"/>
  <c r="D61" i="5" s="1"/>
  <c r="B62" i="5"/>
  <c r="D62" i="5" s="1"/>
  <c r="B63" i="5"/>
  <c r="D63" i="5" s="1"/>
  <c r="B64" i="5"/>
  <c r="D64" i="5" s="1"/>
  <c r="B65" i="5"/>
  <c r="D65" i="5" s="1"/>
  <c r="B66" i="5"/>
  <c r="D66" i="5" s="1"/>
  <c r="B67" i="5"/>
  <c r="D67" i="5" s="1"/>
  <c r="B68" i="5"/>
  <c r="D68" i="5" s="1"/>
  <c r="B69" i="5"/>
  <c r="D69" i="5" s="1"/>
  <c r="B70" i="5"/>
  <c r="D70" i="5" s="1"/>
  <c r="B71" i="5"/>
  <c r="D71" i="5" s="1"/>
  <c r="B72" i="5"/>
  <c r="D72" i="5" s="1"/>
  <c r="B73" i="5"/>
  <c r="D73" i="5" s="1"/>
  <c r="B74" i="5"/>
  <c r="D74" i="5" s="1"/>
  <c r="B75" i="5"/>
  <c r="D75" i="5" s="1"/>
  <c r="B76" i="5"/>
  <c r="D76" i="5" s="1"/>
  <c r="B77" i="5"/>
  <c r="D77" i="5" s="1"/>
  <c r="B78" i="5"/>
  <c r="D78" i="5" s="1"/>
  <c r="B79" i="5"/>
  <c r="D79" i="5" s="1"/>
  <c r="B80" i="5"/>
  <c r="D80" i="5" s="1"/>
  <c r="B81" i="5"/>
  <c r="D81" i="5" s="1"/>
  <c r="B82" i="5"/>
  <c r="D82" i="5" s="1"/>
  <c r="B83" i="5"/>
  <c r="D83" i="5" s="1"/>
  <c r="B84" i="5"/>
  <c r="D84" i="5" s="1"/>
  <c r="B85" i="5"/>
  <c r="B86" i="5"/>
  <c r="B87" i="5"/>
  <c r="B88" i="5"/>
  <c r="B89" i="5"/>
  <c r="D89" i="5" s="1"/>
  <c r="B90" i="5"/>
  <c r="D90" i="5" s="1"/>
  <c r="B91" i="5"/>
  <c r="D91" i="5" s="1"/>
  <c r="B92" i="5"/>
  <c r="D92" i="5" s="1"/>
  <c r="B93" i="5"/>
  <c r="D93" i="5" s="1"/>
  <c r="B94" i="5"/>
  <c r="D94" i="5" s="1"/>
  <c r="B95" i="5"/>
  <c r="D95" i="5" s="1"/>
  <c r="B96" i="5"/>
  <c r="D96" i="5" s="1"/>
  <c r="B97" i="5"/>
  <c r="D97" i="5" s="1"/>
  <c r="B98" i="5"/>
  <c r="D98" i="5" s="1"/>
  <c r="B99" i="5"/>
  <c r="D99" i="5" s="1"/>
  <c r="B100" i="5"/>
  <c r="D100" i="5" s="1"/>
  <c r="B101" i="5"/>
  <c r="D101" i="5" s="1"/>
  <c r="B102" i="5"/>
  <c r="D102" i="5" s="1"/>
  <c r="B103" i="5"/>
  <c r="D103" i="5" s="1"/>
  <c r="B104" i="5"/>
  <c r="D104" i="5" s="1"/>
  <c r="B105" i="5"/>
  <c r="D105" i="5" s="1"/>
  <c r="B106" i="5"/>
  <c r="B107" i="5"/>
  <c r="D107" i="5" s="1"/>
  <c r="B108" i="5"/>
  <c r="D108" i="5" s="1"/>
  <c r="B109" i="5"/>
  <c r="D109" i="5" s="1"/>
  <c r="B110" i="5"/>
  <c r="D110" i="5" s="1"/>
  <c r="B111" i="5"/>
  <c r="D111" i="5" s="1"/>
  <c r="B112" i="5"/>
  <c r="D112" i="5" s="1"/>
  <c r="B113" i="5"/>
  <c r="D113" i="5" s="1"/>
  <c r="B114" i="5"/>
  <c r="D114" i="5" s="1"/>
  <c r="B115" i="5"/>
  <c r="D115" i="5" s="1"/>
  <c r="B116" i="5"/>
  <c r="D116" i="5" s="1"/>
  <c r="B117" i="5"/>
  <c r="D117" i="5" s="1"/>
  <c r="B118" i="5"/>
  <c r="D118" i="5" s="1"/>
  <c r="B119" i="5"/>
  <c r="D119" i="5" s="1"/>
  <c r="B120" i="5"/>
  <c r="D120" i="5" s="1"/>
  <c r="B121" i="5"/>
  <c r="D121" i="5" s="1"/>
  <c r="B122" i="5"/>
  <c r="D122" i="5" s="1"/>
  <c r="B123" i="5"/>
  <c r="D123" i="5" s="1"/>
  <c r="B124" i="5"/>
  <c r="D124" i="5" s="1"/>
  <c r="B125" i="5"/>
  <c r="D125" i="5" s="1"/>
  <c r="B126" i="5"/>
  <c r="D126" i="5" s="1"/>
  <c r="B127" i="5"/>
  <c r="D127" i="5" s="1"/>
  <c r="B128" i="5"/>
  <c r="B129" i="5"/>
  <c r="B130" i="5"/>
  <c r="B131" i="5"/>
  <c r="B132" i="5"/>
  <c r="D132" i="5" s="1"/>
  <c r="B133" i="5"/>
  <c r="D133" i="5" s="1"/>
  <c r="B134" i="5"/>
  <c r="D134" i="5" s="1"/>
  <c r="B135" i="5"/>
  <c r="D135" i="5" s="1"/>
  <c r="B136" i="5"/>
  <c r="D136" i="5" s="1"/>
  <c r="B137" i="5"/>
  <c r="D137" i="5" s="1"/>
  <c r="B138" i="5"/>
  <c r="D138" i="5" s="1"/>
  <c r="B139" i="5"/>
  <c r="D139" i="5" s="1"/>
  <c r="B140" i="5"/>
  <c r="D140" i="5" s="1"/>
  <c r="B141" i="5"/>
  <c r="D141" i="5" s="1"/>
  <c r="B142" i="5"/>
  <c r="D142" i="5" s="1"/>
  <c r="B143" i="5"/>
  <c r="D143" i="5" s="1"/>
  <c r="B144" i="5"/>
  <c r="D144" i="5" s="1"/>
  <c r="B145" i="5"/>
  <c r="D145" i="5" s="1"/>
  <c r="B146" i="5"/>
  <c r="D146" i="5" s="1"/>
  <c r="B147" i="5"/>
  <c r="D147" i="5" s="1"/>
  <c r="B148" i="5"/>
  <c r="D148" i="5" s="1"/>
  <c r="B149" i="5"/>
  <c r="D149" i="5" s="1"/>
  <c r="B150" i="5"/>
  <c r="D150" i="5" s="1"/>
  <c r="B151" i="5"/>
  <c r="D151" i="5" s="1"/>
  <c r="B152" i="5"/>
  <c r="D152" i="5" s="1"/>
  <c r="B153" i="5"/>
  <c r="D153" i="5" s="1"/>
  <c r="B154" i="5"/>
  <c r="D154" i="5" s="1"/>
  <c r="B155" i="5"/>
  <c r="D155" i="5" s="1"/>
  <c r="B156" i="5"/>
  <c r="D156" i="5" s="1"/>
  <c r="B157" i="5"/>
  <c r="D157" i="5" s="1"/>
  <c r="B158" i="5"/>
  <c r="D158" i="5" s="1"/>
  <c r="B159" i="5"/>
  <c r="D159" i="5" s="1"/>
  <c r="B160" i="5"/>
  <c r="D160" i="5" s="1"/>
  <c r="B161" i="5"/>
  <c r="D161" i="5" s="1"/>
  <c r="B162" i="5"/>
  <c r="D162" i="5" s="1"/>
  <c r="B163" i="5"/>
  <c r="D163" i="5" s="1"/>
  <c r="B164" i="5"/>
  <c r="D164" i="5" s="1"/>
  <c r="B165" i="5"/>
  <c r="D165" i="5" s="1"/>
  <c r="B166" i="5"/>
  <c r="D166" i="5" s="1"/>
  <c r="B167" i="5"/>
  <c r="D167" i="5" s="1"/>
  <c r="B168" i="5"/>
  <c r="D168" i="5" s="1"/>
  <c r="B169" i="5"/>
  <c r="D169" i="5" s="1"/>
  <c r="B170" i="5"/>
  <c r="D170" i="5" s="1"/>
  <c r="B171" i="5"/>
  <c r="D171" i="5" s="1"/>
  <c r="B172" i="5"/>
  <c r="D172" i="5" s="1"/>
  <c r="B173" i="5"/>
  <c r="D173" i="5" s="1"/>
  <c r="B174" i="5"/>
  <c r="D174" i="5" s="1"/>
  <c r="B175" i="5"/>
  <c r="D175" i="5" s="1"/>
  <c r="B176" i="5"/>
  <c r="D176" i="5" s="1"/>
  <c r="B177" i="5"/>
  <c r="D177" i="5" s="1"/>
  <c r="B178" i="5"/>
  <c r="D178" i="5" s="1"/>
  <c r="B179" i="5"/>
  <c r="D179" i="5" s="1"/>
  <c r="B180" i="5"/>
  <c r="D180" i="5" s="1"/>
  <c r="B181" i="5"/>
  <c r="D181" i="5" s="1"/>
  <c r="B182" i="5"/>
  <c r="D182" i="5" s="1"/>
  <c r="B183" i="5"/>
  <c r="D183" i="5" s="1"/>
  <c r="B184" i="5"/>
  <c r="D184" i="5" s="1"/>
  <c r="B185" i="5"/>
  <c r="D185" i="5" s="1"/>
  <c r="B2" i="5"/>
  <c r="G185" i="4"/>
  <c r="E185" i="4"/>
  <c r="H185" i="4" s="1"/>
  <c r="H184" i="4"/>
  <c r="E184" i="4"/>
  <c r="G184" i="4" s="1"/>
  <c r="H183" i="4"/>
  <c r="G183" i="4"/>
  <c r="F183" i="4"/>
  <c r="E183" i="4"/>
  <c r="G182" i="4"/>
  <c r="E182" i="4"/>
  <c r="H182" i="4" s="1"/>
  <c r="H181" i="4"/>
  <c r="E181" i="4"/>
  <c r="G181" i="4" s="1"/>
  <c r="E180" i="4"/>
  <c r="F180" i="4" s="1"/>
  <c r="G179" i="4"/>
  <c r="F179" i="4"/>
  <c r="E179" i="4"/>
  <c r="H179" i="4" s="1"/>
  <c r="E178" i="4"/>
  <c r="H178" i="4" s="1"/>
  <c r="H177" i="4"/>
  <c r="G177" i="4"/>
  <c r="E177" i="4"/>
  <c r="F177" i="4" s="1"/>
  <c r="G176" i="4"/>
  <c r="F176" i="4"/>
  <c r="E176" i="4"/>
  <c r="H176" i="4" s="1"/>
  <c r="G175" i="4"/>
  <c r="F175" i="4"/>
  <c r="E175" i="4"/>
  <c r="H175" i="4" s="1"/>
  <c r="G174" i="4"/>
  <c r="E174" i="4"/>
  <c r="H174" i="4" s="1"/>
  <c r="H173" i="4"/>
  <c r="E173" i="4"/>
  <c r="G173" i="4" s="1"/>
  <c r="E172" i="4"/>
  <c r="H172" i="4" s="1"/>
  <c r="G171" i="4"/>
  <c r="E171" i="4"/>
  <c r="H171" i="4" s="1"/>
  <c r="H170" i="4"/>
  <c r="E170" i="4"/>
  <c r="G170" i="4" s="1"/>
  <c r="E169" i="4"/>
  <c r="F169" i="4" s="1"/>
  <c r="G168" i="4"/>
  <c r="F168" i="4"/>
  <c r="E168" i="4"/>
  <c r="H168" i="4" s="1"/>
  <c r="E167" i="4"/>
  <c r="H167" i="4" s="1"/>
  <c r="H166" i="4"/>
  <c r="G166" i="4"/>
  <c r="E166" i="4"/>
  <c r="F166" i="4" s="1"/>
  <c r="G165" i="4"/>
  <c r="F165" i="4"/>
  <c r="E165" i="4"/>
  <c r="H165" i="4" s="1"/>
  <c r="G164" i="4"/>
  <c r="F164" i="4"/>
  <c r="E164" i="4"/>
  <c r="H164" i="4" s="1"/>
  <c r="G163" i="4"/>
  <c r="E163" i="4"/>
  <c r="H163" i="4" s="1"/>
  <c r="H162" i="4"/>
  <c r="E162" i="4"/>
  <c r="G162" i="4" s="1"/>
  <c r="E161" i="4"/>
  <c r="F161" i="4" s="1"/>
  <c r="G160" i="4"/>
  <c r="E160" i="4"/>
  <c r="H160" i="4" s="1"/>
  <c r="H159" i="4"/>
  <c r="E159" i="4"/>
  <c r="G159" i="4" s="1"/>
  <c r="E158" i="4"/>
  <c r="F158" i="4" s="1"/>
  <c r="G157" i="4"/>
  <c r="F157" i="4"/>
  <c r="E157" i="4"/>
  <c r="H157" i="4" s="1"/>
  <c r="E156" i="4"/>
  <c r="H156" i="4" s="1"/>
  <c r="H155" i="4"/>
  <c r="G155" i="4"/>
  <c r="E155" i="4"/>
  <c r="F155" i="4" s="1"/>
  <c r="G154" i="4"/>
  <c r="F154" i="4"/>
  <c r="E154" i="4"/>
  <c r="H154" i="4" s="1"/>
  <c r="G153" i="4"/>
  <c r="F153" i="4"/>
  <c r="E153" i="4"/>
  <c r="H153" i="4" s="1"/>
  <c r="G152" i="4"/>
  <c r="E152" i="4"/>
  <c r="H152" i="4" s="1"/>
  <c r="H151" i="4"/>
  <c r="E151" i="4"/>
  <c r="G151" i="4" s="1"/>
  <c r="E150" i="4"/>
  <c r="G150" i="4" s="1"/>
  <c r="G149" i="4"/>
  <c r="E149" i="4"/>
  <c r="H149" i="4" s="1"/>
  <c r="H148" i="4"/>
  <c r="E148" i="4"/>
  <c r="G148" i="4" s="1"/>
  <c r="E147" i="4"/>
  <c r="F147" i="4" s="1"/>
  <c r="G146" i="4"/>
  <c r="F146" i="4"/>
  <c r="E146" i="4"/>
  <c r="H146" i="4" s="1"/>
  <c r="E145" i="4"/>
  <c r="H145" i="4" s="1"/>
  <c r="H144" i="4"/>
  <c r="G144" i="4"/>
  <c r="E144" i="4"/>
  <c r="F144" i="4" s="1"/>
  <c r="G143" i="4"/>
  <c r="F143" i="4"/>
  <c r="E143" i="4"/>
  <c r="H143" i="4" s="1"/>
  <c r="G142" i="4"/>
  <c r="F142" i="4"/>
  <c r="E142" i="4"/>
  <c r="H142" i="4" s="1"/>
  <c r="G141" i="4"/>
  <c r="E141" i="4"/>
  <c r="H141" i="4" s="1"/>
  <c r="H140" i="4"/>
  <c r="E140" i="4"/>
  <c r="G140" i="4" s="1"/>
  <c r="E139" i="4"/>
  <c r="H139" i="4" s="1"/>
  <c r="G138" i="4"/>
  <c r="E138" i="4"/>
  <c r="H138" i="4" s="1"/>
  <c r="H137" i="4"/>
  <c r="E137" i="4"/>
  <c r="G137" i="4" s="1"/>
  <c r="E136" i="4"/>
  <c r="F136" i="4" s="1"/>
  <c r="G135" i="4"/>
  <c r="F135" i="4"/>
  <c r="E135" i="4"/>
  <c r="H135" i="4" s="1"/>
  <c r="E134" i="4"/>
  <c r="H134" i="4" s="1"/>
  <c r="H133" i="4"/>
  <c r="G133" i="4"/>
  <c r="E133" i="4"/>
  <c r="F133" i="4" s="1"/>
  <c r="G132" i="4"/>
  <c r="F132" i="4"/>
  <c r="E132" i="4"/>
  <c r="H132" i="4" s="1"/>
  <c r="G131" i="4"/>
  <c r="F131" i="4"/>
  <c r="E131" i="4"/>
  <c r="H131" i="4" s="1"/>
  <c r="G130" i="4"/>
  <c r="E130" i="4"/>
  <c r="H130" i="4" s="1"/>
  <c r="H129" i="4"/>
  <c r="E129" i="4"/>
  <c r="G129" i="4" s="1"/>
  <c r="E128" i="4"/>
  <c r="G128" i="4" s="1"/>
  <c r="G127" i="4"/>
  <c r="E127" i="4"/>
  <c r="H127" i="4" s="1"/>
  <c r="H126" i="4"/>
  <c r="E126" i="4"/>
  <c r="G126" i="4" s="1"/>
  <c r="E125" i="4"/>
  <c r="F125" i="4" s="1"/>
  <c r="G124" i="4"/>
  <c r="F124" i="4"/>
  <c r="E124" i="4"/>
  <c r="H124" i="4" s="1"/>
  <c r="E123" i="4"/>
  <c r="H123" i="4" s="1"/>
  <c r="H122" i="4"/>
  <c r="G122" i="4"/>
  <c r="E122" i="4"/>
  <c r="F122" i="4" s="1"/>
  <c r="G121" i="4"/>
  <c r="F121" i="4"/>
  <c r="E121" i="4"/>
  <c r="H121" i="4" s="1"/>
  <c r="G120" i="4"/>
  <c r="F120" i="4"/>
  <c r="E120" i="4"/>
  <c r="H120" i="4" s="1"/>
  <c r="G119" i="4"/>
  <c r="E119" i="4"/>
  <c r="H119" i="4" s="1"/>
  <c r="H118" i="4"/>
  <c r="E118" i="4"/>
  <c r="G118" i="4" s="1"/>
  <c r="E117" i="4"/>
  <c r="G117" i="4" s="1"/>
  <c r="G116" i="4"/>
  <c r="E116" i="4"/>
  <c r="H116" i="4" s="1"/>
  <c r="H115" i="4"/>
  <c r="E115" i="4"/>
  <c r="G115" i="4" s="1"/>
  <c r="E114" i="4"/>
  <c r="F114" i="4" s="1"/>
  <c r="G113" i="4"/>
  <c r="F113" i="4"/>
  <c r="E113" i="4"/>
  <c r="H113" i="4" s="1"/>
  <c r="E112" i="4"/>
  <c r="H112" i="4" s="1"/>
  <c r="H111" i="4"/>
  <c r="G111" i="4"/>
  <c r="E111" i="4"/>
  <c r="F111" i="4" s="1"/>
  <c r="G110" i="4"/>
  <c r="F110" i="4"/>
  <c r="E110" i="4"/>
  <c r="H110" i="4" s="1"/>
  <c r="G109" i="4"/>
  <c r="F109" i="4"/>
  <c r="E109" i="4"/>
  <c r="H109" i="4" s="1"/>
  <c r="G108" i="4"/>
  <c r="E108" i="4"/>
  <c r="H108" i="4" s="1"/>
  <c r="H107" i="4"/>
  <c r="E107" i="4"/>
  <c r="G107" i="4" s="1"/>
  <c r="E106" i="4"/>
  <c r="G106" i="4" s="1"/>
  <c r="G105" i="4"/>
  <c r="E105" i="4"/>
  <c r="H105" i="4" s="1"/>
  <c r="H104" i="4"/>
  <c r="E104" i="4"/>
  <c r="G104" i="4" s="1"/>
  <c r="E103" i="4"/>
  <c r="F103" i="4" s="1"/>
  <c r="G102" i="4"/>
  <c r="F102" i="4"/>
  <c r="E102" i="4"/>
  <c r="H102" i="4" s="1"/>
  <c r="E101" i="4"/>
  <c r="H101" i="4" s="1"/>
  <c r="H100" i="4"/>
  <c r="G100" i="4"/>
  <c r="E100" i="4"/>
  <c r="F100" i="4" s="1"/>
  <c r="G99" i="4"/>
  <c r="F99" i="4"/>
  <c r="E99" i="4"/>
  <c r="H99" i="4" s="1"/>
  <c r="G98" i="4"/>
  <c r="F98" i="4"/>
  <c r="E98" i="4"/>
  <c r="H98" i="4" s="1"/>
  <c r="G97" i="4"/>
  <c r="E97" i="4"/>
  <c r="H97" i="4" s="1"/>
  <c r="H96" i="4"/>
  <c r="E96" i="4"/>
  <c r="G96" i="4" s="1"/>
  <c r="E95" i="4"/>
  <c r="G95" i="4" s="1"/>
  <c r="G94" i="4"/>
  <c r="E94" i="4"/>
  <c r="H94" i="4" s="1"/>
  <c r="H93" i="4"/>
  <c r="E93" i="4"/>
  <c r="G93" i="4" s="1"/>
  <c r="E92" i="4"/>
  <c r="F92" i="4" s="1"/>
  <c r="G91" i="4"/>
  <c r="F91" i="4"/>
  <c r="E91" i="4"/>
  <c r="H91" i="4" s="1"/>
  <c r="E90" i="4"/>
  <c r="H90" i="4" s="1"/>
  <c r="H89" i="4"/>
  <c r="G89" i="4"/>
  <c r="E89" i="4"/>
  <c r="F89" i="4" s="1"/>
  <c r="G88" i="4"/>
  <c r="F88" i="4"/>
  <c r="E88" i="4"/>
  <c r="H88" i="4" s="1"/>
  <c r="G87" i="4"/>
  <c r="F87" i="4"/>
  <c r="E87" i="4"/>
  <c r="H87" i="4" s="1"/>
  <c r="G86" i="4"/>
  <c r="E86" i="4"/>
  <c r="H86" i="4" s="1"/>
  <c r="H85" i="4"/>
  <c r="E85" i="4"/>
  <c r="G85" i="4" s="1"/>
  <c r="E84" i="4"/>
  <c r="H84" i="4" s="1"/>
  <c r="G83" i="4"/>
  <c r="E83" i="4"/>
  <c r="H83" i="4" s="1"/>
  <c r="H82" i="4"/>
  <c r="E82" i="4"/>
  <c r="G82" i="4" s="1"/>
  <c r="E81" i="4"/>
  <c r="F81" i="4" s="1"/>
  <c r="G80" i="4"/>
  <c r="F80" i="4"/>
  <c r="E80" i="4"/>
  <c r="H80" i="4" s="1"/>
  <c r="E79" i="4"/>
  <c r="H79" i="4" s="1"/>
  <c r="H78" i="4"/>
  <c r="G78" i="4"/>
  <c r="E78" i="4"/>
  <c r="F78" i="4" s="1"/>
  <c r="G77" i="4"/>
  <c r="F77" i="4"/>
  <c r="E77" i="4"/>
  <c r="H77" i="4" s="1"/>
  <c r="G76" i="4"/>
  <c r="F76" i="4"/>
  <c r="E76" i="4"/>
  <c r="H76" i="4" s="1"/>
  <c r="G75" i="4"/>
  <c r="E75" i="4"/>
  <c r="H75" i="4" s="1"/>
  <c r="H74" i="4"/>
  <c r="E74" i="4"/>
  <c r="G74" i="4" s="1"/>
  <c r="E73" i="4"/>
  <c r="F73" i="4" s="1"/>
  <c r="G72" i="4"/>
  <c r="E72" i="4"/>
  <c r="H72" i="4" s="1"/>
  <c r="H71" i="4"/>
  <c r="E71" i="4"/>
  <c r="G71" i="4" s="1"/>
  <c r="E70" i="4"/>
  <c r="F70" i="4" s="1"/>
  <c r="G69" i="4"/>
  <c r="F69" i="4"/>
  <c r="E69" i="4"/>
  <c r="H69" i="4" s="1"/>
  <c r="E68" i="4"/>
  <c r="H68" i="4" s="1"/>
  <c r="H67" i="4"/>
  <c r="G67" i="4"/>
  <c r="E67" i="4"/>
  <c r="F67" i="4" s="1"/>
  <c r="G66" i="4"/>
  <c r="F66" i="4"/>
  <c r="E66" i="4"/>
  <c r="H66" i="4" s="1"/>
  <c r="G65" i="4"/>
  <c r="F65" i="4"/>
  <c r="E65" i="4"/>
  <c r="H65" i="4" s="1"/>
  <c r="G64" i="4"/>
  <c r="E64" i="4"/>
  <c r="H64" i="4" s="1"/>
  <c r="H63" i="4"/>
  <c r="E63" i="4"/>
  <c r="G63" i="4" s="1"/>
  <c r="E62" i="4"/>
  <c r="G62" i="4" s="1"/>
  <c r="G61" i="4"/>
  <c r="E61" i="4"/>
  <c r="H61" i="4" s="1"/>
  <c r="H60" i="4"/>
  <c r="E60" i="4"/>
  <c r="G60" i="4" s="1"/>
  <c r="E59" i="4"/>
  <c r="F59" i="4" s="1"/>
  <c r="G58" i="4"/>
  <c r="F58" i="4"/>
  <c r="E58" i="4"/>
  <c r="H58" i="4" s="1"/>
  <c r="E57" i="4"/>
  <c r="H57" i="4" s="1"/>
  <c r="H56" i="4"/>
  <c r="G56" i="4"/>
  <c r="E56" i="4"/>
  <c r="F56" i="4" s="1"/>
  <c r="G55" i="4"/>
  <c r="F55" i="4"/>
  <c r="E55" i="4"/>
  <c r="H55" i="4" s="1"/>
  <c r="G54" i="4"/>
  <c r="F54" i="4"/>
  <c r="E54" i="4"/>
  <c r="H54" i="4" s="1"/>
  <c r="G53" i="4"/>
  <c r="E53" i="4"/>
  <c r="H53" i="4" s="1"/>
  <c r="H52" i="4"/>
  <c r="E52" i="4"/>
  <c r="G52" i="4" s="1"/>
  <c r="E51" i="4"/>
  <c r="G51" i="4" s="1"/>
  <c r="G50" i="4"/>
  <c r="E50" i="4"/>
  <c r="H50" i="4" s="1"/>
  <c r="H49" i="4"/>
  <c r="E49" i="4"/>
  <c r="G49" i="4" s="1"/>
  <c r="E48" i="4"/>
  <c r="F48" i="4" s="1"/>
  <c r="G47" i="4"/>
  <c r="F47" i="4"/>
  <c r="E47" i="4"/>
  <c r="H47" i="4" s="1"/>
  <c r="E46" i="4"/>
  <c r="H46" i="4" s="1"/>
  <c r="H45" i="4"/>
  <c r="G45" i="4"/>
  <c r="E45" i="4"/>
  <c r="F45" i="4" s="1"/>
  <c r="G44" i="4"/>
  <c r="F44" i="4"/>
  <c r="E44" i="4"/>
  <c r="H44" i="4" s="1"/>
  <c r="G43" i="4"/>
  <c r="F43" i="4"/>
  <c r="E43" i="4"/>
  <c r="H43" i="4" s="1"/>
  <c r="G42" i="4"/>
  <c r="E42" i="4"/>
  <c r="H42" i="4" s="1"/>
  <c r="H41" i="4"/>
  <c r="E41" i="4"/>
  <c r="G41" i="4" s="1"/>
  <c r="E40" i="4"/>
  <c r="G40" i="4" s="1"/>
  <c r="G39" i="4"/>
  <c r="E39" i="4"/>
  <c r="H39" i="4" s="1"/>
  <c r="H38" i="4"/>
  <c r="E38" i="4"/>
  <c r="G38" i="4" s="1"/>
  <c r="E37" i="4"/>
  <c r="F37" i="4" s="1"/>
  <c r="G36" i="4"/>
  <c r="F36" i="4"/>
  <c r="E36" i="4"/>
  <c r="H36" i="4" s="1"/>
  <c r="E35" i="4"/>
  <c r="H35" i="4" s="1"/>
  <c r="H34" i="4"/>
  <c r="G34" i="4"/>
  <c r="E34" i="4"/>
  <c r="F34" i="4" s="1"/>
  <c r="G33" i="4"/>
  <c r="F33" i="4"/>
  <c r="E33" i="4"/>
  <c r="H33" i="4" s="1"/>
  <c r="G32" i="4"/>
  <c r="F32" i="4"/>
  <c r="E32" i="4"/>
  <c r="H32" i="4" s="1"/>
  <c r="G31" i="4"/>
  <c r="E31" i="4"/>
  <c r="H31" i="4" s="1"/>
  <c r="H30" i="4"/>
  <c r="E30" i="4"/>
  <c r="G30" i="4" s="1"/>
  <c r="E29" i="4"/>
  <c r="G29" i="4" s="1"/>
  <c r="G28" i="4"/>
  <c r="E28" i="4"/>
  <c r="H28" i="4" s="1"/>
  <c r="H27" i="4"/>
  <c r="E27" i="4"/>
  <c r="G27" i="4" s="1"/>
  <c r="E26" i="4"/>
  <c r="F26" i="4" s="1"/>
  <c r="G25" i="4"/>
  <c r="F25" i="4"/>
  <c r="E25" i="4"/>
  <c r="H25" i="4" s="1"/>
  <c r="E24" i="4"/>
  <c r="H24" i="4" s="1"/>
  <c r="H23" i="4"/>
  <c r="G23" i="4"/>
  <c r="E23" i="4"/>
  <c r="F23" i="4" s="1"/>
  <c r="G22" i="4"/>
  <c r="F22" i="4"/>
  <c r="E22" i="4"/>
  <c r="H22" i="4" s="1"/>
  <c r="G21" i="4"/>
  <c r="F21" i="4"/>
  <c r="E21" i="4"/>
  <c r="H21" i="4" s="1"/>
  <c r="G20" i="4"/>
  <c r="E20" i="4"/>
  <c r="H20" i="4" s="1"/>
  <c r="H19" i="4"/>
  <c r="E19" i="4"/>
  <c r="G19" i="4" s="1"/>
  <c r="E18" i="4"/>
  <c r="F18" i="4" s="1"/>
  <c r="G17" i="4"/>
  <c r="E17" i="4"/>
  <c r="H17" i="4" s="1"/>
  <c r="H16" i="4"/>
  <c r="E16" i="4"/>
  <c r="G16" i="4" s="1"/>
  <c r="E15" i="4"/>
  <c r="F15" i="4" s="1"/>
  <c r="G14" i="4"/>
  <c r="F14" i="4"/>
  <c r="E14" i="4"/>
  <c r="H14" i="4" s="1"/>
  <c r="E13" i="4"/>
  <c r="F13" i="4" s="1"/>
  <c r="H12" i="4"/>
  <c r="G12" i="4"/>
  <c r="E12" i="4"/>
  <c r="F12" i="4" s="1"/>
  <c r="G11" i="4"/>
  <c r="F11" i="4"/>
  <c r="E11" i="4"/>
  <c r="H11" i="4" s="1"/>
  <c r="G10" i="4"/>
  <c r="F10" i="4"/>
  <c r="E10" i="4"/>
  <c r="H10" i="4" s="1"/>
  <c r="G9" i="4"/>
  <c r="E9" i="4"/>
  <c r="H9" i="4" s="1"/>
  <c r="H8" i="4"/>
  <c r="E8" i="4"/>
  <c r="G8" i="4" s="1"/>
  <c r="E7" i="4"/>
  <c r="H7" i="4" s="1"/>
  <c r="G6" i="4"/>
  <c r="E6" i="4"/>
  <c r="H6" i="4" s="1"/>
  <c r="H5" i="4"/>
  <c r="E5" i="4"/>
  <c r="G5" i="4" s="1"/>
  <c r="E4" i="4"/>
  <c r="F4" i="4" s="1"/>
  <c r="G3" i="4"/>
  <c r="F3" i="4"/>
  <c r="E3" i="4"/>
  <c r="H3" i="4" s="1"/>
  <c r="E2" i="4"/>
  <c r="H2" i="4" s="1"/>
  <c r="G504" i="3"/>
  <c r="F504" i="3"/>
  <c r="D504" i="3"/>
  <c r="G503" i="3"/>
  <c r="F503" i="3"/>
  <c r="D503" i="3"/>
  <c r="G502" i="3"/>
  <c r="F502" i="3"/>
  <c r="D502" i="3"/>
  <c r="G501" i="3"/>
  <c r="F501" i="3"/>
  <c r="D501" i="3"/>
  <c r="G500" i="3"/>
  <c r="F500" i="3"/>
  <c r="D500" i="3"/>
  <c r="G499" i="3"/>
  <c r="F499" i="3"/>
  <c r="D499" i="3"/>
  <c r="G498" i="3"/>
  <c r="F498" i="3"/>
  <c r="D498" i="3"/>
  <c r="G497" i="3"/>
  <c r="F497" i="3"/>
  <c r="D497" i="3"/>
  <c r="G496" i="3"/>
  <c r="F496" i="3"/>
  <c r="D496" i="3"/>
  <c r="G495" i="3"/>
  <c r="F495" i="3"/>
  <c r="D495" i="3"/>
  <c r="G494" i="3"/>
  <c r="F494" i="3"/>
  <c r="D494" i="3"/>
  <c r="G493" i="3"/>
  <c r="F493" i="3"/>
  <c r="D493" i="3"/>
  <c r="G492" i="3"/>
  <c r="F492" i="3"/>
  <c r="D492" i="3"/>
  <c r="G491" i="3"/>
  <c r="F491" i="3"/>
  <c r="D491" i="3"/>
  <c r="G490" i="3"/>
  <c r="F490" i="3"/>
  <c r="D490" i="3"/>
  <c r="G489" i="3"/>
  <c r="F489" i="3"/>
  <c r="D489" i="3"/>
  <c r="G488" i="3"/>
  <c r="F488" i="3"/>
  <c r="D488" i="3"/>
  <c r="G487" i="3"/>
  <c r="F487" i="3"/>
  <c r="D487" i="3"/>
  <c r="G486" i="3"/>
  <c r="F486" i="3"/>
  <c r="D486" i="3"/>
  <c r="G485" i="3"/>
  <c r="F485" i="3"/>
  <c r="D485" i="3"/>
  <c r="G484" i="3"/>
  <c r="F484" i="3"/>
  <c r="D484" i="3"/>
  <c r="G483" i="3"/>
  <c r="F483" i="3"/>
  <c r="D483" i="3"/>
  <c r="G482" i="3"/>
  <c r="F482" i="3"/>
  <c r="D482" i="3"/>
  <c r="G481" i="3"/>
  <c r="F481" i="3"/>
  <c r="D481" i="3"/>
  <c r="G480" i="3"/>
  <c r="F480" i="3"/>
  <c r="D480" i="3"/>
  <c r="G479" i="3"/>
  <c r="F479" i="3"/>
  <c r="D479" i="3"/>
  <c r="G478" i="3"/>
  <c r="F478" i="3"/>
  <c r="D478" i="3"/>
  <c r="G477" i="3"/>
  <c r="F477" i="3"/>
  <c r="D477" i="3"/>
  <c r="G476" i="3"/>
  <c r="F476" i="3"/>
  <c r="D476" i="3"/>
  <c r="G475" i="3"/>
  <c r="F475" i="3"/>
  <c r="D475" i="3"/>
  <c r="G474" i="3"/>
  <c r="F474" i="3"/>
  <c r="D474" i="3"/>
  <c r="G473" i="3"/>
  <c r="F473" i="3"/>
  <c r="D473" i="3"/>
  <c r="G472" i="3"/>
  <c r="F472" i="3"/>
  <c r="D472" i="3"/>
  <c r="G471" i="3"/>
  <c r="F471" i="3"/>
  <c r="D471" i="3"/>
  <c r="G470" i="3"/>
  <c r="F470" i="3"/>
  <c r="D470" i="3"/>
  <c r="G469" i="3"/>
  <c r="F469" i="3"/>
  <c r="D469" i="3"/>
  <c r="G468" i="3"/>
  <c r="F468" i="3"/>
  <c r="D468" i="3"/>
  <c r="G467" i="3"/>
  <c r="F467" i="3"/>
  <c r="D467" i="3"/>
  <c r="G466" i="3"/>
  <c r="F466" i="3"/>
  <c r="D466" i="3"/>
  <c r="G465" i="3"/>
  <c r="F465" i="3"/>
  <c r="D465" i="3"/>
  <c r="G464" i="3"/>
  <c r="F464" i="3"/>
  <c r="D464" i="3"/>
  <c r="G463" i="3"/>
  <c r="F463" i="3"/>
  <c r="D463" i="3"/>
  <c r="G462" i="3"/>
  <c r="F462" i="3"/>
  <c r="D462" i="3"/>
  <c r="G461" i="3"/>
  <c r="F461" i="3"/>
  <c r="D461" i="3"/>
  <c r="G460" i="3"/>
  <c r="F460" i="3"/>
  <c r="D460" i="3"/>
  <c r="G459" i="3"/>
  <c r="F459" i="3"/>
  <c r="D459" i="3"/>
  <c r="G458" i="3"/>
  <c r="F458" i="3"/>
  <c r="D458" i="3"/>
  <c r="G457" i="3"/>
  <c r="F457" i="3"/>
  <c r="D457" i="3"/>
  <c r="G456" i="3"/>
  <c r="F456" i="3"/>
  <c r="D456" i="3"/>
  <c r="G455" i="3"/>
  <c r="F455" i="3"/>
  <c r="D455" i="3"/>
  <c r="G454" i="3"/>
  <c r="F454" i="3"/>
  <c r="D454" i="3"/>
  <c r="G453" i="3"/>
  <c r="F453" i="3"/>
  <c r="D453" i="3"/>
  <c r="G452" i="3"/>
  <c r="F452" i="3"/>
  <c r="D452" i="3"/>
  <c r="G451" i="3"/>
  <c r="F451" i="3"/>
  <c r="D451" i="3"/>
  <c r="G450" i="3"/>
  <c r="F450" i="3"/>
  <c r="D450" i="3"/>
  <c r="G449" i="3"/>
  <c r="F449" i="3"/>
  <c r="D449" i="3"/>
  <c r="G448" i="3"/>
  <c r="F448" i="3"/>
  <c r="D448" i="3"/>
  <c r="G447" i="3"/>
  <c r="F447" i="3"/>
  <c r="D447" i="3"/>
  <c r="G446" i="3"/>
  <c r="F446" i="3"/>
  <c r="D446" i="3"/>
  <c r="G445" i="3"/>
  <c r="F445" i="3"/>
  <c r="D445" i="3"/>
  <c r="G444" i="3"/>
  <c r="F444" i="3"/>
  <c r="D444" i="3"/>
  <c r="G443" i="3"/>
  <c r="F443" i="3"/>
  <c r="D443" i="3"/>
  <c r="G442" i="3"/>
  <c r="F442" i="3"/>
  <c r="D442" i="3"/>
  <c r="G441" i="3"/>
  <c r="F441" i="3"/>
  <c r="D441" i="3"/>
  <c r="G440" i="3"/>
  <c r="F440" i="3"/>
  <c r="D440" i="3"/>
  <c r="G439" i="3"/>
  <c r="F439" i="3"/>
  <c r="D439" i="3"/>
  <c r="G438" i="3"/>
  <c r="F438" i="3"/>
  <c r="D438" i="3"/>
  <c r="G437" i="3"/>
  <c r="F437" i="3"/>
  <c r="D437" i="3"/>
  <c r="G436" i="3"/>
  <c r="F436" i="3"/>
  <c r="D436" i="3"/>
  <c r="G435" i="3"/>
  <c r="F435" i="3"/>
  <c r="D435" i="3"/>
  <c r="G434" i="3"/>
  <c r="F434" i="3"/>
  <c r="D434" i="3"/>
  <c r="G433" i="3"/>
  <c r="F433" i="3"/>
  <c r="D433" i="3"/>
  <c r="G432" i="3"/>
  <c r="F432" i="3"/>
  <c r="D432" i="3"/>
  <c r="G431" i="3"/>
  <c r="F431" i="3"/>
  <c r="D431" i="3"/>
  <c r="G430" i="3"/>
  <c r="F430" i="3"/>
  <c r="D430" i="3"/>
  <c r="G429" i="3"/>
  <c r="F429" i="3"/>
  <c r="D429" i="3"/>
  <c r="G428" i="3"/>
  <c r="F428" i="3"/>
  <c r="D428" i="3"/>
  <c r="G427" i="3"/>
  <c r="F427" i="3"/>
  <c r="D427" i="3"/>
  <c r="G426" i="3"/>
  <c r="F426" i="3"/>
  <c r="D426" i="3"/>
  <c r="G425" i="3"/>
  <c r="F425" i="3"/>
  <c r="D425" i="3"/>
  <c r="G424" i="3"/>
  <c r="F424" i="3"/>
  <c r="D424" i="3"/>
  <c r="G423" i="3"/>
  <c r="F423" i="3"/>
  <c r="D423" i="3"/>
  <c r="G422" i="3"/>
  <c r="F422" i="3"/>
  <c r="D422" i="3"/>
  <c r="G421" i="3"/>
  <c r="F421" i="3"/>
  <c r="D421" i="3"/>
  <c r="G420" i="3"/>
  <c r="F420" i="3"/>
  <c r="D420" i="3"/>
  <c r="G419" i="3"/>
  <c r="F419" i="3"/>
  <c r="D419" i="3"/>
  <c r="G418" i="3"/>
  <c r="F418" i="3"/>
  <c r="D418" i="3"/>
  <c r="G417" i="3"/>
  <c r="F417" i="3"/>
  <c r="D417" i="3"/>
  <c r="G416" i="3"/>
  <c r="F416" i="3"/>
  <c r="D416" i="3"/>
  <c r="G415" i="3"/>
  <c r="F415" i="3"/>
  <c r="D415" i="3"/>
  <c r="G414" i="3"/>
  <c r="F414" i="3"/>
  <c r="D414" i="3"/>
  <c r="G413" i="3"/>
  <c r="F413" i="3"/>
  <c r="D413" i="3"/>
  <c r="G412" i="3"/>
  <c r="F412" i="3"/>
  <c r="D412" i="3"/>
  <c r="G411" i="3"/>
  <c r="F411" i="3"/>
  <c r="D411" i="3"/>
  <c r="G410" i="3"/>
  <c r="F410" i="3"/>
  <c r="D410" i="3"/>
  <c r="G409" i="3"/>
  <c r="F409" i="3"/>
  <c r="D409" i="3"/>
  <c r="G408" i="3"/>
  <c r="F408" i="3"/>
  <c r="D408" i="3"/>
  <c r="G407" i="3"/>
  <c r="F407" i="3"/>
  <c r="D407" i="3"/>
  <c r="G406" i="3"/>
  <c r="F406" i="3"/>
  <c r="D406" i="3"/>
  <c r="G405" i="3"/>
  <c r="F405" i="3"/>
  <c r="D405" i="3"/>
  <c r="G404" i="3"/>
  <c r="F404" i="3"/>
  <c r="D404" i="3"/>
  <c r="G403" i="3"/>
  <c r="F403" i="3"/>
  <c r="D403" i="3"/>
  <c r="G402" i="3"/>
  <c r="F402" i="3"/>
  <c r="D402" i="3"/>
  <c r="G401" i="3"/>
  <c r="F401" i="3"/>
  <c r="D401" i="3"/>
  <c r="G400" i="3"/>
  <c r="F400" i="3"/>
  <c r="D400" i="3"/>
  <c r="G399" i="3"/>
  <c r="F399" i="3"/>
  <c r="D399" i="3"/>
  <c r="G398" i="3"/>
  <c r="F398" i="3"/>
  <c r="D398" i="3"/>
  <c r="G397" i="3"/>
  <c r="F397" i="3"/>
  <c r="D397" i="3"/>
  <c r="G396" i="3"/>
  <c r="F396" i="3"/>
  <c r="D396" i="3"/>
  <c r="G395" i="3"/>
  <c r="F395" i="3"/>
  <c r="D395" i="3"/>
  <c r="G394" i="3"/>
  <c r="F394" i="3"/>
  <c r="D394" i="3"/>
  <c r="G393" i="3"/>
  <c r="F393" i="3"/>
  <c r="D393" i="3"/>
  <c r="G392" i="3"/>
  <c r="F392" i="3"/>
  <c r="D392" i="3"/>
  <c r="G391" i="3"/>
  <c r="F391" i="3"/>
  <c r="D391" i="3"/>
  <c r="G390" i="3"/>
  <c r="F390" i="3"/>
  <c r="D390" i="3"/>
  <c r="G389" i="3"/>
  <c r="F389" i="3"/>
  <c r="D389" i="3"/>
  <c r="G388" i="3"/>
  <c r="F388" i="3"/>
  <c r="D388" i="3"/>
  <c r="G387" i="3"/>
  <c r="F387" i="3"/>
  <c r="D387" i="3"/>
  <c r="G386" i="3"/>
  <c r="F386" i="3"/>
  <c r="D386" i="3"/>
  <c r="G385" i="3"/>
  <c r="F385" i="3"/>
  <c r="D385" i="3"/>
  <c r="G384" i="3"/>
  <c r="F384" i="3"/>
  <c r="D384" i="3"/>
  <c r="G383" i="3"/>
  <c r="F383" i="3"/>
  <c r="D383" i="3"/>
  <c r="G382" i="3"/>
  <c r="F382" i="3"/>
  <c r="D382" i="3"/>
  <c r="G381" i="3"/>
  <c r="F381" i="3"/>
  <c r="D381" i="3"/>
  <c r="G380" i="3"/>
  <c r="F380" i="3"/>
  <c r="D380" i="3"/>
  <c r="G379" i="3"/>
  <c r="F379" i="3"/>
  <c r="D379" i="3"/>
  <c r="G378" i="3"/>
  <c r="F378" i="3"/>
  <c r="D378" i="3"/>
  <c r="G377" i="3"/>
  <c r="F377" i="3"/>
  <c r="D377" i="3"/>
  <c r="G376" i="3"/>
  <c r="F376" i="3"/>
  <c r="D376" i="3"/>
  <c r="G375" i="3"/>
  <c r="F375" i="3"/>
  <c r="D375" i="3"/>
  <c r="G374" i="3"/>
  <c r="F374" i="3"/>
  <c r="D374" i="3"/>
  <c r="G373" i="3"/>
  <c r="F373" i="3"/>
  <c r="D373" i="3"/>
  <c r="G372" i="3"/>
  <c r="F372" i="3"/>
  <c r="D372" i="3"/>
  <c r="G371" i="3"/>
  <c r="F371" i="3"/>
  <c r="D371" i="3"/>
  <c r="G370" i="3"/>
  <c r="F370" i="3"/>
  <c r="D370" i="3"/>
  <c r="G369" i="3"/>
  <c r="F369" i="3"/>
  <c r="D369" i="3"/>
  <c r="G368" i="3"/>
  <c r="F368" i="3"/>
  <c r="D368" i="3"/>
  <c r="G367" i="3"/>
  <c r="F367" i="3"/>
  <c r="D367" i="3"/>
  <c r="G366" i="3"/>
  <c r="F366" i="3"/>
  <c r="D366" i="3"/>
  <c r="G365" i="3"/>
  <c r="F365" i="3"/>
  <c r="D365" i="3"/>
  <c r="G364" i="3"/>
  <c r="F364" i="3"/>
  <c r="D364" i="3"/>
  <c r="G363" i="3"/>
  <c r="F363" i="3"/>
  <c r="D363" i="3"/>
  <c r="G362" i="3"/>
  <c r="F362" i="3"/>
  <c r="D362" i="3"/>
  <c r="G361" i="3"/>
  <c r="F361" i="3"/>
  <c r="D361" i="3"/>
  <c r="G360" i="3"/>
  <c r="F360" i="3"/>
  <c r="D360" i="3"/>
  <c r="G359" i="3"/>
  <c r="F359" i="3"/>
  <c r="D359" i="3"/>
  <c r="G358" i="3"/>
  <c r="F358" i="3"/>
  <c r="D358" i="3"/>
  <c r="G357" i="3"/>
  <c r="F357" i="3"/>
  <c r="D357" i="3"/>
  <c r="G356" i="3"/>
  <c r="F356" i="3"/>
  <c r="D356" i="3"/>
  <c r="G355" i="3"/>
  <c r="F355" i="3"/>
  <c r="D355" i="3"/>
  <c r="G354" i="3"/>
  <c r="F354" i="3"/>
  <c r="D354" i="3"/>
  <c r="G353" i="3"/>
  <c r="F353" i="3"/>
  <c r="D353" i="3"/>
  <c r="G352" i="3"/>
  <c r="F352" i="3"/>
  <c r="D352" i="3"/>
  <c r="G351" i="3"/>
  <c r="F351" i="3"/>
  <c r="D351" i="3"/>
  <c r="G350" i="3"/>
  <c r="F350" i="3"/>
  <c r="D350" i="3"/>
  <c r="G349" i="3"/>
  <c r="F349" i="3"/>
  <c r="D349" i="3"/>
  <c r="G348" i="3"/>
  <c r="F348" i="3"/>
  <c r="D348" i="3"/>
  <c r="G347" i="3"/>
  <c r="F347" i="3"/>
  <c r="D347" i="3"/>
  <c r="G346" i="3"/>
  <c r="F346" i="3"/>
  <c r="D346" i="3"/>
  <c r="G345" i="3"/>
  <c r="F345" i="3"/>
  <c r="D345" i="3"/>
  <c r="G344" i="3"/>
  <c r="F344" i="3"/>
  <c r="D344" i="3"/>
  <c r="G343" i="3"/>
  <c r="F343" i="3"/>
  <c r="D343" i="3"/>
  <c r="G342" i="3"/>
  <c r="F342" i="3"/>
  <c r="D342" i="3"/>
  <c r="G341" i="3"/>
  <c r="F341" i="3"/>
  <c r="D341" i="3"/>
  <c r="G340" i="3"/>
  <c r="F340" i="3"/>
  <c r="D340" i="3"/>
  <c r="G339" i="3"/>
  <c r="F339" i="3"/>
  <c r="D339" i="3"/>
  <c r="G338" i="3"/>
  <c r="F338" i="3"/>
  <c r="D338" i="3"/>
  <c r="G337" i="3"/>
  <c r="F337" i="3"/>
  <c r="D337" i="3"/>
  <c r="G336" i="3"/>
  <c r="F336" i="3"/>
  <c r="D336" i="3"/>
  <c r="G335" i="3"/>
  <c r="F335" i="3"/>
  <c r="D335" i="3"/>
  <c r="G334" i="3"/>
  <c r="F334" i="3"/>
  <c r="D334" i="3"/>
  <c r="G333" i="3"/>
  <c r="F333" i="3"/>
  <c r="D333" i="3"/>
  <c r="G332" i="3"/>
  <c r="F332" i="3"/>
  <c r="D332" i="3"/>
  <c r="G331" i="3"/>
  <c r="F331" i="3"/>
  <c r="D331" i="3"/>
  <c r="G330" i="3"/>
  <c r="F330" i="3"/>
  <c r="D330" i="3"/>
  <c r="G329" i="3"/>
  <c r="F329" i="3"/>
  <c r="D329" i="3"/>
  <c r="G328" i="3"/>
  <c r="F328" i="3"/>
  <c r="D328" i="3"/>
  <c r="G327" i="3"/>
  <c r="F327" i="3"/>
  <c r="D327" i="3"/>
  <c r="G326" i="3"/>
  <c r="F326" i="3"/>
  <c r="D326" i="3"/>
  <c r="G325" i="3"/>
  <c r="F325" i="3"/>
  <c r="D325" i="3"/>
  <c r="G324" i="3"/>
  <c r="F324" i="3"/>
  <c r="D324" i="3"/>
  <c r="G323" i="3"/>
  <c r="F323" i="3"/>
  <c r="D323" i="3"/>
  <c r="G322" i="3"/>
  <c r="F322" i="3"/>
  <c r="D322" i="3"/>
  <c r="G321" i="3"/>
  <c r="F321" i="3"/>
  <c r="D321" i="3"/>
  <c r="G320" i="3"/>
  <c r="F320" i="3"/>
  <c r="D320" i="3"/>
  <c r="G319" i="3"/>
  <c r="F319" i="3"/>
  <c r="D319" i="3"/>
  <c r="G318" i="3"/>
  <c r="F318" i="3"/>
  <c r="D318" i="3"/>
  <c r="G317" i="3"/>
  <c r="F317" i="3"/>
  <c r="D317" i="3"/>
  <c r="G316" i="3"/>
  <c r="F316" i="3"/>
  <c r="D316" i="3"/>
  <c r="G315" i="3"/>
  <c r="F315" i="3"/>
  <c r="D315" i="3"/>
  <c r="G314" i="3"/>
  <c r="F314" i="3"/>
  <c r="D314" i="3"/>
  <c r="G313" i="3"/>
  <c r="F313" i="3"/>
  <c r="D313" i="3"/>
  <c r="G312" i="3"/>
  <c r="F312" i="3"/>
  <c r="D312" i="3"/>
  <c r="G311" i="3"/>
  <c r="F311" i="3"/>
  <c r="D311" i="3"/>
  <c r="G310" i="3"/>
  <c r="F310" i="3"/>
  <c r="D310" i="3"/>
  <c r="G309" i="3"/>
  <c r="F309" i="3"/>
  <c r="D309" i="3"/>
  <c r="G308" i="3"/>
  <c r="F308" i="3"/>
  <c r="D308" i="3"/>
  <c r="G307" i="3"/>
  <c r="F307" i="3"/>
  <c r="D307" i="3"/>
  <c r="G306" i="3"/>
  <c r="F306" i="3"/>
  <c r="D306" i="3"/>
  <c r="G305" i="3"/>
  <c r="F305" i="3"/>
  <c r="D305" i="3"/>
  <c r="G304" i="3"/>
  <c r="F304" i="3"/>
  <c r="D304" i="3"/>
  <c r="G303" i="3"/>
  <c r="F303" i="3"/>
  <c r="D303" i="3"/>
  <c r="G302" i="3"/>
  <c r="F302" i="3"/>
  <c r="D302" i="3"/>
  <c r="G301" i="3"/>
  <c r="F301" i="3"/>
  <c r="D301" i="3"/>
  <c r="G300" i="3"/>
  <c r="F300" i="3"/>
  <c r="D300" i="3"/>
  <c r="G299" i="3"/>
  <c r="F299" i="3"/>
  <c r="D299" i="3"/>
  <c r="G298" i="3"/>
  <c r="F298" i="3"/>
  <c r="D298" i="3"/>
  <c r="G297" i="3"/>
  <c r="F297" i="3"/>
  <c r="D297" i="3"/>
  <c r="G296" i="3"/>
  <c r="F296" i="3"/>
  <c r="D296" i="3"/>
  <c r="G295" i="3"/>
  <c r="F295" i="3"/>
  <c r="D295" i="3"/>
  <c r="G294" i="3"/>
  <c r="F294" i="3"/>
  <c r="D294" i="3"/>
  <c r="G293" i="3"/>
  <c r="F293" i="3"/>
  <c r="D293" i="3"/>
  <c r="G292" i="3"/>
  <c r="F292" i="3"/>
  <c r="D292" i="3"/>
  <c r="G291" i="3"/>
  <c r="F291" i="3"/>
  <c r="D291" i="3"/>
  <c r="G290" i="3"/>
  <c r="F290" i="3"/>
  <c r="D290" i="3"/>
  <c r="G289" i="3"/>
  <c r="F289" i="3"/>
  <c r="D289" i="3"/>
  <c r="G288" i="3"/>
  <c r="F288" i="3"/>
  <c r="D288" i="3"/>
  <c r="G287" i="3"/>
  <c r="F287" i="3"/>
  <c r="D287" i="3"/>
  <c r="G286" i="3"/>
  <c r="F286" i="3"/>
  <c r="D286" i="3"/>
  <c r="G285" i="3"/>
  <c r="F285" i="3"/>
  <c r="D285" i="3"/>
  <c r="G284" i="3"/>
  <c r="F284" i="3"/>
  <c r="D284" i="3"/>
  <c r="G283" i="3"/>
  <c r="F283" i="3"/>
  <c r="D283" i="3"/>
  <c r="G282" i="3"/>
  <c r="F282" i="3"/>
  <c r="D282" i="3"/>
  <c r="G281" i="3"/>
  <c r="F281" i="3"/>
  <c r="D281" i="3"/>
  <c r="G280" i="3"/>
  <c r="F280" i="3"/>
  <c r="D280" i="3"/>
  <c r="G279" i="3"/>
  <c r="F279" i="3"/>
  <c r="D279" i="3"/>
  <c r="G278" i="3"/>
  <c r="F278" i="3"/>
  <c r="D278" i="3"/>
  <c r="G277" i="3"/>
  <c r="F277" i="3"/>
  <c r="D277" i="3"/>
  <c r="G276" i="3"/>
  <c r="F276" i="3"/>
  <c r="D276" i="3"/>
  <c r="G275" i="3"/>
  <c r="F275" i="3"/>
  <c r="D275" i="3"/>
  <c r="G274" i="3"/>
  <c r="F274" i="3"/>
  <c r="D274" i="3"/>
  <c r="G273" i="3"/>
  <c r="F273" i="3"/>
  <c r="D273" i="3"/>
  <c r="G272" i="3"/>
  <c r="F272" i="3"/>
  <c r="D272" i="3"/>
  <c r="G271" i="3"/>
  <c r="F271" i="3"/>
  <c r="D271" i="3"/>
  <c r="G270" i="3"/>
  <c r="F270" i="3"/>
  <c r="D270" i="3"/>
  <c r="G269" i="3"/>
  <c r="F269" i="3"/>
  <c r="D269" i="3"/>
  <c r="G268" i="3"/>
  <c r="F268" i="3"/>
  <c r="D268" i="3"/>
  <c r="G267" i="3"/>
  <c r="F267" i="3"/>
  <c r="D267" i="3"/>
  <c r="G266" i="3"/>
  <c r="F266" i="3"/>
  <c r="D266" i="3"/>
  <c r="G265" i="3"/>
  <c r="F265" i="3"/>
  <c r="D265" i="3"/>
  <c r="G264" i="3"/>
  <c r="F264" i="3"/>
  <c r="D264" i="3"/>
  <c r="G263" i="3"/>
  <c r="F263" i="3"/>
  <c r="D263" i="3"/>
  <c r="G262" i="3"/>
  <c r="F262" i="3"/>
  <c r="D262" i="3"/>
  <c r="G261" i="3"/>
  <c r="F261" i="3"/>
  <c r="D261" i="3"/>
  <c r="G260" i="3"/>
  <c r="F260" i="3"/>
  <c r="D260" i="3"/>
  <c r="G259" i="3"/>
  <c r="F259" i="3"/>
  <c r="D259" i="3"/>
  <c r="G258" i="3"/>
  <c r="F258" i="3"/>
  <c r="D258" i="3"/>
  <c r="G257" i="3"/>
  <c r="F257" i="3"/>
  <c r="D257" i="3"/>
  <c r="G256" i="3"/>
  <c r="F256" i="3"/>
  <c r="D256" i="3"/>
  <c r="G255" i="3"/>
  <c r="F255" i="3"/>
  <c r="D255" i="3"/>
  <c r="G254" i="3"/>
  <c r="F254" i="3"/>
  <c r="D254" i="3"/>
  <c r="G253" i="3"/>
  <c r="F253" i="3"/>
  <c r="D253" i="3"/>
  <c r="G252" i="3"/>
  <c r="F252" i="3"/>
  <c r="D252" i="3"/>
  <c r="G251" i="3"/>
  <c r="F251" i="3"/>
  <c r="D251" i="3"/>
  <c r="G250" i="3"/>
  <c r="F250" i="3"/>
  <c r="D250" i="3"/>
  <c r="G249" i="3"/>
  <c r="F249" i="3"/>
  <c r="D249" i="3"/>
  <c r="G248" i="3"/>
  <c r="F248" i="3"/>
  <c r="D248" i="3"/>
  <c r="G247" i="3"/>
  <c r="F247" i="3"/>
  <c r="D247" i="3"/>
  <c r="G246" i="3"/>
  <c r="F246" i="3"/>
  <c r="D246" i="3"/>
  <c r="G245" i="3"/>
  <c r="F245" i="3"/>
  <c r="D245" i="3"/>
  <c r="G244" i="3"/>
  <c r="F244" i="3"/>
  <c r="D244" i="3"/>
  <c r="G243" i="3"/>
  <c r="F243" i="3"/>
  <c r="D243" i="3"/>
  <c r="G242" i="3"/>
  <c r="F242" i="3"/>
  <c r="D242" i="3"/>
  <c r="G241" i="3"/>
  <c r="F241" i="3"/>
  <c r="D241" i="3"/>
  <c r="G240" i="3"/>
  <c r="F240" i="3"/>
  <c r="D240" i="3"/>
  <c r="G239" i="3"/>
  <c r="F239" i="3"/>
  <c r="D239" i="3"/>
  <c r="G238" i="3"/>
  <c r="F238" i="3"/>
  <c r="D238" i="3"/>
  <c r="G237" i="3"/>
  <c r="F237" i="3"/>
  <c r="D237" i="3"/>
  <c r="G236" i="3"/>
  <c r="F236" i="3"/>
  <c r="D236" i="3"/>
  <c r="G235" i="3"/>
  <c r="F235" i="3"/>
  <c r="D235" i="3"/>
  <c r="G234" i="3"/>
  <c r="F234" i="3"/>
  <c r="D234" i="3"/>
  <c r="G233" i="3"/>
  <c r="F233" i="3"/>
  <c r="D233" i="3"/>
  <c r="G232" i="3"/>
  <c r="F232" i="3"/>
  <c r="D232" i="3"/>
  <c r="G231" i="3"/>
  <c r="F231" i="3"/>
  <c r="D231" i="3"/>
  <c r="G230" i="3"/>
  <c r="F230" i="3"/>
  <c r="D230" i="3"/>
  <c r="G229" i="3"/>
  <c r="F229" i="3"/>
  <c r="D229" i="3"/>
  <c r="G228" i="3"/>
  <c r="F228" i="3"/>
  <c r="D228" i="3"/>
  <c r="G227" i="3"/>
  <c r="F227" i="3"/>
  <c r="D227" i="3"/>
  <c r="G226" i="3"/>
  <c r="F226" i="3"/>
  <c r="D226" i="3"/>
  <c r="G225" i="3"/>
  <c r="F225" i="3"/>
  <c r="D225" i="3"/>
  <c r="G224" i="3"/>
  <c r="F224" i="3"/>
  <c r="D224" i="3"/>
  <c r="G223" i="3"/>
  <c r="F223" i="3"/>
  <c r="D223" i="3"/>
  <c r="G222" i="3"/>
  <c r="F222" i="3"/>
  <c r="D222" i="3"/>
  <c r="G221" i="3"/>
  <c r="F221" i="3"/>
  <c r="D221" i="3"/>
  <c r="G220" i="3"/>
  <c r="F220" i="3"/>
  <c r="D220" i="3"/>
  <c r="G219" i="3"/>
  <c r="F219" i="3"/>
  <c r="D219" i="3"/>
  <c r="G218" i="3"/>
  <c r="F218" i="3"/>
  <c r="D218" i="3"/>
  <c r="G217" i="3"/>
  <c r="F217" i="3"/>
  <c r="D217" i="3"/>
  <c r="G216" i="3"/>
  <c r="F216" i="3"/>
  <c r="D216" i="3"/>
  <c r="G215" i="3"/>
  <c r="F215" i="3"/>
  <c r="D215" i="3"/>
  <c r="G214" i="3"/>
  <c r="F214" i="3"/>
  <c r="D214" i="3"/>
  <c r="G213" i="3"/>
  <c r="F213" i="3"/>
  <c r="D213" i="3"/>
  <c r="G212" i="3"/>
  <c r="F212" i="3"/>
  <c r="D212" i="3"/>
  <c r="G211" i="3"/>
  <c r="F211" i="3"/>
  <c r="D211" i="3"/>
  <c r="G210" i="3"/>
  <c r="F210" i="3"/>
  <c r="D210" i="3"/>
  <c r="G209" i="3"/>
  <c r="F209" i="3"/>
  <c r="D209" i="3"/>
  <c r="G208" i="3"/>
  <c r="F208" i="3"/>
  <c r="D208" i="3"/>
  <c r="G207" i="3"/>
  <c r="F207" i="3"/>
  <c r="D207" i="3"/>
  <c r="G206" i="3"/>
  <c r="F206" i="3"/>
  <c r="D206" i="3"/>
  <c r="G205" i="3"/>
  <c r="F205" i="3"/>
  <c r="D205" i="3"/>
  <c r="G204" i="3"/>
  <c r="F204" i="3"/>
  <c r="D204" i="3"/>
  <c r="G203" i="3"/>
  <c r="F203" i="3"/>
  <c r="D203" i="3"/>
  <c r="G202" i="3"/>
  <c r="F202" i="3"/>
  <c r="D202" i="3"/>
  <c r="G201" i="3"/>
  <c r="F201" i="3"/>
  <c r="D201" i="3"/>
  <c r="G200" i="3"/>
  <c r="F200" i="3"/>
  <c r="D200" i="3"/>
  <c r="G199" i="3"/>
  <c r="F199" i="3"/>
  <c r="D199" i="3"/>
  <c r="G198" i="3"/>
  <c r="F198" i="3"/>
  <c r="D198" i="3"/>
  <c r="G197" i="3"/>
  <c r="F197" i="3"/>
  <c r="D197" i="3"/>
  <c r="G196" i="3"/>
  <c r="F196" i="3"/>
  <c r="D196" i="3"/>
  <c r="G195" i="3"/>
  <c r="F195" i="3"/>
  <c r="D195" i="3"/>
  <c r="G194" i="3"/>
  <c r="F194" i="3"/>
  <c r="D194" i="3"/>
  <c r="G193" i="3"/>
  <c r="F193" i="3"/>
  <c r="D193" i="3"/>
  <c r="G192" i="3"/>
  <c r="F192" i="3"/>
  <c r="D192" i="3"/>
  <c r="G191" i="3"/>
  <c r="F191" i="3"/>
  <c r="D191" i="3"/>
  <c r="G190" i="3"/>
  <c r="F190" i="3"/>
  <c r="D190" i="3"/>
  <c r="G189" i="3"/>
  <c r="F189" i="3"/>
  <c r="D189" i="3"/>
  <c r="G188" i="3"/>
  <c r="F188" i="3"/>
  <c r="D188" i="3"/>
  <c r="G187" i="3"/>
  <c r="F187" i="3"/>
  <c r="D187" i="3"/>
  <c r="G186" i="3"/>
  <c r="F186" i="3"/>
  <c r="D186" i="3"/>
  <c r="G185" i="3"/>
  <c r="F185" i="3"/>
  <c r="D185" i="3"/>
  <c r="G184" i="3"/>
  <c r="F184" i="3"/>
  <c r="D184" i="3"/>
  <c r="G183" i="3"/>
  <c r="F183" i="3"/>
  <c r="D183" i="3"/>
  <c r="G182" i="3"/>
  <c r="F182" i="3"/>
  <c r="D182" i="3"/>
  <c r="G181" i="3"/>
  <c r="F181" i="3"/>
  <c r="D181" i="3"/>
  <c r="G180" i="3"/>
  <c r="F180" i="3"/>
  <c r="D180" i="3"/>
  <c r="G179" i="3"/>
  <c r="F179" i="3"/>
  <c r="D179" i="3"/>
  <c r="G178" i="3"/>
  <c r="F178" i="3"/>
  <c r="D178" i="3"/>
  <c r="G177" i="3"/>
  <c r="F177" i="3"/>
  <c r="D177" i="3"/>
  <c r="G176" i="3"/>
  <c r="F176" i="3"/>
  <c r="D176" i="3"/>
  <c r="G175" i="3"/>
  <c r="F175" i="3"/>
  <c r="D175" i="3"/>
  <c r="G174" i="3"/>
  <c r="F174" i="3"/>
  <c r="D174" i="3"/>
  <c r="G173" i="3"/>
  <c r="F173" i="3"/>
  <c r="D173" i="3"/>
  <c r="G172" i="3"/>
  <c r="F172" i="3"/>
  <c r="D172" i="3"/>
  <c r="G171" i="3"/>
  <c r="F171" i="3"/>
  <c r="D171" i="3"/>
  <c r="G170" i="3"/>
  <c r="F170" i="3"/>
  <c r="D170" i="3"/>
  <c r="G169" i="3"/>
  <c r="F169" i="3"/>
  <c r="D169" i="3"/>
  <c r="G168" i="3"/>
  <c r="F168" i="3"/>
  <c r="D168" i="3"/>
  <c r="G167" i="3"/>
  <c r="F167" i="3"/>
  <c r="D167" i="3"/>
  <c r="G166" i="3"/>
  <c r="F166" i="3"/>
  <c r="D166" i="3"/>
  <c r="G165" i="3"/>
  <c r="F165" i="3"/>
  <c r="D165" i="3"/>
  <c r="G164" i="3"/>
  <c r="F164" i="3"/>
  <c r="D164" i="3"/>
  <c r="G163" i="3"/>
  <c r="F163" i="3"/>
  <c r="D163" i="3"/>
  <c r="G162" i="3"/>
  <c r="F162" i="3"/>
  <c r="D162" i="3"/>
  <c r="G161" i="3"/>
  <c r="F161" i="3"/>
  <c r="D161" i="3"/>
  <c r="G160" i="3"/>
  <c r="F160" i="3"/>
  <c r="D160" i="3"/>
  <c r="G159" i="3"/>
  <c r="F159" i="3"/>
  <c r="D159" i="3"/>
  <c r="G158" i="3"/>
  <c r="F158" i="3"/>
  <c r="D158" i="3"/>
  <c r="G157" i="3"/>
  <c r="F157" i="3"/>
  <c r="D157" i="3"/>
  <c r="G156" i="3"/>
  <c r="F156" i="3"/>
  <c r="D156" i="3"/>
  <c r="G155" i="3"/>
  <c r="F155" i="3"/>
  <c r="D155" i="3"/>
  <c r="G154" i="3"/>
  <c r="F154" i="3"/>
  <c r="D154" i="3"/>
  <c r="G153" i="3"/>
  <c r="F153" i="3"/>
  <c r="D153" i="3"/>
  <c r="G152" i="3"/>
  <c r="F152" i="3"/>
  <c r="D152" i="3"/>
  <c r="G151" i="3"/>
  <c r="F151" i="3"/>
  <c r="D151" i="3"/>
  <c r="G150" i="3"/>
  <c r="F150" i="3"/>
  <c r="D150" i="3"/>
  <c r="G149" i="3"/>
  <c r="F149" i="3"/>
  <c r="D149" i="3"/>
  <c r="G148" i="3"/>
  <c r="F148" i="3"/>
  <c r="D148" i="3"/>
  <c r="G147" i="3"/>
  <c r="F147" i="3"/>
  <c r="D147" i="3"/>
  <c r="G146" i="3"/>
  <c r="F146" i="3"/>
  <c r="D146" i="3"/>
  <c r="G145" i="3"/>
  <c r="F145" i="3"/>
  <c r="D145" i="3"/>
  <c r="G144" i="3"/>
  <c r="F144" i="3"/>
  <c r="D144" i="3"/>
  <c r="G143" i="3"/>
  <c r="F143" i="3"/>
  <c r="D143" i="3"/>
  <c r="G142" i="3"/>
  <c r="F142" i="3"/>
  <c r="D142" i="3"/>
  <c r="G141" i="3"/>
  <c r="F141" i="3"/>
  <c r="D141" i="3"/>
  <c r="G140" i="3"/>
  <c r="F140" i="3"/>
  <c r="D140" i="3"/>
  <c r="G139" i="3"/>
  <c r="F139" i="3"/>
  <c r="D139" i="3"/>
  <c r="G138" i="3"/>
  <c r="F138" i="3"/>
  <c r="D138" i="3"/>
  <c r="G137" i="3"/>
  <c r="F137" i="3"/>
  <c r="D137" i="3"/>
  <c r="G136" i="3"/>
  <c r="F136" i="3"/>
  <c r="D136" i="3"/>
  <c r="G135" i="3"/>
  <c r="F135" i="3"/>
  <c r="D135" i="3"/>
  <c r="G134" i="3"/>
  <c r="F134" i="3"/>
  <c r="D134" i="3"/>
  <c r="G133" i="3"/>
  <c r="F133" i="3"/>
  <c r="D133" i="3"/>
  <c r="G132" i="3"/>
  <c r="F132" i="3"/>
  <c r="D132" i="3"/>
  <c r="G131" i="3"/>
  <c r="F131" i="3"/>
  <c r="D131" i="3"/>
  <c r="G130" i="3"/>
  <c r="F130" i="3"/>
  <c r="D130" i="3"/>
  <c r="G129" i="3"/>
  <c r="F129" i="3"/>
  <c r="D129" i="3"/>
  <c r="G128" i="3"/>
  <c r="F128" i="3"/>
  <c r="D128" i="3"/>
  <c r="G127" i="3"/>
  <c r="F127" i="3"/>
  <c r="D127" i="3"/>
  <c r="G126" i="3"/>
  <c r="F126" i="3"/>
  <c r="D126" i="3"/>
  <c r="G125" i="3"/>
  <c r="F125" i="3"/>
  <c r="D125" i="3"/>
  <c r="G124" i="3"/>
  <c r="F124" i="3"/>
  <c r="D124" i="3"/>
  <c r="G123" i="3"/>
  <c r="F123" i="3"/>
  <c r="D123" i="3"/>
  <c r="G122" i="3"/>
  <c r="F122" i="3"/>
  <c r="D122" i="3"/>
  <c r="G121" i="3"/>
  <c r="F121" i="3"/>
  <c r="D121" i="3"/>
  <c r="G120" i="3"/>
  <c r="F120" i="3"/>
  <c r="D120" i="3"/>
  <c r="G119" i="3"/>
  <c r="F119" i="3"/>
  <c r="D119" i="3"/>
  <c r="G118" i="3"/>
  <c r="F118" i="3"/>
  <c r="D118" i="3"/>
  <c r="G117" i="3"/>
  <c r="F117" i="3"/>
  <c r="D117" i="3"/>
  <c r="G116" i="3"/>
  <c r="F116" i="3"/>
  <c r="D116" i="3"/>
  <c r="G115" i="3"/>
  <c r="F115" i="3"/>
  <c r="D115" i="3"/>
  <c r="G114" i="3"/>
  <c r="F114" i="3"/>
  <c r="D114" i="3"/>
  <c r="G113" i="3"/>
  <c r="F113" i="3"/>
  <c r="D113" i="3"/>
  <c r="G112" i="3"/>
  <c r="F112" i="3"/>
  <c r="D112" i="3"/>
  <c r="G111" i="3"/>
  <c r="F111" i="3"/>
  <c r="D111" i="3"/>
  <c r="G110" i="3"/>
  <c r="F110" i="3"/>
  <c r="D110" i="3"/>
  <c r="G109" i="3"/>
  <c r="F109" i="3"/>
  <c r="D109" i="3"/>
  <c r="G108" i="3"/>
  <c r="F108" i="3"/>
  <c r="D108" i="3"/>
  <c r="G107" i="3"/>
  <c r="F107" i="3"/>
  <c r="D107" i="3"/>
  <c r="G106" i="3"/>
  <c r="F106" i="3"/>
  <c r="D106" i="3"/>
  <c r="G105" i="3"/>
  <c r="F105" i="3"/>
  <c r="D105" i="3"/>
  <c r="G104" i="3"/>
  <c r="F104" i="3"/>
  <c r="D104" i="3"/>
  <c r="G103" i="3"/>
  <c r="F103" i="3"/>
  <c r="D103" i="3"/>
  <c r="G102" i="3"/>
  <c r="F102" i="3"/>
  <c r="D102" i="3"/>
  <c r="G101" i="3"/>
  <c r="F101" i="3"/>
  <c r="D101" i="3"/>
  <c r="G100" i="3"/>
  <c r="F100" i="3"/>
  <c r="D100" i="3"/>
  <c r="G99" i="3"/>
  <c r="F99" i="3"/>
  <c r="D99" i="3"/>
  <c r="G98" i="3"/>
  <c r="F98" i="3"/>
  <c r="D98" i="3"/>
  <c r="G97" i="3"/>
  <c r="F97" i="3"/>
  <c r="D97" i="3"/>
  <c r="G96" i="3"/>
  <c r="F96" i="3"/>
  <c r="D96" i="3"/>
  <c r="G95" i="3"/>
  <c r="F95" i="3"/>
  <c r="D95" i="3"/>
  <c r="G94" i="3"/>
  <c r="F94" i="3"/>
  <c r="D94" i="3"/>
  <c r="G93" i="3"/>
  <c r="F93" i="3"/>
  <c r="D93" i="3"/>
  <c r="G92" i="3"/>
  <c r="F92" i="3"/>
  <c r="D92" i="3"/>
  <c r="G91" i="3"/>
  <c r="F91" i="3"/>
  <c r="D91" i="3"/>
  <c r="G90" i="3"/>
  <c r="F90" i="3"/>
  <c r="D90" i="3"/>
  <c r="G89" i="3"/>
  <c r="F89" i="3"/>
  <c r="D89" i="3"/>
  <c r="G88" i="3"/>
  <c r="F88" i="3"/>
  <c r="D88" i="3"/>
  <c r="G87" i="3"/>
  <c r="F87" i="3"/>
  <c r="D87" i="3"/>
  <c r="G86" i="3"/>
  <c r="F86" i="3"/>
  <c r="D86" i="3"/>
  <c r="G85" i="3"/>
  <c r="F85" i="3"/>
  <c r="D85" i="3"/>
  <c r="G84" i="3"/>
  <c r="F84" i="3"/>
  <c r="D84" i="3"/>
  <c r="G83" i="3"/>
  <c r="F83" i="3"/>
  <c r="D83" i="3"/>
  <c r="G82" i="3"/>
  <c r="F82" i="3"/>
  <c r="D82" i="3"/>
  <c r="G81" i="3"/>
  <c r="F81" i="3"/>
  <c r="D81" i="3"/>
  <c r="G80" i="3"/>
  <c r="F80" i="3"/>
  <c r="D80" i="3"/>
  <c r="G79" i="3"/>
  <c r="F79" i="3"/>
  <c r="D79" i="3"/>
  <c r="G78" i="3"/>
  <c r="F78" i="3"/>
  <c r="D78" i="3"/>
  <c r="G77" i="3"/>
  <c r="F77" i="3"/>
  <c r="D77" i="3"/>
  <c r="G76" i="3"/>
  <c r="F76" i="3"/>
  <c r="D76" i="3"/>
  <c r="G75" i="3"/>
  <c r="F75" i="3"/>
  <c r="D75" i="3"/>
  <c r="G74" i="3"/>
  <c r="F74" i="3"/>
  <c r="D74" i="3"/>
  <c r="G73" i="3"/>
  <c r="F73" i="3"/>
  <c r="D73" i="3"/>
  <c r="G72" i="3"/>
  <c r="F72" i="3"/>
  <c r="D72" i="3"/>
  <c r="G71" i="3"/>
  <c r="F71" i="3"/>
  <c r="D71" i="3"/>
  <c r="G70" i="3"/>
  <c r="F70" i="3"/>
  <c r="D70" i="3"/>
  <c r="G69" i="3"/>
  <c r="F69" i="3"/>
  <c r="D69" i="3"/>
  <c r="G68" i="3"/>
  <c r="F68" i="3"/>
  <c r="D68" i="3"/>
  <c r="G67" i="3"/>
  <c r="F67" i="3"/>
  <c r="D67" i="3"/>
  <c r="G66" i="3"/>
  <c r="F66" i="3"/>
  <c r="D66" i="3"/>
  <c r="G65" i="3"/>
  <c r="F65" i="3"/>
  <c r="D65" i="3"/>
  <c r="G64" i="3"/>
  <c r="F64" i="3"/>
  <c r="D64" i="3"/>
  <c r="G63" i="3"/>
  <c r="F63" i="3"/>
  <c r="D63" i="3"/>
  <c r="G62" i="3"/>
  <c r="F62" i="3"/>
  <c r="D62" i="3"/>
  <c r="G61" i="3"/>
  <c r="F61" i="3"/>
  <c r="D61" i="3"/>
  <c r="G60" i="3"/>
  <c r="F60" i="3"/>
  <c r="D60" i="3"/>
  <c r="G59" i="3"/>
  <c r="F59" i="3"/>
  <c r="D59" i="3"/>
  <c r="G58" i="3"/>
  <c r="F58" i="3"/>
  <c r="D58" i="3"/>
  <c r="G57" i="3"/>
  <c r="F57" i="3"/>
  <c r="D57" i="3"/>
  <c r="G56" i="3"/>
  <c r="F56" i="3"/>
  <c r="D56" i="3"/>
  <c r="G55" i="3"/>
  <c r="F55" i="3"/>
  <c r="D55" i="3"/>
  <c r="G54" i="3"/>
  <c r="F54" i="3"/>
  <c r="D54" i="3"/>
  <c r="G53" i="3"/>
  <c r="F53" i="3"/>
  <c r="D53" i="3"/>
  <c r="G52" i="3"/>
  <c r="F52" i="3"/>
  <c r="D52" i="3"/>
  <c r="G51" i="3"/>
  <c r="F51" i="3"/>
  <c r="D51" i="3"/>
  <c r="G50" i="3"/>
  <c r="F50" i="3"/>
  <c r="D50" i="3"/>
  <c r="G49" i="3"/>
  <c r="F49" i="3"/>
  <c r="D49" i="3"/>
  <c r="G48" i="3"/>
  <c r="F48" i="3"/>
  <c r="D48" i="3"/>
  <c r="G47" i="3"/>
  <c r="F47" i="3"/>
  <c r="D47" i="3"/>
  <c r="G46" i="3"/>
  <c r="F46" i="3"/>
  <c r="D46" i="3"/>
  <c r="G45" i="3"/>
  <c r="F45" i="3"/>
  <c r="D45" i="3"/>
  <c r="G44" i="3"/>
  <c r="F44" i="3"/>
  <c r="D44" i="3"/>
  <c r="G43" i="3"/>
  <c r="F43" i="3"/>
  <c r="D43" i="3"/>
  <c r="G42" i="3"/>
  <c r="F42" i="3"/>
  <c r="D42" i="3"/>
  <c r="G41" i="3"/>
  <c r="F41" i="3"/>
  <c r="D41" i="3"/>
  <c r="G40" i="3"/>
  <c r="F40" i="3"/>
  <c r="D40" i="3"/>
  <c r="G39" i="3"/>
  <c r="F39" i="3"/>
  <c r="D39" i="3"/>
  <c r="G38" i="3"/>
  <c r="F38" i="3"/>
  <c r="D38" i="3"/>
  <c r="G37" i="3"/>
  <c r="F37" i="3"/>
  <c r="D37" i="3"/>
  <c r="G36" i="3"/>
  <c r="F36" i="3"/>
  <c r="D36" i="3"/>
  <c r="G35" i="3"/>
  <c r="F35" i="3"/>
  <c r="D35" i="3"/>
  <c r="G34" i="3"/>
  <c r="F34" i="3"/>
  <c r="D34" i="3"/>
  <c r="G33" i="3"/>
  <c r="F33" i="3"/>
  <c r="D33" i="3"/>
  <c r="G32" i="3"/>
  <c r="F32" i="3"/>
  <c r="D32" i="3"/>
  <c r="G31" i="3"/>
  <c r="F31" i="3"/>
  <c r="D31" i="3"/>
  <c r="G30" i="3"/>
  <c r="F30" i="3"/>
  <c r="D30" i="3"/>
  <c r="G29" i="3"/>
  <c r="F29" i="3"/>
  <c r="D29" i="3"/>
  <c r="G28" i="3"/>
  <c r="F28" i="3"/>
  <c r="D28" i="3"/>
  <c r="G27" i="3"/>
  <c r="F27" i="3"/>
  <c r="D27" i="3"/>
  <c r="G26" i="3"/>
  <c r="F26" i="3"/>
  <c r="D26" i="3"/>
  <c r="G25" i="3"/>
  <c r="F25" i="3"/>
  <c r="D25" i="3"/>
  <c r="G24" i="3"/>
  <c r="F24" i="3"/>
  <c r="D24" i="3"/>
  <c r="G23" i="3"/>
  <c r="F23" i="3"/>
  <c r="D23" i="3"/>
  <c r="G22" i="3"/>
  <c r="F22" i="3"/>
  <c r="D22" i="3"/>
  <c r="G21" i="3"/>
  <c r="F21" i="3"/>
  <c r="D21" i="3"/>
  <c r="G20" i="3"/>
  <c r="F20" i="3"/>
  <c r="D20" i="3"/>
  <c r="G19" i="3"/>
  <c r="F19" i="3"/>
  <c r="D19" i="3"/>
  <c r="G18" i="3"/>
  <c r="F18" i="3"/>
  <c r="D18" i="3"/>
  <c r="G17" i="3"/>
  <c r="F17" i="3"/>
  <c r="D17" i="3"/>
  <c r="G16" i="3"/>
  <c r="F16" i="3"/>
  <c r="D16" i="3"/>
  <c r="G15" i="3"/>
  <c r="F15" i="3"/>
  <c r="D15" i="3"/>
  <c r="G14" i="3"/>
  <c r="F14" i="3"/>
  <c r="D14" i="3"/>
  <c r="G13" i="3"/>
  <c r="F13" i="3"/>
  <c r="D13" i="3"/>
  <c r="G12" i="3"/>
  <c r="F12" i="3"/>
  <c r="D12" i="3"/>
  <c r="G11" i="3"/>
  <c r="F11" i="3"/>
  <c r="D11" i="3"/>
  <c r="G10" i="3"/>
  <c r="F10" i="3"/>
  <c r="D10" i="3"/>
  <c r="G9" i="3"/>
  <c r="F9" i="3"/>
  <c r="D9" i="3"/>
  <c r="G8" i="3"/>
  <c r="F8" i="3"/>
  <c r="D8" i="3"/>
  <c r="G7" i="3"/>
  <c r="F7" i="3"/>
  <c r="D7" i="3"/>
  <c r="G6" i="3"/>
  <c r="F6" i="3"/>
  <c r="D6" i="3"/>
  <c r="G5" i="3"/>
  <c r="F5" i="3"/>
  <c r="D5" i="3"/>
  <c r="G4" i="3"/>
  <c r="F4" i="3"/>
  <c r="D4" i="3"/>
  <c r="G3" i="3"/>
  <c r="F3" i="3"/>
  <c r="D3" i="3"/>
  <c r="G2" i="3"/>
  <c r="F2" i="3"/>
  <c r="D2" i="3"/>
  <c r="B186" i="5" l="1"/>
  <c r="D186" i="5" s="1"/>
  <c r="D2" i="5"/>
  <c r="G4" i="4"/>
  <c r="G15" i="4"/>
  <c r="G26" i="4"/>
  <c r="G37" i="4"/>
  <c r="G48" i="4"/>
  <c r="G59" i="4"/>
  <c r="G70" i="4"/>
  <c r="G81" i="4"/>
  <c r="G92" i="4"/>
  <c r="G103" i="4"/>
  <c r="G114" i="4"/>
  <c r="G125" i="4"/>
  <c r="G136" i="4"/>
  <c r="G147" i="4"/>
  <c r="G158" i="4"/>
  <c r="G169" i="4"/>
  <c r="G180" i="4"/>
  <c r="F7" i="4"/>
  <c r="F29" i="4"/>
  <c r="F117" i="4"/>
  <c r="F139" i="4"/>
  <c r="G84" i="4"/>
  <c r="G172" i="4"/>
  <c r="H4" i="4"/>
  <c r="H15" i="4"/>
  <c r="H26" i="4"/>
  <c r="H37" i="4"/>
  <c r="H48" i="4"/>
  <c r="H59" i="4"/>
  <c r="H70" i="4"/>
  <c r="H81" i="4"/>
  <c r="H92" i="4"/>
  <c r="H103" i="4"/>
  <c r="H114" i="4"/>
  <c r="H125" i="4"/>
  <c r="H136" i="4"/>
  <c r="H147" i="4"/>
  <c r="H158" i="4"/>
  <c r="H169" i="4"/>
  <c r="H180" i="4"/>
  <c r="F40" i="4"/>
  <c r="F51" i="4"/>
  <c r="F62" i="4"/>
  <c r="F84" i="4"/>
  <c r="F95" i="4"/>
  <c r="F106" i="4"/>
  <c r="F128" i="4"/>
  <c r="F172" i="4"/>
  <c r="G7" i="4"/>
  <c r="G139" i="4"/>
  <c r="F150" i="4"/>
  <c r="F5" i="4"/>
  <c r="F16" i="4"/>
  <c r="F27" i="4"/>
  <c r="F38" i="4"/>
  <c r="F49" i="4"/>
  <c r="F60" i="4"/>
  <c r="F71" i="4"/>
  <c r="F82" i="4"/>
  <c r="F93" i="4"/>
  <c r="F104" i="4"/>
  <c r="F115" i="4"/>
  <c r="F126" i="4"/>
  <c r="F137" i="4"/>
  <c r="F148" i="4"/>
  <c r="F159" i="4"/>
  <c r="F170" i="4"/>
  <c r="F181" i="4"/>
  <c r="F6" i="4"/>
  <c r="F17" i="4"/>
  <c r="F28" i="4"/>
  <c r="F39" i="4"/>
  <c r="F50" i="4"/>
  <c r="F61" i="4"/>
  <c r="F72" i="4"/>
  <c r="F83" i="4"/>
  <c r="F94" i="4"/>
  <c r="F105" i="4"/>
  <c r="F116" i="4"/>
  <c r="F127" i="4"/>
  <c r="F138" i="4"/>
  <c r="F149" i="4"/>
  <c r="F160" i="4"/>
  <c r="F171" i="4"/>
  <c r="F182" i="4"/>
  <c r="F2" i="4"/>
  <c r="H18" i="4"/>
  <c r="F24" i="4"/>
  <c r="H29" i="4"/>
  <c r="H40" i="4"/>
  <c r="F46" i="4"/>
  <c r="F57" i="4"/>
  <c r="H62" i="4"/>
  <c r="F68" i="4"/>
  <c r="F79" i="4"/>
  <c r="F90" i="4"/>
  <c r="H95" i="4"/>
  <c r="F101" i="4"/>
  <c r="H106" i="4"/>
  <c r="F112" i="4"/>
  <c r="H117" i="4"/>
  <c r="F123" i="4"/>
  <c r="H128" i="4"/>
  <c r="F134" i="4"/>
  <c r="F145" i="4"/>
  <c r="H150" i="4"/>
  <c r="F156" i="4"/>
  <c r="H161" i="4"/>
  <c r="F167" i="4"/>
  <c r="G2" i="4"/>
  <c r="G13" i="4"/>
  <c r="G24" i="4"/>
  <c r="G35" i="4"/>
  <c r="G46" i="4"/>
  <c r="G57" i="4"/>
  <c r="G68" i="4"/>
  <c r="G79" i="4"/>
  <c r="G90" i="4"/>
  <c r="G101" i="4"/>
  <c r="G112" i="4"/>
  <c r="G123" i="4"/>
  <c r="G134" i="4"/>
  <c r="G145" i="4"/>
  <c r="G156" i="4"/>
  <c r="G167" i="4"/>
  <c r="G178" i="4"/>
  <c r="F35" i="4"/>
  <c r="H73" i="4"/>
  <c r="F178" i="4"/>
  <c r="F8" i="4"/>
  <c r="H13" i="4"/>
  <c r="F19" i="4"/>
  <c r="F30" i="4"/>
  <c r="F41" i="4"/>
  <c r="F52" i="4"/>
  <c r="F63" i="4"/>
  <c r="F74" i="4"/>
  <c r="F85" i="4"/>
  <c r="F96" i="4"/>
  <c r="F107" i="4"/>
  <c r="F118" i="4"/>
  <c r="F129" i="4"/>
  <c r="F140" i="4"/>
  <c r="F151" i="4"/>
  <c r="F162" i="4"/>
  <c r="F173" i="4"/>
  <c r="F184" i="4"/>
  <c r="H51" i="4"/>
  <c r="G18" i="4"/>
  <c r="G73" i="4"/>
  <c r="G161" i="4"/>
  <c r="F9" i="4"/>
  <c r="F20" i="4"/>
  <c r="F31" i="4"/>
  <c r="F42" i="4"/>
  <c r="F53" i="4"/>
  <c r="F64" i="4"/>
  <c r="F75" i="4"/>
  <c r="F86" i="4"/>
  <c r="F97" i="4"/>
  <c r="F108" i="4"/>
  <c r="F119" i="4"/>
  <c r="F130" i="4"/>
  <c r="F141" i="4"/>
  <c r="F152" i="4"/>
  <c r="F163" i="4"/>
  <c r="F174" i="4"/>
  <c r="F185" i="4"/>
</calcChain>
</file>

<file path=xl/sharedStrings.xml><?xml version="1.0" encoding="utf-8"?>
<sst xmlns="http://schemas.openxmlformats.org/spreadsheetml/2006/main" count="11258" uniqueCount="3951">
  <si>
    <t>COD_IBGE</t>
  </si>
  <si>
    <t>NM_UE</t>
  </si>
  <si>
    <t>DS_CARGO</t>
  </si>
  <si>
    <t>SQ_CANDIDATO</t>
  </si>
  <si>
    <t>NR_CANDIDATO</t>
  </si>
  <si>
    <t>NM_CANDIDATO</t>
  </si>
  <si>
    <t>EMAIL</t>
  </si>
  <si>
    <t>TELEFONE</t>
  </si>
  <si>
    <t>CANDIDATO SEM CARACTERES</t>
  </si>
  <si>
    <t>TIPO DE CANDIDATURA</t>
  </si>
  <si>
    <t>PERFIL POLÍTICO</t>
  </si>
  <si>
    <t>RESULTADO</t>
  </si>
  <si>
    <t>VOTOS RECEBIDOS</t>
  </si>
  <si>
    <t>PORCENTAGEM DE VOTOS RECEBIDOS</t>
  </si>
  <si>
    <t>NM_URNA_CANDIDATO</t>
  </si>
  <si>
    <t>TP_AGREMIACAO</t>
  </si>
  <si>
    <t>NR_PARTIDO</t>
  </si>
  <si>
    <t>SG_PARTIDO</t>
  </si>
  <si>
    <t>NM_PARTIDO</t>
  </si>
  <si>
    <t>NM_COLIGACAO</t>
  </si>
  <si>
    <t>DS_COMPOSICAO_COLIGACAO</t>
  </si>
  <si>
    <t>DS_GENERO</t>
  </si>
  <si>
    <t>DS_GRAU_INSTRUCAO</t>
  </si>
  <si>
    <t>DS_COR_RACA</t>
  </si>
  <si>
    <t>DS_OCUPACAO</t>
  </si>
  <si>
    <t>ABREU E LIMA</t>
  </si>
  <si>
    <t>PREFEITO</t>
  </si>
  <si>
    <t>FLAVIO VIEIRA GADELHA DE ALBUQUERQUE</t>
  </si>
  <si>
    <t>REELEITO</t>
  </si>
  <si>
    <t>SITUAÇÃO</t>
  </si>
  <si>
    <t>ELEITO</t>
  </si>
  <si>
    <t>FLAVIO GADELHA</t>
  </si>
  <si>
    <t>COLIGAÇÃO</t>
  </si>
  <si>
    <t>PSB</t>
  </si>
  <si>
    <t>PARTIDO SOCIALISTA BRASILEIRO</t>
  </si>
  <si>
    <t>COLIGAÇÃO ABREU E LIMA VÊ A DIFERENÇA</t>
  </si>
  <si>
    <t>COLIGAÇÃO ABREU E LIMA VÊ A DIFERENÇA [Federação BRASIL DA ESPERANÇA - FE BRASIL (PT/PC do B/PV), Movimento Democrático Brasileiro - MDB, Partido Socialista Brasileiro - PSB, Podemos - PODE, REPUBLICANOS - REPUBLICANOS, Solidariedade - SOLIDARIEDADE] - ABREU E LIMA - PE</t>
  </si>
  <si>
    <t>MASCULINO</t>
  </si>
  <si>
    <t>SUPERIOR COMPLETO</t>
  </si>
  <si>
    <t>BRANCA</t>
  </si>
  <si>
    <t>JAILTON LIMA DA ASSUNÇÃO</t>
  </si>
  <si>
    <t>JAILTON LIMA DA ASSUNCAO</t>
  </si>
  <si>
    <t>CANDIDATO A 1º MANDATO</t>
  </si>
  <si>
    <t>OPOSIÇÃO</t>
  </si>
  <si>
    <t>NÃO ELEITO</t>
  </si>
  <si>
    <t>PROFESSOR JAILTON</t>
  </si>
  <si>
    <t>PARTIDO ISOLADO</t>
  </si>
  <si>
    <t>MOBILIZA</t>
  </si>
  <si>
    <t>MOBILIZAÇÃO NACIONAL</t>
  </si>
  <si>
    <t>Mobilização Nacional - MOBILIZA - ABREU E LIMA - PE</t>
  </si>
  <si>
    <t>ENSINO MÉDIO COMPLETO</t>
  </si>
  <si>
    <t>OUTROS</t>
  </si>
  <si>
    <t>MANOEL ELIZEU DE SOUZA JUNIOR</t>
  </si>
  <si>
    <t>MANOEL ELIZEU BILO</t>
  </si>
  <si>
    <t>FEDERAÇÃO</t>
  </si>
  <si>
    <t>REDE</t>
  </si>
  <si>
    <t>REDE SUSTENTABILIDADE</t>
  </si>
  <si>
    <t>Federação PSOL REDE (PSOL/REDE) - ABREU E LIMA - PE</t>
  </si>
  <si>
    <t>PARDA</t>
  </si>
  <si>
    <t>MARCOS ANTONIO PEIXOTO DE SIQUEIRA FILHO</t>
  </si>
  <si>
    <t>DR MARQUINHOS</t>
  </si>
  <si>
    <t>PSDB</t>
  </si>
  <si>
    <t>PARTIDO DA SOCIAL DEMOCRACIA BRASILEIRA</t>
  </si>
  <si>
    <t>FRENTE UNIDOS PELA MUDANÇA</t>
  </si>
  <si>
    <t>FRENTE UNIDOS PELA MUDANÇA [AVANTE - AVANTE, Democracia Cristã - DC, Federação PSDB CIDADANIA (PSDB/CIDADANIA), PROGRESSISTAS - PP, Partido Democrático Trabalhista - PDT, Partido Social Democrático - PSD] - ABREU E LIMA - PE</t>
  </si>
  <si>
    <t>MÉDICO</t>
  </si>
  <si>
    <t>AFOGADOS DA INGAZEIRA</t>
  </si>
  <si>
    <t>ALESANDRO PALMEIRA DE VASCONCELOS LEITE</t>
  </si>
  <si>
    <t>SANDRINHO PALMEIRA</t>
  </si>
  <si>
    <t>FRENTE POPULAR</t>
  </si>
  <si>
    <t>FRENTE POPULAR [AVANTE - AVANTE, Federação BRASIL DA ESPERANÇA - FE BRASIL (PT/PC do B/PV), Movimento Democrático Brasileiro - MDB, Partido Socialista Brasileiro - PSB, Podemos - PODE, REPUBLICANOS - REPUBLICANOS, Solidariedade - SOLIDARIEDADE] - AFOGADOS DA INGAZEIRA - PE</t>
  </si>
  <si>
    <t>DANILO HENRIQUE SIMÕES INÁCIO</t>
  </si>
  <si>
    <t>DANILO HENRIQUE SIMOES INACIO</t>
  </si>
  <si>
    <t>DANILO SIMÕES</t>
  </si>
  <si>
    <t>PSD</t>
  </si>
  <si>
    <t>PARTIDO SOCIAL DEMOCRÁTICO</t>
  </si>
  <si>
    <t>UNIÃO PELO POVO</t>
  </si>
  <si>
    <t>UNIÃO PELO POVO [Federação PSDB CIDADANIA (PSDB/CIDADANIA), PROGRESSISTAS - PP, Partido Novo - NOVO, Partido Social Democrático - PSD, União Brasil - UNIÃO] - AFOGADOS DA INGAZEIRA - PE</t>
  </si>
  <si>
    <t>ENGENHEIRO</t>
  </si>
  <si>
    <t>AFRÂNIO</t>
  </si>
  <si>
    <t>CLOVES RAMOS DE MACEDO</t>
  </si>
  <si>
    <t>crmcontabilidade2@gmail.com</t>
  </si>
  <si>
    <t>1º MANDATO</t>
  </si>
  <si>
    <t xml:space="preserve">SITUAÇÃO </t>
  </si>
  <si>
    <t>CLOVES RAMOS</t>
  </si>
  <si>
    <t>MDB</t>
  </si>
  <si>
    <t>MOVIMENTO DEMOCRÁTICO BRASILEIRO</t>
  </si>
  <si>
    <t>AFRÂNIO SEGUINDO EM FRENTE</t>
  </si>
  <si>
    <t>AFRÂNIO SEGUINDO EM FRENTE [Movimento Democrático Brasileiro - MDB, REPUBLICANOS - REPUBLICANOS] - AFRÂNIO - PE</t>
  </si>
  <si>
    <t>PRETA</t>
  </si>
  <si>
    <t>EMPRESÁRIO</t>
  </si>
  <si>
    <t>JOSÉ NILTON COELHO ALVES</t>
  </si>
  <si>
    <t>JOSE NILTON COELHO ALVES</t>
  </si>
  <si>
    <t>ZÉ NILTON DE POÇÃO</t>
  </si>
  <si>
    <t>Partido Socialista Brasileiro - PSB - AFRÂNIO - PE</t>
  </si>
  <si>
    <t>AGRICULTOR</t>
  </si>
  <si>
    <t>KLENIO LELIO PEREIRA RAMOS</t>
  </si>
  <si>
    <t>LELIO SALGAPELE</t>
  </si>
  <si>
    <t>PODE</t>
  </si>
  <si>
    <t>PODEMOS</t>
  </si>
  <si>
    <t>UNIDOS POR UMA FRÂNIO MELHOR</t>
  </si>
  <si>
    <t>UNIDOS POR UMA FRÂNIO MELHOR [Partido Liberal - PL, Podemos - PODE, União Brasil - UNIÃO] - AFRÂNIO - PE</t>
  </si>
  <si>
    <t>ENSINO FUNDAMENTAL COMPLETO</t>
  </si>
  <si>
    <t>AGRESTINA</t>
  </si>
  <si>
    <t>JOSUÉ MENDES DA SILVA</t>
  </si>
  <si>
    <t>JOSUE MENDES DA SILVA</t>
  </si>
  <si>
    <t>JOSUÉ MENDES</t>
  </si>
  <si>
    <t>UNIÃO POR AGRESTINA</t>
  </si>
  <si>
    <t>UNIÃO POR AGRESTINA [Federação BRASIL DA ESPERANÇA - FE BRASIL (PT/PC do B/PV), Movimento Democrático Brasileiro - MDB, Partido Socialista Brasileiro - PSB, REPUBLICANOS - REPUBLICANOS, União Brasil - UNIÃO] - AGRESTINA - PE</t>
  </si>
  <si>
    <t>ADMINISTRADOR</t>
  </si>
  <si>
    <t>THIAGO LUCENA NUNES</t>
  </si>
  <si>
    <t>THIAGO NUNES</t>
  </si>
  <si>
    <t>AGRESTINA FELIZ DE NOVO</t>
  </si>
  <si>
    <t>AGRESTINA FELIZ DE NOVO [Federação PSDB CIDADANIA (PSDB/CIDADANIA), Partido Social Democrático - PSD] - AGRESTINA - PE</t>
  </si>
  <si>
    <t>SUPERIOR INCOMPLETO</t>
  </si>
  <si>
    <t>ÁGUA PRETA</t>
  </si>
  <si>
    <t>ANTONIO MANOEL DA SILVA</t>
  </si>
  <si>
    <t>MIRUCA</t>
  </si>
  <si>
    <t>Partido Socialista Brasileiro - PSB - ÁGUA PRETA - PE</t>
  </si>
  <si>
    <t>ÁGUAS BELAS</t>
  </si>
  <si>
    <t>JOSÉ ELTON MARTINS DE SOUZA</t>
  </si>
  <si>
    <t>elton.martins@hotmail.com</t>
  </si>
  <si>
    <t>JOSE ELTON MARTINS DE SOUZA</t>
  </si>
  <si>
    <t>DR ELTON MARTINS</t>
  </si>
  <si>
    <t>REPUBLICANOS</t>
  </si>
  <si>
    <t>A MUDANÇA É AGORA</t>
  </si>
  <si>
    <t>A MUDANÇA É AGORA [AVANTE - AVANTE, Movimento Democrático Brasileiro - MDB, Podemos - PODE, REPUBLICANOS - REPUBLICANOS] - ÁGUAS BELAS - PE</t>
  </si>
  <si>
    <t>ADVOGADO</t>
  </si>
  <si>
    <t>MAURICIO LEITE BARBOZA</t>
  </si>
  <si>
    <t>MAURICIO DE JOSUÉ</t>
  </si>
  <si>
    <t>PT</t>
  </si>
  <si>
    <t>PARTIDO DOS TRABALHADORES</t>
  </si>
  <si>
    <t>ÁGUAS BELAS PARA MAIS</t>
  </si>
  <si>
    <t>ÁGUAS BELAS PARA MAIS [Federação BRASIL DA ESPERANÇA - FE BRASIL (PT/PC do B/PV), PROGRESSISTAS - PP, Partido Social Democrático - PSD] - ÁGUAS BELAS - PE</t>
  </si>
  <si>
    <t>SERVIDOR PÚBLICO MUNICIPAL</t>
  </si>
  <si>
    <t>ALAGOINHA</t>
  </si>
  <si>
    <t>FRANCISCO LUMBA DE OLIVEIRA NETO</t>
  </si>
  <si>
    <t>FRANCISCO LUMBA</t>
  </si>
  <si>
    <t>PDT</t>
  </si>
  <si>
    <t>PARTIDO DEMOCRÁTICO TRABALHISTA</t>
  </si>
  <si>
    <t>Partido Democrático Trabalhista - PDT - ALAGOINHA - PE</t>
  </si>
  <si>
    <t>MAURILIO DE ALMEIDA SILVA</t>
  </si>
  <si>
    <t>MAURILIO ALMEIDA</t>
  </si>
  <si>
    <t>JUNTOS PODEMOS TRANSFORMAR ALAGOINHA</t>
  </si>
  <si>
    <t>JUNTOS PODEMOS TRANSFORMAR ALAGOINHA [Partido Socialista Brasileiro - PSB, Podemos - PODE, REPUBLICANOS - REPUBLICANOS] - ALAGOINHA - PE</t>
  </si>
  <si>
    <t>PECUARISTA</t>
  </si>
  <si>
    <t>SIMAO CIRINEU DA COSTA NETO</t>
  </si>
  <si>
    <t>SIMÃOZINHO</t>
  </si>
  <si>
    <t>JUNTOS POR ALAGOINHA</t>
  </si>
  <si>
    <t>JUNTOS POR ALAGOINHA [Federação BRASIL DA ESPERANÇA - FE BRASIL (PT/PC do B/PV), Federação PSDB CIDADANIA (PSDB/CIDADANIA), Partido Social Democrático - PSD] - ALAGOINHA - PE</t>
  </si>
  <si>
    <t>ALIANÇA</t>
  </si>
  <si>
    <t>EDILSON MONTEIRO PEREIRA</t>
  </si>
  <si>
    <t>CHAPINHA</t>
  </si>
  <si>
    <t>PSOL</t>
  </si>
  <si>
    <t>PARTIDO SOCIALISMO E LIBERDADE</t>
  </si>
  <si>
    <t>Federação PSOL REDE (PSOL/REDE) - ALIANÇA - PE</t>
  </si>
  <si>
    <t>ENSINO FUNDAMENTAL INCOMPLETO</t>
  </si>
  <si>
    <t>KARINA ALVES DE LIMA</t>
  </si>
  <si>
    <t>KARINA GOUVEIA</t>
  </si>
  <si>
    <t>Podemos - PODE - ALIANÇA - PE</t>
  </si>
  <si>
    <t>FEMININO</t>
  </si>
  <si>
    <t>MACIEL SARAIVA DE SOUZA</t>
  </si>
  <si>
    <t>MACIEL DA ROCAM</t>
  </si>
  <si>
    <t>COLIGAÇÃO UMA NOVA ALIANÇA</t>
  </si>
  <si>
    <t>COLIGAÇÃO UMA NOVA ALIANÇA [AGIR - AGIR, Movimento Democrático Brasileiro - MDB, Partido Liberal - PL] - ALIANÇA - PE</t>
  </si>
  <si>
    <t>VEREADOR</t>
  </si>
  <si>
    <t>PEDRO ERMIRIO DE ALMEIDA FREITAS FILHO</t>
  </si>
  <si>
    <t>PEDRO FREITAS</t>
  </si>
  <si>
    <t>PP</t>
  </si>
  <si>
    <t>PROGRESSISTAS</t>
  </si>
  <si>
    <t>ALIANÇA É DAQUI PRA MELHOR</t>
  </si>
  <si>
    <t>ALIANÇA É DAQUI PRA MELHOR [AVANTE - AVANTE, Federação BRASIL DA ESPERANÇA - FE BRASIL (PT/PC do B/PV), PROGRESSISTAS - PP, Partido Social Democrático - PSD, REPUBLICANOS - REPUBLICANOS] - ALIANÇA - PE</t>
  </si>
  <si>
    <t>BANCÁRIO E ECONOMIÁRIO</t>
  </si>
  <si>
    <t>ALTINHO</t>
  </si>
  <si>
    <t>ALLYSON JOSÉ DE OLIVEIRA</t>
  </si>
  <si>
    <t>ALLYSON JOSE DE OLIVEIRA</t>
  </si>
  <si>
    <t>ALLYSON OLIVEIRA</t>
  </si>
  <si>
    <t>AVANTE</t>
  </si>
  <si>
    <t>JUNTOS PARA FAZER ALTINHO CRESCER</t>
  </si>
  <si>
    <t>JUNTOS PARA FAZER ALTINHO CRESCER [AVANTE - AVANTE, Solidariedade - SOLIDARIEDADE] - ALTINHO - PE</t>
  </si>
  <si>
    <t>ISRAEL ALVES DA SILVA II</t>
  </si>
  <si>
    <t>SEGUNDINHO DE DR ISRAEL</t>
  </si>
  <si>
    <t>JUNTOS PARA MELHORAR ALTINHO</t>
  </si>
  <si>
    <t>JUNTOS PARA MELHORAR ALTINHO [Federação PSDB CIDADANIA (PSDB/CIDADANIA), Movimento Democrático Brasileiro - MDB, Partido Liberal - PL] - ALTINHO - PE</t>
  </si>
  <si>
    <t>MARIVALDO PENA</t>
  </si>
  <si>
    <t>Frente Popular do Altinho</t>
  </si>
  <si>
    <t>Frente Popular do Altinho [Federação BRASIL DA ESPERANÇA - FE BRASIL (PT/PC do B/PV), PROGRESSISTAS - PP, Partido Socialista Brasileiro - PSB, REPUBLICANOS - REPUBLICANOS] - ALTINHO - PE</t>
  </si>
  <si>
    <t>AMARAJI</t>
  </si>
  <si>
    <t>ALINE DE ANDRADE GOUVEIA</t>
  </si>
  <si>
    <t>CANDIDATO A REELEIÇÃO</t>
  </si>
  <si>
    <t>ALINE GOUVEIA</t>
  </si>
  <si>
    <t>FRENTE POPULAR DE AMARAJI</t>
  </si>
  <si>
    <t>FRENTE POPULAR DE AMARAJI [Partido Socialista Brasileiro - PSB, REPUBLICANOS - REPUBLICANOS] - AMARAJI - PE</t>
  </si>
  <si>
    <t>ELNATAM GEORGE BARROS DE LIMA</t>
  </si>
  <si>
    <t>IRMÃO NATAN DO PROJETO</t>
  </si>
  <si>
    <t>AGIR</t>
  </si>
  <si>
    <t>AGIR - AGIR - AMARAJI - PE</t>
  </si>
  <si>
    <t>FLÁUCIO DE ARAÚJO GUIMARÃES</t>
  </si>
  <si>
    <t>amarajiavante70@gmail.com</t>
  </si>
  <si>
    <t>FLAUCIO DE ARAUJO GUIMARAES</t>
  </si>
  <si>
    <t>ARAÚJO</t>
  </si>
  <si>
    <t>UMA NOVA HISTÓRIA SERÁ CONSTRUÍDA</t>
  </si>
  <si>
    <t>UMA NOVA HISTÓRIA SERÁ CONSTRUÍDA [AVANTE - AVANTE, Federação BRASIL DA ESPERANÇA - FE BRASIL (PT/PC do B/PV), Federação PSOL REDE (PSOL/REDE), PROGRESSISTAS - PP] - AMARAJI - PE</t>
  </si>
  <si>
    <t>ANGELIM</t>
  </si>
  <si>
    <t>CARLOS HENRIQUE FIGUEIREDO LOPES LIMA</t>
  </si>
  <si>
    <t>CAIQUE O GALEGUINHO</t>
  </si>
  <si>
    <t>FRENTE POPULAR DE ANGELIM</t>
  </si>
  <si>
    <t>FRENTE POPULAR DE ANGELIM [Federação BRASIL DA ESPERANÇA - FE BRASIL (PT/PC do B/PV), Partido Socialista Brasileiro - PSB] - ANGELIM - PE</t>
  </si>
  <si>
    <t>MARCO ANTÔNIO LEAL CALADO FILHO</t>
  </si>
  <si>
    <t>MARCO ANTONIO LEAL CALADO FILHO</t>
  </si>
  <si>
    <t>MARQUINHO CALADO</t>
  </si>
  <si>
    <t>ESPERANÇA POR UMA ANGELIM MELHOR</t>
  </si>
  <si>
    <t>ESPERANÇA POR UMA ANGELIM MELHOR [Podemos - PODE, REPUBLICANOS - REPUBLICANOS] - ANGELIM - PE</t>
  </si>
  <si>
    <t>ARAÇOIABA</t>
  </si>
  <si>
    <t>CARLOS JOGLI ALBUQUERQUE TAVARES UCHÔA</t>
  </si>
  <si>
    <t>CARLOS JOGLI ALBUQUERQUE TAVARES UCHOA</t>
  </si>
  <si>
    <t>JOGLI UCHÔA</t>
  </si>
  <si>
    <t>ARAÇOIABA PRA FAZER MUITO MAIS</t>
  </si>
  <si>
    <t>ARAÇOIABA PRA FAZER MUITO MAIS [Federação BRASIL DA ESPERANÇA - FE BRASIL (PT/PC do B/PV), Mobilização Nacional - MOBILIZA, Movimento Democrático Brasileiro - MDB, Partido Social Democrático - PSD, REPUBLICANOS - REPUBLICANOS] - ARAÇOIABA - PE</t>
  </si>
  <si>
    <t>JOAMY ALVES DE OLIVEIRA</t>
  </si>
  <si>
    <t>JOAMY</t>
  </si>
  <si>
    <t>ARAÇOIABA DE VOLTA PARA O POVO</t>
  </si>
  <si>
    <t>ARAÇOIABA DE VOLTA PARA O POVO [AGIR - AGIR, Partido Democrático Trabalhista - PDT, Partido Socialista Brasileiro - PSB, Podemos - PODE] - ARAÇOIABA - PE</t>
  </si>
  <si>
    <t>ARARIPINA</t>
  </si>
  <si>
    <t>AIRTON RODRIGUES DE ALENCAR</t>
  </si>
  <si>
    <t>AIRTON RODRIGUES</t>
  </si>
  <si>
    <t>Federação PSOL REDE (PSOL/REDE) - ARARIPINA - PE</t>
  </si>
  <si>
    <t>CAMILA MODESTO ALBUQUERQUE LIMA SILVA GONÇALVES</t>
  </si>
  <si>
    <t>CAMILA MODESTO ALBUQUERQUE LIMA SILVA GONCALVES</t>
  </si>
  <si>
    <t>CAMILA MODESTO</t>
  </si>
  <si>
    <t>UNIDOS PODEMOS MAIS</t>
  </si>
  <si>
    <t>UNIDOS PODEMOS MAIS [Federação BRASIL DA ESPERANÇA - FE BRASIL (PT/PC do B/PV), Federação PSDB CIDADANIA (PSDB/CIDADANIA), Partido Social Democrático - PSD, Podemos - PODE] - ARARIPINA - PE</t>
  </si>
  <si>
    <t>EVILÁSIO MATEUS DA SILVA CARDOSO</t>
  </si>
  <si>
    <t>evilasio17000@outlook.com</t>
  </si>
  <si>
    <t>EVILASIO MATEUS DA SILVA CARDOSO</t>
  </si>
  <si>
    <t>EVILÁSIO MATEUS</t>
  </si>
  <si>
    <t>VIVA A DEMOCRACIA</t>
  </si>
  <si>
    <t>VIVA A DEMOCRACIA [PROGRESSISTAS - PP, Partido Democrático Trabalhista - PDT, REPUBLICANOS - REPUBLICANOS, União Brasil - UNIÃO] - ARARIPINA - PE</t>
  </si>
  <si>
    <t>ARCOVERDE</t>
  </si>
  <si>
    <t>JOÃO ALMEIDA PARRA</t>
  </si>
  <si>
    <t>JOAO ALMEIDA PARRA</t>
  </si>
  <si>
    <t>JOAO DO SKATE</t>
  </si>
  <si>
    <t>DC</t>
  </si>
  <si>
    <t>DEMOCRACIA CRISTÃ</t>
  </si>
  <si>
    <t>UNIÃO E RENOVAÇÃO DE ARCOVERDE</t>
  </si>
  <si>
    <t>UNIÃO E RENOVAÇÃO DE ARCOVERDE [AGIR - AGIR, Democracia Cristã - DC, Partido da Mulher Brasileira - PMB] - ARCOVERDE - PE</t>
  </si>
  <si>
    <t>COMERCIANTE</t>
  </si>
  <si>
    <t>JOSÉ CAVALCANTI ALVES JÚNIOR</t>
  </si>
  <si>
    <t>inojosa001@gmail.com</t>
  </si>
  <si>
    <t>JOSE CAVALCANTI ALVES JUNIOR</t>
  </si>
  <si>
    <t>ZECA CAVALCANTI</t>
  </si>
  <si>
    <t>O TEMPO BOM ESTÁ VOLTANDO</t>
  </si>
  <si>
    <t>O TEMPO BOM ESTÁ VOLTANDO [Federação PSDB CIDADANIA (PSDB/CIDADANIA), PROGRESSISTAS - PP, Partido Social Democrático - PSD, Podemos - PODE, REPUBLICANOS - REPUBLICANOS, Solidariedade - SOLIDARIEDADE, União Brasil - UNIÃO] - ARCOVERDE - PE</t>
  </si>
  <si>
    <t>MARIA MADALENA SANTOS DE BRITTO</t>
  </si>
  <si>
    <t>MADALENA BRITTO</t>
  </si>
  <si>
    <t>UNIR PARA RECONSTRUIR</t>
  </si>
  <si>
    <t>UNIR PARA RECONSTRUIR [Federação BRASIL DA ESPERANÇA - FE BRASIL (PT/PC do B/PV), Movimento Democrático Brasileiro - MDB, Partido Democrático Trabalhista - PDT, Partido Socialista Brasileiro - PSB] - ARCOVERDE - PE</t>
  </si>
  <si>
    <t>APOSENTADO (EXCETO SERVIDOR PÚBLICO)</t>
  </si>
  <si>
    <t>BARRA DE GUABIRABA</t>
  </si>
  <si>
    <t>DIOGO  CARLOS DE LIMA SILVA</t>
  </si>
  <si>
    <t>DIOGO CARLOS DE LIMA SILVA</t>
  </si>
  <si>
    <t>DIOGO</t>
  </si>
  <si>
    <t>SIM, PARA BARRA SEGUIR AVANÇANDO</t>
  </si>
  <si>
    <t>SIM, PARA BARRA SEGUIR AVANÇANDO [Federação PSDB CIDADANIA (PSDB/CIDADANIA), Movimento Democrático Brasileiro - MDB] - BARRA DE GUABIRABA - PE</t>
  </si>
  <si>
    <t>JOSE EDIVALDO BERNARDINO DE AMORIM</t>
  </si>
  <si>
    <t>VALDINHO</t>
  </si>
  <si>
    <t>PROGRESSISTAS - PP - BARRA DE GUABIRABA - PE</t>
  </si>
  <si>
    <t>BARREIROS</t>
  </si>
  <si>
    <t>ANA PAULA SILVA VERISSIMO</t>
  </si>
  <si>
    <t>PAULA VERISSIMO</t>
  </si>
  <si>
    <t>BARREIROS: MINHA CIDADE, MEU ORGULHO</t>
  </si>
  <si>
    <t>BARREIROS: MINHA CIDADE, MEU ORGULHO [Federação BRASIL DA ESPERANÇA - FE BRASIL (PT/PC do B/PV), Partido Renovação Democrática - PRD, Podemos - PODE] - BARREIROS - PE</t>
  </si>
  <si>
    <t>CONTADOR</t>
  </si>
  <si>
    <t>CARLOS ARTUR SOARES DE AVELLAR JUNIOR</t>
  </si>
  <si>
    <t>CARLINHOS DA PEDREIRA</t>
  </si>
  <si>
    <t>PROGRESSISTAS - PP - BARREIROS - PE</t>
  </si>
  <si>
    <t>EURICO DE LIMA CÉZAR JÚNIOR</t>
  </si>
  <si>
    <t>EURICO DE LIMA CEZAR JUNIOR</t>
  </si>
  <si>
    <t>EURICO CÉZAR</t>
  </si>
  <si>
    <t>Federação PSOL REDE (PSOL/REDE) - BARREIROS - PE</t>
  </si>
  <si>
    <t>SERVIDOR PÚBLICO FEDERAL</t>
  </si>
  <si>
    <t>JOSE CLAUDIO DA SILVA</t>
  </si>
  <si>
    <t>CLAUDIO DA COOATES</t>
  </si>
  <si>
    <t>RENASCE BARREIROS</t>
  </si>
  <si>
    <t>RENASCE BARREIROS [Partido Democrático Trabalhista - PDT, União Brasil - UNIÃO] - BARREIROS - PE</t>
  </si>
  <si>
    <t>PEDRO IVO DA SILVA WANDERLEY</t>
  </si>
  <si>
    <t>PEDÃO</t>
  </si>
  <si>
    <t>SOLIDARIEDADE</t>
  </si>
  <si>
    <t>FRENTE POPULAR DE BARREIROS</t>
  </si>
  <si>
    <t>FRENTE POPULAR DE BARREIROS [AGIR - AGIR, AVANTE - AVANTE, Movimento Democrático Brasileiro - MDB, Partido Socialista Brasileiro - PSB, Solidariedade - SOLIDARIEDADE] - BARREIROS - PE</t>
  </si>
  <si>
    <t>BELÉM DE MARIA</t>
  </si>
  <si>
    <t>ALEXANDRE MANOEL ALVES FILHO</t>
  </si>
  <si>
    <t>ALEXANDRE NETO</t>
  </si>
  <si>
    <t>COLIGAÇÃO POR AMOR A BELÉM DE MARIA E BATATEIRA</t>
  </si>
  <si>
    <t>COLIGAÇÃO POR AMOR A BELÉM DE MARIA E BATATEIRA [PROGRESSISTAS - PP, Partido Socialista Brasileiro - PSB, REPUBLICANOS - REPUBLICANOS] - BELÉM DE MARIA - PE</t>
  </si>
  <si>
    <t>ROBERTO PAULO DO NASCIMENTO SILVA</t>
  </si>
  <si>
    <t>uniaodobembm@gmail.com</t>
  </si>
  <si>
    <t>BETO DO SARGENTO</t>
  </si>
  <si>
    <t>UNIÃO DO BEM</t>
  </si>
  <si>
    <t>UNIÃO DO BEM [Federação BRASIL DA ESPERANÇA - FE BRASIL (PT/PC do B/PV), Federação PSDB CIDADANIA (PSDB/CIDADANIA), Partido Social Democrático - PSD] - BELÉM DE MARIA - PE</t>
  </si>
  <si>
    <t>BELÉM DO SÃO FRANCISCO</t>
  </si>
  <si>
    <t>CALBY DE CARVALHO CRUZ</t>
  </si>
  <si>
    <t>cruzchico@gmail.com</t>
  </si>
  <si>
    <t>CALBY CARVALHO</t>
  </si>
  <si>
    <t>MUDANÇA E RECONSTRUÇÃO</t>
  </si>
  <si>
    <t>MUDANÇA E RECONSTRUÇÃO [PROGRESSISTAS - PP, Partido Liberal - PL, REPUBLICANOS - REPUBLICANOS] - BELÉM DO SÃO FRANCISCO - PE</t>
  </si>
  <si>
    <t>GUSTAVO HENRIQUE GRANJA CARIBÉ</t>
  </si>
  <si>
    <t>GUSTAVO HENRIQUE GRANJA CARIBE</t>
  </si>
  <si>
    <t>GUSTAVO CARIBÉ</t>
  </si>
  <si>
    <t>BELEM AVANÇA COM TODOS</t>
  </si>
  <si>
    <t>BELEM AVANÇA COM TODOS [Federação BRASIL DA ESPERANÇA - FE BRASIL (PT/PC do B/PV), Movimento Democrático Brasileiro - MDB, Partido Socialista Brasileiro - PSB, Podemos - PODE, União Brasil - UNIÃO] - BELÉM DO SÃO FRANCISCO - PE</t>
  </si>
  <si>
    <t>BELO JARDIM</t>
  </si>
  <si>
    <t>GILVANDRO ESTRELA DE OLIVEIRA</t>
  </si>
  <si>
    <t>GILVANDRO ESTRELA</t>
  </si>
  <si>
    <t>UNIÃO</t>
  </si>
  <si>
    <t>UNIÃO BRASIL</t>
  </si>
  <si>
    <t>BELO JARDIM NO RUMO CERTO</t>
  </si>
  <si>
    <t>BELO JARDIM NO RUMO CERTO [AVANTE - AVANTE, Federação PSDB CIDADANIA (PSDB/CIDADANIA), Podemos - PODE, União Brasil - UNIÃO] - BELO JARDIM - PE</t>
  </si>
  <si>
    <t>LOURIVAL JULIÃO DE LIMA JUNIOR</t>
  </si>
  <si>
    <t>LOURIVAL JULIAO DE LIMA JUNIOR</t>
  </si>
  <si>
    <t>JULIÃO JÚNIOR</t>
  </si>
  <si>
    <t>PL</t>
  </si>
  <si>
    <t>PARTIDO LIBERAL</t>
  </si>
  <si>
    <t>Partido Liberal - PL - BELO JARDIM - PE</t>
  </si>
  <si>
    <t>MANOEL MARTINIANO ALBUQUERQUE DA SILVEIRA</t>
  </si>
  <si>
    <t>DR MANECO</t>
  </si>
  <si>
    <t>BELO JARDIM PARA TODOS</t>
  </si>
  <si>
    <t>BELO JARDIM PARA TODOS [Democracia Cristã - DC, Federação PSOL REDE (PSOL/REDE), Movimento Democrático Brasileiro - MDB, Partido Socialista Brasileiro - PSB, REPUBLICANOS - REPUBLICANOS, Solidariedade - SOLIDARIEDADE] - BELO JARDIM - PE</t>
  </si>
  <si>
    <t>ODONTÓLOGO</t>
  </si>
  <si>
    <t>BETÂNIA</t>
  </si>
  <si>
    <t>ALINE ARAUJO DA SILVA SA</t>
  </si>
  <si>
    <t>ALINE ARAUJO</t>
  </si>
  <si>
    <t>JUNTOS POR BETÂNIA</t>
  </si>
  <si>
    <t>JUNTOS POR BETÂNIA [Movimento Democrático Brasileiro - MDB, REPUBLICANOS - REPUBLICANOS] - BETÂNIA - PE</t>
  </si>
  <si>
    <t>OCUPANTE DE CARGO EM COMISSÃO</t>
  </si>
  <si>
    <t>ERIVALDO SEVERINO BEZERRA</t>
  </si>
  <si>
    <t>gabrielbezerra201999@gmail.com</t>
  </si>
  <si>
    <t>BEBE ÁGUA</t>
  </si>
  <si>
    <t>SEDE DE AVANÇO</t>
  </si>
  <si>
    <t>SEDE DE AVANÇO [Partido Social Democrático - PSD, Partido Socialista Brasileiro - PSB] - BETÂNIA - PE</t>
  </si>
  <si>
    <t>ERONILDO JOSÉ DE LIMA</t>
  </si>
  <si>
    <t>ERONILDO JOSE DE LIMA</t>
  </si>
  <si>
    <t>HERON LIMA</t>
  </si>
  <si>
    <t>Federação BRASIL DA ESPERANÇA - FE BRASIL (PT/PC do B/PV) - BETÂNIA - PE</t>
  </si>
  <si>
    <t>BEZERROS</t>
  </si>
  <si>
    <t>EROTIDES BONIFACIO DE LIMA NETO</t>
  </si>
  <si>
    <t>VAQUEIRO NETO DE VALMIR</t>
  </si>
  <si>
    <t>FRENTE POPULAR DA ESPERANÇA</t>
  </si>
  <si>
    <t>FRENTE POPULAR DA ESPERANÇA [Federação BRASIL DA ESPERANÇA - FE BRASIL (PT/PC do B/PV), Movimento Democrático Brasileiro - MDB, Partido Socialista Brasileiro - PSB, REPUBLICANOS - REPUBLICANOS, Solidariedade - SOLIDARIEDADE] - BEZERROS - PE</t>
  </si>
  <si>
    <t>JOSÉ ERINALDO DA SILVA</t>
  </si>
  <si>
    <t>JOSE ERINALDO DA SILVA</t>
  </si>
  <si>
    <t>ERINALDO DA GRÁFICA</t>
  </si>
  <si>
    <t>PROGRESSISTAS - PP - BEZERROS - PE</t>
  </si>
  <si>
    <t>DORMENTES</t>
  </si>
  <si>
    <t>MARIA DO SOCORRO COELHO DE SOUSA</t>
  </si>
  <si>
    <t>CORRINHA DE GEOMARCO</t>
  </si>
  <si>
    <t>DORMENTES UNIDA E MAIS FORTE</t>
  </si>
  <si>
    <t>DORMENTES UNIDA E MAIS FORTE [Movimento Democrático Brasileiro - MDB, Partido Socialista Brasileiro - PSB] - DORMENTES - PE</t>
  </si>
  <si>
    <t>BODOCÓ</t>
  </si>
  <si>
    <t>OTÁVIO AUGUSTO TAVARES PEDROSA CAVALCANTE</t>
  </si>
  <si>
    <t>OTAVIO AUGUSTO TAVARES PEDROSA CAVALCANTE</t>
  </si>
  <si>
    <t>DR. OTÁVIO</t>
  </si>
  <si>
    <t>UNIÃO E TRABALHO</t>
  </si>
  <si>
    <t>UNIÃO E TRABALHO [Movimento Democrático Brasileiro - MDB, Partido Democrático Trabalhista - PDT, Partido Socialista Brasileiro - PSB] - BODOCÓ - PE</t>
  </si>
  <si>
    <t>TULIO ALVES ALCANTARA</t>
  </si>
  <si>
    <t>TULIO ALVES</t>
  </si>
  <si>
    <t>PRD</t>
  </si>
  <si>
    <t>PARTIDO RENOVAÇÃO DEMOCRÁTICA</t>
  </si>
  <si>
    <t>TODOS POR BODOCÓ</t>
  </si>
  <si>
    <t>TODOS POR BODOCÓ [Partido Renovação Democrática - PRD, REPUBLICANOS - REPUBLICANOS] - BODOCÓ - PE</t>
  </si>
  <si>
    <t>ESTUDANTE, BOLSISTA, ESTAGIÁRIO E ASSEMELHADOS</t>
  </si>
  <si>
    <t>BOM CONSELHO</t>
  </si>
  <si>
    <t>ALEXANDRE WANDERLEY DE CARVALHO</t>
  </si>
  <si>
    <t>CORONEL ALEXANDRE BILICA</t>
  </si>
  <si>
    <t>Partido Democrático Trabalhista - PDT - BOM CONSELHO - PE</t>
  </si>
  <si>
    <t>MILITAR REFORMADO</t>
  </si>
  <si>
    <t>DANNIEL CAVALCANTE VIEIRA</t>
  </si>
  <si>
    <t>DANNIEL GODOY</t>
  </si>
  <si>
    <t>UNIDOS SOMOS MAIS FORTES</t>
  </si>
  <si>
    <t>UNIDOS SOMOS MAIS FORTES [AVANTE - AVANTE, Federação PSDB CIDADANIA (PSDB/CIDADANIA), PROGRESSISTAS - PP, Partido Socialista Brasileiro - PSB, REPUBLICANOS - REPUBLICANOS] - BOM CONSELHO - PE</t>
  </si>
  <si>
    <t>EDEZIO FERREIRA DOS SANTOS FILHO</t>
  </si>
  <si>
    <t>dezinhofilho_bc@yahoo.com.br</t>
  </si>
  <si>
    <t>DOUTOR EDÉZIO</t>
  </si>
  <si>
    <t>PV</t>
  </si>
  <si>
    <t>PARTIDO VERDE</t>
  </si>
  <si>
    <t>MUDA BOM CONSELHO</t>
  </si>
  <si>
    <t>MUDA BOM CONSELHO [Federação BRASIL DA ESPERANÇA - FE BRASIL (PT/PC do B/PV), Partido Social Democrático - PSD, União Brasil - UNIÃO] - BOM CONSELHO - PE</t>
  </si>
  <si>
    <t>JOSÉ RENATO DE MIRANDA FERREIRA</t>
  </si>
  <si>
    <t>JOSE RENATO DE MIRANDA FERREIRA</t>
  </si>
  <si>
    <t>RENATO MACARRÃO</t>
  </si>
  <si>
    <t>AGIR - AGIR - BOM CONSELHO - PE</t>
  </si>
  <si>
    <t>BOM JARDIM</t>
  </si>
  <si>
    <t>ERIVÂNIA MARIA RIBEIRO</t>
  </si>
  <si>
    <t>ERIVANIA MARIA RIBEIRO</t>
  </si>
  <si>
    <t>VÂNIA DE MIGUEL</t>
  </si>
  <si>
    <t>UNIDOS POR UM BOM JARDIM LIVRE - PROGRESSISTAS E AVANTE</t>
  </si>
  <si>
    <t>UNIDOS POR UM BOM JARDIM LIVRE - PROGRESSISTAS E AVANTE [AVANTE - AVANTE, PROGRESSISTAS - PP] - BOM JARDIM - PE</t>
  </si>
  <si>
    <t>JOAO FRANCISCO DA SILVA NETO</t>
  </si>
  <si>
    <t>JANJÃO</t>
  </si>
  <si>
    <t>UNIÃO DE TODOS POR BOM JARDIM</t>
  </si>
  <si>
    <t>UNIÃO DE TODOS POR BOM JARDIM [Federação PSDB CIDADANIA (PSDB/CIDADANIA), Mobilização Nacional - MOBILIZA, Movimento Democrático Brasileiro - MDB, Partido Democrático Trabalhista - PDT, Partido Liberal - PL, Partido Social Democrático - PSD, Partido Socialista Brasileiro - PSB, Podemos - PODE, REPUBLICANOS - REPUBLICANOS, Solidariedade - SOLIDARIEDADE, União Brasil - UNIÃO] - BOM JARDIM - PE</t>
  </si>
  <si>
    <t>PROFESSOR DE ENSINO FUNDAMENTAL</t>
  </si>
  <si>
    <t>BONITO</t>
  </si>
  <si>
    <t>ADEMIR JOSÉ ALVES JÚNIOR</t>
  </si>
  <si>
    <t>ADEMIR JOSE ALVES JUNIOR</t>
  </si>
  <si>
    <t>ADEMIR</t>
  </si>
  <si>
    <t>ATITUDE MUDA TUDO</t>
  </si>
  <si>
    <t>ATITUDE MUDA TUDO [Movimento Democrático Brasileiro - MDB, Partido Liberal - PL, Partido Novo - NOVO, União Brasil - UNIÃO] - BONITO - PE</t>
  </si>
  <si>
    <t>EDSON MONTEIRO</t>
  </si>
  <si>
    <t>SOM MONTEIRO</t>
  </si>
  <si>
    <t>FRENTE DA 0POSIÇÃO POR BONITO</t>
  </si>
  <si>
    <t>FRENTE DA 0POSIÇÃO POR BONITO [Federação PSOL REDE (PSOL/REDE), Partido Social Democrático - PSD, Partido da Mulher Brasileira - PMB, Podemos - PODE] - BONITO - PE</t>
  </si>
  <si>
    <t>RUY BARBOSA</t>
  </si>
  <si>
    <t>DR. RUY</t>
  </si>
  <si>
    <t>BONITO CADA DIA MELHOR</t>
  </si>
  <si>
    <t>BONITO CADA DIA MELHOR [AVANTE - AVANTE, Federação BRASIL DA ESPERANÇA - FE BRASIL (PT/PC do B/PV), PROGRESSISTAS - PP, Partido Socialista Brasileiro - PSB, REPUBLICANOS - REPUBLICANOS, Solidariedade - SOLIDARIEDADE] - BONITO - PE</t>
  </si>
  <si>
    <t>BREJÃO</t>
  </si>
  <si>
    <t>JANIO CLAUDIO BATISTA DE MORAES</t>
  </si>
  <si>
    <t>JÂNIO MORAES</t>
  </si>
  <si>
    <t>União Brasil - UNIÃO - BREJÃO - PE</t>
  </si>
  <si>
    <t>MARIA EUNICE CADENGUE DE SANTANA</t>
  </si>
  <si>
    <t>LENA CADENGUE</t>
  </si>
  <si>
    <t>FRENTE POPULAR DE BREJÃO</t>
  </si>
  <si>
    <t>FRENTE POPULAR DE BREJÃO [Federação BRASIL DA ESPERANÇA - FE BRASIL (PT/PC do B/PV), Movimento Democrático Brasileiro - MDB, Partido Socialista Brasileiro - PSB] - BREJÃO - PE</t>
  </si>
  <si>
    <t>BIÓLOGO</t>
  </si>
  <si>
    <t>SAULO HENRIQUE FLORENTINO DE BARROS</t>
  </si>
  <si>
    <t>saulofbarros@hotmail.com</t>
  </si>
  <si>
    <t>SAULO MARUIM</t>
  </si>
  <si>
    <t>RENOVA BREJÃO</t>
  </si>
  <si>
    <t>RENOVA BREJÃO [PROGRESSISTAS - PP, REPUBLICANOS - REPUBLICANOS] - BREJÃO - PE</t>
  </si>
  <si>
    <t>BREJINHO</t>
  </si>
  <si>
    <t>GILSOMAR BENTO DA COSTA</t>
  </si>
  <si>
    <t>GILSON BENTO</t>
  </si>
  <si>
    <t>CORAGEM PARA SEGUIR MUDANDO</t>
  </si>
  <si>
    <t>CORAGEM PARA SEGUIR MUDANDO [Podemos - PODE, REPUBLICANOS - REPUBLICANOS] - BREJINHO - PE</t>
  </si>
  <si>
    <t>TULIO FELIPE CARVALHO SILVA</t>
  </si>
  <si>
    <t>DR TÚLIO</t>
  </si>
  <si>
    <t>FRENTE POPULAR [Partido Socialista Brasileiro - PSB, Solidariedade - SOLIDARIEDADE] - BREJINHO - PE</t>
  </si>
  <si>
    <t>BREJO DA MADRE DE DEUS</t>
  </si>
  <si>
    <t>ERIVALDO JOSÉ DA SILVA</t>
  </si>
  <si>
    <t>ERIVALDO JOSE DA SILVA</t>
  </si>
  <si>
    <t>HOMA</t>
  </si>
  <si>
    <t>Podemos - PODE - BREJO DA MADRE DE DEUS - PE</t>
  </si>
  <si>
    <t>JOÃO AMORIM DE FARIAS</t>
  </si>
  <si>
    <t>JOAO AMORIM DE FARIAS</t>
  </si>
  <si>
    <t>SANTOS FARIAS</t>
  </si>
  <si>
    <t>Solidariedade - SOLIDARIEDADE - BREJO DA MADRE DE DEUS - PE</t>
  </si>
  <si>
    <t>JOSEVALDO LOPES DE AGUIAR</t>
  </si>
  <si>
    <t>JOSEVALDO COWBOY</t>
  </si>
  <si>
    <t>JUNTOS POR UM BREJO MELHOR</t>
  </si>
  <si>
    <t>JUNTOS POR UM BREJO MELHOR [Federação BRASIL DA ESPERANÇA - FE BRASIL (PT/PC do B/PV), Partido Socialista Brasileiro - PSB, REPUBLICANOS - REPUBLICANOS, União Brasil - UNIÃO] - BREJO DA MADRE DE DEUS - PE</t>
  </si>
  <si>
    <t>LUCIANA TORRES ARAUJO</t>
  </si>
  <si>
    <t>LUCIANA TORRES</t>
  </si>
  <si>
    <t>Mobilização Nacional - MOBILIZA - BREJO DA MADRE DE DEUS - PE</t>
  </si>
  <si>
    <t>ENFERMEIRO</t>
  </si>
  <si>
    <t>ROBERTO ABRAHAM ABRAHAMIAN ASFORA</t>
  </si>
  <si>
    <t>ROBERTO ASFORA</t>
  </si>
  <si>
    <t>UNIDOS POR UM BREJO FORTE</t>
  </si>
  <si>
    <t>UNIDOS POR UM BREJO FORTE [Federação PSDB CIDADANIA (PSDB/CIDADANIA), PROGRESSISTAS - PP] - BREJO DA MADRE DE DEUS - PE</t>
  </si>
  <si>
    <t>BUENOS AIRES</t>
  </si>
  <si>
    <t>FLÁVIO JOSE BARBOSA DE MELO</t>
  </si>
  <si>
    <t>FLAVIO JOSE BARBOSA DE MELO</t>
  </si>
  <si>
    <t>FLÁVIO DE DEDA</t>
  </si>
  <si>
    <t>FRENTE POPULAR DE BUENOS AIRES</t>
  </si>
  <si>
    <t>FRENTE POPULAR DE BUENOS AIRES [Partido Renovação Democrática - PRD, Partido Socialista Brasileiro - PSB, Podemos - PODE] - BUENOS AIRES - PE</t>
  </si>
  <si>
    <t>HENRIQUE JOSE QUEIROZ COSTA</t>
  </si>
  <si>
    <t>HENRIQUE QUEIROZ</t>
  </si>
  <si>
    <t>O TRABALHO CONTINUA</t>
  </si>
  <si>
    <t>O TRABALHO CONTINUA [AGIR - AGIR, PROGRESSISTAS - PP, Partido Liberal - PL, Partido Social Democrático - PSD] - BUENOS AIRES - PE</t>
  </si>
  <si>
    <t>BUÍQUE</t>
  </si>
  <si>
    <t>JOOBSON CAMELO DOS SANTOS</t>
  </si>
  <si>
    <t>JOBSON CAMELO</t>
  </si>
  <si>
    <t>UNIÃO PELA MUDANÇA</t>
  </si>
  <si>
    <t>UNIÃO PELA MUDANÇA [PROGRESSISTAS - PP, Partido Liberal - PL, Partido Socialista Brasileiro - PSB, REPUBLICANOS - REPUBLICANOS] - BUÍQUE - PE</t>
  </si>
  <si>
    <t>TÚLIO HENRIQUE ARAÚJO CAVALCANTI</t>
  </si>
  <si>
    <t>TULIO HENRIQUE ARAUJO CAVALCANTI</t>
  </si>
  <si>
    <t>TÚLIO MONTEIRO</t>
  </si>
  <si>
    <t>COM O TRABALHO BUÍQUE SEGUE AVANÇANDO</t>
  </si>
  <si>
    <t>COM O TRABALHO BUÍQUE SEGUE AVANÇANDO [Federação PSDB CIDADANIA (PSDB/CIDADANIA), Movimento Democrático Brasileiro - MDB, Partido Social Democrático - PSD, União Brasil - UNIÃO] - BUÍQUE - PE</t>
  </si>
  <si>
    <t>CABO DE SANTO AGOSTINHO</t>
  </si>
  <si>
    <t>ANTONIO GABRIEL HONORATO RESENDE</t>
  </si>
  <si>
    <t>DELEGADO RESENDE</t>
  </si>
  <si>
    <t>Partido Democrático Trabalhista - PDT - CABO DE SANTO AGOSTINHO - PE</t>
  </si>
  <si>
    <t>CLAYTON DA SILVA MARQUES</t>
  </si>
  <si>
    <t>KEKO DO ARMAZÉM</t>
  </si>
  <si>
    <t>UNIÃO PELO BEM DO CABO</t>
  </si>
  <si>
    <t>UNIÃO PELO BEM DO CABO [AVANTE - AVANTE, Federação BRASIL DA ESPERANÇA - FE BRASIL (PT/PC do B/PV), Federação PSDB CIDADANIA (PSDB/CIDADANIA), PROGRESSISTAS - PP, Partido Social Democrático - PSD, União Brasil - UNIÃO] - CABO DE SANTO AGOSTINHO - PE</t>
  </si>
  <si>
    <t>JOSÉ CRISTIANO TEODÓSIO ROMÃO</t>
  </si>
  <si>
    <t>JOSE CRISTIANO TEODOSIO ROMAO</t>
  </si>
  <si>
    <t>CRISTIANO ROMÃO</t>
  </si>
  <si>
    <t>PCB</t>
  </si>
  <si>
    <t>PARTIDO COMUNISTA BRASILEIRO</t>
  </si>
  <si>
    <t>Partido Comunista Brasileiro - PCB - CABO DE SANTO AGOSTINHO - PE</t>
  </si>
  <si>
    <t>FEIRANTE, AMBULANTE E MASCATE</t>
  </si>
  <si>
    <t>LUCIANO FLAVIO DE OLIVEIRA</t>
  </si>
  <si>
    <t>LUCIANO DA OFICINA</t>
  </si>
  <si>
    <t>Partido Renovação Democrática - PRD - CABO DE SANTO AGOSTINHO - PE</t>
  </si>
  <si>
    <t>LUIZ CABRAL DE OLIVEIRA FILHO</t>
  </si>
  <si>
    <t>LULA CABRAL</t>
  </si>
  <si>
    <t>FRENTE POPULAR DO CABO</t>
  </si>
  <si>
    <t>FRENTE POPULAR DO CABO [AGIR - AGIR, Democracia Cristã - DC, Movimento Democrático Brasileiro - MDB, Partido Socialista Brasileiro - PSB, Partido da Mulher Brasileira - PMB, Podemos - PODE, REPUBLICANOS - REPUBLICANOS, Solidariedade - SOLIDARIEDADE] - CABO DE SANTO AGOSTINHO - PE</t>
  </si>
  <si>
    <t>CABROBÓ</t>
  </si>
  <si>
    <t>ELIOENAI DIAS SANTOS FILHO</t>
  </si>
  <si>
    <t>GALEGO DE NANAI</t>
  </si>
  <si>
    <t>CABROBÓ PARA O TRABALHO NÃO PARAR!</t>
  </si>
  <si>
    <t>CABROBÓ PARA O TRABALHO NÃO PARAR! [AVANTE - AVANTE, Democracia Cristã - DC, Federação BRASIL DA ESPERANÇA - FE BRASIL (PT/PC do B/PV), Movimento Democrático Brasileiro - MDB, PROGRESSISTAS - PP, Partido Democrático Trabalhista - PDT, Partido Socialista Brasileiro - PSB, REPUBLICANOS - REPUBLICANOS] - CABROBÓ - PE</t>
  </si>
  <si>
    <t>LUCAS CAVALCANTE NOVAES NETO</t>
  </si>
  <si>
    <t>DR. LUCAS NOVAES</t>
  </si>
  <si>
    <t>União Brasil - UNIÃO - CABROBÓ - PE</t>
  </si>
  <si>
    <t>MÚCIO FREIRE DE CARVALHO</t>
  </si>
  <si>
    <t>MUCIO FREIRE DE CARVALHO</t>
  </si>
  <si>
    <t>MÚCIO FREIRE</t>
  </si>
  <si>
    <t>Federação PSOL REDE (PSOL/REDE) - CABROBÓ - PE</t>
  </si>
  <si>
    <t>CACHOEIRINHA</t>
  </si>
  <si>
    <t>ANDRÉ PEDRO VALENÇA DE MELO RAIMUNDO</t>
  </si>
  <si>
    <t>andrepedroraimundo@hotmail.com</t>
  </si>
  <si>
    <t>ANDRE PEDRO VALENCA DE MELO RAIMUNDO</t>
  </si>
  <si>
    <t>ANDRÉ RAIMUNDO</t>
  </si>
  <si>
    <t>COLIGAÇÃO JUNTOS POR CACHOEIRINHA</t>
  </si>
  <si>
    <t>COLIGAÇÃO JUNTOS POR CACHOEIRINHA [Federação PSDB CIDADANIA (PSDB/CIDADANIA), União Brasil - UNIÃO] - CACHOEIRINHA - PE</t>
  </si>
  <si>
    <t>LEONARDO JOSÉ DE ALMEIDA COSTA</t>
  </si>
  <si>
    <t>LEONARDO JOSE DE ALMEIDA COSTA</t>
  </si>
  <si>
    <t>LÉO DE DELINO</t>
  </si>
  <si>
    <t>JUNTOS POR CACHOEIRINHA</t>
  </si>
  <si>
    <t>JUNTOS POR CACHOEIRINHA [Federação BRASIL DA ESPERANÇA - FE BRASIL (PT/PC do B/PV), PROGRESSISTAS - PP, Partido Social Democrático - PSD, Partido Socialista Brasileiro - PSB, REPUBLICANOS - REPUBLICANOS] - CACHOEIRINHA - PE</t>
  </si>
  <si>
    <t>CAETÉS</t>
  </si>
  <si>
    <t>GUILHERME FERNANDO DE MELO BEZERRA</t>
  </si>
  <si>
    <t>GUILHERME FERNANDO</t>
  </si>
  <si>
    <t>Partido Democrático Trabalhista - PDT - CAETÉS - PE</t>
  </si>
  <si>
    <t>NIVALDO DA SILVA MARTINS</t>
  </si>
  <si>
    <t>TIRRI</t>
  </si>
  <si>
    <t>UNIÃO POR AMOR A CAETÉS</t>
  </si>
  <si>
    <t>UNIÃO POR AMOR A CAETÉS [Federação BRASIL DA ESPERANÇA - FE BRASIL (PT/PC do B/PV), PROGRESSISTAS - PP, REPUBLICANOS - REPUBLICANOS] - CAETÉS - PE</t>
  </si>
  <si>
    <t>CALÇADO</t>
  </si>
  <si>
    <t>JOSÉ ELIAS MACENA DE LIMA FILHO</t>
  </si>
  <si>
    <t>JOSE ELIAS MACENA DE LIMA FILHO</t>
  </si>
  <si>
    <t>ZÉ ELIAS FILHO</t>
  </si>
  <si>
    <t>PROGRESSISTAS - PP - CALÇADO - PE</t>
  </si>
  <si>
    <t>LUIS CAETANO DO NASCIMENTO JUNIOR</t>
  </si>
  <si>
    <t>JUNIOR CAETANO</t>
  </si>
  <si>
    <t>AVANTE - AVANTE - CALÇADO - PE</t>
  </si>
  <si>
    <t>CALUMBI</t>
  </si>
  <si>
    <t>CÍCERO SIMÕES DE LIMA</t>
  </si>
  <si>
    <t>CICERO SIMOES DE LIMA</t>
  </si>
  <si>
    <t>DR CÍCERO SIMÕES</t>
  </si>
  <si>
    <t>Federação BRASIL DA ESPERANÇA - FE BRASIL (PT/PC do B/PV) - CALUMBI - PE</t>
  </si>
  <si>
    <t>JOELSON</t>
  </si>
  <si>
    <t>JUNTOS SOMOS MAIS FORTES</t>
  </si>
  <si>
    <t>JUNTOS SOMOS MAIS FORTES [AVANTE - AVANTE, Partido Renovação Democrática - PRD, REPUBLICANOS - REPUBLICANOS] - CALUMBI - PE</t>
  </si>
  <si>
    <t>CAMARAGIBE</t>
  </si>
  <si>
    <t>CARLOS FELIPE FELIX DANTAS</t>
  </si>
  <si>
    <t>FELIPE DANTAS</t>
  </si>
  <si>
    <t>Partido Liberal - PL - CAMARAGIBE - PE</t>
  </si>
  <si>
    <t>DIEGO DA ROCHA CABRAL</t>
  </si>
  <si>
    <t>DIEGO CABRAL</t>
  </si>
  <si>
    <t>UM NOVO TEMPO DE TRABALHO</t>
  </si>
  <si>
    <t>UM NOVO TEMPO DE TRABALHO [Federação BRASIL DA ESPERANÇA - FE BRASIL (PT/PC do B/PV), REPUBLICANOS - REPUBLICANOS] - CAMARAGIBE - PE</t>
  </si>
  <si>
    <t>LÊ E ESCREVE</t>
  </si>
  <si>
    <t>JOÃO BOSCO GONCALVES DA SILVA</t>
  </si>
  <si>
    <t>JOAO BOSCO GONCALVES DA SILVA</t>
  </si>
  <si>
    <t>BOSCO</t>
  </si>
  <si>
    <t>PROGRESSISTAS - PP - CAMARAGIBE - PE</t>
  </si>
  <si>
    <t>JORGE ALEXANDRE SOARES DA SILVA</t>
  </si>
  <si>
    <t>JORGE ALEXANDRE</t>
  </si>
  <si>
    <t>UNIÃO E TRABALHO [AVANTE - AVANTE, Federação PSDB CIDADANIA (PSDB/CIDADANIA), Mobilização Nacional - MOBILIZA, Partido Renovação Democrática - PRD, Podemos - PODE, União Brasil - UNIÃO] - CAMARAGIBE - PE</t>
  </si>
  <si>
    <t>LUIZ GOMES DA ROCHA NETO</t>
  </si>
  <si>
    <t>JUIZ LUIZ ROCHA</t>
  </si>
  <si>
    <t>Democracia Cristã - DC - CAMARAGIBE - PE</t>
  </si>
  <si>
    <t>CAMOCIM DE SÃO FÉLIX</t>
  </si>
  <si>
    <t>MAILDE MOURA DE FRANÇA</t>
  </si>
  <si>
    <t>MAILDE MOURA DE FRANCA</t>
  </si>
  <si>
    <t>MAILDE DE TETÉ</t>
  </si>
  <si>
    <t>UNIDOS POR AMOR A CAMOCIM</t>
  </si>
  <si>
    <t>UNIDOS POR AMOR A CAMOCIM [Federação BRASIL DA ESPERANÇA - FE BRASIL (PT/PC do B/PV), Partido Socialista Brasileiro - PSB, REPUBLICANOS - REPUBLICANOS] - CAMOCIM DE SÃO FÉLIX - PE</t>
  </si>
  <si>
    <t>SOSTENES RUBANO NEVES PONTES</t>
  </si>
  <si>
    <t>SOSTENES</t>
  </si>
  <si>
    <t>Diga Sim a Camocim</t>
  </si>
  <si>
    <t>Diga Sim a Camocim [Federação PSDB CIDADANIA (PSDB/CIDADANIA), Movimento Democrático Brasileiro - MDB, Partido Social Democrático - PSD] - CAMOCIM DE SÃO FÉLIX - PE</t>
  </si>
  <si>
    <t>CAMUTANGA</t>
  </si>
  <si>
    <t>GILMAR PEREIRA DE MELO</t>
  </si>
  <si>
    <t>GILMAR PEREIRA</t>
  </si>
  <si>
    <t>Federação PSDB CIDADANIA (PSDB/CIDADANIA) - CAMUTANGA - PE</t>
  </si>
  <si>
    <t>JAQUEIRA</t>
  </si>
  <si>
    <t>RIDETE CELLIBE PELLEGRINO DE MACEDO OLIVEIRA</t>
  </si>
  <si>
    <t>RIDETE PELLEGRINO</t>
  </si>
  <si>
    <t>GENTE QUE AMA JAQUEIRA</t>
  </si>
  <si>
    <t>GENTE QUE AMA JAQUEIRA [Federação PSDB CIDADANIA (PSDB/CIDADANIA), Movimento Democrático Brasileiro - MDB, Partido Social Democrático - PSD] - JAQUEIRA - PE</t>
  </si>
  <si>
    <t>CANHOTINHO</t>
  </si>
  <si>
    <t>MARCILIO  JOSE ALBUQUERQUE</t>
  </si>
  <si>
    <t>MARCILIO JOSE ALBUQUERQUE</t>
  </si>
  <si>
    <t>MARCILIO ALBUQUERQUE</t>
  </si>
  <si>
    <t>PROGRESSISTAS - PP - CANHOTINHO - PE</t>
  </si>
  <si>
    <t>SANDRA REJANE LOPES DE BARROS</t>
  </si>
  <si>
    <t>SANDRA PAES</t>
  </si>
  <si>
    <t>VONTADE DO POVO</t>
  </si>
  <si>
    <t>VONTADE DO POVO [Movimento Democrático Brasileiro - MDB, Partido Socialista Brasileiro - PSB, Podemos - PODE, REPUBLICANOS - REPUBLICANOS] - CANHOTINHO - PE</t>
  </si>
  <si>
    <t>CAPOEIRAS</t>
  </si>
  <si>
    <t>JOAQUIM COSTA TEIXEIRA</t>
  </si>
  <si>
    <t>NEGO DO MERCADO</t>
  </si>
  <si>
    <t>POR AMOR A CAPOEIRAS</t>
  </si>
  <si>
    <t>POR AMOR A CAPOEIRAS [Partido Socialista Brasileiro - PSB, Podemos - PODE, REPUBLICANOS - REPUBLICANOS] - CAPOEIRAS - PE</t>
  </si>
  <si>
    <t>NATÁLIA MARIA COSTA DA SILVA</t>
  </si>
  <si>
    <t>NATALIA MARIA COSTA DA SILVA</t>
  </si>
  <si>
    <t>NATÁLIA COSTA</t>
  </si>
  <si>
    <t>CORAGEM PARA MUDAR</t>
  </si>
  <si>
    <t>CORAGEM PARA MUDAR [Federação BRASIL DA ESPERANÇA - FE BRASIL (PT/PC do B/PV), Federação PSDB CIDADANIA (PSDB/CIDADANIA)] - CAPOEIRAS - PE</t>
  </si>
  <si>
    <t>FISIOTERAPEUTA E TERAPEUTA OCUPACIONAL</t>
  </si>
  <si>
    <t>CARNAÍBA</t>
  </si>
  <si>
    <t>JOSEILMA QUIDUTE SOBREIRA</t>
  </si>
  <si>
    <t>ILMA VALÉRIO</t>
  </si>
  <si>
    <t>TODOS POR CARNAÍBA</t>
  </si>
  <si>
    <t>TODOS POR CARNAÍBA [Partido Social Democrático - PSD, Podemos - PODE, REPUBLICANOS - REPUBLICANOS, União Brasil - UNIÃO] - CARNAÍBA - PE</t>
  </si>
  <si>
    <t>WAMBERG ANTONIO GOMES AMARAL</t>
  </si>
  <si>
    <t>BERG GOMES</t>
  </si>
  <si>
    <t>CARNAÍBA É DAQUI PARA MELHOR</t>
  </si>
  <si>
    <t>CARNAÍBA É DAQUI PARA MELHOR [Federação BRASIL DA ESPERANÇA - FE BRASIL (PT/PC do B/PV), Movimento Democrático Brasileiro - MDB, Partido Socialista Brasileiro - PSB] - CARNAÍBA - PE</t>
  </si>
  <si>
    <t>CARNAUBEIRA DA PENHA</t>
  </si>
  <si>
    <t>ELIZIO SOARES FILHO</t>
  </si>
  <si>
    <t>ELIZINHO</t>
  </si>
  <si>
    <t>CARNAUBEIRA UNIDA</t>
  </si>
  <si>
    <t>CARNAUBEIRA UNIDA [Federação PSDB CIDADANIA (PSDB/CIDADANIA), PROGRESSISTAS - PP, Partido Social Democrático - PSD] - CARNAUBEIRA DA PENHA - PE</t>
  </si>
  <si>
    <t>INDÍGENA</t>
  </si>
  <si>
    <t>MANOEL JOSE DA SILVA</t>
  </si>
  <si>
    <t>DR MANOEL</t>
  </si>
  <si>
    <t>A FORÇA DO TRABALHO COM O POVO</t>
  </si>
  <si>
    <t>A FORÇA DO TRABALHO COM O POVO [AVANTE - AVANTE, Federação BRASIL DA ESPERANÇA - FE BRASIL (PT/PC do B/PV), Partido Socialista Brasileiro - PSB] - CARNAUBEIRA DA PENHA - PE</t>
  </si>
  <si>
    <t>CARPINA</t>
  </si>
  <si>
    <t>ALBERTO BRUNO FERREIRA RIBEIRO</t>
  </si>
  <si>
    <t>BRUNO RIBEIRO</t>
  </si>
  <si>
    <t>TODOS POR CARPINA</t>
  </si>
  <si>
    <t>TODOS POR CARPINA [Partido Liberal - PL, Partido Novo - NOVO] - CARPINA - PE</t>
  </si>
  <si>
    <t>CLODOALDO BRAZ DA SILVA LIMA</t>
  </si>
  <si>
    <t>ALDINHO BOTAFOGO</t>
  </si>
  <si>
    <t>O TRABALHO CONTINUA AVANÇANDO</t>
  </si>
  <si>
    <t>O TRABALHO CONTINUA AVANÇANDO [Democracia Cristã - DC, Federação BRASIL DA ESPERANÇA - FE BRASIL (PT/PC do B/PV), Federação PSOL REDE (PSOL/REDE), Mobilização Nacional - MOBILIZA, Solidariedade - SOLIDARIEDADE] - CARPINA - PE</t>
  </si>
  <si>
    <t>ENSINO MÉDIO INCOMPLETO</t>
  </si>
  <si>
    <t>JOAQUIM PINTO LAPA FILHO</t>
  </si>
  <si>
    <t>JOAQUIM LAPA</t>
  </si>
  <si>
    <t>ESPERANÇA DE UM FUTURO MELHOR</t>
  </si>
  <si>
    <t>ESPERANÇA DE UM FUTURO MELHOR [Partido Socialista Brasileiro - PSB, União Brasil - UNIÃO] - CARPINA - PE</t>
  </si>
  <si>
    <t>MARIA LUCIELLE SILVA LAURENTINO</t>
  </si>
  <si>
    <t>LUCIELLE LAURENTINO</t>
  </si>
  <si>
    <t>BEZERROS NO RUMO CERTO</t>
  </si>
  <si>
    <t>BEZERROS NO RUMO CERTO [Federação PSDB CIDADANIA (PSDB/CIDADANIA), Partido Liberal - PL, Partido Renovação Democrática - PRD, Partido Social Democrático - PSD, Podemos - PODE, União Brasil - UNIÃO] - BEZERROS - PE</t>
  </si>
  <si>
    <t>SANDRA MARIA RAMOS FLORENTINO FRANÇA</t>
  </si>
  <si>
    <t>SANDRA MARIA RAMOS FLORENTINO FRANCA</t>
  </si>
  <si>
    <t>SANDRA RAMOS</t>
  </si>
  <si>
    <t>UP</t>
  </si>
  <si>
    <t>UNIDADE POPULAR</t>
  </si>
  <si>
    <t>Unidade Popular - UP - CARPINA - PE</t>
  </si>
  <si>
    <t>COMERCIÁRIO</t>
  </si>
  <si>
    <t>CARUARU</t>
  </si>
  <si>
    <t>ARMANDO DANTAS DE BARROS FILHO</t>
  </si>
  <si>
    <t>ARMANDINHO</t>
  </si>
  <si>
    <t>RENOVAÇÃO EM CARUARU</t>
  </si>
  <si>
    <t>RENOVAÇÃO EM CARUARU [Democracia Cristã - DC, Solidariedade - SOLIDARIEDADE] - CARUARU - PE</t>
  </si>
  <si>
    <t>PROFESSOR DE ENSINO MÉDIO</t>
  </si>
  <si>
    <t>FERNANDO RODOLFO TENORIO DE VASCONCELOS</t>
  </si>
  <si>
    <t>FERNANDO RODOLFO</t>
  </si>
  <si>
    <t>Partido Liberal - PL - CARUARU - PE</t>
  </si>
  <si>
    <t>DEPUTADO</t>
  </si>
  <si>
    <t>JOSÉ QUEIROZ DE LIMA</t>
  </si>
  <si>
    <t>JOSE QUEIROZ DE LIMA</t>
  </si>
  <si>
    <t>ZÉ QUEIROZ</t>
  </si>
  <si>
    <t>CARUARU MAIS FORTE</t>
  </si>
  <si>
    <t>CARUARU MAIS FORTE [Federação BRASIL DA ESPERANÇA - FE BRASIL (PT/PC do B/PV), Movimento Democrático Brasileiro - MDB, Partido Democrático Trabalhista - PDT, Partido Socialista Brasileiro - PSB, REPUBLICANOS - REPUBLICANOS, União Brasil - UNIÃO] - CARUARU - PE</t>
  </si>
  <si>
    <t>MARIA DA CONCEIÇÃO SANTOS VIEIRA</t>
  </si>
  <si>
    <t>MARIA DA CONCEICAO SANTOS VIEIRA</t>
  </si>
  <si>
    <t>MARIA SANTOS</t>
  </si>
  <si>
    <t>Unidade Popular - UP - CARUARU - PE</t>
  </si>
  <si>
    <t>MICHELLE CARINE DOS SANTOS SIQUEIRA</t>
  </si>
  <si>
    <t>MICHELLE SANTOS</t>
  </si>
  <si>
    <t>Federação PSOL REDE (PSOL/REDE) - CARUARU - PE</t>
  </si>
  <si>
    <t>RODRIGO ANSELMO PINHEIRO DOS SANTOS</t>
  </si>
  <si>
    <t>RODRIGO PINHEIRO</t>
  </si>
  <si>
    <t>AVANÇA CARUARU</t>
  </si>
  <si>
    <t>AVANÇA CARUARU [AGIR - AGIR, AVANTE - AVANTE, Federação PSDB CIDADANIA (PSDB/CIDADANIA), PROGRESSISTAS - PP, Partido Novo - NOVO, Partido Renovação Democrática - PRD, Partido Social Democrático - PSD, Podemos - PODE] - CARUARU - PE</t>
  </si>
  <si>
    <t>LAGOA GRANDE</t>
  </si>
  <si>
    <t>ANA CATHARINA GARZIERA MORENO</t>
  </si>
  <si>
    <t>CATHARINA GARZIERA</t>
  </si>
  <si>
    <t>CATHARINA GARIZERA</t>
  </si>
  <si>
    <t>JUNTOS PARA LAGOA GRANDE CONTINUAR AVANÇANDO</t>
  </si>
  <si>
    <t>JUNTOS PARA LAGOA GRANDE CONTINUAR AVANÇANDO [Federação PSDB CIDADANIA (PSDB/CIDADANIA), Movimento Democrático Brasileiro - MDB, PROGRESSISTAS - PP, Partido Social Democrático - PSD, Partido Socialista Brasileiro - PSB, Podemos - PODE, REPUBLICANOS - REPUBLICANOS] - LAGOA GRANDE - PE</t>
  </si>
  <si>
    <t>CATENDE</t>
  </si>
  <si>
    <t>CAIO MÁRCIO DE ALMEIDA SOUZA</t>
  </si>
  <si>
    <t>CAIO MARCIO DE ALMEIDA SOUZA</t>
  </si>
  <si>
    <t>DR CAIO</t>
  </si>
  <si>
    <t>CATENDE RENOVADA COM A FORÇA DO POVO</t>
  </si>
  <si>
    <t>CATENDE RENOVADA COM A FORÇA DO POVO [AVANTE - AVANTE, Federação PSOL REDE (PSOL/REDE)] - CATENDE - PE</t>
  </si>
  <si>
    <t>ELENILTON MANUEL CUNHA DA SILVA</t>
  </si>
  <si>
    <t>MAGNATA</t>
  </si>
  <si>
    <t>UNIDOS PELA MUDANÇA DE CATENDE</t>
  </si>
  <si>
    <t>UNIDOS PELA MUDANÇA DE CATENDE [Partido Socialista Brasileiro - PSB, Solidariedade - SOLIDARIEDADE] - CATENDE - PE</t>
  </si>
  <si>
    <t>PAUDALHO</t>
  </si>
  <si>
    <t>PAULA FRASSINETTE WANDERLEY MARINHO</t>
  </si>
  <si>
    <t>PAULINHA DA EDUCAÇÃO</t>
  </si>
  <si>
    <t>PAUDALHO NO CAMINHO CERTO</t>
  </si>
  <si>
    <t>PAUDALHO NO CAMINHO CERTO [Federação PSDB CIDADANIA (PSDB/CIDADANIA), Partido Democrático Trabalhista - PDT, Partido Social Democrático - PSD, Podemos - PODE, REPUBLICANOS - REPUBLICANOS] - PAUDALHO - PE</t>
  </si>
  <si>
    <t>JOSÉ ADIELSON HENRIQUE DA SILVA</t>
  </si>
  <si>
    <t>JOSE ADIELSON HENRIQUE DA SILVA</t>
  </si>
  <si>
    <t>ADIELSON HENRIQUE</t>
  </si>
  <si>
    <t>Catende merece Mais</t>
  </si>
  <si>
    <t>Catende merece Mais [Mobilização Nacional - MOBILIZA, Partido da Mulher Brasileira - PMB] - CATENDE - PE</t>
  </si>
  <si>
    <t>CABELEIREIRO E BARBEIRO</t>
  </si>
  <si>
    <t>MARCELO SOARES DE ARAUJO PINHEIRO</t>
  </si>
  <si>
    <t>PROFESSOR MARCELO PINHEIRO</t>
  </si>
  <si>
    <t>AGIR - AGIR - CATENDE - PE</t>
  </si>
  <si>
    <t>CASINHAS</t>
  </si>
  <si>
    <t>JULIANA BARBOSA DA SILVA AGUIAR</t>
  </si>
  <si>
    <t>JULIANA DE CHAPARRAL</t>
  </si>
  <si>
    <t>É O POVO DE NOVO</t>
  </si>
  <si>
    <t>É O POVO DE NOVO [Federação PSDB CIDADANIA (PSDB/CIDADANIA), União Brasil - UNIÃO] - CASINHAS - PE</t>
  </si>
  <si>
    <t>CEDRO</t>
  </si>
  <si>
    <t>MARLY QUENTAL DA CRUZ LEITE</t>
  </si>
  <si>
    <t>MARLY DE NEGUINHO DE ZÉ ARLIND</t>
  </si>
  <si>
    <t>Para continuar avançando e trabalhando pelo povo</t>
  </si>
  <si>
    <t>Para continuar avançando e trabalhando pelo povo [AVANTE - AVANTE, Movimento Democrático Brasileiro - MDB, Partido Liberal - PL] - CEDRO - PE</t>
  </si>
  <si>
    <t>CHÃ DE ALEGRIA</t>
  </si>
  <si>
    <t>MARCOS GOMES DO AMARAL</t>
  </si>
  <si>
    <t>MARCOS DA ROÇA</t>
  </si>
  <si>
    <t>FRENTE POPULAR ALEGRIENSE</t>
  </si>
  <si>
    <t>FRENTE POPULAR ALEGRIENSE [Partido Renovação Democrática - PRD, Partido Socialista Brasileiro - PSB, Podemos - PODE, REPUBLICANOS - REPUBLICANOS] - CHÃ DE ALEGRIA - PE</t>
  </si>
  <si>
    <t>MARIA INALDA HONÓRIO DA SILVA</t>
  </si>
  <si>
    <t>MARIA INALDA HONORIO DA SILVA</t>
  </si>
  <si>
    <t>NOVA HONÓRIO</t>
  </si>
  <si>
    <t>CHA DE ALEGRIA ,UM NOVO TEMPO UMA NOVA HISTORIA</t>
  </si>
  <si>
    <t>CHA DE ALEGRIA ,UM NOVO TEMPO UMA NOVA HISTORIA [Movimento Democrático Brasileiro - MDB, Partido Social Democrático - PSD] - CHÃ DE ALEGRIA - PE</t>
  </si>
  <si>
    <t>CHÃ GRANDE</t>
  </si>
  <si>
    <t>JORGE LUIS DA SILVA</t>
  </si>
  <si>
    <t>JORGE LUIS</t>
  </si>
  <si>
    <t>Um novo caminho para uma nova Chã Grande</t>
  </si>
  <si>
    <t>Um novo caminho para uma nova Chã Grande [Movimento Democrático Brasileiro - MDB, Partido Socialista Brasileiro - PSB, REPUBLICANOS - REPUBLICANOS] - CHÃ GRANDE - PE</t>
  </si>
  <si>
    <t>AGRÔNOMO</t>
  </si>
  <si>
    <t>SANDRO CORREA DOS SANTOS</t>
  </si>
  <si>
    <t>SANDRO ADVOGADO</t>
  </si>
  <si>
    <t>CHÃ GRANDE AVANÇANDO COM A VERDADE</t>
  </si>
  <si>
    <t>CHÃ GRANDE AVANÇANDO COM A VERDADE [AVANTE - AVANTE, Partido Liberal - PL, Partido Renovação Democrática - PRD, Solidariedade - SOLIDARIEDADE] - CHÃ GRANDE - PE</t>
  </si>
  <si>
    <t>CONDADO</t>
  </si>
  <si>
    <t>ANTONIO CARLOS ALVES DA SILVA</t>
  </si>
  <si>
    <t>ANTONIO CARLOS</t>
  </si>
  <si>
    <t>Federação PSOL REDE (PSOL/REDE) - CONDADO - PE</t>
  </si>
  <si>
    <t>JOSE EDBERTO TAVARES DE QUENTAL</t>
  </si>
  <si>
    <t>DR EDBERTO QUENTAL</t>
  </si>
  <si>
    <t>ESPERANÇA E RESPEITO</t>
  </si>
  <si>
    <t>ESPERANÇA E RESPEITO [Movimento Democrático Brasileiro - MDB, Partido Socialista Brasileiro - PSB, REPUBLICANOS - REPUBLICANOS] - CONDADO - PE</t>
  </si>
  <si>
    <t>SEVERINO ALBINO DA SILVA FILHO</t>
  </si>
  <si>
    <t>unidosporcondado@gmail.com</t>
  </si>
  <si>
    <t>ALBINO</t>
  </si>
  <si>
    <t>UNIDOS POR CONDADO</t>
  </si>
  <si>
    <t>UNIDOS POR CONDADO [PROGRESSISTAS - PP, Partido Social Democrático - PSD] - CONDADO - PE</t>
  </si>
  <si>
    <t>CORRENTES</t>
  </si>
  <si>
    <t>ANTONIO ROMAO LEAO DE DEUS</t>
  </si>
  <si>
    <t>DR ROMÃO</t>
  </si>
  <si>
    <t>NÃO VAMOS DESISTIR DE CORRENTES</t>
  </si>
  <si>
    <t>NÃO VAMOS DESISTIR DE CORRENTES [Federação PSDB CIDADANIA (PSDB/CIDADANIA), Partido Liberal - PL] - CORRENTES - PE</t>
  </si>
  <si>
    <t>EDIMILSON DA BAHIA DE LIMA GOMES</t>
  </si>
  <si>
    <t>EDIMILSON DA BAHIA</t>
  </si>
  <si>
    <t>FRENTE POPULAR DE CORRENTES</t>
  </si>
  <si>
    <t>FRENTE POPULAR DE CORRENTES [Federação BRASIL DA ESPERANÇA - FE BRASIL (PT/PC do B/PV), Partido Socialista Brasileiro - PSB, União Brasil - UNIÃO] - CORRENTES - PE</t>
  </si>
  <si>
    <t>CORTÊS</t>
  </si>
  <si>
    <t>ERON JOSE DA SILVA</t>
  </si>
  <si>
    <t>PROFESSOR ERON</t>
  </si>
  <si>
    <t>Unidos por Cortês</t>
  </si>
  <si>
    <t>Unidos por Cortês [Federação BRASIL DA ESPERANÇA - FE BRASIL (PT/PC do B/PV), Solidariedade - SOLIDARIEDADE] - CORTÊS - PE</t>
  </si>
  <si>
    <t>JOSÉ GENIVALDO DOS SANTOS</t>
  </si>
  <si>
    <t>JOSE GENIVALDO DOS SANTOS</t>
  </si>
  <si>
    <t>GENINHO</t>
  </si>
  <si>
    <t>FRENTE POPULAR DE CORTÊS</t>
  </si>
  <si>
    <t>FRENTE POPULAR DE CORTÊS [Movimento Democrático Brasileiro - MDB, Partido Socialista Brasileiro - PSB] - CORTÊS - PE</t>
  </si>
  <si>
    <t>TRINDADE</t>
  </si>
  <si>
    <t>HELBE DA SILVA RODRIGUES NASCIMENTO</t>
  </si>
  <si>
    <t>HELBINHA DE RODRIGUES</t>
  </si>
  <si>
    <t>POR AMOR A TRINDADE</t>
  </si>
  <si>
    <t>POR AMOR A TRINDADE [Federação BRASIL DA ESPERANÇA - FE BRASIL (PT/PC do B/PV), Federação PSDB CIDADANIA (PSDB/CIDADANIA), União Brasil - UNIÃO] - TRINDADE - PE</t>
  </si>
  <si>
    <t>JUPI</t>
  </si>
  <si>
    <t>RIVANDA MARIA FREIRE LIMA TEIXEIRA</t>
  </si>
  <si>
    <t>RIVANDA</t>
  </si>
  <si>
    <t>JUPI SEGUE EM FRENTE</t>
  </si>
  <si>
    <t>JUPI SEGUE EM FRENTE [Federação BRASIL DA ESPERANÇA - FE BRASIL (PT/PC do B/PV), Movimento Democrático Brasileiro - MDB, Partido Democrático Trabalhista - PDT, Partido Social Democrático - PSD, União Brasil - UNIÃO] - JUPI - PE</t>
  </si>
  <si>
    <t>ASSISTENTE SOCIAL</t>
  </si>
  <si>
    <t>CUMARU</t>
  </si>
  <si>
    <t>NADJANE MARIA PEIXOTO</t>
  </si>
  <si>
    <t>NADJANE PEIXOTO</t>
  </si>
  <si>
    <t>JUNTOS PELO POVO, UNIDOS POR CUMARU</t>
  </si>
  <si>
    <t>JUNTOS PELO POVO, UNIDOS POR CUMARU [PROGRESSISTAS - PP, Partido Social Democrático - PSD] - CUMARU - PE</t>
  </si>
  <si>
    <t>CUPIRA</t>
  </si>
  <si>
    <t>EDUARDO DA FONSECA LIRA</t>
  </si>
  <si>
    <t>EDUARDO LIRA</t>
  </si>
  <si>
    <t>Unidos por Cupira</t>
  </si>
  <si>
    <t>Unidos por Cupira [Federação PSDB CIDADANIA (PSDB/CIDADANIA), PROGRESSISTAS - PP, Partido Liberal - PL, União Brasil - UNIÃO] - CUPIRA - PE</t>
  </si>
  <si>
    <t>JOSENILDO BENAS DA SILVA</t>
  </si>
  <si>
    <t>BENA JUNIOR</t>
  </si>
  <si>
    <t>O POVO NO PODER</t>
  </si>
  <si>
    <t>O POVO NO PODER [AVANTE - AVANTE, Solidariedade - SOLIDARIEDADE] - CUPIRA - PE</t>
  </si>
  <si>
    <t>RAMON DE MELO</t>
  </si>
  <si>
    <t>RAMON</t>
  </si>
  <si>
    <t>ESTAMOS JUNTOS COM O POVO</t>
  </si>
  <si>
    <t>ESTAMOS JUNTOS COM O POVO [Federação BRASIL DA ESPERANÇA - FE BRASIL (PT/PC do B/PV), Partido Socialista Brasileiro - PSB, REPUBLICANOS - REPUBLICANOS] - CUPIRA - PE</t>
  </si>
  <si>
    <t>CUSTÓDIA</t>
  </si>
  <si>
    <t>LUCIARA FRAZÃO DE LIMA</t>
  </si>
  <si>
    <t>LUCIARA FRAZAO DE LIMA</t>
  </si>
  <si>
    <t>LUCIARA DE NEMIAS</t>
  </si>
  <si>
    <t>FRENTE POPULAR DE CUSTODIA</t>
  </si>
  <si>
    <t>FRENTE POPULAR DE CUSTODIA [PROGRESSISTAS - PP, Partido Socialista Brasileiro - PSB, REPUBLICANOS - REPUBLICANOS, Solidariedade - SOLIDARIEDADE, União Brasil - UNIÃO] - CUSTÓDIA - PE</t>
  </si>
  <si>
    <t>MANOEL MESSIAS DE SOUZA</t>
  </si>
  <si>
    <t>MANOEL MESSIAS</t>
  </si>
  <si>
    <t>UNIDOS POR CUSTÓDIA</t>
  </si>
  <si>
    <t>UNIDOS POR CUSTÓDIA [AVANTE - AVANTE, Federação BRASIL DA ESPERANÇA - FE BRASIL (PT/PC do B/PV), Federação PSDB CIDADANIA (PSDB/CIDADANIA), Movimento Democrático Brasileiro - MDB, Partido Social Democrático - PSD, Podemos - PODE] - CUSTÓDIA - PE</t>
  </si>
  <si>
    <t>ITAPETIM</t>
  </si>
  <si>
    <t>ALINE KARINA ALVES DA COSTA</t>
  </si>
  <si>
    <t>ALINE</t>
  </si>
  <si>
    <t>Frente Popular de Itapetim</t>
  </si>
  <si>
    <t>Frente Popular de Itapetim [AVANTE - AVANTE, Federação BRASIL DA ESPERANÇA - FE BRASIL (PT/PC do B/PV), Partido Socialista Brasileiro - PSB] - ITAPETIM - PE</t>
  </si>
  <si>
    <t>ESCADA</t>
  </si>
  <si>
    <t>JADSON CAETANO DA SILVA</t>
  </si>
  <si>
    <t>PROF JADSON CAETANO</t>
  </si>
  <si>
    <t>Unidos por Escada</t>
  </si>
  <si>
    <t>Unidos por Escada [AVANTE - AVANTE, Federação PSDB CIDADANIA (PSDB/CIDADANIA), Movimento Democrático Brasileiro - MDB, Partido Social Democrático - PSD] - ESCADA - PE</t>
  </si>
  <si>
    <t>PROFESSOR E INSTRUTOR DE FORMAÇÃO PROFISSIONAL</t>
  </si>
  <si>
    <t>JATAÚBA</t>
  </si>
  <si>
    <t>CÁTIA JUNSARA RODRIGUES AQUILINO</t>
  </si>
  <si>
    <t>CATIA JUNSARA RODRIGUES AQUILINO</t>
  </si>
  <si>
    <t>DRA CÁTIA</t>
  </si>
  <si>
    <t>UNIDOS PELO PROGRESSO DE JATAÚBA</t>
  </si>
  <si>
    <t>UNIDOS PELO PROGRESSO DE JATAÚBA [Federação PSDB CIDADANIA (PSDB/CIDADANIA), PROGRESSISTAS - PP, Partido Socialista Brasileiro - PSB, REPUBLICANOS - REPUBLICANOS] - JATAÚBA - PE</t>
  </si>
  <si>
    <t>EXU</t>
  </si>
  <si>
    <t>FRANCISCO GENÁRIO DE AQUINO MIRANDA</t>
  </si>
  <si>
    <t>FRANCISCO GENARIO DE AQUINO MIRANDA</t>
  </si>
  <si>
    <t>GENÁRIO AQUINO</t>
  </si>
  <si>
    <t>Unindo Forças para Transformar</t>
  </si>
  <si>
    <t>Unindo Forças para Transformar [AVANTE - AVANTE, Partido Socialista Brasileiro - PSB, Solidariedade - SOLIDARIEDADE] - EXU - PE</t>
  </si>
  <si>
    <t>JOSÉ PINTO SARAIVA JÚNIOR</t>
  </si>
  <si>
    <t>advalanandrade@gmail.com</t>
  </si>
  <si>
    <t>JOSE PINTO SARAIVA JUNIOR</t>
  </si>
  <si>
    <t>JUNIOR PINTO</t>
  </si>
  <si>
    <t>EXU CADA VEZ MELHOR</t>
  </si>
  <si>
    <t>EXU CADA VEZ MELHOR [Federação BRASIL DA ESPERANÇA - FE BRASIL (PT/PC do B/PV), Federação PSDB CIDADANIA (PSDB/CIDADANIA), PROGRESSISTAS - PP, Partido Democrático Trabalhista - PDT, Partido Social Democrático - PSD, REPUBLICANOS - REPUBLICANOS] - EXU - PE</t>
  </si>
  <si>
    <t>FEIRA NOVA</t>
  </si>
  <si>
    <t>BRUNO CHAVES TRAVASSOS DE SANTANA</t>
  </si>
  <si>
    <t>BRUNO CHAVES</t>
  </si>
  <si>
    <t>FEIRA NOVA CONQUISTANDO MAIS</t>
  </si>
  <si>
    <t>FEIRA NOVA CONQUISTANDO MAIS [Federação PSDB CIDADANIA (PSDB/CIDADANIA), Movimento Democrático Brasileiro - MDB, União Brasil - UNIÃO] - FEIRA NOVA - PE</t>
  </si>
  <si>
    <t>JOEL CANDIDO GONZAGA</t>
  </si>
  <si>
    <t>JOEL GONZAGA</t>
  </si>
  <si>
    <t>DAQUI PRA MELHOR</t>
  </si>
  <si>
    <t>DAQUI PRA MELHOR [Partido Social Democrático - PSD, Podemos - PODE] - FEIRA NOVA - PE</t>
  </si>
  <si>
    <t>FERREIROS</t>
  </si>
  <si>
    <t>BRUNO JAPHET DA MATTA ALBUQUERQUE FILHO</t>
  </si>
  <si>
    <t>BRUNO JAPHET FILHO</t>
  </si>
  <si>
    <t>UMA NOVA ESPERANÇA!</t>
  </si>
  <si>
    <t>UMA NOVA ESPERANÇA! [Movimento Democrático Brasileiro - MDB, Partido Social Democrático - PSD] - FERREIROS - PE</t>
  </si>
  <si>
    <t>GILCELIO OLIVEIRA PONTES</t>
  </si>
  <si>
    <t>GIL PONTES</t>
  </si>
  <si>
    <t>REPUBLICANOS - REPUBLICANOS - FERREIROS - PE</t>
  </si>
  <si>
    <t>JOSE ROBERTO DE OLIVEIRA</t>
  </si>
  <si>
    <t>ZÉ ROBERTO</t>
  </si>
  <si>
    <t>FERREIROS É DAQUI PRA MELHOR</t>
  </si>
  <si>
    <t>FERREIROS É DAQUI PRA MELHOR [Partido Socialista Brasileiro - PSB, Podemos - PODE] - FERREIROS - PE</t>
  </si>
  <si>
    <t>FLORES</t>
  </si>
  <si>
    <t>ADEILTON CARNEIRO PATRIOTA</t>
  </si>
  <si>
    <t>ADEILTON PATRIOTA</t>
  </si>
  <si>
    <t>FRENTE POPULAR DE FLORES</t>
  </si>
  <si>
    <t>FRENTE POPULAR DE FLORES [Podemos - PODE, Solidariedade - SOLIDARIEDADE] - FLORES - PE</t>
  </si>
  <si>
    <t>CICERO GILBERTO CAVALCANTI RIBEIRO</t>
  </si>
  <si>
    <t>GILBERTO RIBEIRO</t>
  </si>
  <si>
    <t>UNIDOS VAMOS FAZER MUITO MAIS</t>
  </si>
  <si>
    <t>UNIDOS VAMOS FAZER MUITO MAIS [Mobilização Nacional - MOBILIZA, Partido Democrático Trabalhista - PDT, Partido Socialista Brasileiro - PSB] - FLORES - PE</t>
  </si>
  <si>
    <t>NELSON TADEU DANIEL</t>
  </si>
  <si>
    <t>DR NELSON E O COLETIVO</t>
  </si>
  <si>
    <t>AGIR - AGIR - FLORES - PE</t>
  </si>
  <si>
    <t>IGARASSU</t>
  </si>
  <si>
    <t>ELCIONE DA SILVA RAMOS PEDROZA BARBOSA</t>
  </si>
  <si>
    <t>PROFESSORA ELCIONE</t>
  </si>
  <si>
    <t>COMPROMISSO COM O FUTURO</t>
  </si>
  <si>
    <t>COMPROMISSO COM O FUTURO [Federação PSDB CIDADANIA (PSDB/CIDADANIA), PROGRESSISTAS - PP, Partido Democrático Trabalhista - PDT, Partido Liberal - PL, Partido Social Democrático - PSD, Solidariedade - SOLIDARIEDADE, União Brasil - UNIÃO] - IGARASSU - PE</t>
  </si>
  <si>
    <t>FLORESTA</t>
  </si>
  <si>
    <t>SEVERINO FERRAZ DINIZ CARVALHO</t>
  </si>
  <si>
    <t>DR SEVERININHO</t>
  </si>
  <si>
    <t>POR AMOR À FLORESTA</t>
  </si>
  <si>
    <t>POR AMOR À FLORESTA [Movimento Democrático Brasileiro - MDB, Partido Socialista Brasileiro - PSB, Podemos - PODE] - FLORESTA - PE</t>
  </si>
  <si>
    <t>FREI MIGUELINHO</t>
  </si>
  <si>
    <t>JOSÉ ANICETO DE LIMA</t>
  </si>
  <si>
    <t>JOSE ANICETO DE LIMA</t>
  </si>
  <si>
    <t>ANICETO LIMA</t>
  </si>
  <si>
    <t>Unidos pela mudança de Frei Miguelinho</t>
  </si>
  <si>
    <t>Unidos pela mudança de Frei Miguelinho [Movimento Democrático Brasileiro - MDB, Partido Social Democrático - PSD] - FREI MIGUELINHO - PE</t>
  </si>
  <si>
    <t>JOSÉ LINDONALDO DE FRANÇA</t>
  </si>
  <si>
    <t>JOSE LINDONALDO DE FRANCA</t>
  </si>
  <si>
    <t>LINDONALDO DA FARINHA</t>
  </si>
  <si>
    <t>União, Trabalho e Progresso</t>
  </si>
  <si>
    <t>União, Trabalho e Progresso [AVANTE - AVANTE, Federação BRASIL DA ESPERANÇA - FE BRASIL (PT/PC do B/PV), Partido Socialista Brasileiro - PSB] - FREI MIGUELINHO - PE</t>
  </si>
  <si>
    <t>LUIZA KARLA DE ARRUDA SILVA</t>
  </si>
  <si>
    <t>LUIZA DE LULA</t>
  </si>
  <si>
    <t>Pensar no futuro é cuidar do presente</t>
  </si>
  <si>
    <t>Pensar no futuro é cuidar do presente [Federação PSDB CIDADANIA (PSDB/CIDADANIA), Podemos - PODE, União Brasil - UNIÃO] - FREI MIGUELINHO - PE</t>
  </si>
  <si>
    <t>GAMELEIRA</t>
  </si>
  <si>
    <t>JAYLSON LOURENÇO DE OLIVEIRA</t>
  </si>
  <si>
    <t>JAYLSON LOURENCO DE OLIVEIRA</t>
  </si>
  <si>
    <t>JAYLSON DA GARAGEM</t>
  </si>
  <si>
    <t>POR AMOR A GAMELEIRA</t>
  </si>
  <si>
    <t>POR AMOR A GAMELEIRA [Movimento Democrático Brasileiro - MDB, PROGRESSISTAS - PP, REPUBLICANOS - REPUBLICANOS] - GAMELEIRA - PE</t>
  </si>
  <si>
    <t>JOSE EDSON DA SILVA</t>
  </si>
  <si>
    <t>PROFESSOR EDSON</t>
  </si>
  <si>
    <t>UNIÃO POPULAR PARA A RECONSTRUÇÃO DE GAMELEIRA</t>
  </si>
  <si>
    <t>UNIÃO POPULAR PARA A RECONSTRUÇÃO DE GAMELEIRA [AVANTE - AVANTE, Solidariedade - SOLIDARIEDADE] - GAMELEIRA - PE</t>
  </si>
  <si>
    <t>JOSÉ SEVERINO RAMOS DE SOUZA</t>
  </si>
  <si>
    <t>JOSE SEVERINO RAMOS DE SOUZA</t>
  </si>
  <si>
    <t>MAJOR RAMOS</t>
  </si>
  <si>
    <t>Partido Socialista Brasileiro - PSB - GAMELEIRA - PE</t>
  </si>
  <si>
    <t>LEANDRO RIBEIRO GOMES DE LIMA</t>
  </si>
  <si>
    <t>DR LEANDRO</t>
  </si>
  <si>
    <t>GAMELEIRA NO RUMO CERTO</t>
  </si>
  <si>
    <t>GAMELEIRA NO RUMO CERTO [Federação PSDB CIDADANIA (PSDB/CIDADANIA), Partido Social Democrático - PSD, União Brasil - UNIÃO] - GAMELEIRA - PE</t>
  </si>
  <si>
    <t>GARANHUNS</t>
  </si>
  <si>
    <t>GERSON JOSE DE CARVALHO SOUZA FILHO</t>
  </si>
  <si>
    <t>GERSINHO FILHO</t>
  </si>
  <si>
    <t>NA ROTA DA ESPERANÇA POR UMA GARANHUNS  MELHOR</t>
  </si>
  <si>
    <t>NA ROTA DA ESPERANÇA POR UMA GARANHUNS  MELHOR [Partido Liberal - PL, Partido Novo - NOVO, União Brasil - UNIÃO] - GARANHUNS - PE</t>
  </si>
  <si>
    <t>IZAÍAS RÉGIS NETO</t>
  </si>
  <si>
    <t>IZAIAS REGIS NETO</t>
  </si>
  <si>
    <t>IZAÍAS RÉGIS</t>
  </si>
  <si>
    <t>RENASCE GARANHUNS</t>
  </si>
  <si>
    <t>RENASCE GARANHUNS [Federação PSDB CIDADANIA (PSDB/CIDADANIA), Partido Social Democrático - PSD, Podemos - PODE] - GARANHUNS - PE</t>
  </si>
  <si>
    <t>SIVALDO RODRIGUES ALBINO</t>
  </si>
  <si>
    <t>SIVALDO ALBINO</t>
  </si>
  <si>
    <t>FRENTE  POPULAR DE GARANHUNS</t>
  </si>
  <si>
    <t>FRENTE  POPULAR DE GARANHUNS [Federação BRASIL DA ESPERANÇA - FE BRASIL (PT/PC do B/PV), Movimento Democrático Brasileiro - MDB, Partido Democrático Trabalhista - PDT, Partido Socialista Brasileiro - PSB, REPUBLICANOS - REPUBLICANOS, Solidariedade - SOLIDARIEDADE] - GARANHUNS - PE</t>
  </si>
  <si>
    <t>GLÓRIA DO GOITÁ</t>
  </si>
  <si>
    <t>JAIME DE LIMA GOMES SOBRINHO</t>
  </si>
  <si>
    <t>podemosgloriadogoita@gmail.com</t>
  </si>
  <si>
    <t>JAIMINHO</t>
  </si>
  <si>
    <t>JUNTOS PODEMOS MUDAR GLORIA</t>
  </si>
  <si>
    <t>JUNTOS PODEMOS MUDAR GLORIA [AGIR - AGIR, AVANTE - AVANTE, Federação PSDB CIDADANIA (PSDB/CIDADANIA), Partido Renovação Democrática - PRD, Podemos - PODE] - GLÓRIA DO GOITÁ - PE</t>
  </si>
  <si>
    <t>RODRIGO MARTINS DE OLIVEIRA</t>
  </si>
  <si>
    <t>RODRIGO MARTINS</t>
  </si>
  <si>
    <t>FRENTE POPULAR DE GLÓRIA DO GOITÁ</t>
  </si>
  <si>
    <t>FRENTE POPULAR DE GLÓRIA DO GOITÁ [Movimento Democrático Brasileiro - MDB, Partido Social Democrático - PSD, Partido Socialista Brasileiro - PSB, REPUBLICANOS - REPUBLICANOS] - GLÓRIA DO GOITÁ - PE</t>
  </si>
  <si>
    <t>GOIANA</t>
  </si>
  <si>
    <t>EDUARDO HONÓRIO CARNEIRO</t>
  </si>
  <si>
    <t>EDUARDO HONORIO CARNEIRO</t>
  </si>
  <si>
    <t>EDUARDO HONÓRIO</t>
  </si>
  <si>
    <t>UNIDOS POR GOIANA</t>
  </si>
  <si>
    <t>UNIDOS POR GOIANA [AVANTE - AVANTE, Federação BRASIL DA ESPERANÇA - FE BRASIL (PT/PC do B/PV), Mobilização Nacional - MOBILIZA, PROGRESSISTAS - PP, Partido Renovação Democrática - PRD, Partido da Mulher Brasileira - PMB, Podemos - PODE, União Brasil - UNIÃO] - GOIANA - PE</t>
  </si>
  <si>
    <t>FLAVIO MONTEIRO BORBA</t>
  </si>
  <si>
    <t>BORBINHA DO VAREJÃO</t>
  </si>
  <si>
    <t>Partido Democrático Trabalhista - PDT - GOIANA - PE</t>
  </si>
  <si>
    <t>HENRIQUE FENELON DE BARROS NETO</t>
  </si>
  <si>
    <t>QUINHO FENELON</t>
  </si>
  <si>
    <t>UNIDOS POR  UMA GOIANA MUITO MELHOR</t>
  </si>
  <si>
    <t>UNIDOS POR  UMA GOIANA MUITO MELHOR [Movimento Democrático Brasileiro - MDB, Partido Socialista Brasileiro - PSB, REPUBLICANOS - REPUBLICANOS, Solidariedade - SOLIDARIEDADE] - GOIANA - PE</t>
  </si>
  <si>
    <t>JOSÉ FERNANDO VELOSO MONTEIRO</t>
  </si>
  <si>
    <t>JOSE FERNANDO VELOSO MONTEIRO</t>
  </si>
  <si>
    <t>FERNANDO VELOSO</t>
  </si>
  <si>
    <t>AGIR - AGIR - GOIANA - PE</t>
  </si>
  <si>
    <t>JORNALISTA E REDATOR</t>
  </si>
  <si>
    <t>WALTER FERNANDO BATISTA DA SILVA</t>
  </si>
  <si>
    <t>WALTER DA ETP</t>
  </si>
  <si>
    <t>Goiana Pode Mais</t>
  </si>
  <si>
    <t>Goiana Pode Mais [Democracia Cristã - DC, Partido Liberal - PL] - GOIANA - PE</t>
  </si>
  <si>
    <t>GRANITO</t>
  </si>
  <si>
    <t>FRANCIVALDO DE ASSIS ALVES</t>
  </si>
  <si>
    <t>FRANCIVALDO ALVES</t>
  </si>
  <si>
    <t>JUNTOS COM A FORÇA DO POVO</t>
  </si>
  <si>
    <t>JUNTOS COM A FORÇA DO POVO [Movimento Democrático Brasileiro - MDB, Partido Social Democrático - PSD] - GRANITO - PE</t>
  </si>
  <si>
    <t>GEORGE WASHINGTON PEREIRA ALENCAR</t>
  </si>
  <si>
    <t>GEORGE DE SIDNEY</t>
  </si>
  <si>
    <t>UNIAO E COMPROMISSO</t>
  </si>
  <si>
    <t>UNIAO E COMPROMISSO [AVANTE - AVANTE, Federação BRASIL DA ESPERANÇA - FE BRASIL (PT/PC do B/PV)] - GRANITO - PE</t>
  </si>
  <si>
    <t>GRAVATÁ</t>
  </si>
  <si>
    <t>BRUNO VILAR SALES</t>
  </si>
  <si>
    <t>BRUNO SALES</t>
  </si>
  <si>
    <t>JUNTOS POR GRAVATÁ</t>
  </si>
  <si>
    <t>JUNTOS POR GRAVATÁ [Democracia Cristã - DC, Partido da Mulher Brasileira - PMB, REPUBLICANOS - REPUBLICANOS] - GRAVATÁ - PE</t>
  </si>
  <si>
    <t>JOAQUIM NETO DE ANDRADE SILVA</t>
  </si>
  <si>
    <t>JOAQUIM NETO</t>
  </si>
  <si>
    <t>UNIDOS POR UM FUTURO MELHOR</t>
  </si>
  <si>
    <t>UNIDOS POR UM FUTURO MELHOR [Federação PSDB CIDADANIA (PSDB/CIDADANIA), Mobilização Nacional - MOBILIZA, Partido Social Democrático - PSD, Podemos - PODE, Solidariedade - SOLIDARIEDADE, União Brasil - UNIÃO] - GRAVATÁ - PE</t>
  </si>
  <si>
    <t>ZOOTECNISTA</t>
  </si>
  <si>
    <t>JOSE RODOLFO DA SILVA</t>
  </si>
  <si>
    <t>RODOLFO SILVA</t>
  </si>
  <si>
    <t>NOVO</t>
  </si>
  <si>
    <t>PARTIDO NOVO</t>
  </si>
  <si>
    <t>Partido Novo - NOVO - GRAVATÁ - PE</t>
  </si>
  <si>
    <t>POLICIAL MILITAR</t>
  </si>
  <si>
    <t>JOSELITO GOMES DA SILVA</t>
  </si>
  <si>
    <t>PADRE JOSELITO</t>
  </si>
  <si>
    <t>O AVANÇO CONTINUA</t>
  </si>
  <si>
    <t>O AVANÇO CONTINUA [AGIR - AGIR, AVANTE - AVANTE, Federação BRASIL DA ESPERANÇA - FE BRASIL (PT/PC do B/PV), PROGRESSISTAS - PP, Partido Democrático Trabalhista - PDT, Partido Socialista Brasileiro - PSB] - GRAVATÁ - PE</t>
  </si>
  <si>
    <t>LUCYNEIDE RIBEIRO DE SOUZA</t>
  </si>
  <si>
    <t>LU RIBEIRO</t>
  </si>
  <si>
    <t>Federação PSOL REDE (PSOL/REDE) - GRAVATÁ - PE</t>
  </si>
  <si>
    <t>SERRA TALHADA</t>
  </si>
  <si>
    <t>MARCIA CONRADO DE LORENA E SA ARAUJO</t>
  </si>
  <si>
    <t>MÁRCIA CONRADO</t>
  </si>
  <si>
    <t>A FORÇA DO TRABALHO</t>
  </si>
  <si>
    <t>A FORÇA DO TRABALHO [AVANTE - AVANTE, Federação BRASIL DA ESPERANÇA - FE BRASIL (PT/PC do B/PV), Federação PSDB CIDADANIA (PSDB/CIDADANIA), Movimento Democrático Brasileiro - MDB, Partido Social Democrático - PSD, Partido Socialista Brasileiro - PSB, REPUBLICANOS - REPUBLICANOS, Solidariedade - SOLIDARIEDADE, União Brasil - UNIÃO] - SERRA TALHADA - PE</t>
  </si>
  <si>
    <t>IATI</t>
  </si>
  <si>
    <t>FABRICIO FERNANDES CAVALCANTE</t>
  </si>
  <si>
    <t>FABRÍCIO FERNANDES</t>
  </si>
  <si>
    <t>Partido Democrático Trabalhista - PDT - IATI - PE</t>
  </si>
  <si>
    <t>MARIA AUGUSTA SOUZA FALCÃO</t>
  </si>
  <si>
    <t>MARIA AUGUSTA SOUZA FALCAO</t>
  </si>
  <si>
    <t>MARIA AUGUSTA</t>
  </si>
  <si>
    <t>COLIGAÇÃO AZUL DA ESPERANÇA</t>
  </si>
  <si>
    <t>COLIGAÇÃO AZUL DA ESPERANÇA [AVANTE - AVANTE, Movimento Democrático Brasileiro - MDB, PROGRESSISTAS - PP, Partido Social Democrático - PSD, REPUBLICANOS - REPUBLICANOS, União Brasil - UNIÃO] - IATI - PE</t>
  </si>
  <si>
    <t>IBIMIRIM</t>
  </si>
  <si>
    <t>CHARLES DE FREITAS BEZERRA</t>
  </si>
  <si>
    <t>CHARLES DO PAULISTÃO</t>
  </si>
  <si>
    <t>UNIDOS POR IBIMIRIM</t>
  </si>
  <si>
    <t>UNIDOS POR IBIMIRIM [Movimento Democrático Brasileiro - MDB, PROGRESSISTAS - PP, Solidariedade - SOLIDARIEDADE, União Brasil - UNIÃO] - IBIMIRIM - PE</t>
  </si>
  <si>
    <t>JOSÉ WELLITON DE MELO SIQUEIRA</t>
  </si>
  <si>
    <t>JOSE WELLITON DE MELO SIQUEIRA</t>
  </si>
  <si>
    <t>WELLITON SIQUEIRA</t>
  </si>
  <si>
    <t>VAMOS FAZER MUITO MAIS</t>
  </si>
  <si>
    <t>VAMOS FAZER MUITO MAIS [Federação BRASIL DA ESPERANÇA - FE BRASIL (PT/PC do B/PV), Federação PSDB CIDADANIA (PSDB/CIDADANIA), Partido Social Democrático - PSD, Podemos - PODE, REPUBLICANOS - REPUBLICANOS] - IBIMIRIM - PE</t>
  </si>
  <si>
    <t>IBIRAJUBA</t>
  </si>
  <si>
    <t>JOSÉ CELSO ONOFRE DE AMORIM</t>
  </si>
  <si>
    <t>JOSE CELSO ONOFRE DE AMORIM</t>
  </si>
  <si>
    <t>CELSO ONOFRE</t>
  </si>
  <si>
    <t>IBIRAJUBA TEM JEITO</t>
  </si>
  <si>
    <t>IBIRAJUBA TEM JEITO [Partido Socialista Brasileiro - PSB, REPUBLICANOS - REPUBLICANOS] - IBIRAJUBA - PE</t>
  </si>
  <si>
    <t>TÉCNICO DE OBRAS CIVIS, ESTRADAS, SANEAMENTO E ASSEMELHADOS</t>
  </si>
  <si>
    <t>PALMEIRINA</t>
  </si>
  <si>
    <t>THATIANNE PINTO MACEDO LIMA</t>
  </si>
  <si>
    <t>DELEGADA THATIANNE</t>
  </si>
  <si>
    <t>PALMEIRINA NO RUMO CERTO</t>
  </si>
  <si>
    <t>PALMEIRINA NO RUMO CERTO [PROGRESSISTAS - PP, Partido Social Democrático - PSD] - PALMEIRINA - PE</t>
  </si>
  <si>
    <t>TALITA CARDOZO FONSECA</t>
  </si>
  <si>
    <t>TALITA DE DODA</t>
  </si>
  <si>
    <t>Federação BRASIL DA ESPERANÇA - FE BRASIL (PT/PC do B/PV) - CAMUTANGA - PE</t>
  </si>
  <si>
    <t>MIGUEL RICARDO ALVES SANTOS DE LIMA</t>
  </si>
  <si>
    <t>MIGUEL RICARDO</t>
  </si>
  <si>
    <t>A FORÇA DA MUDANÇA</t>
  </si>
  <si>
    <t>A FORÇA DA MUDANÇA [AGIR - AGIR, Federação BRASIL DA ESPERANÇA - FE BRASIL (PT/PC do B/PV), Movimento Democrático Brasileiro - MDB, Partido Socialista Brasileiro - PSB, Podemos - PODE, REPUBLICANOS - REPUBLICANOS] - IGARASSU - PE</t>
  </si>
  <si>
    <t>IGUARACY</t>
  </si>
  <si>
    <t>ALBÉRICO MESSIAS DA ROCHA</t>
  </si>
  <si>
    <t>ALBERICO MESSIAS DA ROCHA</t>
  </si>
  <si>
    <t>ALBÉRICO ROCHA</t>
  </si>
  <si>
    <t>O IMPORTANTE É CUIDAR DO POVO</t>
  </si>
  <si>
    <t>O IMPORTANTE É CUIDAR DO POVO [AVANTE - AVANTE, Partido Socialista Brasileiro - PSB] - IGUARACY - PE</t>
  </si>
  <si>
    <t>SERVIDOR PÚBLICO ESTADUAL</t>
  </si>
  <si>
    <t>PEDRO ALVES DE OLIVEIRA NETO</t>
  </si>
  <si>
    <t>DR PEDRO ALVES</t>
  </si>
  <si>
    <t>O TRABALHO CONTINUA [Federação BRASIL DA ESPERANÇA - FE BRASIL (PT/PC do B/PV), Federação PSDB CIDADANIA (PSDB/CIDADANIA), Movimento Democrático Brasileiro - MDB, Partido Social Democrático - PSD] - IGUARACY - PE</t>
  </si>
  <si>
    <t>ILHA DE ITAMARACÁ</t>
  </si>
  <si>
    <t>GEORGE AUGUSTO MARTINS CARNEIRO DE ALBUQUERQUE</t>
  </si>
  <si>
    <t>GEORGE BAIÁ</t>
  </si>
  <si>
    <t>JUNTOS NA MISSÃO DO BEM</t>
  </si>
  <si>
    <t>JUNTOS NA MISSÃO DO BEM [PROGRESSISTAS - PP, Partido Social Democrático - PSD, Solidariedade - SOLIDARIEDADE] - ILHA DE ITAMARACÁ - PE</t>
  </si>
  <si>
    <t>JOSE DE MELO FILHO</t>
  </si>
  <si>
    <t>MELO DA APETITOSA</t>
  </si>
  <si>
    <t>Federação PSOL REDE (PSOL/REDE) - ILHA DE ITAMARACÁ - PE</t>
  </si>
  <si>
    <t>MARCOS AUGUSTO CORDEIRO DOS SANTOS</t>
  </si>
  <si>
    <t>MARCOS AUGUSTO</t>
  </si>
  <si>
    <t>JUNTOS PELA ILHA</t>
  </si>
  <si>
    <t>JUNTOS PELA ILHA [Democracia Cristã - DC, Partido Liberal - PL] - ILHA DE ITAMARACÁ - PE</t>
  </si>
  <si>
    <t>PAULO BATISTA ANDRADE</t>
  </si>
  <si>
    <t>PAULO BATISTA</t>
  </si>
  <si>
    <t>ITAMARACÁ FORTE: TRABALHO E CONTINUIDADE</t>
  </si>
  <si>
    <t>ITAMARACÁ FORTE: TRABALHO E CONTINUIDADE [AVANTE - AVANTE, Federação BRASIL DA ESPERANÇA - FE BRASIL (PT/PC do B/PV), Podemos - PODE, REPUBLICANOS - REPUBLICANOS] - ILHA DE ITAMARACÁ - PE</t>
  </si>
  <si>
    <t>PAULO FERNANDO PIMENTEL GALVÃO</t>
  </si>
  <si>
    <t>PAULO FERNANDO PIMENTEL GALVAO</t>
  </si>
  <si>
    <t>PAULO GALVÃO</t>
  </si>
  <si>
    <t>DE MÃOS DADA PARA O FUTURO</t>
  </si>
  <si>
    <t>DE MÃOS DADA PARA O FUTURO [AGIR - AGIR, Federação PSDB CIDADANIA (PSDB/CIDADANIA), Movimento Democrático Brasileiro - MDB, União Brasil - UNIÃO] - ILHA DE ITAMARACÁ - PE</t>
  </si>
  <si>
    <t>INAJÁ</t>
  </si>
  <si>
    <t>MANOEL ALVES NETO</t>
  </si>
  <si>
    <t>NETINHO DO PT</t>
  </si>
  <si>
    <t>Federação BRASIL DA ESPERANÇA - FE BRASIL (PT/PC do B/PV) - INAJÁ - PE</t>
  </si>
  <si>
    <t>MANOEL GALDINO CAVALCANTE</t>
  </si>
  <si>
    <t>BELL GALDINO</t>
  </si>
  <si>
    <t>PROGRESSISTAS - PP - INAJÁ - PE</t>
  </si>
  <si>
    <t>MARCELO MACHADO FREIRE</t>
  </si>
  <si>
    <t>MARCELO DE ALBERTO</t>
  </si>
  <si>
    <t>INAJÁ: UNIÃO E DESENVOLVIMENTO</t>
  </si>
  <si>
    <t>INAJÁ: UNIÃO E DESENVOLVIMENTO [AVANTE - AVANTE, Partido Socialista Brasileiro - PSB, REPUBLICANOS - REPUBLICANOS] - INAJÁ - PE</t>
  </si>
  <si>
    <t>INGAZEIRA</t>
  </si>
  <si>
    <t>ALCINEIDE DE OLIVEIRA FERREIRA</t>
  </si>
  <si>
    <t>ALCINEIDE PROFESSORA</t>
  </si>
  <si>
    <t>Federação PSDB CIDADANIA (PSDB/CIDADANIA) - INGAZEIRA - PE</t>
  </si>
  <si>
    <t>LUCIANO TORRES MARTINS</t>
  </si>
  <si>
    <t>LUCIANO TORRES</t>
  </si>
  <si>
    <t>FRENTE POPULAR DE INGAZEIRA</t>
  </si>
  <si>
    <t>FRENTE POPULAR DE INGAZEIRA [Federação BRASIL DA ESPERANÇA - FE BRASIL (PT/PC do B/PV), Partido Socialista Brasileiro - PSB] - INGAZEIRA - PE</t>
  </si>
  <si>
    <t>IPOJUCA</t>
  </si>
  <si>
    <t>ADILMA BARBOSA LACERDA DOS SANTOS</t>
  </si>
  <si>
    <t>ADILMA</t>
  </si>
  <si>
    <t>A MUDANÇA CONTINUA</t>
  </si>
  <si>
    <t>A MUDANÇA CONTINUA [AGIR - AGIR, Democracia Cristã - DC, Federação PSDB CIDADANIA (PSDB/CIDADANIA), Mobilização Nacional - MOBILIZA, Movimento Democrático Brasileiro - MDB, PROGRESSISTAS - PP, Partido Social Democrático - PSD, Podemos - PODE, União Brasil - UNIÃO] - IPOJUCA - PE</t>
  </si>
  <si>
    <t>CARLOS JOSÉ DE SANTANA</t>
  </si>
  <si>
    <t>netoguerrab@gmail.com</t>
  </si>
  <si>
    <t>CARLOS JOSE DE SANTANA</t>
  </si>
  <si>
    <t>CARLOS SANTANA</t>
  </si>
  <si>
    <t>IPOJUCA PODE MUITO MAIS</t>
  </si>
  <si>
    <t>IPOJUCA PODE MUITO MAIS [Federação BRASIL DA ESPERANÇA - FE BRASIL (PT/PC do B/PV), Partido Socialista Brasileiro - PSB, REPUBLICANOS - REPUBLICANOS, Solidariedade - SOLIDARIEDADE] - IPOJUCA - PE</t>
  </si>
  <si>
    <t>PAULO HENRIQUE GONCALVES BEZERRA</t>
  </si>
  <si>
    <t>PAULO ALVES</t>
  </si>
  <si>
    <t>AVANTE - AVANTE - IPOJUCA - PE</t>
  </si>
  <si>
    <t>IPUBI</t>
  </si>
  <si>
    <t>JOÃO MARCOS SIQUEIRA TORRES</t>
  </si>
  <si>
    <t>JOAO MARCOS SIQUEIRA TORRES</t>
  </si>
  <si>
    <t>JOÃO MARCOS SIQUEIRA</t>
  </si>
  <si>
    <t>FRENTE POPULAR DE IPUBI</t>
  </si>
  <si>
    <t>FRENTE POPULAR DE IPUBI [Federação BRASIL DA ESPERANÇA - FE BRASIL (PT/PC do B/PV), Movimento Democrático Brasileiro - MDB, Partido Social Democrático - PSD, Partido Socialista Brasileiro - PSB, REPUBLICANOS - REPUBLICANOS] - IPUBI - PE</t>
  </si>
  <si>
    <t>WILSON FILHO MIRANDA LUCENA</t>
  </si>
  <si>
    <t>DR. WILSON FILHO</t>
  </si>
  <si>
    <t>JUNTOS PODEMOS MAIS</t>
  </si>
  <si>
    <t>JUNTOS PODEMOS MAIS [PROGRESSISTAS - PP, Partido Democrático Trabalhista - PDT, Podemos - PODE, União Brasil - UNIÃO] - IPUBI - PE</t>
  </si>
  <si>
    <t>ITACURUBA</t>
  </si>
  <si>
    <t>HERCOLES DE MOURA MANIÇOBA</t>
  </si>
  <si>
    <t>HERCOLES DE MOURA MANICOBA</t>
  </si>
  <si>
    <t>KIBA MANIÇOBA</t>
  </si>
  <si>
    <t>PROGRESSISTAS - PP - ITACURUBA - PE</t>
  </si>
  <si>
    <t>OLEGARIO JUNIOR CANTARELLI</t>
  </si>
  <si>
    <t>JUNINHO CANTARELLI</t>
  </si>
  <si>
    <t>UNIÃO POR ITACURUBA</t>
  </si>
  <si>
    <t>UNIÃO POR ITACURUBA [Federação BRASIL DA ESPERANÇA - FE BRASIL (PT/PC do B/PV), Partido Socialista Brasileiro - PSB] - ITACURUBA - PE</t>
  </si>
  <si>
    <t>ITAÍBA</t>
  </si>
  <si>
    <t>JOSIVALDO JOSÉ BRANDÃO</t>
  </si>
  <si>
    <t>JOSIVALDO JOSE BRANDAO</t>
  </si>
  <si>
    <t>VALDO DO PIPA</t>
  </si>
  <si>
    <t>Federação BRASIL DA ESPERANÇA - FE BRASIL (PT/PC do B/PV) - ITAÍBA - PE</t>
  </si>
  <si>
    <t>PEDRO TEOTÔNIO DA SILVA NETO</t>
  </si>
  <si>
    <t>PEDRO TEOTONIO DA SILVA NETO</t>
  </si>
  <si>
    <t>PEDRO PILOTA</t>
  </si>
  <si>
    <t>FRENTE POPULAR DE ITAIBA</t>
  </si>
  <si>
    <t>FRENTE POPULAR DE ITAIBA [Movimento Democrático Brasileiro - MDB, Partido Socialista Brasileiro - PSB, REPUBLICANOS - REPUBLICANOS] - ITAÍBA - PE</t>
  </si>
  <si>
    <t>ROGERIA MARIA MARTINS</t>
  </si>
  <si>
    <t>ROGERIA MARTINS</t>
  </si>
  <si>
    <t>MUDA ITAIBA COM A FORÇA DO POVO</t>
  </si>
  <si>
    <t>MUDA ITAIBA COM A FORÇA DO POVO [Federação PSDB CIDADANIA (PSDB/CIDADANIA), PROGRESSISTAS - PP, Partido Renovação Democrática - PRD] - ITAÍBA - PE</t>
  </si>
  <si>
    <t>ITAMBÉ</t>
  </si>
  <si>
    <t>ARMANDO PIMENTEL DA ROCHA</t>
  </si>
  <si>
    <t>advpablosantos@gmail.com</t>
  </si>
  <si>
    <t>ARMANDO PIMENTEL</t>
  </si>
  <si>
    <t>ESPERANÇA E TRABALHO</t>
  </si>
  <si>
    <t>ESPERANÇA E TRABALHO [AVANTE - AVANTE, Federação BRASIL DA ESPERANÇA - FE BRASIL (PT/PC do B/PV), PROGRESSISTAS - PP, Partido Social Democrático - PSD, Solidariedade - SOLIDARIEDADE] - ITAMBÉ - PE</t>
  </si>
  <si>
    <t>FREDERICO CARRAZZONI GÓES</t>
  </si>
  <si>
    <t>FREDERICO CARRAZZONI GOES</t>
  </si>
  <si>
    <t>FREDERICO</t>
  </si>
  <si>
    <t>TRABALHO COM DEDICAÇÃO E RESPONSABILIDADE</t>
  </si>
  <si>
    <t>TRABALHO COM DEDICAÇÃO E RESPONSABILIDADE [Movimento Democrático Brasileiro - MDB, Partido Socialista Brasileiro - PSB, REPUBLICANOS - REPUBLICANOS] - ITAMBÉ - PE</t>
  </si>
  <si>
    <t>MANUELLA DE LIMA MATTOS</t>
  </si>
  <si>
    <t>MANUELLA MATTOS</t>
  </si>
  <si>
    <t>A VERDADEIRA MUDANÇA VEM DO POVO</t>
  </si>
  <si>
    <t>A VERDADEIRA MUDANÇA VEM DO POVO [Federação PSOL REDE (PSOL/REDE), Partido Democrático Trabalhista - PDT, Podemos - PODE, União Brasil - UNIÃO] - ITAMBÉ - PE</t>
  </si>
  <si>
    <t>MARIA ZENEIDE MEDEIROS DA COSTA</t>
  </si>
  <si>
    <t>ZENEIDE MEDEIROS</t>
  </si>
  <si>
    <t>PARA CONTINUAR AVANÇANDO</t>
  </si>
  <si>
    <t>PARA CONTINUAR AVANÇANDO [Partido Socialista Brasileiro - PSB, REPUBLICANOS - REPUBLICANOS] - CUMARU - PE</t>
  </si>
  <si>
    <t>ÂNDERSON ANDRÉ DE ALMEIDA LOPES</t>
  </si>
  <si>
    <t>ANDERSON ANDRE DE ALMEIDA LOPES</t>
  </si>
  <si>
    <t>ÂNDERSON LOPES</t>
  </si>
  <si>
    <t>UNIDOS POR ITAPETIM</t>
  </si>
  <si>
    <t>UNIDOS POR ITAPETIM [Federação PSDB CIDADANIA (PSDB/CIDADANIA), Movimento Democrático Brasileiro - MDB, PROGRESSISTAS - PP, Partido Democrático Trabalhista - PDT, Partido Social Democrático - PSD, Podemos - PODE, REPUBLICANOS - REPUBLICANOS, União Brasil - UNIÃO] - ITAPETIM - PE</t>
  </si>
  <si>
    <t>ITAPISSUMA</t>
  </si>
  <si>
    <t>CLAUDIO LUCIANO DA SILVA XAVIER</t>
  </si>
  <si>
    <t>CAL VOLIA</t>
  </si>
  <si>
    <t>FRENTE POPULAR ITAPISSUMA É DO POVO</t>
  </si>
  <si>
    <t>FRENTE POPULAR ITAPISSUMA É DO POVO [Federação BRASIL DA ESPERANÇA - FE BRASIL (PT/PC do B/PV), Partido Socialista Brasileiro - PSB, REPUBLICANOS - REPUBLICANOS] - ITAPISSUMA - PE</t>
  </si>
  <si>
    <t>VALDEMIR LOURENÇO DOS SANTOS JÚNIOR</t>
  </si>
  <si>
    <t>VALDEMIR LOURENCO DOS SANTOS JUNIOR</t>
  </si>
  <si>
    <t>JÚNIOR DE IRMÃ TECA</t>
  </si>
  <si>
    <t>JUNTOS PARA SEGUIR AVANÇANDO</t>
  </si>
  <si>
    <t>JUNTOS PARA SEGUIR AVANÇANDO [AGIR - AGIR, Federação PSDB CIDADANIA (PSDB/CIDADANIA), Partido Social Democrático - PSD, Podemos - PODE, Solidariedade - SOLIDARIEDADE] - ITAPISSUMA - PE</t>
  </si>
  <si>
    <t>ITAQUITINGA</t>
  </si>
  <si>
    <t>ISAQUE FARIAS DA SILVA</t>
  </si>
  <si>
    <t>ISAQUE DA FOTO</t>
  </si>
  <si>
    <t>Juntos para mudar Itaquitinga</t>
  </si>
  <si>
    <t>Juntos para mudar Itaquitinga [Partido Socialista Brasileiro - PSB, Podemos - PODE, REPUBLICANOS - REPUBLICANOS] - ITAQUITINGA - PE</t>
  </si>
  <si>
    <t>TAXISTA</t>
  </si>
  <si>
    <t>JESAIAS PACHECO DA SILVA</t>
  </si>
  <si>
    <t>DEL PACHECO</t>
  </si>
  <si>
    <t>AVANTE - AVANTE - ITAQUITINGA - PE</t>
  </si>
  <si>
    <t>TÉCNICO EM EDIFICAÇÕES</t>
  </si>
  <si>
    <t>PATRICK JOSE DE OLIVEIRA MORAES</t>
  </si>
  <si>
    <t>PATRICK MORAES</t>
  </si>
  <si>
    <t>VAMOS JUNTOS FAZER MAIS</t>
  </si>
  <si>
    <t>VAMOS JUNTOS FAZER MAIS [Federação BRASIL DA ESPERANÇA - FE BRASIL (PT/PC do B/PV), Federação PSDB CIDADANIA (PSDB/CIDADANIA), Partido Renovação Democrática - PRD, Partido Social Democrático - PSD] - ITAQUITINGA - PE</t>
  </si>
  <si>
    <t>JABOATÃO DOS GUARARAPES</t>
  </si>
  <si>
    <t>DANIEL ALVES BEZERRA</t>
  </si>
  <si>
    <t>DANIEL ALVES</t>
  </si>
  <si>
    <t>AVANTE - AVANTE - JABOATÃO DOS GUARARAPES - PE</t>
  </si>
  <si>
    <t>ELIAS GOMES DA SILVA</t>
  </si>
  <si>
    <t>ELIAS GOMES</t>
  </si>
  <si>
    <t>Frente Popular de Jaboatão</t>
  </si>
  <si>
    <t>Frente Popular de Jaboatão [Federação BRASIL DA ESPERANÇA - FE BRASIL (PT/PC do B/PV), Federação PSOL REDE (PSOL/REDE), Movimento Democrático Brasileiro - MDB, Partido Socialista Brasileiro - PSB, REPUBLICANOS - REPUBLICANOS, Solidariedade - SOLIDARIEDADE] - JABOATÃO DOS GUARARAPES - PE</t>
  </si>
  <si>
    <t>ERICA CLARISSA BORBA CORDEIRO DE MOURA</t>
  </si>
  <si>
    <t>CLARISSA TÉRCIO</t>
  </si>
  <si>
    <t>Mudar Pra Valer</t>
  </si>
  <si>
    <t>Mudar Pra Valer [AGIR - AGIR, PROGRESSISTAS - PP, Podemos - PODE] - JABOATÃO DOS GUARARAPES - PE</t>
  </si>
  <si>
    <t>LUIZ JOSÉ INOJOSA DE MEDEIROS</t>
  </si>
  <si>
    <t>LUIZ JOSE INOJOSA DE MEDEIROS</t>
  </si>
  <si>
    <t>MANO MEDEIROS</t>
  </si>
  <si>
    <t>A MUDANÇA CONTINUA [Democracia Cristã - DC, Mobilização Nacional - MOBILIZA, Partido Democrático Trabalhista - PDT, Partido Liberal - PL, Partido Novo - NOVO, Partido Renovador Trabalhista Brasileiro - PRTB, Partido Renovação Democrática - PRD, Partido Social Democrático - PSD, União Brasil - UNIÃO] - JABOATÃO DOS GUARARAPES - PE</t>
  </si>
  <si>
    <t>MANOEL MESSIAS DA SILVA</t>
  </si>
  <si>
    <t>MANOEL DE CORUBAS</t>
  </si>
  <si>
    <t>UMA NOVA JAQUEIRA É POSSÍVEL</t>
  </si>
  <si>
    <t>UMA NOVA JAQUEIRA É POSSÍVEL [Federação BRASIL DA ESPERANÇA - FE BRASIL (PT/PC do B/PV), Partido Socialista Brasileiro - PSB, REPUBLICANOS - REPUBLICANOS] - JAQUEIRA - PE</t>
  </si>
  <si>
    <t>SERTÂNIA</t>
  </si>
  <si>
    <t>POLLYANNA BARBOSA DE ABREU</t>
  </si>
  <si>
    <t>pollyanna@pbatransportes.com.br</t>
  </si>
  <si>
    <t>POLLYANNA ABREU</t>
  </si>
  <si>
    <t>UM NOVO TEMPO PARA SERTÂNIA</t>
  </si>
  <si>
    <t>UM NOVO TEMPO PARA SERTÂNIA [Federação PSDB CIDADANIA (PSDB/CIDADANIA), Movimento Democrático Brasileiro - MDB, Partido Liberal - PL, Partido Social Democrático - PSD, Podemos - PODE] - SERTÂNIA - PE</t>
  </si>
  <si>
    <t>ANTONIO CORDEIRO DO NASCIMENTO</t>
  </si>
  <si>
    <t>ANTÔNIO DE ROQUE</t>
  </si>
  <si>
    <t>SEJA A VONTADE DO POVO</t>
  </si>
  <si>
    <t>SEJA A VONTADE DO POVO [Podemos - PODE, União Brasil - UNIÃO] - JATAÚBA - PE</t>
  </si>
  <si>
    <t>RIBEIRÃO</t>
  </si>
  <si>
    <t>ANA CAROLINA COELHO JORDÃO</t>
  </si>
  <si>
    <t>ANA CAROLINA COELHO JORDAO</t>
  </si>
  <si>
    <t>CAROL JORDÃO</t>
  </si>
  <si>
    <t>FRENTE POPULAR DE RIBEIRÃO</t>
  </si>
  <si>
    <t>FRENTE POPULAR DE RIBEIRÃO [Federação BRASIL DA ESPERANÇA - FE BRASIL (PT/PC do B/PV), Partido Socialista Brasileiro - PSB, Podemos - PODE, REPUBLICANOS - REPUBLICANOS] - RIBEIRÃO - PE</t>
  </si>
  <si>
    <t>FÁBIO LUIS NUNES CHAVES</t>
  </si>
  <si>
    <t>FABIO LUIS NUNES CHAVES</t>
  </si>
  <si>
    <t>MAMÃO</t>
  </si>
  <si>
    <t>Federação BRASIL DA ESPERANÇA - FE BRASIL (PT/PC do B/PV) - JATAÚBA - PE</t>
  </si>
  <si>
    <t>JATOBÁ</t>
  </si>
  <si>
    <t>DIONALDO DE SOUZA BARBOSA</t>
  </si>
  <si>
    <t>NALDO</t>
  </si>
  <si>
    <t>A FORÇA DA UNIÃO</t>
  </si>
  <si>
    <t>A FORÇA DA UNIÃO [Federação BRASIL DA ESPERANÇA - FE BRASIL (PT/PC do B/PV), Partido Socialista Brasileiro - PSB] - JATOBÁ - PE</t>
  </si>
  <si>
    <t>ROGÉRIO FERREIRA GOMES DA SILVA</t>
  </si>
  <si>
    <t>ROGERIO FERREIRA GOMES DA SILVA</t>
  </si>
  <si>
    <t>ROGÉRIO FERREIRA</t>
  </si>
  <si>
    <t>O AVANÇO CONTINUA [Partido Liberal - PL, Podemos - PODE, REPUBLICANOS - REPUBLICANOS] - JATOBÁ - PE</t>
  </si>
  <si>
    <t>JOÃO ALFREDO</t>
  </si>
  <si>
    <t>EDIVANIA LAURA DA SILVA</t>
  </si>
  <si>
    <t>VÂNIA DE OIM</t>
  </si>
  <si>
    <t>MOVIMENTO PELA RENOVAÇÃO</t>
  </si>
  <si>
    <t>MOVIMENTO PELA RENOVAÇÃO [Podemos - PODE, União Brasil - UNIÃO] - JOÃO ALFREDO - PE</t>
  </si>
  <si>
    <t>JOSÉ ANTONIO MARTINS DA SILVA</t>
  </si>
  <si>
    <t>JOSE ANTONIO MARTINS DA SILVA</t>
  </si>
  <si>
    <t>ZÉ MARTINS</t>
  </si>
  <si>
    <t>FRENTE POPULAR DE JOÃO ALFREDO</t>
  </si>
  <si>
    <t>FRENTE POPULAR DE JOÃO ALFREDO [AVANTE - AVANTE, Federação BRASIL DA ESPERANÇA - FE BRASIL (PT/PC do B/PV), Partido Socialista Brasileiro - PSB, REPUBLICANOS - REPUBLICANOS, Solidariedade - SOLIDARIEDADE] - JOÃO ALFREDO - PE</t>
  </si>
  <si>
    <t>JOAQUIM NABUCO</t>
  </si>
  <si>
    <t>MARIA DJANE VIEIRA DE MELO VELOSO</t>
  </si>
  <si>
    <t>JANE</t>
  </si>
  <si>
    <t>Frente Popular da Esperança</t>
  </si>
  <si>
    <t>Frente Popular da Esperança [PROGRESSISTAS - PP, Partido Socialista Brasileiro - PSB] - JOAQUIM NABUCO - PE</t>
  </si>
  <si>
    <t>MARIA IZALTA SILVA LOPES GAMA</t>
  </si>
  <si>
    <t>IZALTA</t>
  </si>
  <si>
    <t>LUTANDO POR IBIRAJUBA, LIDERANDO COM VERDADE, COMPROMISSO E PROGRESSO</t>
  </si>
  <si>
    <t>LUTANDO POR IBIRAJUBA, LIDERANDO COM VERDADE, COMPROMISSO E PROGRESSO [Federação PSDB CIDADANIA (PSDB/CIDADANIA), Movimento Democrático Brasileiro - MDB, Partido Liberal - PL, Podemos - PODE] - IBIRAJUBA - PE</t>
  </si>
  <si>
    <t>JUCATI</t>
  </si>
  <si>
    <t>JOSEMAR PEIXOTO MOURA</t>
  </si>
  <si>
    <t>JOSEMAR</t>
  </si>
  <si>
    <t>AVANTE - AVANTE - JUCATI - PE</t>
  </si>
  <si>
    <t>CELINA TENÓRIO DE BRITO MACIEL</t>
  </si>
  <si>
    <t>CELINA TENORIO DE BRITO MACIEL</t>
  </si>
  <si>
    <t>CELINA BRITO</t>
  </si>
  <si>
    <t>JUPI ABRAÇA SEU POVO</t>
  </si>
  <si>
    <t>JUPI ABRAÇA SEU POVO [REPUBLICANOS - REPUBLICANOS, Solidariedade - SOLIDARIEDADE] - JUPI - PE</t>
  </si>
  <si>
    <t>TABELIÃO</t>
  </si>
  <si>
    <t>CLELSON LUIS APARECIDO DE MELO</t>
  </si>
  <si>
    <t>CLELSON PEIXOTO</t>
  </si>
  <si>
    <t>UNIDOS POR JUCATI</t>
  </si>
  <si>
    <t>UNIDOS POR JUCATI [Federação BRASIL DA ESPERANÇA - FE BRASIL (PT/PC do B/PV), Partido Democrático Trabalhista - PDT, Partido Socialista Brasileiro - PSB, REPUBLICANOS - REPUBLICANOS] - JUCATI - PE</t>
  </si>
  <si>
    <t>CAMILA APARECIDA TENORIO SOUTO DE SOUZA</t>
  </si>
  <si>
    <t>CAMILA SOUZA</t>
  </si>
  <si>
    <t>FRENTE POPULAR DE IATI</t>
  </si>
  <si>
    <t>FRENTE POPULAR DE IATI [AGIR - AGIR, Federação BRASIL DA ESPERANÇA - FE BRASIL (PT/PC do B/PV), Partido Renovação Democrática - PRD, Partido Socialista Brasileiro - PSB] - IATI - PE</t>
  </si>
  <si>
    <t>JUREMA</t>
  </si>
  <si>
    <t>LEONARDO DE ALCANTÂRA ARANDAS SIQUEIRA</t>
  </si>
  <si>
    <t>LEONARDO DE ALCANTARA ARANDAS SIQUEIRA</t>
  </si>
  <si>
    <t>LÉO RAMOS</t>
  </si>
  <si>
    <t>LIBERDADE E UNIÃO POR JUREMA</t>
  </si>
  <si>
    <t>LIBERDADE E UNIÃO POR JUREMA [Partido Socialista Brasileiro - PSB, União Brasil - UNIÃO] - JUREMA - PE</t>
  </si>
  <si>
    <t>LAGOA DE ITAENGA</t>
  </si>
  <si>
    <t>ANTONIO PEREIRA LINS JÚNIOR</t>
  </si>
  <si>
    <t>ANTONIO PEREIRA LINS JUNIOR</t>
  </si>
  <si>
    <t>DR. TOINHO</t>
  </si>
  <si>
    <t>A VERDADEIRA MUDANÇA</t>
  </si>
  <si>
    <t>A VERDADEIRA MUDANÇA [Movimento Democrático Brasileiro - MDB, PROGRESSISTAS - PP, Partido Liberal - PL] - LAGOA DE ITAENGA - PE</t>
  </si>
  <si>
    <t>CARLOS VICENTE DE ARRUDA SILVA</t>
  </si>
  <si>
    <t>CARLINHOS DO MOINHO</t>
  </si>
  <si>
    <t>FRENTE POPULAR DE LAGOA DE ITAENGA</t>
  </si>
  <si>
    <t>FRENTE POPULAR DE LAGOA DE ITAENGA [Federação BRASIL DA ESPERANÇA - FE BRASIL (PT/PC do B/PV), Federação PSOL REDE (PSOL/REDE), Partido Socialista Brasileiro - PSB, União Brasil - UNIÃO] - LAGOA DE ITAENGA - PE</t>
  </si>
  <si>
    <t>EDVALDO MARCOS RAMOS FERREIRA</t>
  </si>
  <si>
    <t>BRANCO DE GERALDO</t>
  </si>
  <si>
    <t>UNIDOS POR UMA JUREMA MELHOR</t>
  </si>
  <si>
    <t>UNIDOS POR UMA JUREMA MELHOR [Federação BRASIL DA ESPERANÇA - FE BRASIL (PT/PC do B/PV), REPUBLICANOS - REPUBLICANOS] - JUREMA - PE</t>
  </si>
  <si>
    <t>LAGOA DO CARRO</t>
  </si>
  <si>
    <t>JOSAFÁ MANUEL DA SILVA</t>
  </si>
  <si>
    <t>JOSAFA MANUEL DA SILVA</t>
  </si>
  <si>
    <t>JOSAFÁ BOTAFOGO</t>
  </si>
  <si>
    <t>PARA LAGOA AVANÇAR</t>
  </si>
  <si>
    <t>PARA LAGOA AVANÇAR [Federação PSDB CIDADANIA (PSDB/CIDADANIA), Partido Democrático Trabalhista - PDT, Partido Liberal - PL, Partido Social Democrático - PSD, REPUBLICANOS - REPUBLICANOS] - LAGOA DO CARRO - PE</t>
  </si>
  <si>
    <t>MOTORISTA DE VEÍCULOS DE TRANSPORTE COLETIVO DE PASSAGEIROS</t>
  </si>
  <si>
    <t>DIMAS CAETANO DE SOUSA</t>
  </si>
  <si>
    <t>dimasousa@hotmail.com</t>
  </si>
  <si>
    <t>(81) 99673-9619</t>
  </si>
  <si>
    <t>DIMAS NATANAEL</t>
  </si>
  <si>
    <t>RENOVA ITAENGA</t>
  </si>
  <si>
    <t>RENOVA ITAENGA [AVANTE - AVANTE, REPUBLICANOS - REPUBLICANOS, Solidariedade - SOLIDARIEDADE] - LAGOA DE ITAENGA - PE</t>
  </si>
  <si>
    <t>JOSE LUIZ ALVES DE AMORIM</t>
  </si>
  <si>
    <t>campanhalagoadocarro20@gmail.com</t>
  </si>
  <si>
    <t>ZÉ LUIZ</t>
  </si>
  <si>
    <t>ESPERANÇA E RENOVAÇÃO</t>
  </si>
  <si>
    <t>ESPERANÇA E RENOVAÇÃO [PROGRESSISTAS - PP, Partido Socialista Brasileiro - PSB, Podemos - PODE] - LAGOA DO CARRO - PE</t>
  </si>
  <si>
    <t>LAGOA DO OURO</t>
  </si>
  <si>
    <t>ESPEDITO PAULINO DA SILVA JUNIOR</t>
  </si>
  <si>
    <t>JUNIOR PAULINO</t>
  </si>
  <si>
    <t>Partido Social Democrático - PSD - LAGOA DO OURO - PE</t>
  </si>
  <si>
    <t>LOCUTOR E COMENTARISTA DE RÁDIO E TELEVISÃO E RADIALISTA</t>
  </si>
  <si>
    <t>LAGOA DOS GATOS</t>
  </si>
  <si>
    <t>LUCIMAR MARIA DA SILVA</t>
  </si>
  <si>
    <t>LUCIMAR DA SAÚDE</t>
  </si>
  <si>
    <t>FRENTE POPULAR DE LAGOA</t>
  </si>
  <si>
    <t>FRENTE POPULAR DE LAGOA [Partido Socialista Brasileiro - PSB, REPUBLICANOS - REPUBLICANOS, Solidariedade - SOLIDARIEDADE] - LAGOA DOS GATOS - PE</t>
  </si>
  <si>
    <t>EDSON LOPES CAVALCANTE</t>
  </si>
  <si>
    <t>EDSON QUEBRA SANTO</t>
  </si>
  <si>
    <t>LAGOA DO OURO VAI CONTINUAR AVANÇANDO</t>
  </si>
  <si>
    <t>LAGOA DO OURO VAI CONTINUAR AVANÇANDO [Federação BRASIL DA ESPERANÇA - FE BRASIL (PT/PC do B/PV), PROGRESSISTAS - PP, Partido Democrático Trabalhista - PDT, União Brasil - UNIÃO] - LAGOA DO OURO - PE</t>
  </si>
  <si>
    <t>FRANCISCO EVANILSON MARTINS FILHO</t>
  </si>
  <si>
    <t>NILSINHO DE DOUTOR</t>
  </si>
  <si>
    <t>Partido Democrático Trabalhista - PDT - LAGOA GRANDE - PE</t>
  </si>
  <si>
    <t>GABRIEL MARTINHO DE SOUZA</t>
  </si>
  <si>
    <t>GABRIEL IMÓVEIS</t>
  </si>
  <si>
    <t>união e reconstrução</t>
  </si>
  <si>
    <t>união e reconstrução [Federação BRASIL DA ESPERANÇA - FE BRASIL (PT/PC do B/PV), União Brasil - UNIÃO] - LAGOA GRANDE - PE</t>
  </si>
  <si>
    <t>LAJEDO</t>
  </si>
  <si>
    <t>ANTONIO JOÃO DOURADO</t>
  </si>
  <si>
    <t>ANTONIO JOAO DOURADO</t>
  </si>
  <si>
    <t>ANTONIO JOÃO</t>
  </si>
  <si>
    <t>UNIÃO POR LAJEDO</t>
  </si>
  <si>
    <t>UNIÃO POR LAJEDO [AVANTE - AVANTE, Federação BRASIL DA ESPERANÇA - FE BRASIL (PT/PC do B/PV), Partido Socialista Brasileiro - PSB] - LAJEDO - PE</t>
  </si>
  <si>
    <t>STÊNIO FERNANDES DE ALBUQUERQUE</t>
  </si>
  <si>
    <t>STENIO FERNANDES DE ALBUQUERQUE</t>
  </si>
  <si>
    <t>STÊNIO</t>
  </si>
  <si>
    <t>NOSSA CIDADE, NOSSA PRIORIDADE.</t>
  </si>
  <si>
    <t>NOSSA CIDADE, NOSSA PRIORIDADE. [Federação PSDB CIDADANIA (PSDB/CIDADANIA), PROGRESSISTAS - PP] - LAGOA DOS GATOS - PE</t>
  </si>
  <si>
    <t>NILTON VICENTE DA SILVA</t>
  </si>
  <si>
    <t>NILTINHO VICENTE</t>
  </si>
  <si>
    <t>Partido Renovação Democrática - PRD - LAJEDO - PE</t>
  </si>
  <si>
    <t>NÃO INFORMADO</t>
  </si>
  <si>
    <t>LIMOEIRO</t>
  </si>
  <si>
    <t>DANIEL PAULO DE MOURA</t>
  </si>
  <si>
    <t>DANIEL DO MERCADINHO</t>
  </si>
  <si>
    <t>LIMOEIRO PRA TODOS</t>
  </si>
  <si>
    <t>LIMOEIRO PRA TODOS [Movimento Democrático Brasileiro - MDB, PROGRESSISTAS - PP, Partido Democrático Trabalhista - PDT, Partido Liberal - PL] - LIMOEIRO - PE</t>
  </si>
  <si>
    <t>ISAAC MANACÉS DE ALBUQUERQUE</t>
  </si>
  <si>
    <t>ISAAC MANACES DE ALBUQUERQUE</t>
  </si>
  <si>
    <t>ISAAC DO ÔNIBUS</t>
  </si>
  <si>
    <t>Federação PSOL REDE (PSOL/REDE) - LIMOEIRO - PE</t>
  </si>
  <si>
    <t>TACAIMBÓ</t>
  </si>
  <si>
    <t>JOELDA LIMA DA SILVA PEREIRA</t>
  </si>
  <si>
    <t>luizcavalcante185@gmail.com</t>
  </si>
  <si>
    <t>JOELDA PEREIRA</t>
  </si>
  <si>
    <t>POR UM FUTURO MELHOR</t>
  </si>
  <si>
    <t>POR UM FUTURO MELHOR [Federação PSDB CIDADANIA (PSDB/CIDADANIA), Podemos - PODE, União Brasil - UNIÃO] - TACAIMBÓ - PE</t>
  </si>
  <si>
    <t>MACAPARANA</t>
  </si>
  <si>
    <t>ADAIAS LUCENA DOS SANTOS</t>
  </si>
  <si>
    <t>DR ADAIAS</t>
  </si>
  <si>
    <t>Federação BRASIL DA ESPERANÇA - FE BRASIL (PT/PC do B/PV) - MACAPARANA - PE</t>
  </si>
  <si>
    <t>JOSE IVALDO BRANDÃO DE MORAIS</t>
  </si>
  <si>
    <t>JOSE IVALDO BRANDAO DE MORAIS</t>
  </si>
  <si>
    <t>ZÉ IVALDO</t>
  </si>
  <si>
    <t>Partido Liberal - PL - MACAPARANA - PE</t>
  </si>
  <si>
    <t>ERIVALDO RODRIGUES AMORIM</t>
  </si>
  <si>
    <t>ERIVALDO CHAGAS</t>
  </si>
  <si>
    <t>Lajedo pra frente</t>
  </si>
  <si>
    <t>Lajedo pra frente [Federação PSDB CIDADANIA (PSDB/CIDADANIA), PROGRESSISTAS - PP, REPUBLICANOS - REPUBLICANOS, União Brasil - UNIÃO] - LAJEDO - PE</t>
  </si>
  <si>
    <t>PEDRO DE MORAIS VIEIRA</t>
  </si>
  <si>
    <t>AGORA É A VEZ DO POVO</t>
  </si>
  <si>
    <t>AGORA É A VEZ DO POVO [Partido Socialista Brasileiro - PSB, Podemos - PODE] - MACAPARANA - PE</t>
  </si>
  <si>
    <t>VLADIMIR DE FIGUEIREDO RAMOS</t>
  </si>
  <si>
    <t>VLADIMIR</t>
  </si>
  <si>
    <t>Partido Renovação Democrática - PRD - MACAPARANA - PE</t>
  </si>
  <si>
    <t>MACHADOS</t>
  </si>
  <si>
    <t>ARGEMIRO CAVALCANTI PIMENTEL</t>
  </si>
  <si>
    <t>ARGEMIRO PIMENTEL</t>
  </si>
  <si>
    <t>COM DEUS E O POVO, MACHADOS VOLTARÁ A CRESCER DE NOVO</t>
  </si>
  <si>
    <t>COM DEUS E O POVO, MACHADOS VOLTARÁ A CRESCER DE NOVO [REPUBLICANOS - REPUBLICANOS, União Brasil - UNIÃO] - MACHADOS - PE</t>
  </si>
  <si>
    <t>ORLANDO JORGE PEREIRA DE ANDRADE LIMA</t>
  </si>
  <si>
    <t>ORLANDO JORGE</t>
  </si>
  <si>
    <t>O MELHOR PARA LIMOEIRO</t>
  </si>
  <si>
    <t>O MELHOR PARA LIMOEIRO [AGIR - AGIR, AVANTE - AVANTE, Federação BRASIL DA ESPERANÇA - FE BRASIL (PT/PC do B/PV), Federação PSDB CIDADANIA (PSDB/CIDADANIA), Partido Social Democrático - PSD, Partido Socialista Brasileiro - PSB, Podemos - PODE, REPUBLICANOS - REPUBLICANOS, União Brasil - UNIÃO] - LIMOEIRO - PE</t>
  </si>
  <si>
    <t>MARCIO GUSTAVO PLÁCIDO DE ANDRADE SILVA</t>
  </si>
  <si>
    <t>MARCIO GUSTAVO PLACIDO DE ANDRADE SILVA</t>
  </si>
  <si>
    <t>GUSTAVO PLÁCIDO</t>
  </si>
  <si>
    <t>A MUDANÇA QUE  QUEREMOS</t>
  </si>
  <si>
    <t>A MUDANÇA QUE  QUEREMOS [Federação BRASIL DA ESPERANÇA - FE BRASIL (PT/PC do B/PV), PROGRESSISTAS - PP] - MACHADOS - PE</t>
  </si>
  <si>
    <t>PAULO BARBOSA DA SILVA</t>
  </si>
  <si>
    <t>PAQUINHA</t>
  </si>
  <si>
    <t>MACAPARANA EM BOAS MAOS</t>
  </si>
  <si>
    <t>MACAPARANA EM BOAS MAOS [Federação PSDB CIDADANIA (PSDB/CIDADANIA), PROGRESSISTAS - PP] - MACAPARANA - PE</t>
  </si>
  <si>
    <t>MANARI</t>
  </si>
  <si>
    <t>JOSÉ AUGUSTO DE OLIVEIRA</t>
  </si>
  <si>
    <t>JOSE AUGUSTO DE OLIVEIRA</t>
  </si>
  <si>
    <t>AUGUSTO DE CIDO</t>
  </si>
  <si>
    <t>UNIDOS PELA MUDANÇA</t>
  </si>
  <si>
    <t>UNIDOS PELA MUDANÇA [Federação BRASIL DA ESPERANÇA - FE BRASIL (PT/PC do B/PV), REPUBLICANOS - REPUBLICANOS] - MANARI - PE</t>
  </si>
  <si>
    <t>JURANDIR DE ARAÚJO OLIVEIRA</t>
  </si>
  <si>
    <t>JURANDIR DE ARAUJO OLIVEIRA</t>
  </si>
  <si>
    <t>JURANDIR ARAÚJO</t>
  </si>
  <si>
    <t>Movimento Democrático Brasileiro - MDB - MANARI - PE</t>
  </si>
  <si>
    <t>MARAIAL</t>
  </si>
  <si>
    <t>DIOGO JOSE ANDRADE ROMÃO</t>
  </si>
  <si>
    <t>DIOGO JOSE ANDRADE ROMAO</t>
  </si>
  <si>
    <t>DIOGO ANDRADE</t>
  </si>
  <si>
    <t>MARAIAL DA ESPERANÇA</t>
  </si>
  <si>
    <t>MARAIAL DA ESPERANÇA [Federação BRASIL DA ESPERANÇA - FE BRASIL (PT/PC do B/PV), Partido Socialista Brasileiro - PSB] - MARAIAL - PE</t>
  </si>
  <si>
    <t>JUAREZ RODRIGUES FERNANDES</t>
  </si>
  <si>
    <t>JUAREZ DA BANANA</t>
  </si>
  <si>
    <t>FRENTE POPULAR DE MACHADOS - PSB E PL</t>
  </si>
  <si>
    <t>FRENTE POPULAR DE MACHADOS - PSB E PL [Partido Liberal - PL, Partido Socialista Brasileiro - PSB] - MACHADOS - PE</t>
  </si>
  <si>
    <t>MIRANDIBA</t>
  </si>
  <si>
    <t>CLAUDYNADSON GOMES DA CRUZ</t>
  </si>
  <si>
    <t>NATINHO DO SINDICATO</t>
  </si>
  <si>
    <t>MIRANDIBA: UMA NOVA HISTÓRIA, UM NOVO TEMPO</t>
  </si>
  <si>
    <t>MIRANDIBA: UMA NOVA HISTÓRIA, UM NOVO TEMPO" [Federação BRASIL DA ESPERANÇA - FE BRASIL (PT/PC do B/PV), Movimento Democrático Brasileiro - MDB, REPUBLICANOS - REPUBLICANOS] - MIRANDIBA - PE</t>
  </si>
  <si>
    <t>AUDALIO MARTINS DA SILVA JUNIOR</t>
  </si>
  <si>
    <t>JUNIOR DE AUDALIO</t>
  </si>
  <si>
    <t>MANARI SEGUE EM FRENTE</t>
  </si>
  <si>
    <t>MANARI SEGUE EM FRENTE [Federação PSDB CIDADANIA (PSDB/CIDADANIA), PROGRESSISTAS - PP] - MANARI - PE</t>
  </si>
  <si>
    <t>MOREILÂNDIA</t>
  </si>
  <si>
    <t>CIDENI ALVES LOPES DE SOUSA</t>
  </si>
  <si>
    <t>CIDENI MARINHEIRO</t>
  </si>
  <si>
    <t>TRABALHO, DIGNIDADE E ESPERANÇA</t>
  </si>
  <si>
    <t>TRABALHO, DIGNIDADE E ESPERANÇA [Partido Socialista Brasileiro - PSB, Solidariedade - SOLIDARIEDADE] - MOREILÂNDIA - PE</t>
  </si>
  <si>
    <t>JONATH RODRIGUES DE QUEIROZ</t>
  </si>
  <si>
    <t>JONATA RODRIGUES</t>
  </si>
  <si>
    <t>POR UMA MOREILÂNDIA MELHOR</t>
  </si>
  <si>
    <t>POR UMA MOREILÂNDIA MELHOR [AVANTE - AVANTE, Partido Liberal - PL] - MOREILÂNDIA - PE</t>
  </si>
  <si>
    <t>MARLOS HENRIQUE CAVALCANTI</t>
  </si>
  <si>
    <t>MARLOS HENRIQUE</t>
  </si>
  <si>
    <t>Unidos Por Maraial</t>
  </si>
  <si>
    <t>Unidos Por Maraial [Federação PSDB CIDADANIA (PSDB/CIDADANIA), Movimento Democrático Brasileiro - MDB, Partido Social Democrático - PSD] - MARAIAL - PE</t>
  </si>
  <si>
    <t>MORENO</t>
  </si>
  <si>
    <t>ANA LÚCIA DE ARAÚJO</t>
  </si>
  <si>
    <t>ANA LUCIA DE ARAUJO</t>
  </si>
  <si>
    <t>ANINHA ARAÚJO</t>
  </si>
  <si>
    <t>FRENTE POPULAR MORENO PODE MAIS</t>
  </si>
  <si>
    <t>FRENTE POPULAR MORENO PODE MAIS [Mobilização Nacional - MOBILIZA, Partido Socialista Brasileiro - PSB, Solidariedade - SOLIDARIEDADE] - MORENO - PE</t>
  </si>
  <si>
    <t>EVALDO BEZERRA DE CARVALHO</t>
  </si>
  <si>
    <t>DR EVALDO</t>
  </si>
  <si>
    <t>Por Amor a Mirandiba</t>
  </si>
  <si>
    <t>Por Amor a Mirandiba [Partido Socialista Brasileiro - PSB, União Brasil - UNIÃO] - MIRANDIBA - PE</t>
  </si>
  <si>
    <t>HEITOR LUCAS ARAUJO DA COSTA</t>
  </si>
  <si>
    <t>HEITOR DE ENOQUE</t>
  </si>
  <si>
    <t>A HORA É AGORA</t>
  </si>
  <si>
    <t>A HORA É AGORA [Movimento Democrático Brasileiro - MDB, Partido Liberal - PL, Partido Renovação Democrática - PRD, Partido Social Democrático - PSD] - MORENO - PE</t>
  </si>
  <si>
    <t>AGENTE ADMINISTRATIVO</t>
  </si>
  <si>
    <t>VICENTE TEIXEIRA SAMPAIO NETO</t>
  </si>
  <si>
    <t>TETO TEIXEIRA</t>
  </si>
  <si>
    <t>MOREILÂNDIA SEGUE AVANÇANDO</t>
  </si>
  <si>
    <t>MOREILÂNDIA SEGUE AVANÇANDO [Federação PSDB CIDADANIA (PSDB/CIDADANIA), REPUBLICANOS - REPUBLICANOS] - MOREILÂNDIA - PE</t>
  </si>
  <si>
    <t>NAZARÉ DA MATA</t>
  </si>
  <si>
    <t>HENRIQUE SEVERIANO DE BRITTO AZEDO</t>
  </si>
  <si>
    <t>KIKO</t>
  </si>
  <si>
    <t>JUNTOS PELA VERDADEIRA MUDANÇA</t>
  </si>
  <si>
    <t>JUNTOS PELA VERDADEIRA MUDANÇA [Mobilização Nacional - MOBILIZA, PROGRESSISTAS - PP, Partido Liberal - PL, União Brasil - UNIÃO] - NAZARÉ DA MATA - PE</t>
  </si>
  <si>
    <t>POLICIAL CIVIL</t>
  </si>
  <si>
    <t>JOSE PEREIRA DA SILVA FILHO</t>
  </si>
  <si>
    <t>PEREIRA DO SINDICATO</t>
  </si>
  <si>
    <t>FRENTE POPULAR DE NAZARE DA MATA</t>
  </si>
  <si>
    <t>FRENTE POPULAR DE NAZARE DA MATA [Federação BRASIL DA ESPERANÇA - FE BRASIL (PT/PC do B/PV), Partido Socialista Brasileiro - PSB, REPUBLICANOS - REPUBLICANOS, Solidariedade - SOLIDARIEDADE] - NAZARÉ DA MATA - PE</t>
  </si>
  <si>
    <t>OLINDA</t>
  </si>
  <si>
    <t>ANTÔNIO RICARDO ACCIOLY CAMPOS</t>
  </si>
  <si>
    <t>ANTONIO RICARDO ACCIOLY CAMPOS</t>
  </si>
  <si>
    <t>ANTÔNIO CAMPOS</t>
  </si>
  <si>
    <t>PRTB</t>
  </si>
  <si>
    <t>PARTIDO RENOVADOR TRABALHISTA BRASILEIRO</t>
  </si>
  <si>
    <t>MUDA OLINDA COM INOVAÇÃO</t>
  </si>
  <si>
    <t>MUDA OLINDA COM INOVAÇÃO [Partido Renovador Trabalhista Brasileiro - PRTB, Partido Renovação Democrática - PRD] - OLINDA - PE</t>
  </si>
  <si>
    <t>CLÉCIO BASÍLIO DA SILVA</t>
  </si>
  <si>
    <t>CLECIO BASILIO DA SILVA</t>
  </si>
  <si>
    <t>CLÉCIO BASÍLIO</t>
  </si>
  <si>
    <t>PCO</t>
  </si>
  <si>
    <t>PARTIDO DA CAUSA OPERÁRIA</t>
  </si>
  <si>
    <t>Partido da Causa Operária - PCO - OLINDA - PE</t>
  </si>
  <si>
    <t>CARPINTEIRO, MARCENEIRO E ASSEMELHADOS</t>
  </si>
  <si>
    <t>IZABEL URQUIZA GODOI ALMEIDA</t>
  </si>
  <si>
    <t>IZABEL URQUIZA DE OLINDA</t>
  </si>
  <si>
    <t>MUDAR OLINDA</t>
  </si>
  <si>
    <t>MUDAR OLINDA [Democracia Cristã - DC, Mobilização Nacional - MOBILIZA, Partido Liberal - PL, Partido Novo - NOVO] - OLINDA - PE</t>
  </si>
  <si>
    <t>MÁRCIO ANTONY DOMINGOS BOTELHO</t>
  </si>
  <si>
    <t>MARCIO ANTONY DOMINGOS BOTELHO</t>
  </si>
  <si>
    <t>MÁRCIO BOTELHO</t>
  </si>
  <si>
    <t>PROGRESSISTAS - PP - OLINDA - PE</t>
  </si>
  <si>
    <t>EDMILSON CUPERTINO DE ALMEIDA</t>
  </si>
  <si>
    <t>EDMILSON CUPERTINO</t>
  </si>
  <si>
    <t>FRENTE PROGRESSISTA POR AMOR A MORENO</t>
  </si>
  <si>
    <t>FRENTE PROGRESSISTA POR AMOR A MORENO [Federação BRASIL DA ESPERANÇA - FE BRASIL (PT/PC do B/PV), Federação PSDB CIDADANIA (PSDB/CIDADANIA), PROGRESSISTAS - PP, Podemos - PODE, REPUBLICANOS - REPUBLICANOS] - MORENO - PE</t>
  </si>
  <si>
    <t>VINICIUS NASCIMENTO DOS SANTOS</t>
  </si>
  <si>
    <t>VINICIUS CASTELLO</t>
  </si>
  <si>
    <t>FRENTE POPULAR DE OLINDA</t>
  </si>
  <si>
    <t>FRENTE POPULAR DE OLINDA [Federação BRASIL DA ESPERANÇA - FE BRASIL (PT/PC do B/PV), Federação PSOL REDE (PSOL/REDE), Partido Socialista Brasileiro - PSB] - OLINDA - PE</t>
  </si>
  <si>
    <t>OROBÓ</t>
  </si>
  <si>
    <t>JOSÉ THOMAS BARBOSA DA SILVA BRITO</t>
  </si>
  <si>
    <t>JOSE THOMAS BARBOSA DA SILVA BRITO</t>
  </si>
  <si>
    <t>THOMAS BRITO</t>
  </si>
  <si>
    <t>UNIDOS PARA MUDAR E LIBERTAR OROBO</t>
  </si>
  <si>
    <t>UNIDOS PARA MUDAR E LIBERTAR OROBO [AVANTE - AVANTE, Federação BRASIL DA ESPERANÇA - FE BRASIL (PT/PC do B/PV), Movimento Democrático Brasileiro - MDB, Partido Socialista Brasileiro - PSB, Podemos - PODE] - OROBÓ - PE</t>
  </si>
  <si>
    <t>MARCIA ROBERTA BARRETO</t>
  </si>
  <si>
    <t>MARCIA BARRETO</t>
  </si>
  <si>
    <t>União por Joaquim Nabuco</t>
  </si>
  <si>
    <t>Federação PSDB CIDADANIA(PSDB/CIDADANIA) / REPUBLICANOS / PSD</t>
  </si>
  <si>
    <t>MIRELLA FERNANDA BEZERRA DE ALMEIDA</t>
  </si>
  <si>
    <t>MIRELLA</t>
  </si>
  <si>
    <t>A ESPERANÇA SE RENOVA</t>
  </si>
  <si>
    <t>A ESPERANÇA SE RENOVA [AGIR - AGIR, AVANTE - AVANTE, Federação PSDB CIDADANIA (PSDB/CIDADANIA), Movimento Democrático Brasileiro - MDB, Partido Democrático Trabalhista - PDT, Partido Social Democrático - PSD, Partido da Mulher Brasileira - PMB, Podemos - PODE, REPUBLICANOS - REPUBLICANOS, Solidariedade - SOLIDARIEDADE, União Brasil - UNIÃO] - OLINDA - PE</t>
  </si>
  <si>
    <t>OROCÓ</t>
  </si>
  <si>
    <t>REGINALDO CRATEU CAVALCANTE</t>
  </si>
  <si>
    <t>DEDI</t>
  </si>
  <si>
    <t>A FORÇA DA EXPERIÊNCIA</t>
  </si>
  <si>
    <t>A FORÇA DA EXPERIÊNCIA [AVANTE - AVANTE, Federação BRASIL DA ESPERANÇA - FE BRASIL (PT/PC do B/PV), Movimento Democrático Brasileiro - MDB, Partido Democrático Trabalhista - PDT, Solidariedade - SOLIDARIEDADE] - OROCÓ - PE</t>
  </si>
  <si>
    <t>SEVERINO LUIZ PEREIRA DE ABREU</t>
  </si>
  <si>
    <t>BIU ABREU</t>
  </si>
  <si>
    <t>OROBÓ ESTÁ EM BOAS MÃOS</t>
  </si>
  <si>
    <t>OROBÓ ESTÁ EM BOAS MÃOS [Federação PSDB CIDADANIA (PSDB/CIDADANIA), União Brasil - UNIÃO] - OROBÓ - PE</t>
  </si>
  <si>
    <t>OURICURI</t>
  </si>
  <si>
    <t>JOSÉ MIGUEL NETO</t>
  </si>
  <si>
    <t>JOSE MIGUEL NETO</t>
  </si>
  <si>
    <t>ZÉ MIGUEL</t>
  </si>
  <si>
    <t>Partido Comunista Brasileiro - PCB - OURICURI - PE</t>
  </si>
  <si>
    <t>JOSEMI PEREIRA PAZ</t>
  </si>
  <si>
    <t>PEDRO DO PIPA</t>
  </si>
  <si>
    <t>Partido Democrático Trabalhista - PDT - OURICURI - PE</t>
  </si>
  <si>
    <t>RAIMUNDO COELHO LIMA NETO</t>
  </si>
  <si>
    <t>RAIMUNDO DE BIBI</t>
  </si>
  <si>
    <t>A MUDANÇA DE VERDADE VEM COM O NOVO</t>
  </si>
  <si>
    <t>A MUDANÇA DE VERDADE VEM COM O NOVO [Federação PSDB CIDADANIA (PSDB/CIDADANIA), Movimento Democrático Brasileiro - MDB, Partido Liberal - PL, União Brasil - UNIÃO] - OURICURI - PE</t>
  </si>
  <si>
    <t>PALMARES</t>
  </si>
  <si>
    <t>ANTÔNIO DE CASTRO LIRA</t>
  </si>
  <si>
    <t>ANTONIO DE CASTRO LIRA</t>
  </si>
  <si>
    <t>CASTRO</t>
  </si>
  <si>
    <t>Federação PSOL REDE (PSOL/REDE) - PALMARES - PE</t>
  </si>
  <si>
    <t>EUDO DE MAGALHAES DE LYRA JUNIOR</t>
  </si>
  <si>
    <t>EUDO MAGALHÃES</t>
  </si>
  <si>
    <t>PALMARES PODE MUITO MAIS</t>
  </si>
  <si>
    <t>PALMARES PODE MUITO MAIS [AVANTE - AVANTE, Partido Socialista Brasileiro - PSB, Podemos - PODE, REPUBLICANOS - REPUBLICANOS] - PALMARES - PE</t>
  </si>
  <si>
    <t>ISMAEL FERNANDES BIONE LIRA</t>
  </si>
  <si>
    <t>2024orocope@gmail.com</t>
  </si>
  <si>
    <t>ISMAEL LIRA</t>
  </si>
  <si>
    <t>MUDANÇA DE VERDADE COM RESPEITO E UNIÃO</t>
  </si>
  <si>
    <t>MUDANÇA DE VERDADE COM RESPEITO E UNIÃO [Federação PSDB CIDADANIA (PSDB/CIDADANIA), Partido Liberal - PL, Partido Social Democrático - PSD, Partido Socialista Brasileiro - PSB] - OROCÓ - PE</t>
  </si>
  <si>
    <t>JOSEMIR MUNIZ BARRETO</t>
  </si>
  <si>
    <t>JOSEMIR</t>
  </si>
  <si>
    <t>Federação PSDB CIDADANIA (PSDB/CIDADANIA) - PALMEIRINA - PE</t>
  </si>
  <si>
    <t>SEVERINO EUDSON CATÃO FERREIRA</t>
  </si>
  <si>
    <t>SEVERINO EUDSON CATAO FERREIRA</t>
  </si>
  <si>
    <t>EUDSON CATAO</t>
  </si>
  <si>
    <t>UNIR PARA RECONSTRUIR [Federação BRASIL DA ESPERANÇA - FE BRASIL (PT/PC do B/PV), Partido Socialista Brasileiro - PSB, REPUBLICANOS - REPUBLICANOS] - PALMEIRINA - PE</t>
  </si>
  <si>
    <t>FRANCISCO VICTOR RAMOS COELHO</t>
  </si>
  <si>
    <t>vceleicoes2024@gmail.com</t>
  </si>
  <si>
    <t>VICTOR COELHO</t>
  </si>
  <si>
    <t>RECONSTRUINDO OURICURI</t>
  </si>
  <si>
    <t>RECONSTRUINDO OURICURI [AVANTE - AVANTE, Federação BRASIL DA ESPERANÇA - FE BRASIL (PT/PC do B/PV), PROGRESSISTAS - PP, Partido Socialista Brasileiro - PSB, Podemos - PODE, REPUBLICANOS - REPUBLICANOS] - OURICURI - PE</t>
  </si>
  <si>
    <t>JOSÉ BARTOLOMEU DE ALMEIDA MELO JUNIOR</t>
  </si>
  <si>
    <t>JOSE BARTOLOMEU DE ALMEIDA MELO JUNIOR</t>
  </si>
  <si>
    <t>JUNIOR DE BETO</t>
  </si>
  <si>
    <t>ORGULHO DE PALMARES</t>
  </si>
  <si>
    <t>ORGULHO DE PALMARES [Democracia Cristã - DC, Federação BRASIL DA ESPERANÇA - FE BRASIL (PT/PC do B/PV), Federação PSDB CIDADANIA (PSDB/CIDADANIA), Mobilização Nacional - MOBILIZA, PROGRESSISTAS - PP, Partido Social Democrático - PSD, União Brasil - UNIÃO] - PALMARES - PE</t>
  </si>
  <si>
    <t>ROSANGELA DE MOURA MANIÇOBA NOVAES FERRAZ</t>
  </si>
  <si>
    <t>ROSANGELA DE MOURA MANICOBA NOVAES FERRAZ</t>
  </si>
  <si>
    <t>RORRÓ MANIÇOBA</t>
  </si>
  <si>
    <t>NO CORAÇÃO DO POVO</t>
  </si>
  <si>
    <t>NO CORAÇÃO DO POVO [Federação PSDB CIDADANIA (PSDB/CIDADANIA), Federação PSOL REDE (PSOL/REDE), PROGRESSISTAS - PP] - FLORESTA - PE</t>
  </si>
  <si>
    <t>PARANATAMA</t>
  </si>
  <si>
    <t>LUCIANO PEREIRA DE BRITO</t>
  </si>
  <si>
    <t>LUCIANO BRITO</t>
  </si>
  <si>
    <t>MUDA PARANATAMA</t>
  </si>
  <si>
    <t>MUDA PARANATAMA [Federação PSDB CIDADANIA (PSDB/CIDADANIA), Partido Social Democrático - PSD, Partido Socialista Brasileiro - PSB, União Brasil - UNIÃO] - PARANATAMA - PE</t>
  </si>
  <si>
    <t>PARNAMIRIM</t>
  </si>
  <si>
    <t>FERDINANDO LIMA DE CARVALHO</t>
  </si>
  <si>
    <t>NININHO</t>
  </si>
  <si>
    <t>AVANÇA MAIS PARNAMIRIM</t>
  </si>
  <si>
    <t>AVANÇA MAIS PARNAMIRIM [Movimento Democrático Brasileiro - MDB, Partido Social Democrático - PSD] - PARNAMIRIM - PE</t>
  </si>
  <si>
    <t>PANELAS</t>
  </si>
  <si>
    <t>RUBEN DE LIMA BARBOSA</t>
  </si>
  <si>
    <t>RUBEN</t>
  </si>
  <si>
    <t>É DAQUI PRA MELHOR</t>
  </si>
  <si>
    <t>É DAQUI PRA MELHOR [Partido Socialista Brasileiro - PSB, REPUBLICANOS - REPUBLICANOS] - PANELAS - PE</t>
  </si>
  <si>
    <t>PASSIRA</t>
  </si>
  <si>
    <t>JOÃO BATISTA CRISTOVÃO DE LIMA</t>
  </si>
  <si>
    <t>JOAO BATISTA CRISTOVAO DE LIMA</t>
  </si>
  <si>
    <t>JOÃO CABEÇÃO</t>
  </si>
  <si>
    <t>Partido Democrático Trabalhista - PDT - PASSIRA - PE</t>
  </si>
  <si>
    <t>KARLA MAISA TORRES DA SILVA</t>
  </si>
  <si>
    <t>KARLA MAÍSA</t>
  </si>
  <si>
    <t>A MUDANÇA QUE PASSIRA PRECISA</t>
  </si>
  <si>
    <t>A MUDANÇA QUE PASSIRA PRECISA [PROGRESSISTAS - PP, Partido da Mulher Brasileira - PMB, Solidariedade - SOLIDARIEDADE, União Brasil - UNIÃO] - PASSIRA - PE</t>
  </si>
  <si>
    <t>HENRIQUE DE OLIVEIRA GOIS</t>
  </si>
  <si>
    <t>DR HENRIQUE GOIS</t>
  </si>
  <si>
    <t>UNIDOS POR PARANATAMA</t>
  </si>
  <si>
    <t>UNIDOS POR PARANATAMA [Federação BRASIL DA ESPERANÇA - FE BRASIL (PT/PC do B/PV), Movimento Democrático Brasileiro - MDB, PROGRESSISTAS - PP, REPUBLICANOS - REPUBLICANOS] - PARANATAMA - PE</t>
  </si>
  <si>
    <t>ANDRÉ NUNES VIANA</t>
  </si>
  <si>
    <t>ANDRE NUNES VIANA</t>
  </si>
  <si>
    <t>ANDRÉ VIANA</t>
  </si>
  <si>
    <t>POR AMOR A PAUDALHO</t>
  </si>
  <si>
    <t>POR AMOR A PAUDALHO [AGIR - AGIR, Mobilização Nacional - MOBILIZA, Partido Liberal - PL] - PAUDALHO - PE</t>
  </si>
  <si>
    <t>ANGELA DE FATIMA DE AGUIAR COUTINHO D ANGELO</t>
  </si>
  <si>
    <t>ANGELA COUTINHO</t>
  </si>
  <si>
    <t>União e Esperança, Viva a Liberdade!</t>
  </si>
  <si>
    <t>União e Esperança, Viva a Liberdade! [Federação BRASIL DA ESPERANÇA - FE BRASIL (PT/PC do B/PV), Movimento Democrático Brasileiro - MDB, Partido Socialista Brasileiro - PSB, Solidariedade - SOLIDARIEDADE, União Brasil - UNIÃO] - PAUDALHO - PE</t>
  </si>
  <si>
    <t>LUCELIO MUCIO MOURA ANGELIM</t>
  </si>
  <si>
    <t>parnamirimeleicoes2024@gmail.com</t>
  </si>
  <si>
    <t>MÚCIO ANGELIM</t>
  </si>
  <si>
    <t>COLIGAÇÃO MAJORITÁRIA PARNAMIRIM MERECE MAIS</t>
  </si>
  <si>
    <t>COLIGAÇÃO MAJORITÁRIA PARNAMIRIM MERECE MAIS [PROGRESSISTAS - PP, União Brasil - UNIÃO] - PARNAMIRIM - PE</t>
  </si>
  <si>
    <t>PAULISTA</t>
  </si>
  <si>
    <t>EDSON DE ARAUJO PINTO</t>
  </si>
  <si>
    <t>EDINHO FAZ</t>
  </si>
  <si>
    <t>Partido Liberal - PL - PAULISTA - PE</t>
  </si>
  <si>
    <t>FRANCISCO AFONSO PADILHA DE MELO</t>
  </si>
  <si>
    <t>FRANCISCO PADILHA</t>
  </si>
  <si>
    <t>A MUDANÇA QUE PAULISTA QUER</t>
  </si>
  <si>
    <t>A MUDANÇA QUE PAULISTA QUER [Federação BRASIL DA ESPERANÇA - FE BRASIL (PT/PC do B/PV), Partido Democrático Trabalhista - PDT] - PAULISTA - PE</t>
  </si>
  <si>
    <t>GILBERTO GONÇALVES FEITOSA JÚNIOR</t>
  </si>
  <si>
    <t>GILBERTO GONCALVES FEITOSA JUNIOR</t>
  </si>
  <si>
    <t>JUNIOR MATUTO</t>
  </si>
  <si>
    <t>FRENTE DE MOBILIZAÇÃO E RESGATE DO PAULISTA</t>
  </si>
  <si>
    <t>FRENTE DE MOBILIZAÇÃO E RESGATE DO PAULISTA [AGIR - AGIR, AVANTE - AVANTE, Democracia Cristã - DC, Federação PSOL REDE (PSOL/REDE), Partido Socialista Brasileiro - PSB, Partido da Mulher Brasileira - PMB, REPUBLICANOS - REPUBLICANOS, União Brasil - UNIÃO] - PAULISTA - PE</t>
  </si>
  <si>
    <t>JOSÉ INÁCIO CASSIANO DE SOUZA</t>
  </si>
  <si>
    <t>JOSE INACIO CASSIANO DE SOUZA</t>
  </si>
  <si>
    <t>SOUZA VIGILANTE</t>
  </si>
  <si>
    <t>Mobilização Nacional - MOBILIZA - PAULISTA - PE</t>
  </si>
  <si>
    <t>VIGILANTE</t>
  </si>
  <si>
    <t>LÍVIA MARIA ÁLVARO</t>
  </si>
  <si>
    <t>LIVIA MARIA ALVARO</t>
  </si>
  <si>
    <t>LÍVIA ÁLVARO</t>
  </si>
  <si>
    <t>PROGRESSISTAS - PP - PAULISTA - PE</t>
  </si>
  <si>
    <t>MAURÍLIO JOSÉ FEITOSA SOBRAL</t>
  </si>
  <si>
    <t>MAURILIO JOSE FEITOSA SOBRAL</t>
  </si>
  <si>
    <t>MAURÍLIO FEITOSA O NOVO</t>
  </si>
  <si>
    <t>Partido Renovador Trabalhista Brasileiro - PRTB - PAULISTA - PE</t>
  </si>
  <si>
    <t>SEVERINO SILVESTRE DE ALBUQUERQUE</t>
  </si>
  <si>
    <t>SILVESTRE</t>
  </si>
  <si>
    <t>UNIDOS POR PASSIRA</t>
  </si>
  <si>
    <t>UNIDOS POR PASSIRA [AVANTE - AVANTE, Federação BRASIL DA ESPERANÇA - FE BRASIL (PT/PC do B/PV), Partido Social Democrático - PSD, Partido Socialista Brasileiro - PSB, REPUBLICANOS - REPUBLICANOS] - PASSIRA - PE</t>
  </si>
  <si>
    <t>PEDRA</t>
  </si>
  <si>
    <t>FRANCISCO CARLOS BRAZ MACEDO</t>
  </si>
  <si>
    <t>FRANCISCO BRAZ</t>
  </si>
  <si>
    <t>FRENTE DE OPOSIÇÃO A ESPERANÇA ESTÁ DE VOLTA</t>
  </si>
  <si>
    <t>FRENTE DE OPOSIÇÃO A ESPERANÇA ESTÁ DE VOLTA [AVANTE - AVANTE, Partido Socialista Brasileiro - PSB] - PEDRA - PE</t>
  </si>
  <si>
    <t>VETERINÁRIO</t>
  </si>
  <si>
    <t>MARIA RIVA BEZERRA RODRIGUES</t>
  </si>
  <si>
    <t>ricardouriasnovais@yahoo.com</t>
  </si>
  <si>
    <t>RIVA BEZERRA</t>
  </si>
  <si>
    <t>CEDRO PRA FRENTE</t>
  </si>
  <si>
    <t>CEDRO PRA FRENTE [Partido Social Democrático - PSD, REPUBLICANOS - REPUBLICANOS] - CEDRO - PE</t>
  </si>
  <si>
    <t>SEBASTIÃO ALMEIDA DE LIRA</t>
  </si>
  <si>
    <t>SEBASTIAO ALMEIDA DE LIRA</t>
  </si>
  <si>
    <t>SEBASTIÃO DE QUINO</t>
  </si>
  <si>
    <t>AGIR - AGIR - PEDRA - PE</t>
  </si>
  <si>
    <t>SEVERINO RAMOS DE SANTANA</t>
  </si>
  <si>
    <t>RAMOS</t>
  </si>
  <si>
    <t>A FORCA DA MUDANCA</t>
  </si>
  <si>
    <t>A FORCA DA MUDANCA [Federação PSDB CIDADANIA (PSDB/CIDADANIA), Movimento Democrático Brasileiro - MDB, Partido Novo - NOVO, Partido Renovação Democrática - PRD, Partido Social Democrático - PSD, Podemos - PODE] - PAULISTA - PE</t>
  </si>
  <si>
    <t>PESQUEIRA</t>
  </si>
  <si>
    <t>ROSSINE BLESMANY DOS SANTOS CORDEIRO</t>
  </si>
  <si>
    <t>ROSSINE</t>
  </si>
  <si>
    <t>POR AMOR A PESQUEIRA</t>
  </si>
  <si>
    <t>POR AMOR A PESQUEIRA [Federação PSDB CIDADANIA (PSDB/CIDADANIA), Movimento Democrático Brasileiro - MDB, Partido Liberal - PL, Partido Social Democrático - PSD, Podemos - PODE, Solidariedade - SOLIDARIEDADE, União Brasil - UNIÃO] - PESQUEIRA - PE</t>
  </si>
  <si>
    <t>SERVIDOR PÚBLICO CIVIL APOSENTADO</t>
  </si>
  <si>
    <t>GILBERTO JÚNIOR WANDERLEY VAZ</t>
  </si>
  <si>
    <t>GILBERTO JUNIOR WANDERLEY VAZ</t>
  </si>
  <si>
    <t>JÚNIOR VAZ</t>
  </si>
  <si>
    <t>FRENTE POPULAR DA PEDRA</t>
  </si>
  <si>
    <t>FRENTE POPULAR DA PEDRA [Federação BRASIL DA ESPERANÇA - FE BRASIL (PT/PC do B/PV), Partido Social Democrático - PSD, REPUBLICANOS - REPUBLICANOS] - PEDRA - PE</t>
  </si>
  <si>
    <t>PETROLÂNDIA</t>
  </si>
  <si>
    <t>SAID OLIVEIRA DE SOUSA</t>
  </si>
  <si>
    <t>SAID SOUSA</t>
  </si>
  <si>
    <t>Partido Liberal - PL - PETROLÂNDIA - PE</t>
  </si>
  <si>
    <t>PETROLINA</t>
  </si>
  <si>
    <t>JULIO EMILIO LOSSIO DE MACEDO</t>
  </si>
  <si>
    <t>DR. JULIO</t>
  </si>
  <si>
    <t>PRA CUIDAR MELHOR DE TODOS</t>
  </si>
  <si>
    <t>PRA CUIDAR MELHOR DE TODOS [Federação PSDB CIDADANIA (PSDB/CIDADANIA), Mobilização Nacional - MOBILIZA, Movimento Democrático Brasileiro - MDB, PROGRESSISTAS - PP, Partido Social Democrático - PSD] - PETROLINA - PE</t>
  </si>
  <si>
    <t>LARA RIBEIRO CAVALCANTI DE ALMEIDA</t>
  </si>
  <si>
    <t>LARA CAVALCANTI</t>
  </si>
  <si>
    <t>Partido Liberal - PL - PETROLINA - PE</t>
  </si>
  <si>
    <t>MARCOS HERIDIJANO MOURA BEZERRA</t>
  </si>
  <si>
    <t>DR MARCOS</t>
  </si>
  <si>
    <t>AGIR - AGIR - PETROLINA - PE</t>
  </si>
  <si>
    <t>MARIA CLARA SANTOS ROCHA</t>
  </si>
  <si>
    <t>MARIA CLARA</t>
  </si>
  <si>
    <t>Unidade Popular - UP - PETROLINA - PE</t>
  </si>
  <si>
    <t>ODACY AMORIM DE SOUZA</t>
  </si>
  <si>
    <t>ODACY AMORIM</t>
  </si>
  <si>
    <t>Petrolina da Esperança</t>
  </si>
  <si>
    <t>Petrolina da Esperança [Federação BRASIL DA ESPERANÇA - FE BRASIL (PT/PC do B/PV), Federação PSOL REDE (PSOL/REDE)] - PETROLINA - PE</t>
  </si>
  <si>
    <t>PRODUTOR AGROPECUÁRIO</t>
  </si>
  <si>
    <t>MARCOS LUIDSON DE ARAÚJO</t>
  </si>
  <si>
    <t>MARCOS LUIDSON DE ARAUJO</t>
  </si>
  <si>
    <t>CACIQUE MARCOS</t>
  </si>
  <si>
    <t>COMPROMISSO COM O FUTURO [AGIR - AGIR, AVANTE - AVANTE, Federação BRASIL DA ESPERANÇA - FE BRASIL (PT/PC do B/PV), PROGRESSISTAS - PP, Partido Democrático Trabalhista - PDT, Partido Renovação Democrática - PRD, Partido Socialista Brasileiro - PSB, Partido da Mulher Brasileira - PMB, REPUBLICANOS - REPUBLICANOS] - PESQUEIRA - PE</t>
  </si>
  <si>
    <t>FABIANO JAQUES MARQUES</t>
  </si>
  <si>
    <t>FABIANO MARQUES</t>
  </si>
  <si>
    <t>PETROLANDIA É DAQUI PARA MELHOR</t>
  </si>
  <si>
    <t>PETROLANDIA É DAQUI PARA MELHOR [Federação BRASIL DA ESPERANÇA - FE BRASIL (PT/PC do B/PV), Partido Social Democrático - PSD, Partido Socialista Brasileiro - PSB, Partido da Mulher Brasileira - PMB, REPUBLICANOS - REPUBLICANOS] - PETROLÂNDIA - PE</t>
  </si>
  <si>
    <t>POÇÃO</t>
  </si>
  <si>
    <t>WRIDES MENDES PAZ</t>
  </si>
  <si>
    <t>WRIDES MENDES</t>
  </si>
  <si>
    <t>Partido Socialista Brasileiro - PSB - POÇÃO - PE</t>
  </si>
  <si>
    <t>SIMÃO AMORIM DURANDO FILHO</t>
  </si>
  <si>
    <t>SIMAO AMORIM DURANDO FILHO</t>
  </si>
  <si>
    <t>SIMÃO DURANDO</t>
  </si>
  <si>
    <t>PETROLINA SEGUINDO EM FRENTE</t>
  </si>
  <si>
    <t>PETROLINA SEGUINDO EM FRENTE [AVANTE - AVANTE, Democracia Cristã - DC, PROGRESSISTAS - PP, Partido Democrático Trabalhista - PDT, Partido Renovação Democrática - PRD, Partido Socialista Brasileiro - PSB, Podemos - PODE, REPUBLICANOS - REPUBLICANOS, Solidariedade - SOLIDARIEDADE, União Brasil - UNIÃO] - PETROLINA - PE</t>
  </si>
  <si>
    <t>POMBOS</t>
  </si>
  <si>
    <t>HONORIO ALVES DE FREITAS</t>
  </si>
  <si>
    <t>HONORIO ALVES</t>
  </si>
  <si>
    <t>Federação BRASIL DA ESPERANÇA - FE BRASIL (PT/PC do B/PV) - POMBOS - PE</t>
  </si>
  <si>
    <t>ROGÉRIO INALDO DA SILVA BORGES</t>
  </si>
  <si>
    <t>ROGERIO INALDO DA SILVA BORGES</t>
  </si>
  <si>
    <t>ROGÉRIO BORGES</t>
  </si>
  <si>
    <t>FÉ NA NOSSA GENTE</t>
  </si>
  <si>
    <t>FÉ NA NOSSA GENTE [AVANTE - AVANTE, PROGRESSISTAS - PP, Solidariedade - SOLIDARIEDADE] - POMBOS - PE</t>
  </si>
  <si>
    <t>SÉRGIO ROMERO GLASER QUERALVARES</t>
  </si>
  <si>
    <t>SERGIO ROMERO GLASER QUERALVARES</t>
  </si>
  <si>
    <t>ROMERO QUERALVARES</t>
  </si>
  <si>
    <t>REPUBLICANOS - REPUBLICANOS - POMBOS - PE</t>
  </si>
  <si>
    <t>JOAO GUILHERME VASCONCELOS DE SOUSA</t>
  </si>
  <si>
    <t>GUILHERME VASCONCELOS</t>
  </si>
  <si>
    <t>JUNTOS POR POÇÃO</t>
  </si>
  <si>
    <t>JUNTOS POR POÇÃO [Movimento Democrático Brasileiro - MDB, PROGRESSISTAS - PP] - POÇÃO - PE</t>
  </si>
  <si>
    <t>ECONOMISTA</t>
  </si>
  <si>
    <t>PRIMAVERA</t>
  </si>
  <si>
    <t>JOSÉ MARIO DE SOUZA JUNIOR</t>
  </si>
  <si>
    <t>JOSE MARIO DE SOUZA JUNIOR</t>
  </si>
  <si>
    <t>JÚNIOR NICOLAU</t>
  </si>
  <si>
    <t>PRIMAVERA PODE MAIS</t>
  </si>
  <si>
    <t>PRIMAVERA PODE MAIS [Federação PSDB CIDADANIA (PSDB/CIDADANIA), Partido Social Democrático - PSD] - PRIMAVERA - PE</t>
  </si>
  <si>
    <t>ROMULO CESAR MOURA PEIXOTO</t>
  </si>
  <si>
    <t>ROMULO PÃO COM OVO</t>
  </si>
  <si>
    <t>Movimento Democrático Brasileiro - MDB - PRIMAVERA - PE</t>
  </si>
  <si>
    <t>ELIAS BATISTA DE LIMA</t>
  </si>
  <si>
    <t>eleitoral@lcaadv.com.br</t>
  </si>
  <si>
    <t>ELIAS MEU FII</t>
  </si>
  <si>
    <t>UNIÃO POR POMBOS</t>
  </si>
  <si>
    <t>UNIÃO POR POMBOS [Movimento Democrático Brasileiro - MDB, União Brasil - UNIÃO] - POMBOS - PE</t>
  </si>
  <si>
    <t>QUIPAPÁ</t>
  </si>
  <si>
    <t>LUIZ GONZAGA ALBUQUERQUE DE BARROS LIMA</t>
  </si>
  <si>
    <t>LUIZINHO DO POSTO</t>
  </si>
  <si>
    <t>QUIPA´PÁ COM ESPERANÇA</t>
  </si>
  <si>
    <t>QUIPA´PÁ COM ESPERANÇA [Federação BRASIL DA ESPERANÇA - FE BRASIL (PT/PC do B/PV), PROGRESSISTAS - PP] - QUIPAPÁ - PE</t>
  </si>
  <si>
    <t>JEYSON CAVALCANTI DE ALMEIDA FALCÃO</t>
  </si>
  <si>
    <t>JEYSON CAVALCANTI DE ALMEIDA FALCAO</t>
  </si>
  <si>
    <t>JEYSON FALCÃO</t>
  </si>
  <si>
    <t>O TRABALHO VAI CONTINUAR! PSB/REPUBLICANOS</t>
  </si>
  <si>
    <t>O TRABALHO VAI CONTINUAR! PSB/REPUBLICANOS [Partido Socialista Brasileiro - PSB, REPUBLICANOS - REPUBLICANOS] - PRIMAVERA - PE</t>
  </si>
  <si>
    <t>MOTORISTA PARTICULAR</t>
  </si>
  <si>
    <t>QUIXABA</t>
  </si>
  <si>
    <t>NEUDIRAN RODRIGUES DE MEDEIROS</t>
  </si>
  <si>
    <t>NEUDIRAN</t>
  </si>
  <si>
    <t>Partido Socialista Brasileiro - PSB - QUIXABA - PE</t>
  </si>
  <si>
    <t>RECIFE</t>
  </si>
  <si>
    <t>DANIEL PIRES COELHO</t>
  </si>
  <si>
    <t>DANIEL COELHO</t>
  </si>
  <si>
    <t>RECIFE LEVADO A SÉRIO</t>
  </si>
  <si>
    <t>RECIFE LEVADO A SÉRIO [Federação PSDB CIDADANIA (PSDB/CIDADANIA), Mobilização Nacional - MOBILIZA, PROGRESSISTAS - PP, Partido Renovação Democrática - PRD, Partido Social Democrático - PSD, Podemos - PODE] - RECIFE - PE</t>
  </si>
  <si>
    <t>DANIELLE GONDIM PORTELA</t>
  </si>
  <si>
    <t>DANI PORTELA</t>
  </si>
  <si>
    <t>RECIFE COM A CARA DA GENTE</t>
  </si>
  <si>
    <t>RECIFE COM A CARA DA GENTE [Federação PSOL REDE (PSOL/REDE), Partido Comunista Brasileiro - PCB] - RECIFE - PE</t>
  </si>
  <si>
    <t>EMANOEL TECIO TELES MORAES</t>
  </si>
  <si>
    <t>TECIO TELES</t>
  </si>
  <si>
    <t>Partido Novo - NOVO - RECIFE - PE</t>
  </si>
  <si>
    <t>GILSON MACHADO GUIMARÃES NETO</t>
  </si>
  <si>
    <t>GILSON MACHADO GUIMARAES NETO</t>
  </si>
  <si>
    <t>GILSON MACHADO</t>
  </si>
  <si>
    <t>Partido Liberal - PL - RECIFE - PE</t>
  </si>
  <si>
    <t>GENIVALDO TEMOTEO BEZERRA</t>
  </si>
  <si>
    <t>PITÉ</t>
  </si>
  <si>
    <t>QUIPAPA NO RUMO CERTO</t>
  </si>
  <si>
    <t>QUIPAPA NO RUMO CERTO [Partido Socialista Brasileiro - PSB, REPUBLICANOS - REPUBLICANOS] - QUIPAPÁ - PE</t>
  </si>
  <si>
    <t>LUDMILA MEDEIROS OUTTES ALVES</t>
  </si>
  <si>
    <t>LUDMILA</t>
  </si>
  <si>
    <t>Unidade Popular - UP - RECIFE - PE</t>
  </si>
  <si>
    <t>SIMONE FONTANA</t>
  </si>
  <si>
    <t>PSTU</t>
  </si>
  <si>
    <t>PARTIDO SOCIALISTA DOS TRABALHADORES UNIFICADO</t>
  </si>
  <si>
    <t>Partido Socialista dos Trabalhadores Unificado - PSTU - RECIFE - PE</t>
  </si>
  <si>
    <t>VICTOR ASSIS DA SILVA</t>
  </si>
  <si>
    <t>VICTOR ASSIS</t>
  </si>
  <si>
    <t>Partido da Causa Operária - PCO - RECIFE - PE</t>
  </si>
  <si>
    <t>RIACHO DAS ALMAS</t>
  </si>
  <si>
    <t>ALBERES GOMES DA SILVA</t>
  </si>
  <si>
    <t>ALBERES</t>
  </si>
  <si>
    <t>FRENTE POPULAR DE RIACHO DAS ALMAS</t>
  </si>
  <si>
    <t>FRENTE POPULAR DE RIACHO DAS ALMAS [AGIR - AGIR, AVANTE - AVANTE, PROGRESSISTAS - PP, Partido Socialista Brasileiro - PSB, Podemos - PODE, Solidariedade - SOLIDARIEDADE, União Brasil - UNIÃO] - RIACHO DAS ALMAS - PE</t>
  </si>
  <si>
    <t>JOSE PEREIRA NUNES</t>
  </si>
  <si>
    <t>ZE PRETINHO</t>
  </si>
  <si>
    <t>AVANTE - AVANTE - QUIXABA - PE</t>
  </si>
  <si>
    <t>JOÃO HENRIQUE DE ANDRADE LIMA CAMPOS</t>
  </si>
  <si>
    <t>JOAO HENRIQUE DE ANDRADE LIMA CAMPOS</t>
  </si>
  <si>
    <t>JOÃO CAMPOS</t>
  </si>
  <si>
    <t>FRENTE POPULAR DO RECIFE</t>
  </si>
  <si>
    <t>FRENTE POPULAR DO RECIFE [AGIR - AGIR, AVANTE - AVANTE, Democracia Cristã - DC, Federação BRASIL DA ESPERANÇA - FE BRASIL (PT/PC do B/PV), Movimento Democrático Brasileiro - MDB, Partido Socialista Brasileiro - PSB, Partido da Mulher Brasileira - PMB, REPUBLICANOS - REPUBLICANOS, Solidariedade - SOLIDARIEDADE, União Brasil - UNIÃO] - RECIFE - PE</t>
  </si>
  <si>
    <t>ANNA KARINA GOUVEIA PAIVA</t>
  </si>
  <si>
    <t>KARINA PAIVA</t>
  </si>
  <si>
    <t>RIBEIRÃO MERECE MAIS</t>
  </si>
  <si>
    <t>RIBEIRÃO MERECE MAIS [Federação PSDB CIDADANIA (PSDB/CIDADANIA), PROGRESSISTAS - PP, Partido Social Democrático - PSD] - RIBEIRÃO - PE</t>
  </si>
  <si>
    <t>EDSON GOMES DA SILVA</t>
  </si>
  <si>
    <t>EDSON GOMES</t>
  </si>
  <si>
    <t>RENOVA RIBEIRAO COM ORDEM E PROGRESSO</t>
  </si>
  <si>
    <t>RENOVA RIBEIRAO COM ORDEM E PROGRESSO [AGIR - AGIR, AVANTE - AVANTE, Partido Liberal - PL] - RIBEIRÃO - PE</t>
  </si>
  <si>
    <t>WELLINGTON JOSE GOMES ALVES</t>
  </si>
  <si>
    <t>DR. WELLINGTON GOMES</t>
  </si>
  <si>
    <t>UNIÃO POR UMA RIBEIRÃO MELHOR</t>
  </si>
  <si>
    <t>UNIÃO POR UMA RIBEIRÃO MELHOR [Partido Renovação Democrática - PRD, União Brasil - UNIÃO] - RIBEIRÃO - PE</t>
  </si>
  <si>
    <t>RIO FORMOSO</t>
  </si>
  <si>
    <t>ABNAIR VITOR DA SILVA</t>
  </si>
  <si>
    <t>ABNAIR VITOR</t>
  </si>
  <si>
    <t>Partido Liberal - PL - RIO FORMOSO - PE</t>
  </si>
  <si>
    <t>DIOCLECIO ROSENDO DE LIMA FILHO</t>
  </si>
  <si>
    <t>DIÓ FILHO</t>
  </si>
  <si>
    <t>PRA RIACHO SEGUIR AVANÇANDO</t>
  </si>
  <si>
    <t>PRA RIACHO SEGUIR AVANÇANDO [Federação BRASIL DA ESPERANÇA - FE BRASIL (PT/PC do B/PV), Federação PSDB CIDADANIA (PSDB/CIDADANIA), Partido Social Democrático - PSD, REPUBLICANOS - REPUBLICANOS] - RIACHO DAS ALMAS - PE</t>
  </si>
  <si>
    <t>SALMO VALENTIM DA SILVA</t>
  </si>
  <si>
    <t>SALMO</t>
  </si>
  <si>
    <t>A ESPERANÇA BROTOU PARA RIO FORMOSO</t>
  </si>
  <si>
    <t>A ESPERANÇA BROTOU PARA RIO FORMOSO [AGIR - AGIR, Democracia Cristã - DC, Partido Renovação Democrática - PRD, Partido Socialista Brasileiro - PSB, Partido da Mulher Brasileira - PMB, Solidariedade - SOLIDARIEDADE, União Brasil - UNIÃO] - RIO FORMOSO - PE</t>
  </si>
  <si>
    <t>SEBASTIÃO BARTOLOMEU DE BARROS SOBRINHO NETO</t>
  </si>
  <si>
    <t>SEBASTIAO BARTOLOMEU DE BARROS SOBRINHO NETO</t>
  </si>
  <si>
    <t>TIÃO</t>
  </si>
  <si>
    <t>UNIDOS POR RIO FORMOSO</t>
  </si>
  <si>
    <t>UNIDOS POR RIO FORMOSO [Federação BRASIL DA ESPERANÇA - FE BRASIL (PT/PC do B/PV), Mobilização Nacional - MOBILIZA, PROGRESSISTAS - PP] - RIO FORMOSO - PE</t>
  </si>
  <si>
    <t>MARIA JOSÉ FIDELIS MOURA GOUVEIA</t>
  </si>
  <si>
    <t>MARIA JOSE FIDELIS MOURA GOUVEIA</t>
  </si>
  <si>
    <t>MARY GOUVEIA</t>
  </si>
  <si>
    <t>ANSEIO DE UM PROGRESSO CONTINUO</t>
  </si>
  <si>
    <t>ANSEIO DE UM PROGRESSO CONTINUO [AGIR - AGIR, Democracia Cristã - DC, Mobilização Nacional - MOBILIZA, Partido Liberal - PL, Partido Renovação Democrática - PRD, Partido Socialista Brasileiro - PSB, Partido da Mulher Brasileira - PMB, Podemos - PODE] - ESCADA - PE</t>
  </si>
  <si>
    <t>SAIRÉ</t>
  </si>
  <si>
    <t>OZÉIAS CAETANO DA SILVA</t>
  </si>
  <si>
    <t>OZEIAS CAETANO DA SILVA</t>
  </si>
  <si>
    <t>OZÉIAS DO SINDICATO</t>
  </si>
  <si>
    <t>UNIÃO, EXEMPLO E COMPETÊNCIA</t>
  </si>
  <si>
    <t>UNIÃO, EXEMPLO E COMPETÊNCIA [PROGRESSISTAS - PP, REPUBLICANOS - REPUBLICANOS] - SAIRÉ - PE</t>
  </si>
  <si>
    <t>GUTEMBERG ALEXANDRE RODRIGUES DA SILVA</t>
  </si>
  <si>
    <t>BERG DE HACKER</t>
  </si>
  <si>
    <t>PARA O TRABALHO SEGUIR EM FRENTE</t>
  </si>
  <si>
    <t>PARA O TRABALHO SEGUIR EM FRENTE [Federação PSDB CIDADANIA (PSDB/CIDADANIA), Partido Social Democrático - PSD, REPUBLICANOS - REPUBLICANOS] - RIO FORMOSO - PE</t>
  </si>
  <si>
    <t>SALGADINHO</t>
  </si>
  <si>
    <t>RONALDO FERREIRA DA SILVA</t>
  </si>
  <si>
    <t>DR RONALDO</t>
  </si>
  <si>
    <t>Solidariedade - SOLIDARIEDADE - SALGADINHO - PE</t>
  </si>
  <si>
    <t>SALGUEIRO</t>
  </si>
  <si>
    <t>ANTÔNIO LEITE ROCHA</t>
  </si>
  <si>
    <t>ANTONIO LEITE ROCHA</t>
  </si>
  <si>
    <t>ANTÕNIO ROCHA</t>
  </si>
  <si>
    <t>Mobilização Nacional - MOBILIZA - SALGUEIRO - PE</t>
  </si>
  <si>
    <t>GILDO PONTES DE ARRUDA</t>
  </si>
  <si>
    <t>GILDO DIAS</t>
  </si>
  <si>
    <t>AVANCA SAIRE</t>
  </si>
  <si>
    <t>AVANCA SAIRE [Federação BRASIL DA ESPERANÇA - FE BRASIL (PT/PC do B/PV), Movimento Democrático Brasileiro - MDB] - SAIRÉ - PE</t>
  </si>
  <si>
    <t>MARCONES LIBÓRIO DE SÁ</t>
  </si>
  <si>
    <t>MARCONES LIBORIO DE SA</t>
  </si>
  <si>
    <t>DR MARCONES SÁ</t>
  </si>
  <si>
    <t>FRENTE POPULAR DE SALGUEIRO</t>
  </si>
  <si>
    <t>FRENTE POPULAR DE SALGUEIRO [AGIR - AGIR, AVANTE - AVANTE, Federação BRASIL DA ESPERANÇA - FE BRASIL (PT/PC do B/PV), Movimento Democrático Brasileiro - MDB, PROGRESSISTAS - PP, Partido Socialista Brasileiro - PSB, Partido da Mulher Brasileira - PMB, Solidariedade - SOLIDARIEDADE] - SALGUEIRO - PE</t>
  </si>
  <si>
    <t>JEOSADAQUE BARBOSA SALGADO</t>
  </si>
  <si>
    <t>JOIA</t>
  </si>
  <si>
    <t>Federação PSDB CIDADANIA (PSDB/CIDADANIA) - SALGADINHO - PE</t>
  </si>
  <si>
    <t>SALOÁ</t>
  </si>
  <si>
    <t>WELLINGTON ANTONIO ARAUJO DE FREITAS</t>
  </si>
  <si>
    <t>WELLINGTON FREITAS</t>
  </si>
  <si>
    <t>REPUBLICANOS - REPUBLICANOS - SALOÁ - PE</t>
  </si>
  <si>
    <t>FÁBIO LISANDRO DE LIMA BARROS</t>
  </si>
  <si>
    <t>watha_adv@hotmail.com</t>
  </si>
  <si>
    <t>FABIO LISANDRO DE LIMA BARROS</t>
  </si>
  <si>
    <t>FABINHO</t>
  </si>
  <si>
    <t>TODOS UNIDOS POR SALGUEIRO</t>
  </si>
  <si>
    <t>TODOS UNIDOS POR SALGUEIRO [Federação PSDB CIDADANIA (PSDB/CIDADANIA), Federação PSOL REDE (PSOL/REDE), Partido Democrático Trabalhista - PDT, Partido Renovação Democrática - PRD, Partido Social Democrático - PSD, Podemos - PODE, REPUBLICANOS - REPUBLICANOS, União Brasil - UNIÃO] - SALGUEIRO - PE</t>
  </si>
  <si>
    <t>SANHARÓ</t>
  </si>
  <si>
    <t>EDUARDO DIDIER MELO</t>
  </si>
  <si>
    <t>DUDU DE BETA</t>
  </si>
  <si>
    <t>JUNTOS PODEMOS CONSTRUIR UM SANHARÓ MELHOR PRA TODOS</t>
  </si>
  <si>
    <t>JUNTOS PODEMOS CONSTRUIR UM SANHARÓ MELHOR PRA TODOS [Federação PSDB CIDADANIA (PSDB/CIDADANIA), União Brasil - UNIÃO] - SANHARÓ - PE</t>
  </si>
  <si>
    <t>RIVALDO ALVES DE SOUZA JUNIOR</t>
  </si>
  <si>
    <t>JUNIOR DE RIVALDO</t>
  </si>
  <si>
    <t>SALOÁ COM LIBERDADE</t>
  </si>
  <si>
    <t>SALOÁ COM LIBERDADE [Federação PSDB CIDADANIA (PSDB/CIDADANIA), Movimento Democrático Brasileiro - MDB, Partido Social Democrático - PSD] - SALOÁ - PE</t>
  </si>
  <si>
    <t>SANTA CRUZ</t>
  </si>
  <si>
    <t>JOSE EDJUNHO TAVARES</t>
  </si>
  <si>
    <t>JUNHO TAVARES</t>
  </si>
  <si>
    <t>Podemos - PODE - SANTA CRUZ - PE</t>
  </si>
  <si>
    <t>SANTA CRUZ DA BAIXA VERDE</t>
  </si>
  <si>
    <t>JOSÉ IRLANDO DE SOUZA LIMA</t>
  </si>
  <si>
    <t>JOSE IRLANDO DE SOUZA LIMA</t>
  </si>
  <si>
    <t>IRLANDO PARABÓLICAS</t>
  </si>
  <si>
    <t>POR UMA SANTA CRUZ DA BAIXA VERDE CADA VEZ MELHOR</t>
  </si>
  <si>
    <t>POR UMA SANTA CRUZ DA BAIXA VERDE CADA VEZ MELHOR [Federação PSDB CIDADANIA (PSDB/CIDADANIA), Partido Social Democrático - PSD, Podemos - PODE] - SANTA CRUZ DA BAIXA VERDE - PE</t>
  </si>
  <si>
    <t>SANTA CRUZ DO CAPIBARIBE</t>
  </si>
  <si>
    <t>ALESSANDRA XAVIER DA ROCHA VIEIRA</t>
  </si>
  <si>
    <t>ALESSANDRA VIEIRA</t>
  </si>
  <si>
    <t>FÉ NO FUTURO</t>
  </si>
  <si>
    <t>FÉ NO FUTURO [AGIR - AGIR, AVANTE - AVANTE, Partido Liberal - PL, Partido Renovação Democrática - PRD, Podemos - PODE, União Brasil - UNIÃO] - SANTA CRUZ DO CAPIBARIBE - PE</t>
  </si>
  <si>
    <t>ANDERSON SILVESTRE SANTIAGO</t>
  </si>
  <si>
    <t>ANDERSON SILVESTRE</t>
  </si>
  <si>
    <t>Democracia Cristã - DC - SANTA CRUZ DO CAPIBARIBE - PE</t>
  </si>
  <si>
    <t>CÉSAR AUGUSTO DE FREITAS</t>
  </si>
  <si>
    <t>CESAR AUGUSTO DE FREITAS</t>
  </si>
  <si>
    <t>CÉSAR FREITAS</t>
  </si>
  <si>
    <t>PC do B</t>
  </si>
  <si>
    <t>PARTIDO COMUNISTA DO BRASIL</t>
  </si>
  <si>
    <t>PRA FRENTE SANHARÓ</t>
  </si>
  <si>
    <t>PRA FRENTE SANHARÓ [Federação BRASIL DA ESPERANÇA - FE BRASIL (PT/PC do B/PV), Partido Socialista Brasileiro - PSB] - SANHARÓ - PE</t>
  </si>
  <si>
    <t>ROBSON FERREIRA E SILVA</t>
  </si>
  <si>
    <t>ROBSON FERREIRA</t>
  </si>
  <si>
    <t>PROGRESSISTAS - PP - SANTA CRUZ DO CAPIBARIBE - PE</t>
  </si>
  <si>
    <t>SANTA FILOMENA</t>
  </si>
  <si>
    <t>CLEOMATSON COELHO DE VASCONCELOS</t>
  </si>
  <si>
    <t>CLEOMATSON</t>
  </si>
  <si>
    <t>Coligação pela reconstrução e progresso de Santa Filomena</t>
  </si>
  <si>
    <t>Coligação pela reconstrução e progresso de Santa Filomena [Federação BRASIL DA ESPERANÇA - FE BRASIL (PT/PC do B/PV), Partido Democrático Trabalhista - PDT] - SANTA FILOMENA - PE</t>
  </si>
  <si>
    <t>FRANCISCO WAGNER DINIZ MORORÓ</t>
  </si>
  <si>
    <t>FRANCISCO WAGNER DINIZ MORORO</t>
  </si>
  <si>
    <t>WAGNER MORORÓ</t>
  </si>
  <si>
    <t>PROGRESSISTAS - PP - SANTA FILOMENA - PE</t>
  </si>
  <si>
    <t>ADEGILDO GUIMARAES SOARES</t>
  </si>
  <si>
    <t>CACHOEIRA</t>
  </si>
  <si>
    <t>COLIGAÇÃO SANTA CRUZ AVANTE PARA CONTINUAR</t>
  </si>
  <si>
    <t>COLIGAÇÃO SANTA CRUZ AVANTE PARA CONTINUAR [AVANTE - AVANTE, Federação BRASIL DA ESPERANÇA - FE BRASIL (PT/PC do B/PV), Movimento Democrático Brasileiro - MDB, Partido Socialista Brasileiro - PSB] - SANTA CRUZ - PE</t>
  </si>
  <si>
    <t>SANTA MARIA DA BOA VISTA</t>
  </si>
  <si>
    <t>EDSON ALVES DE JESUS</t>
  </si>
  <si>
    <t>EDSON CAR</t>
  </si>
  <si>
    <t>BOA VISTA DE TODOS NOS</t>
  </si>
  <si>
    <t>BOA VISTA DE TODOS NOS [Federação PSOL REDE (PSOL/REDE), Partido Democrático Trabalhista - PDT, REPUBLICANOS - REPUBLICANOS, Solidariedade - SOLIDARIEDADE] - SANTA MARIA DA BOA VISTA - PE</t>
  </si>
  <si>
    <t>ISMAEL QUINTINO LEITE DE SOUSA</t>
  </si>
  <si>
    <t>assessoriaeleicoes.tb@gmail.com</t>
  </si>
  <si>
    <t>DR. ISMAEL</t>
  </si>
  <si>
    <t>ESPERANÇA RENOVADA</t>
  </si>
  <si>
    <t>REPUBLICANOS / PRD / Federação BRASIL DA ESPERANÇA - FE BRASIL(PT/PC do B/PV)</t>
  </si>
  <si>
    <t>HUMBERTO CESAR DE FARIAS MENDES</t>
  </si>
  <si>
    <t>HUMBERTO MENDES</t>
  </si>
  <si>
    <t>BOA VISTA DA ESPERANÇA</t>
  </si>
  <si>
    <t>BOA VISTA DA ESPERANÇA [Federação BRASIL DA ESPERANÇA - FE BRASIL (PT/PC do B/PV), Podemos - PODE] - SANTA MARIA DA BOA VISTA - PE</t>
  </si>
  <si>
    <t>HELIO LIMA ARAGAO FILHO</t>
  </si>
  <si>
    <t>HELINHO ARAGÃO</t>
  </si>
  <si>
    <t>LADO A LADO POR SANTA CRUZ</t>
  </si>
  <si>
    <t>LADO A LADO POR SANTA CRUZ [Federação BRASIL DA ESPERANÇA - FE BRASIL (PT/PC do B/PV), Movimento Democrático Brasileiro - MDB, Partido Social Democrático - PSD, Partido Socialista Brasileiro - PSB, REPUBLICANOS - REPUBLICANOS] - SANTA CRUZ DO CAPIBARIBE - PE</t>
  </si>
  <si>
    <t>SANTA MARIA DO CAMBUCÁ</t>
  </si>
  <si>
    <t>NELSON SEBASTIÃO DE LIMA</t>
  </si>
  <si>
    <t>NELSON SEBASTIAO DE LIMA</t>
  </si>
  <si>
    <t>NELSON</t>
  </si>
  <si>
    <t>HONESTIDADE, LEALDADE E TRABALHO-PSD, PL e AVANTE</t>
  </si>
  <si>
    <t>HONESTIDADE, LEALDADE E TRABALHO-PSD, PL e AVANTE [AVANTE - AVANTE, Partido Liberal - PL, Partido Social Democrático - PSD] - SANTA MARIA DO CAMBUCÁ - PE</t>
  </si>
  <si>
    <t>PEDRO GILDEVAN COELHO MELO</t>
  </si>
  <si>
    <t>GILDEVAN</t>
  </si>
  <si>
    <t>COLIGAÇÃO TRABALHO E COMPROMISSO COM O POVO</t>
  </si>
  <si>
    <t>COLIGAÇÃO TRABALHO E COMPROMISSO COM O POVO [Federação PSDB CIDADANIA (PSDB/CIDADANIA), Partido Social Democrático - PSD] - SANTA FILOMENA - PE</t>
  </si>
  <si>
    <t>SANTA TEREZINHA</t>
  </si>
  <si>
    <t>JOSÉ MARTINS NETO</t>
  </si>
  <si>
    <t>JOSE MARTINS NETO</t>
  </si>
  <si>
    <t>NEGUINHO DE DANDA</t>
  </si>
  <si>
    <t>UNIÃO PELO FUTURO AVANTE</t>
  </si>
  <si>
    <t>UNIÃO PELO FUTURO AVANTE [AVANTE - AVANTE, União Brasil - UNIÃO] - SANTA TEREZINHA - PE</t>
  </si>
  <si>
    <t>GEORGE RODRIGUES DUARTE</t>
  </si>
  <si>
    <t>GEORGE DUARTE</t>
  </si>
  <si>
    <t>SANTA MARIA DAQUI PRA MELHOR</t>
  </si>
  <si>
    <t>SANTA MARIA DAQUI PRA MELHOR [AGIR - AGIR, AVANTE - AVANTE, Movimento Democrático Brasileiro - MDB, PROGRESSISTAS - PP, Partido Liberal - PL, Partido Social Democrático - PSD, Partido Socialista Brasileiro - PSB, União Brasil - UNIÃO] - SANTA MARIA DA BOA VISTA - PE</t>
  </si>
  <si>
    <t>SÃO BENEDITO DO SUL</t>
  </si>
  <si>
    <t>NICOLLY CAVALCANTI PRAZERES</t>
  </si>
  <si>
    <t>NICOLLY PINTADINHA</t>
  </si>
  <si>
    <t>A MUDANÇA É 10</t>
  </si>
  <si>
    <t>A MUDANÇA É 10 [Movimento Democrático Brasileiro - MDB, REPUBLICANOS - REPUBLICANOS] - SÃO BENEDITO DO SUL - PE</t>
  </si>
  <si>
    <t>BIOMÉDICO</t>
  </si>
  <si>
    <t>SÃO BENTO DO UNA</t>
  </si>
  <si>
    <t>JOSÉ DE ALMEIDA CORDEIRO</t>
  </si>
  <si>
    <t>JOSE DE ALMEIDA CORDEIRO</t>
  </si>
  <si>
    <t>ZÉ ALMEIDA</t>
  </si>
  <si>
    <t>JUNTOS,DE CORAÇÃO</t>
  </si>
  <si>
    <t>JUNTOS,DE CORAÇÃO [Federação PSDB CIDADANIA (PSDB/CIDADANIA), PROGRESSISTAS - PP, Partido Social Democrático - PSD, Podemos - PODE, União Brasil - UNIÃO] - SÃO BENTO DO UNA - PE</t>
  </si>
  <si>
    <t>ALEX ROBEVAN DE LIMA</t>
  </si>
  <si>
    <t>eleicao@amssconsultoria.com.br</t>
  </si>
  <si>
    <t>ROBEVAN</t>
  </si>
  <si>
    <t>JUNTOS POR SANTA MARIA DO CAMBUCÁ</t>
  </si>
  <si>
    <t>JUNTOS POR SANTA MARIA DO CAMBUCÁ [Federação BRASIL DA ESPERANÇA - FE BRASIL (PT/PC do B/PV), Podemos - PODE, REPUBLICANOS - REPUBLICANOS] - SANTA MARIA DO CAMBUCÁ - PE</t>
  </si>
  <si>
    <t>ADEILSON LUSTOSA DA SILVA</t>
  </si>
  <si>
    <t>DELSON LUSTOSA</t>
  </si>
  <si>
    <t>UNIÃO, TRABALHO E PROGRESSO</t>
  </si>
  <si>
    <t>UNIÃO, TRABALHO E PROGRESSO [PROGRESSISTAS - PP, Partido Socialista Brasileiro - PSB, Podemos - PODE] - SANTA TEREZINHA - PE</t>
  </si>
  <si>
    <t>SÃO CAITANO</t>
  </si>
  <si>
    <t>MAKOY ANDERSON VIEIRA DE VASCONCELOS</t>
  </si>
  <si>
    <t>MAKOY</t>
  </si>
  <si>
    <t>EM RESPEITO AO POVO</t>
  </si>
  <si>
    <t>EM RESPEITO AO POVO [AGIR - AGIR, Federação BRASIL DA ESPERANÇA - FE BRASIL (PT/PC do B/PV)] - SÃO CAITANO - PE</t>
  </si>
  <si>
    <t>SÃO JOÃO</t>
  </si>
  <si>
    <t>JOSÉ GENALDI FERREIRA ZUMBA</t>
  </si>
  <si>
    <t>JOSE GENALDI FERREIRA ZUMBA</t>
  </si>
  <si>
    <t>GENALDI ZUMBA</t>
  </si>
  <si>
    <t>VALORIZANDO O POVO DE SÃO JOÃO</t>
  </si>
  <si>
    <t>VALORIZANDO O POVO DE SÃO JOÃO [Podemos - PODE, REPUBLICANOS - REPUBLICANOS] - SÃO JOÃO - PE</t>
  </si>
  <si>
    <t>JOSÉ RINALDO DE FIGUEREDO LOPES</t>
  </si>
  <si>
    <t>JOSE RINALDO DE FIGUEREDO LOPES</t>
  </si>
  <si>
    <t>ZÉ BAIANO</t>
  </si>
  <si>
    <t>VIVENDO UM FUTURO COM O POVO</t>
  </si>
  <si>
    <t>VIVENDO UM FUTURO COM O POVO [Federação BRASIL DA ESPERANÇA - FE BRASIL (PT/PC do B/PV), Federação PSDB CIDADANIA (PSDB/CIDADANIA), PROGRESSISTAS - PP] - SÃO BENEDITO DO SUL - PE</t>
  </si>
  <si>
    <t>SERRALHEIRO</t>
  </si>
  <si>
    <t>PEDRO ALEXANDRE MEDEIROS DE SOUZA</t>
  </si>
  <si>
    <t>ALEXANDRE BATITÉ</t>
  </si>
  <si>
    <t>São Bento do Una no Coração</t>
  </si>
  <si>
    <t>São Bento do Una no Coração [Movimento Democrático Brasileiro - MDB, Partido Liberal - PL, Partido Socialista Brasileiro - PSB, REPUBLICANOS - REPUBLICANOS, Solidariedade - SOLIDARIEDADE] - SÃO BENTO DO UNA - PE</t>
  </si>
  <si>
    <t>SÃO JOAQUIM DO MONTE</t>
  </si>
  <si>
    <t>MARCOS MANOEL FERREIRA</t>
  </si>
  <si>
    <t>MARCOS MARIANO</t>
  </si>
  <si>
    <t>SÃO JOAQUIM DE CARA NOVA</t>
  </si>
  <si>
    <t>SÃO JOAQUIM DE CARA NOVA [Partido Socialista Brasileiro - PSB, REPUBLICANOS - REPUBLICANOS] - SÃO JOAQUIM DO MONTE - PE</t>
  </si>
  <si>
    <t>SÃO JOSÉ DA COROA GRANDE</t>
  </si>
  <si>
    <t>AYRESNELSON MARLLONS SILVA LIMA</t>
  </si>
  <si>
    <t>NELSINHO DE PEL</t>
  </si>
  <si>
    <t>FRENTE POPULAR DE SÃO JOSÉ DA COROA GRANDE</t>
  </si>
  <si>
    <t>FRENTE POPULAR DE SÃO JOSÉ DA COROA GRANDE [AVANTE - AVANTE, Partido Democrático Trabalhista - PDT, Partido Renovador Trabalhista Brasileiro - PRTB, Partido Socialista Brasileiro - PSB, Solidariedade - SOLIDARIEDADE] - SÃO JOSÉ DA COROA GRANDE - PE</t>
  </si>
  <si>
    <t>JOSAFA ALMEIDA LIMA</t>
  </si>
  <si>
    <t>JOSAFA</t>
  </si>
  <si>
    <t>A MUDANÇA CONTINUA [Movimento Democrático Brasileiro - MDB, PROGRESSISTAS - PP, Partido Liberal - PL, Partido Social Democrático - PSD, REPUBLICANOS - REPUBLICANOS, União Brasil - UNIÃO] - SÃO CAITANO - PE</t>
  </si>
  <si>
    <t>ROBERTO GABRIEL DA SILVA</t>
  </si>
  <si>
    <t>ROBERTO DO CAMPO</t>
  </si>
  <si>
    <t>Partido Liberal - PL - SÃO JOSÉ DA COROA GRANDE - PE</t>
  </si>
  <si>
    <t>AUXILIAR DE ESCRITÓRIO E ASSEMELHADOS</t>
  </si>
  <si>
    <t>SALOMÃO BARROS LINS</t>
  </si>
  <si>
    <t>SALOMAO BARROS LINS</t>
  </si>
  <si>
    <t>SALOMÃO</t>
  </si>
  <si>
    <t>Federação BRASIL DA ESPERANÇA - FE BRASIL (PT/PC do B/PV) - SÃO JOSÉ DA COROA GRANDE - PE</t>
  </si>
  <si>
    <t>SÃO JOSÉ DO BELMONTE</t>
  </si>
  <si>
    <t>ANA PAULA DE LACERDA RODRIGUES</t>
  </si>
  <si>
    <t>ANA PAULA RODRIGUES</t>
  </si>
  <si>
    <t>AGIR - AGIR - SÃO JOSÉ DO BELMONTE - PE</t>
  </si>
  <si>
    <t>SUELENE LEAL DO AMARAL</t>
  </si>
  <si>
    <t>SUELENE LEAL</t>
  </si>
  <si>
    <t>Federação PSOL REDE (PSOL/REDE) - SÃO JOSÉ DO BELMONTE - PE</t>
  </si>
  <si>
    <t>PROFESSOR DE ENSINO SUPERIOR</t>
  </si>
  <si>
    <t>JOSE WILSON FERREIRA DE LIMA</t>
  </si>
  <si>
    <t>WILSON LIMA</t>
  </si>
  <si>
    <t>SAO JOAO NO RUMO CERTO</t>
  </si>
  <si>
    <t>SAO JOAO NO RUMO CERTO [Federação PSDB CIDADANIA (PSDB/CIDADANIA), PROGRESSISTAS - PP, Partido Socialista Brasileiro - PSB] - SÃO JOÃO - PE</t>
  </si>
  <si>
    <t>EDUARDO JOSÉ DE OLIVEIRA LINS</t>
  </si>
  <si>
    <t>EDUARDO JOSE DE OLIVEIRA LINS</t>
  </si>
  <si>
    <t>DUGUINHA</t>
  </si>
  <si>
    <t>Do Fazer por  Você</t>
  </si>
  <si>
    <t>Do Fazer por  Você [Federação PSDB CIDADANIA (PSDB/CIDADANIA), Partido Liberal - PL, Partido Social Democrático - PSD] - SÃO JOAQUIM DO MONTE - PE</t>
  </si>
  <si>
    <t>SÃO JOSÉ DO EGITO</t>
  </si>
  <si>
    <t>GEORGE BORJA DE FREITAS</t>
  </si>
  <si>
    <t>DR GEORGE BORJA</t>
  </si>
  <si>
    <t>FRENTE POPULAR DE SÃO JOSÉ DO EGITO</t>
  </si>
  <si>
    <t>FRENTE POPULAR DE SÃO JOSÉ DO EGITO [Federação BRASIL DA ESPERANÇA - FE BRASIL (PT/PC do B/PV), Federação PSOL REDE (PSOL/REDE), Partido Democrático Trabalhista - PDT, Partido Socialista Brasileiro - PSB, União Brasil - UNIÃO] - SÃO JOSÉ DO EGITO - PE</t>
  </si>
  <si>
    <t>SÃO LOURENÇO DA MATA</t>
  </si>
  <si>
    <t>JAIRO PEREIRA DE OLIVEIRA</t>
  </si>
  <si>
    <t>JAIRO PEREIRA</t>
  </si>
  <si>
    <t>SÃO LOURENÇO COM  SEGURANÇA E MAIS SAÚDE</t>
  </si>
  <si>
    <t>SÃO LOURENÇO COM  SEGURANÇA E MAIS SAÚDE [Federação PSDB CIDADANIA (PSDB/CIDADANIA), Partido Social Democrático - PSD, União Brasil - UNIÃO] - SÃO LOURENÇO DA MATA - PE</t>
  </si>
  <si>
    <t>JOSE BARBOSA DE ANDRADE</t>
  </si>
  <si>
    <t>barbosajba@hotmail.com</t>
  </si>
  <si>
    <t>BARBOSA</t>
  </si>
  <si>
    <t>FRENTE DA MUDANÇA</t>
  </si>
  <si>
    <t>FRENTE DA MUDANÇA [Federação PSDB CIDADANIA (PSDB/CIDADANIA), PROGRESSISTAS - PP, Partido Social Democrático - PSD, Podemos - PODE, REPUBLICANOS - REPUBLICANOS] - SÃO JOSÉ DA COROA GRANDE - PE</t>
  </si>
  <si>
    <t>SÃO VICENTE FÉRRER</t>
  </si>
  <si>
    <t>FLÁVIO TRAVASSOS REGIS DE ALBUQUERQUE</t>
  </si>
  <si>
    <t>FLAVIO TRAVASSOS REGIS DE ALBUQUERQUE</t>
  </si>
  <si>
    <t>FLÁVIO REGIS</t>
  </si>
  <si>
    <t>FRENTE POPULAR VICENTINA</t>
  </si>
  <si>
    <t>FRENTE POPULAR VICENTINA [Movimento Democrático Brasileiro - MDB, Partido Socialista Brasileiro - PSB] - SÃO VICENTE FÉRRER - PE</t>
  </si>
  <si>
    <t>VINICIUS MARQUES ALVES</t>
  </si>
  <si>
    <t>VINICIUS MARQUES</t>
  </si>
  <si>
    <t>BELMONTE MAIS FORTE</t>
  </si>
  <si>
    <t>BELMONTE MAIS FORTE [Federação BRASIL DA ESPERANÇA - FE BRASIL (PT/PC do B/PV), Partido Socialista Brasileiro - PSB, REPUBLICANOS - REPUBLICANOS, Solidariedade - SOLIDARIEDADE] - SÃO JOSÉ DO BELMONTE - PE</t>
  </si>
  <si>
    <t>JUCELIO JANILSON DE SOUZA</t>
  </si>
  <si>
    <t>SARGENTO JUCELIO SOUZA</t>
  </si>
  <si>
    <t>Partido Liberal - PL - SERRA TALHADA - PE</t>
  </si>
  <si>
    <t>LUIZ JOSÉ PINTO MATOS</t>
  </si>
  <si>
    <t>LUIZ JOSE PINTO MATOS</t>
  </si>
  <si>
    <t>DR LUIZ PINTO</t>
  </si>
  <si>
    <t>É HORA DE MUDAR DE VERDADE</t>
  </si>
  <si>
    <t>É HORA DE MUDAR DE VERDADE [Federação PSOL REDE (PSOL/REDE), Partido da Mulher Brasileira - PMB] - SERRA TALHADA - PE</t>
  </si>
  <si>
    <t>FREDSON HENRIQUE DE OLIVEIRA BRITO</t>
  </si>
  <si>
    <t>fredbrito@perfilloja.com.br</t>
  </si>
  <si>
    <t>FREDSON BRITO</t>
  </si>
  <si>
    <t>COM A FORÇA DA ESPERANÇA</t>
  </si>
  <si>
    <t>COM A FORÇA DA ESPERANÇA [Federação PSDB CIDADANIA (PSDB/CIDADANIA), Movimento Democrático Brasileiro - MDB, Podemos - PODE, REPUBLICANOS - REPUBLICANOS, Solidariedade - SOLIDARIEDADE] - SÃO JOSÉ DO EGITO - PE</t>
  </si>
  <si>
    <t>MIGUEL ARCANJO FERRAZ DUQUE</t>
  </si>
  <si>
    <t>MIGUEL DUQUE</t>
  </si>
  <si>
    <t>POR AMOR A SERRA TALHADA</t>
  </si>
  <si>
    <t>POR AMOR A SERRA TALHADA [PROGRESSISTAS - PP, Partido Democrático Trabalhista - PDT, Partido Renovação Democrática - PRD, Podemos - PODE] - SERRA TALHADA - PE</t>
  </si>
  <si>
    <t>SERRITA</t>
  </si>
  <si>
    <t>MARLY RUFINO CECÍLIO</t>
  </si>
  <si>
    <t>MARLY RUFINO CECILIO</t>
  </si>
  <si>
    <t>MARLY RUFINO</t>
  </si>
  <si>
    <t>UNIDOS COM O POVÃO</t>
  </si>
  <si>
    <t>UNIDOS COM O POVÃO [Partido Social Democrático - PSD, Solidariedade - SOLIDARIEDADE, União Brasil - UNIÃO] - SERRITA - PE</t>
  </si>
  <si>
    <t>VINICIUS LABANCA</t>
  </si>
  <si>
    <t>FRENTE POPULAR DE SÃO  LOURENÇO DA MATA</t>
  </si>
  <si>
    <t>FRENTE POPULAR DE SÃO  LOURENÇO DA MATA [AGIR - AGIR, AVANTE - AVANTE, Federação BRASIL DA ESPERANÇA - FE BRASIL (PT/PC do B/PV), Movimento Democrático Brasileiro - MDB, PROGRESSISTAS - PP, Partido Democrático Trabalhista - PDT, Partido Socialista Brasileiro - PSB, Partido da Mulher Brasileira - PMB, Podemos - PODE, REPUBLICANOS - REPUBLICANOS, Solidariedade - SOLIDARIEDADE] - SÃO LOURENÇO DA MATA - PE</t>
  </si>
  <si>
    <t>MARCONE VICENTE DOS SANTOS</t>
  </si>
  <si>
    <t>MARCONE</t>
  </si>
  <si>
    <t>COMPROMISSO PARA SEGUIR AVANÇANDO</t>
  </si>
  <si>
    <t>COMPROMISSO PARA SEGUIR AVANÇANDO [Federação BRASIL DA ESPERANÇA - FE BRASIL (PT/PC do B/PV), Federação PSDB CIDADANIA (PSDB/CIDADANIA), PROGRESSISTAS - PP, Partido Social Democrático - PSD] - SÃO VICENTE FÉRRER - PE</t>
  </si>
  <si>
    <t>RITA RODRIGUES RAFAEL</t>
  </si>
  <si>
    <t>RITA</t>
  </si>
  <si>
    <t>FRENTE POPULAR DE SERTÂNIA</t>
  </si>
  <si>
    <t>FRENTE POPULAR DE SERTÂNIA [AVANTE - AVANTE, Federação BRASIL DA ESPERANÇA - FE BRASIL (PT/PC do B/PV), Partido Democrático Trabalhista - PDT, Partido Socialista Brasileiro - PSB, REPUBLICANOS - REPUBLICANOS, Solidariedade - SOLIDARIEDADE, União Brasil - UNIÃO] - SERTÂNIA - PE</t>
  </si>
  <si>
    <t>SIRINHAÉM</t>
  </si>
  <si>
    <t>CAMILA MACHADO LEOCARDIO LINS DOS SANTOS</t>
  </si>
  <si>
    <t>CAMILA MACHADO</t>
  </si>
  <si>
    <t>CORAGEM PARA AVANÇAR</t>
  </si>
  <si>
    <t>CORAGEM PARA AVANÇAR [Federação BRASIL DA ESPERANÇA - FE BRASIL (PT/PC do B/PV), Federação PSDB CIDADANIA (PSDB/CIDADANIA), Movimento Democrático Brasileiro - MDB, PROGRESSISTAS - PP, Partido Social Democrático - PSD, Partido Socialista Brasileiro - PSB, REPUBLICANOS - REPUBLICANOS, Solidariedade - SOLIDARIEDADE] - SIRINHAÉM - PE</t>
  </si>
  <si>
    <t>GRACINA MARIA RAMOS BRAZ DA SILVA</t>
  </si>
  <si>
    <t>DONA GRAÇA</t>
  </si>
  <si>
    <t>CATENDE NO RUMO CERTO</t>
  </si>
  <si>
    <t>CATENDE NO RUMO CERTO [Federação BRASIL DA ESPERANÇA - FE BRASIL (PT/PC do B/PV), Federação PSDB CIDADANIA (PSDB/CIDADANIA), Partido Renovação Democrática - PRD, Podemos - PODE, União Brasil - UNIÃO] - CATENDE - PE</t>
  </si>
  <si>
    <t>RENATA KARLA XIMENES LUCAS ALVES</t>
  </si>
  <si>
    <t>RENATA XIMENES</t>
  </si>
  <si>
    <t>União Brasil - UNIÃO - SIRINHAÉM - PE</t>
  </si>
  <si>
    <t>SEBASTIÃO BENEDITO DOS SANTOS</t>
  </si>
  <si>
    <t>SEBASTIAO BENEDITO DOS SANTOS</t>
  </si>
  <si>
    <t>ALEUDO BENEDITO</t>
  </si>
  <si>
    <t>PARA SERRITA CONTINUAR AVANÇANDO</t>
  </si>
  <si>
    <t>PARA SERRITA CONTINUAR AVANÇANDO [Federação BRASIL DA ESPERANÇA - FE BRASIL (PT/PC do B/PV), Movimento Democrático Brasileiro - MDB, Partido Renovação Democrática - PRD, Partido Socialista Brasileiro - PSB] - SERRITA - PE</t>
  </si>
  <si>
    <t>ADRIANA ANDRADE LIMA VASCONCELOS COUTINHO</t>
  </si>
  <si>
    <t>midia.aninhadaferbom@gmail.com</t>
  </si>
  <si>
    <t>ANINHA DA FERBOM</t>
  </si>
  <si>
    <t>JUNTOS POR UMA NAZARÉ MELHOR</t>
  </si>
  <si>
    <t>JUNTOS POR UMA NAZARÉ MELHOR [AVANTE - AVANTE, Federação PSDB CIDADANIA (PSDB/CIDADANIA), Movimento Democrático Brasileiro - MDB, Partido Social Democrático - PSD, Podemos - PODE] - NAZARÉ DA MATA - PE</t>
  </si>
  <si>
    <t>SURUBIM</t>
  </si>
  <si>
    <t>DENIVALDO PEREIRA DA SILVA</t>
  </si>
  <si>
    <t>DENIVALDO PEREIRA</t>
  </si>
  <si>
    <t>Partido Liberal - PL - SURUBIM - PE</t>
  </si>
  <si>
    <t>FLÁVIO EDNO NÓBREGA</t>
  </si>
  <si>
    <t>FLAVIO EDNO NOBREGA</t>
  </si>
  <si>
    <t>DR FLAVIO</t>
  </si>
  <si>
    <t>A ESPERANÇA SE RENOVA [AVANTE - AVANTE, Partido Democrático Trabalhista - PDT, Solidariedade - SOLIDARIEDADE] - SURUBIM - PE</t>
  </si>
  <si>
    <t>ROSELIA MARIA DOS ANJOS E SILVA</t>
  </si>
  <si>
    <t>VÉIA DE APRÍGIO</t>
  </si>
  <si>
    <t>FRENTE POPULAR DE SURUBIM</t>
  </si>
  <si>
    <t>FRENTE POPULAR DE SURUBIM [Federação BRASIL DA ESPERANÇA - FE BRASIL (PT/PC do B/PV), Federação PSOL REDE (PSOL/REDE), Partido Socialista Brasileiro - PSB, REPUBLICANOS - REPUBLICANOS] - SURUBIM - PE</t>
  </si>
  <si>
    <t>MANOEL SOARES DE SOUZA FILHO</t>
  </si>
  <si>
    <t>campanha2024mr@gmail.com</t>
  </si>
  <si>
    <t>MANOEL DA RETIFICA</t>
  </si>
  <si>
    <t>JUNTOS POR SIRINHAÉM</t>
  </si>
  <si>
    <t>JUNTOS POR SIRINHAÉM [AGIR - AGIR, AVANTE - AVANTE, Partido Liberal - PL, Partido da Mulher Brasileira - PMB, Podemos - PODE] - SIRINHAÉM - PE</t>
  </si>
  <si>
    <t>TABIRA</t>
  </si>
  <si>
    <t>MARIA CLAUDENICE PEREIRA DE MELO CRISTÓVÃO</t>
  </si>
  <si>
    <t>MARIA CLAUDENICE PEREIRA DE MELO CRISTOVAO</t>
  </si>
  <si>
    <t>NICINHA DE DINCA</t>
  </si>
  <si>
    <t>JUNTOS PARA O TRABALHO CONTINUAR</t>
  </si>
  <si>
    <t>JUNTOS PARA O TRABALHO CONTINUAR [Federação PSDB CIDADANIA (PSDB/CIDADANIA), PROGRESSISTAS - PP, União Brasil - UNIÃO] - TABIRA - PE</t>
  </si>
  <si>
    <t>EDVALDO JOÃO DA SILVA</t>
  </si>
  <si>
    <t>EDVALDO JOAO DA SILVA</t>
  </si>
  <si>
    <t>VAL LOURENÇO</t>
  </si>
  <si>
    <t>TACAIMBÓ VAI CONTINUAR AVANÇANDO</t>
  </si>
  <si>
    <t>TACAIMBÓ VAI CONTINUAR AVANÇANDO [Federação BRASIL DA ESPERANÇA - FE BRASIL (PT/PC do B/PV), Partido Democrático Trabalhista - PDT, Partido Socialista Brasileiro - PSB] - TACAIMBÓ - PE</t>
  </si>
  <si>
    <t>SOLIDÃO</t>
  </si>
  <si>
    <t>MAYCO PABLO SANTOS ARAUJO</t>
  </si>
  <si>
    <t>MAYCO DA FARMÁCIA</t>
  </si>
  <si>
    <t>O Trabalho Não Pode Parar</t>
  </si>
  <si>
    <t>O Trabalho Não Pode Parar [Federação BRASIL DA ESPERANÇA - FE BRASIL (PT/PC do B/PV), Partido Socialista Brasileiro - PSB] - SOLIDÃO - PE</t>
  </si>
  <si>
    <t>TACARATU</t>
  </si>
  <si>
    <t>JOSÉ GERSON DA SILVA JÚNIOR</t>
  </si>
  <si>
    <t>JOSE GERSON DA SILVA JUNIOR</t>
  </si>
  <si>
    <t>GERSON JUNIOR</t>
  </si>
  <si>
    <t>FRENTE POPULAR DE TACARATU</t>
  </si>
  <si>
    <t>FRENTE POPULAR DE TACARATU [Partido Socialista Brasileiro - PSB, REPUBLICANOS - REPUBLICANOS, União Brasil - UNIÃO] - TACARATU - PE</t>
  </si>
  <si>
    <t>CLÉBER JOSÉ DE AGUIAR DA SILVA</t>
  </si>
  <si>
    <t>chaparral1088@hotmail.com</t>
  </si>
  <si>
    <t>CLEBER JOSE DE AGUIAR DA SILVA</t>
  </si>
  <si>
    <t>CHAPARRAL</t>
  </si>
  <si>
    <t>SURUBIM QUER MUDANÇA</t>
  </si>
  <si>
    <t>SURUBIM QUER MUDANÇA [Federação PSDB CIDADANIA (PSDB/CIDADANIA), PROGRESSISTAS - PP, Partido Social Democrático - PSD, Podemos - PODE, União Brasil - UNIÃO] - SURUBIM - PE</t>
  </si>
  <si>
    <t>FLÁVIO FERREIRA MARQUES</t>
  </si>
  <si>
    <t>adeyltonfarias@hotmail.com</t>
  </si>
  <si>
    <t>FLAVIO FERREIRA MARQUES</t>
  </si>
  <si>
    <t>FLÁVIO MARQUES</t>
  </si>
  <si>
    <t>A MUDANÇA SE FAZ COM TODAS AS FORÇAS</t>
  </si>
  <si>
    <t>A MUDANÇA SE FAZ COM TODAS AS FORÇAS [AGIR - AGIR, AVANTE - AVANTE, Federação BRASIL DA ESPERANÇA - FE BRASIL (PT/PC do B/PV), Federação PSOL REDE (PSOL/REDE), Movimento Democrático Brasileiro - MDB, Partido Democrático Trabalhista - PDT, Partido Social Democrático - PSD, Partido Socialista Brasileiro - PSB, Podemos - PODE, REPUBLICANOS - REPUBLICANOS, Solidariedade - SOLIDARIEDADE] - TABIRA - PE</t>
  </si>
  <si>
    <t>TAMANDARÉ</t>
  </si>
  <si>
    <t>JOSÉ HILDO HACKER JÚNIOR</t>
  </si>
  <si>
    <t>JOSE HILDO HACKER JUNIOR</t>
  </si>
  <si>
    <t>HILDO HACKER</t>
  </si>
  <si>
    <t>POR AMOR A TAMANDARE</t>
  </si>
  <si>
    <t>POR AMOR A TAMANDARE [Federação PSDB CIDADANIA (PSDB/CIDADANIA), Partido Liberal - PL, Partido Social Democrático - PSD, Partido da Mulher Brasileira - PMB, Solidariedade - SOLIDARIEDADE, União Brasil - UNIÃO] - TAMANDARÉ - PE</t>
  </si>
  <si>
    <t>TAQUARITINGA DO NORTE</t>
  </si>
  <si>
    <t>ALLYSON RYCHARDSON BARBOSA</t>
  </si>
  <si>
    <t>ALLYSON DIAS</t>
  </si>
  <si>
    <t>Taquaritinga Sempre em Frente</t>
  </si>
  <si>
    <t>Taquaritinga Sempre em Frente [Federação PSDB CIDADANIA (PSDB/CIDADANIA), REPUBLICANOS - REPUBLICANOS] - TAQUARITINGA DO NORTE - PE</t>
  </si>
  <si>
    <t>MARIA DE FATIMA CYSNEIROS SAMPAIO BORBA</t>
  </si>
  <si>
    <t>FATIMA BORBA</t>
  </si>
  <si>
    <t>PARA CORTÊS SEGUIR AVANÇANDO</t>
  </si>
  <si>
    <t>PARA CORTÊS SEGUIR AVANÇANDO [Federação PSDB CIDADANIA (PSDB/CIDADANIA), Partido Social Democrático - PSD, REPUBLICANOS - REPUBLICANOS] - CORTÊS - PE</t>
  </si>
  <si>
    <t>JÂNIO ARRUDA DA SILVA</t>
  </si>
  <si>
    <t>JANIO ARRUDA DA SILVA</t>
  </si>
  <si>
    <t>JÂNIO ARRUDA</t>
  </si>
  <si>
    <t>JÁ É HORA DE MUDAR</t>
  </si>
  <si>
    <t>JÁ É HORA DE MUDAR [Movimento Democrático Brasileiro - MDB, Partido Social Democrático - PSD] - TAQUARITINGA DO NORTE - PE</t>
  </si>
  <si>
    <t>JOBSON LUÍS MELO DE NEGREIROS</t>
  </si>
  <si>
    <t>JOBSON LUIS MELO DE NEGREIROS</t>
  </si>
  <si>
    <t>JOBSON DA INTERNET</t>
  </si>
  <si>
    <t>União para Mudar e Avançar</t>
  </si>
  <si>
    <t>União para Mudar e Avançar [Partido Liberal - PL, Podemos - PODE, União Brasil - UNIÃO] - TAQUARITINGA DO NORTE - PE</t>
  </si>
  <si>
    <t>TEREZINHA</t>
  </si>
  <si>
    <t>ADRIANO CAMPOS DA SILVA</t>
  </si>
  <si>
    <t>PROFESSOR ADRIANO CAMPOS</t>
  </si>
  <si>
    <t>RENOVA TEREZINHA</t>
  </si>
  <si>
    <t>RENOVA TEREZINHA [Federação PSDB CIDADANIA (PSDB/CIDADANIA), Partido Social Democrático - PSD, Podemos - PODE] - TEREZINHA - PE</t>
  </si>
  <si>
    <t>WASHINGTON ANGELO DE ARAÚJO</t>
  </si>
  <si>
    <t>WASHINGTON ANGELO DE ARAUJO</t>
  </si>
  <si>
    <t>WASHINGTON</t>
  </si>
  <si>
    <t>PARA TACARATU SEGUIR AVANÇANDO</t>
  </si>
  <si>
    <t>PARA TACARATU SEGUIR AVANÇANDO [AVANTE - AVANTE, Federação BRASIL DA ESPERANÇA - FE BRASIL (PT/PC do B/PV), Federação PSOL REDE (PSOL/REDE), Movimento Democrático Brasileiro - MDB, Podemos - PODE] - TACARATU - PE</t>
  </si>
  <si>
    <t>ISAIAS HONORATO DA SILVA MARQUES</t>
  </si>
  <si>
    <t>CARRAPICHO</t>
  </si>
  <si>
    <t>TAMANDARE DE TODOS</t>
  </si>
  <si>
    <t>TAMANDARE DE TODOS [Federação PSOL REDE (PSOL/REDE), PROGRESSISTAS - PP, Partido Democrático Trabalhista - PDT, Partido Socialista Brasileiro - PSB, Podemos - PODE, REPUBLICANOS - REPUBLICANOS] - TAMANDARÉ - PE</t>
  </si>
  <si>
    <t>TERRA NOVA</t>
  </si>
  <si>
    <t>MAURÍCIO MANOEL DA SILVA</t>
  </si>
  <si>
    <t>MAURICIO MANOEL DA SILVA</t>
  </si>
  <si>
    <t>DUÍLA DO ALAZÃO</t>
  </si>
  <si>
    <t>RECONQUISTAR O INTERESSE POPULAR COM JUSTIÇA SOCIAL</t>
  </si>
  <si>
    <t>RECONQUISTAR O INTERESSE POPULAR COM JUSTIÇA SOCIAL [Podemos - PODE, União Brasil - UNIÃO] - TERRA NOVA - PE</t>
  </si>
  <si>
    <t>TIMBAÚBA</t>
  </si>
  <si>
    <t>JEFFERSON LUIZ FIGUEIREDO LEAL</t>
  </si>
  <si>
    <t>DR JEFFERSON DENTISTA</t>
  </si>
  <si>
    <t>UNIDOS PARA MUDAR</t>
  </si>
  <si>
    <t>UNIDOS PARA MUDAR [Movimento Democrático Brasileiro - MDB, Partido Liberal - PL, União Brasil - UNIÃO] - TIMBAÚBA - PE</t>
  </si>
  <si>
    <t>MARIA DA CONCEIÇÃO ALESSANDRA SILVA DE SANTANA</t>
  </si>
  <si>
    <t>MARIA DA CONCEICAO ALESSANDRA SILVA DE SANTANA</t>
  </si>
  <si>
    <t>CONCEIÇÃO DE JÊRONIMO</t>
  </si>
  <si>
    <t>VAMOS JUNTOS CONSTRUIR UMA NOVA HISTÓRIA EM TIMBAÚBA</t>
  </si>
  <si>
    <t>VAMOS JUNTOS CONSTRUIR UMA NOVA HISTÓRIA EM TIMBAÚBA [Federação PSDB CIDADANIA (PSDB/CIDADANIA), Partido Democrático Trabalhista - PDT, Partido Social Democrático - PSD] - TIMBAÚBA - PE</t>
  </si>
  <si>
    <t>GENIVALDO FERREIRA LINS</t>
  </si>
  <si>
    <t>isabellacordeiro.s@gmail.com</t>
  </si>
  <si>
    <t>GENA LINS</t>
  </si>
  <si>
    <t>CORAGEM PARA TRANSFORMAR TAQUARITINGA DO NORTE</t>
  </si>
  <si>
    <t>CORAGEM PARA TRANSFORMAR TAQUARITINGA DO NORTE [PROGRESSISTAS - PP, Partido Democrático Trabalhista - PDT, Partido Renovação Democrática - PRD, Solidariedade - SOLIDARIEDADE] - TAQUARITINGA DO NORTE - PE</t>
  </si>
  <si>
    <t>ULISSES FELINTO FILHO</t>
  </si>
  <si>
    <t>ULISSES</t>
  </si>
  <si>
    <t>RECONSTRUINDO COM O POVO</t>
  </si>
  <si>
    <t>RECONSTRUINDO COM O POVO [Democracia Cristã - DC, REPUBLICANOS - REPUBLICANOS] - TIMBAÚBA - PE</t>
  </si>
  <si>
    <t>TORITAMA</t>
  </si>
  <si>
    <t>JOSÉ MARCELO MARQUES DE ANDRADE E SILVA</t>
  </si>
  <si>
    <t>JOSE MARCELO MARQUES DE ANDRADE E SILVA</t>
  </si>
  <si>
    <t>MARCELO ANDRADE</t>
  </si>
  <si>
    <t>CORAGEM PRA MUDAR TORITAMA</t>
  </si>
  <si>
    <t>CORAGEM PRA MUDAR TORITAMA [Federação BRASIL DA ESPERANÇA - FE BRASIL (PT/PC do B/PV), Partido Socialista Brasileiro - PSB] - TORITAMA - PE</t>
  </si>
  <si>
    <t>ROMERO ALEXANDRE SILVA LEAL FERREIRA</t>
  </si>
  <si>
    <t>ROMERINHO</t>
  </si>
  <si>
    <t>TORITAMA PODE MAIS</t>
  </si>
  <si>
    <t>TORITAMA PODE MAIS [AVANTE - AVANTE, Federação PSDB CIDADANIA (PSDB/CIDADANIA), Partido Social Democrático - PSD, Podemos - PODE, Solidariedade - SOLIDARIEDADE, União Brasil - UNIÃO] - TORITAMA - PE</t>
  </si>
  <si>
    <t>ARNOBIO GOMES DA SILVA</t>
  </si>
  <si>
    <t>ARNOBIO GOMES</t>
  </si>
  <si>
    <t>POR AMOR A NOSSA GENTE</t>
  </si>
  <si>
    <t>POR AMOR A NOSSA GENTE [Federação BRASIL DA ESPERANÇA - FE BRASIL (PT/PC do B/PV), PROGRESSISTAS - PP, Partido Socialista Brasileiro - PSB, REPUBLICANOS - REPUBLICANOS] - TEREZINHA - PE</t>
  </si>
  <si>
    <t>ESDRAS ENILDO PIRES DE CARVALHO COELHO MORORÓ</t>
  </si>
  <si>
    <t>ESDRAS ENILDO PIRES DE CARVALHO COELHO MORORO</t>
  </si>
  <si>
    <t>DINHA MORORÓ</t>
  </si>
  <si>
    <t>AVANÇA TERRA NOVA</t>
  </si>
  <si>
    <t>AVANÇA TERRA NOVA [AVANTE - AVANTE, Partido Social Democrático - PSD, Partido Socialista Brasileiro - PSB] - TERRA NOVA - PE</t>
  </si>
  <si>
    <t>TRACUNHAÉM</t>
  </si>
  <si>
    <t>BELARMINO VASQUEZ MENDEZ NETO</t>
  </si>
  <si>
    <t>BELARMINO VASQUEZ</t>
  </si>
  <si>
    <t>FRENTE POPULAR DE TRACUNHAÉM</t>
  </si>
  <si>
    <t>FRENTE POPULAR DE TRACUNHAÉM [AVANTE - AVANTE, Partido Socialista Brasileiro - PSB, Podemos - PODE] - TRACUNHAÉM - PE</t>
  </si>
  <si>
    <t>SEVERINO JOSE DE OLIVEIRA</t>
  </si>
  <si>
    <t>BIU DE OLIVEIRA</t>
  </si>
  <si>
    <t>Federação PSOL REDE (PSOL/REDE) - TRACUNHAÉM - PE</t>
  </si>
  <si>
    <t>MARINALDO ROSENDO DE ALBUQUERQUE</t>
  </si>
  <si>
    <t>MARINALDO ROSENDO</t>
  </si>
  <si>
    <t>COLIGAÇÃO TIMBAÚBA É DAQUI PRA MELHOR</t>
  </si>
  <si>
    <t>COLIGAÇÃO TIMBAÚBA É DAQUI PRA MELHOR [Federação BRASIL DA ESPERANÇA - FE BRASIL (PT/PC do B/PV), PROGRESSISTAS - PP, Partido Socialista Brasileiro - PSB, Podemos - PODE, Solidariedade - SOLIDARIEDADE] - TIMBAÚBA - PE</t>
  </si>
  <si>
    <t>JOSE LOPES BENÍCIO</t>
  </si>
  <si>
    <t>JOSE LOPES BENICIO</t>
  </si>
  <si>
    <t>ZE CAPACETE</t>
  </si>
  <si>
    <t>COLIGAÇÃO UNIDOS PARA TRABALHAR PELO POVO</t>
  </si>
  <si>
    <t>COLIGAÇÃO UNIDOS PARA TRABALHAR PELO POVO [PROGRESSISTAS - PP, Partido Democrático Trabalhista - PDT, Partido Liberal - PL, Partido Social Democrático - PSD, Partido Socialista Brasileiro - PSB] - TRINDADE - PE</t>
  </si>
  <si>
    <t>TRIUNFO</t>
  </si>
  <si>
    <t>ANTÔNIO EDUARDO DE MELO</t>
  </si>
  <si>
    <t>ANTONIO EDUARDO DE MELO</t>
  </si>
  <si>
    <t>DR. EDUARDO</t>
  </si>
  <si>
    <t>Juntos Podemos Mudar Triunfo</t>
  </si>
  <si>
    <t>Juntos Podemos Mudar Triunfo [Movimento Democrático Brasileiro - MDB, Podemos - PODE] - TRIUNFO - PE</t>
  </si>
  <si>
    <t>EDVALDO LIMA DO NASCIMENTO</t>
  </si>
  <si>
    <t>NEGO RICO</t>
  </si>
  <si>
    <t>REPUBLICANOS - REPUBLICANOS - TRIUNFO - PE</t>
  </si>
  <si>
    <t>SERGIO PROCOPIO DA SILVA CARVALHO</t>
  </si>
  <si>
    <t>SERGIO COLIN</t>
  </si>
  <si>
    <t>TORITAMA SEGUE MELHORANDO, SEGUE AVANÇANDO</t>
  </si>
  <si>
    <t>TORITAMA SEGUE MELHORANDO, SEGUE AVANÇANDO [Movimento Democrático Brasileiro - MDB, PROGRESSISTAS - PP, Partido Liberal - PL, REPUBLICANOS - REPUBLICANOS] - TORITAMA - PE</t>
  </si>
  <si>
    <t>TUPANATINGA</t>
  </si>
  <si>
    <t>DIEGO TEIXEIRA CAVALCANTI MINERVINO</t>
  </si>
  <si>
    <t>DR DIEGO</t>
  </si>
  <si>
    <t>UM NOVO CAMINHO PRA MUDAR TUPANATINGA</t>
  </si>
  <si>
    <t>UM NOVO CAMINHO PRA MUDAR TUPANATINGA [Federação BRASIL DA ESPERANÇA - FE BRASIL (PT/PC do B/PV), Partido Socialista Brasileiro - PSB, União Brasil - UNIÃO] - TUPANATINGA - PE</t>
  </si>
  <si>
    <t>ALUIZIO XAVIER DA SILVA</t>
  </si>
  <si>
    <t>IRMÃO ALUIZIO</t>
  </si>
  <si>
    <t>JUNTOS PARA TRACUNHAÉM CONTINUAR AVANÇANDO</t>
  </si>
  <si>
    <t>JUNTOS PARA TRACUNHAÉM CONTINUAR AVANÇANDO [PROGRESSISTAS - PP, Partido Social Democrático - PSD, REPUBLICANOS - REPUBLICANOS] - TRACUNHAÉM - PE</t>
  </si>
  <si>
    <t>VALMIR ALVES DOS SANTOS</t>
  </si>
  <si>
    <t>VALMIR ROQUE</t>
  </si>
  <si>
    <t>TUPANATINGA PODE MAIS</t>
  </si>
  <si>
    <t>TUPANATINGA PODE MAIS [Federação PSDB CIDADANIA (PSDB/CIDADANIA), Partido Social Democrático - PSD] - TUPANATINGA - PE</t>
  </si>
  <si>
    <t>TUPARETAMA</t>
  </si>
  <si>
    <t>DANILO AUGUSTO OLIVEIRA PEREIRA NUNES</t>
  </si>
  <si>
    <t>DANILO</t>
  </si>
  <si>
    <t>FRENTE  POPULAR POR TUPARETAMA</t>
  </si>
  <si>
    <t>FRENTE  POPULAR POR TUPARETAMA [AVANTE - AVANTE, REPUBLICANOS - REPUBLICANOS] - TUPARETAMA - PE</t>
  </si>
  <si>
    <t>MARIA EDUARDA BAIMA TEIXEIRA GOUVEIA</t>
  </si>
  <si>
    <t>contato@eduardabaima.com</t>
  </si>
  <si>
    <t>EDUARDA GOUVEIA</t>
  </si>
  <si>
    <t>CARPINA PODE MAIS</t>
  </si>
  <si>
    <t>CARPINA PODE MAIS [AGIR - AGIR, AVANTE - AVANTE, Federação PSDB CIDADANIA (PSDB/CIDADANIA), Movimento Democrático Brasileiro - MDB, PROGRESSISTAS - PP, Partido Democrático Trabalhista - PDT, Partido Renovação Democrática - PRD, Partido Social Democrático - PSD, Podemos - PODE, REPUBLICANOS - REPUBLICANOS] - CARPINA - PE</t>
  </si>
  <si>
    <t>IVAÍ CAVALCANTE DA SILVA</t>
  </si>
  <si>
    <t>IVAI CAVALCANTE DA SILVA</t>
  </si>
  <si>
    <t>IVAÍ CAVALCANTE</t>
  </si>
  <si>
    <t>Federação BRASIL DA ESPERANÇA - FE BRASIL (PT/PC do B/PV) - TUPARETAMA - PE</t>
  </si>
  <si>
    <t>VENTUROSA</t>
  </si>
  <si>
    <t>ADRIANNO ALEXANDRE GALINDO BEZERRA</t>
  </si>
  <si>
    <t>ADRIANNO DO POSTO</t>
  </si>
  <si>
    <t>A VEZ DO NOVO. A VEZ DO POVO!</t>
  </si>
  <si>
    <t>A VEZ DO NOVO. A VEZ DO POVO! [Partido Democrático Trabalhista - PDT, REPUBLICANOS - REPUBLICANOS] - VENTUROSA - PE</t>
  </si>
  <si>
    <t>ERNANDES ALBUQUERQUE BEZERRA</t>
  </si>
  <si>
    <t>ERNANDES DA FARMACIA</t>
  </si>
  <si>
    <t>Partido Liberal - PL - VENTUROSA - PE</t>
  </si>
  <si>
    <t>LUCIANO FERNANDO DE SOUSA</t>
  </si>
  <si>
    <t>LUCIANO BONFIM</t>
  </si>
  <si>
    <t>TRIUNFO NO CAMINHO CERTO</t>
  </si>
  <si>
    <t>TRIUNFO NO CAMINHO CERTO [AVANTE - AVANTE, Federação PSDB CIDADANIA (PSDB/CIDADANIA), PROGRESSISTAS - PP, Partido Socialista Brasileiro - PSB] - TRIUNFO - PE</t>
  </si>
  <si>
    <t>VERDEJANTE</t>
  </si>
  <si>
    <t>FRANCISCO ALVES TAVARES DE SÁ</t>
  </si>
  <si>
    <t>FRANCISCO ALVES TAVARES DE SA</t>
  </si>
  <si>
    <t>VERDEJANTE FORTE DE NOVO</t>
  </si>
  <si>
    <t>VERDEJANTE FORTE DE NOVO [Movimento Democrático Brasileiro - MDB, Partido Social Democrático - PSD, Solidariedade - SOLIDARIEDADE] - VERDEJANTE - PE</t>
  </si>
  <si>
    <t>JOSÉ RONALDO DA SILVA</t>
  </si>
  <si>
    <t>JOSE RONALDO DA SILVA</t>
  </si>
  <si>
    <t>PROFESSOR RONALDO</t>
  </si>
  <si>
    <t>PARA O TRABALHO CONTINUAR</t>
  </si>
  <si>
    <t>PARA O TRABALHO CONTINUAR [PROGRESSISTAS - PP, REPUBLICANOS - REPUBLICANOS] - TUPANATINGA - PE</t>
  </si>
  <si>
    <t>VERTENTE DO LÉRIO</t>
  </si>
  <si>
    <t>FÁBIO DA SILVA FRANÇA</t>
  </si>
  <si>
    <t>FABIO DA SILVA FRANCA</t>
  </si>
  <si>
    <t>FÁBIO FRANÇA</t>
  </si>
  <si>
    <t>JUNTOS PARA VERTENTE DO LÉRIO SEGUIR AVANÇANDO ¿ PROGRESSISTAS, PSB, FEDERAÇÃO PSDB-</t>
  </si>
  <si>
    <t>JUNTOS PARA VERTENTE DO LÉRIO SEGUIR AVANÇANDO ¿ PROGRESSISTAS, PSB, FEDERAÇÃO PSDB- [Federação BRASIL DA ESPERANÇA - FE BRASIL (PT/PC do B/PV), Federação PSDB CIDADANIA (PSDB/CIDADANIA), PROGRESSISTAS - PP, Partido Socialista Brasileiro - PSB] - VERTENTE DO LÉRIO - PE</t>
  </si>
  <si>
    <t>TÉCNICO DE ENFERMAGEM E ASSEMELHADOS (EXCETO ENFERMEIRO)</t>
  </si>
  <si>
    <t>DIÓGENES TORRES DA COSTA PATRIOTA</t>
  </si>
  <si>
    <t>DIOGENES TORRES DA COSTA PATRIOTA</t>
  </si>
  <si>
    <t>DIÓGENES PATRIOTA</t>
  </si>
  <si>
    <t>UNIÃO PRA FAZER MAIS</t>
  </si>
  <si>
    <t>UNIÃO PRA FAZER MAIS [Federação PSDB CIDADANIA (PSDB/CIDADANIA), Podemos - PODE] - TUPARETAMA - PE</t>
  </si>
  <si>
    <t>KELVIN DOUGLAS CAVALCANTI ALMEIDA</t>
  </si>
  <si>
    <t>kelvin-douglas07@hotmail.com</t>
  </si>
  <si>
    <t>KELVIN CAVALCANTI</t>
  </si>
  <si>
    <t>SOMOS GENTE QUE FAZ DE VERDADE</t>
  </si>
  <si>
    <t>SOMOS GENTE QUE FAZ DE VERDADE [AVANTE - AVANTE, Federação BRASIL DA ESPERANÇA - FE BRASIL (PT/PC do B/PV), Partido Renovação Democrática - PRD, Partido Social Democrático - PSD, Partido Socialista Brasileiro - PSB] - VENTUROSA - PE</t>
  </si>
  <si>
    <t>VERTENTES</t>
  </si>
  <si>
    <t>JOSE BARROS DA SILVA NETO</t>
  </si>
  <si>
    <t>ZITO BARROS</t>
  </si>
  <si>
    <t>CORAGEM PARA FAZER O QUE FALTA</t>
  </si>
  <si>
    <t>CORAGEM PARA FAZER O QUE FALTA [PROGRESSISTAS - PP, Partido Socialista Brasileiro - PSB] - VERTENTES - PE</t>
  </si>
  <si>
    <t>TÉCNICO DE MINERAÇÃO, METALURGIA E GEOLOGIA</t>
  </si>
  <si>
    <t>FRANCISCO DE ASSIS TAVARES FILHO</t>
  </si>
  <si>
    <t>XICÃO TAVARES</t>
  </si>
  <si>
    <t>Para Verdejante Continuar Avançando</t>
  </si>
  <si>
    <t>Para Verdejante Continuar Avançando [Federação BRASIL DA ESPERANÇA - FE BRASIL (PT/PC do B/PV), Federação PSDB CIDADANIA (PSDB/CIDADANIA), REPUBLICANOS - REPUBLICANOS] - VERDEJANTE - PE</t>
  </si>
  <si>
    <t>VICÊNCIA</t>
  </si>
  <si>
    <t>SEVERINO DE OLIVEIRA VASCONCELOS NETO</t>
  </si>
  <si>
    <t>NETO DE DIJA</t>
  </si>
  <si>
    <t>FRENTE POPULAR DE VICENCIA</t>
  </si>
  <si>
    <t>FRENTE POPULAR DE VICENCIA [Federação BRASIL DA ESPERANÇA - FE BRASIL (PT/PC do B/PV), Partido Socialista Brasileiro - PSB, REPUBLICANOS - REPUBLICANOS, União Brasil - UNIÃO] - VICÊNCIA - PE</t>
  </si>
  <si>
    <t>VITÓRIA DE SANTO ANTÃO</t>
  </si>
  <si>
    <t>ANDRE CARVALHO DE MOURA</t>
  </si>
  <si>
    <t>ANDRE CARVALHO</t>
  </si>
  <si>
    <t>VITORIA PARA TODOS</t>
  </si>
  <si>
    <t>VITORIA PARA TODOS [Federação PSOL REDE (PSOL/REDE), Partido Democrático Trabalhista - PDT] - VITÓRIA DE SANTO ANTÃO - PE</t>
  </si>
  <si>
    <t>HISTÊNIO JÚNIOR DA SILVA SALES</t>
  </si>
  <si>
    <t>HISTENIO JUNIOR DA SILVA SALES</t>
  </si>
  <si>
    <t>DR. HISTÊNIO</t>
  </si>
  <si>
    <t>A FORÇA PARA TRANSFORMAR</t>
  </si>
  <si>
    <t>A FORÇA PARA TRANSFORMAR [Movimento Democrático Brasileiro - MDB, Partido Social Democrático - PSD, União Brasil - UNIÃO] - VERTENTE DO LÉRIO - PE</t>
  </si>
  <si>
    <t>VICTOR MORAES QUERALVARES GLASER</t>
  </si>
  <si>
    <t>VICTOR</t>
  </si>
  <si>
    <t>COM O POVO NO TOPO</t>
  </si>
  <si>
    <t>COM O POVO NO TOPO [PROGRESSISTAS - PP, Partido Socialista Brasileiro - PSB, REPUBLICANOS - REPUBLICANOS, União Brasil - UNIÃO] - VITÓRIA DE SANTO ANTÃO - PE</t>
  </si>
  <si>
    <t>XEXÉU</t>
  </si>
  <si>
    <t>EUDO DE MAGALHÃES LYRA</t>
  </si>
  <si>
    <t>EUDO DE MAGALHAES LYRA</t>
  </si>
  <si>
    <t>EUDO  MAGALHÃES</t>
  </si>
  <si>
    <t>A ESPERANÇA SE RENOVA, XEXÉU EM BOAS MÃOS</t>
  </si>
  <si>
    <t>A ESPERANÇA SE RENOVA, XEXÉU EM BOAS MÃOS [Federação BRASIL DA ESPERANÇA - FE BRASIL (PT/PC do B/PV), Partido Socialista Brasileiro - PSB] - XEXÉU - PE</t>
  </si>
  <si>
    <t>ISRAEL FERREIRA DE ANDRADE</t>
  </si>
  <si>
    <t>RAEL</t>
  </si>
  <si>
    <t>VERTENTES CONTINUA AVANÇANDO</t>
  </si>
  <si>
    <t>VERTENTES CONTINUA AVANÇANDO [Federação PSDB CIDADANIA (PSDB/CIDADANIA), Partido Social Democrático - PSD, REPUBLICANOS - REPUBLICANOS, União Brasil - UNIÃO] - VERTENTES - PE</t>
  </si>
  <si>
    <t>EDER WALTTER JOSÉ DE OLIVEIRA SILVA</t>
  </si>
  <si>
    <t>EDER WALTTER JOSE DE OLIVEIRA SILVA</t>
  </si>
  <si>
    <t>EDER</t>
  </si>
  <si>
    <t>PRA VICENCIA SEGUIR MUDANDO</t>
  </si>
  <si>
    <t>PRA VICENCIA SEGUIR MUDANDO [Federação PSDB CIDADANIA (PSDB/CIDADANIA), Movimento Democrático Brasileiro - MDB, PROGRESSISTAS - PP, Partido Social Democrático - PSD, Podemos - PODE] - VICÊNCIA - PE</t>
  </si>
  <si>
    <t>PAULO ROBERTO LEITE DE ARRUDA</t>
  </si>
  <si>
    <t>PAULO ROBERTO</t>
  </si>
  <si>
    <t>VITÓRIA CUIDADA COM AMOR</t>
  </si>
  <si>
    <t>VITÓRIA CUIDADA COM AMOR [AVANTE - AVANTE, Federação BRASIL DA ESPERANÇA - FE BRASIL (PT/PC do B/PV), Federação PSDB CIDADANIA (PSDB/CIDADANIA), Movimento Democrático Brasileiro - MDB, Partido Social Democrático - PSD, Partido da Mulher Brasileira - PMB, Podemos - PODE, Solidariedade - SOLIDARIEDADE] - VITÓRIA DE SANTO ANTÃO - PE</t>
  </si>
  <si>
    <t>THIAGO GONÇALVES DE LIMA</t>
  </si>
  <si>
    <t>THIAGO GONCALVES DE LIMA</t>
  </si>
  <si>
    <t>THIAGO DE MIEL</t>
  </si>
  <si>
    <t>Juntos por Xexéu</t>
  </si>
  <si>
    <t>Juntos por Xexéu [Federação PSDB CIDADANIA (PSDB/CIDADANIA), Partido Liberal - PL, Partido Social Democrático - PSD] - XEXÉU - PE</t>
  </si>
  <si>
    <t>BRUNO BARBOSA CAMÊLO</t>
  </si>
  <si>
    <t>BRUNO BARBOSA CAMELO</t>
  </si>
  <si>
    <t>BRUNO CAMÊLO</t>
  </si>
  <si>
    <t>Avante, com a força do povo</t>
  </si>
  <si>
    <t>AVANTE / PSB / SOLIDARIEDADE</t>
  </si>
  <si>
    <t>EDGAR ANTONIO DE SOUZA</t>
  </si>
  <si>
    <t>EDGAR SHOW</t>
  </si>
  <si>
    <t>Federação PSOL REDE</t>
  </si>
  <si>
    <t>PSOL/REDE</t>
  </si>
  <si>
    <t>JOSÉ JADIEL DE ANDRADE</t>
  </si>
  <si>
    <t>JOSE JADIEL DE ANDRADE</t>
  </si>
  <si>
    <t>PIERRE LOGAN</t>
  </si>
  <si>
    <t>VERDADE, COMPROMISSO E TRABALHO</t>
  </si>
  <si>
    <t>MDB / PODE / Federação PSDB CIDADANIA(PSDB/CIDADANIA) / PSD</t>
  </si>
  <si>
    <t>EDILEUZO RODRIGUES BARBOSA</t>
  </si>
  <si>
    <t>EDILEUZO DO LARANJO</t>
  </si>
  <si>
    <t>COD</t>
  </si>
  <si>
    <t>IMAGEM</t>
  </si>
  <si>
    <t>CONJUNTO</t>
  </si>
  <si>
    <t>REGEXTRACT</t>
  </si>
  <si>
    <t>URL THUMBNAIL</t>
  </si>
  <si>
    <t xml:space="preserve">REGEXEXTRACT ID </t>
  </si>
  <si>
    <t>CONCAT THUMBNAIL + ID</t>
  </si>
  <si>
    <t>170001959188</t>
  </si>
  <si>
    <t>https://drive.google.com/open?id=1-_TZiNAm3fq0oPTHhDpbYRzziDKyDDWl&amp;usp=drive_copy</t>
  </si>
  <si>
    <t>FPE170001959188_div.jpg</t>
  </si>
  <si>
    <t>https://drive.google.com/thumbnail?id=</t>
  </si>
  <si>
    <t>170001925080</t>
  </si>
  <si>
    <t>https://drive.google.com/open?id=101dS08BKnvzudnNl492IUGZ3fbLOkwXv&amp;usp=drive_copy</t>
  </si>
  <si>
    <t>FPE170001925080_div.jpg</t>
  </si>
  <si>
    <t>170001961728</t>
  </si>
  <si>
    <t>https://drive.google.com/open?id=14m72j3uZb5-vPCvnnbwuj14BcTcy-_Rf&amp;usp=drive_copy</t>
  </si>
  <si>
    <t>FPE170001961728_div.jpg</t>
  </si>
  <si>
    <t>170001885332</t>
  </si>
  <si>
    <t>https://drive.google.com/open?id=14rwzY13Be6g2Qb_HCRDjcGqVaM4YTO-Y&amp;usp=drive_copy</t>
  </si>
  <si>
    <t>FPE170001885332_div.jpg</t>
  </si>
  <si>
    <t>170001918058</t>
  </si>
  <si>
    <t>https://drive.google.com/open?id=15jQX9-nCtfJhrzbtHmYS3ecVskdDPc2l&amp;usp=drive_copy</t>
  </si>
  <si>
    <t>FPE170001918058_div.jpeg</t>
  </si>
  <si>
    <t>170001951099</t>
  </si>
  <si>
    <t>https://drive.google.com/open?id=16Bq1xo_vGYjvOVhp1SbJ2HooTikf7w95&amp;usp=drive_copy</t>
  </si>
  <si>
    <t>FPE170001951099_div.jpeg</t>
  </si>
  <si>
    <t>170001967985</t>
  </si>
  <si>
    <t>https://drive.google.com/open?id=18KIPhUzWXOf1YJs_TM2hal-6UPJI-mt6&amp;usp=drive_copy</t>
  </si>
  <si>
    <t>FPE170001967985_div.jpg</t>
  </si>
  <si>
    <t>170001967091</t>
  </si>
  <si>
    <t>https://drive.google.com/open?id=18poR1JmOsGWnIRvUOUZzYlPxXmH7VwNr&amp;usp=drive_copy</t>
  </si>
  <si>
    <t>FPE170001967091_div.jpg</t>
  </si>
  <si>
    <t>170001966318</t>
  </si>
  <si>
    <t>https://drive.google.com/open?id=19eJP_xhgyr4_EevR4TMn-iEJ3jwHpFXM&amp;usp=drive_copy</t>
  </si>
  <si>
    <t>FPE170001966318_div.jpg</t>
  </si>
  <si>
    <t>170001924419</t>
  </si>
  <si>
    <t>https://drive.google.com/open?id=1EnbTfrHoBcysU7BvrkSM6U5l-I3IiiE0&amp;usp=drive_copy</t>
  </si>
  <si>
    <t>FPE170001924419_div.jpg</t>
  </si>
  <si>
    <t>170001950791</t>
  </si>
  <si>
    <t>https://drive.google.com/open?id=1EszjHYXw-iHJcaY3CHY0cWHkG3umDA12&amp;usp=drive_copy</t>
  </si>
  <si>
    <t>FPE170001950791_div.jpg</t>
  </si>
  <si>
    <t>170001898713</t>
  </si>
  <si>
    <t>https://drive.google.com/open?id=1FL_ytPdsTa_Fcm-VFSlNE9ctSYdijgIq&amp;usp=drive_copy</t>
  </si>
  <si>
    <t>FPE170001898713_div.jpeg</t>
  </si>
  <si>
    <t>170001950230</t>
  </si>
  <si>
    <t>https://drive.google.com/open?id=1FmfTqFl0XyPCTcrbq9_E84n5jXNFl0z3&amp;usp=drive_copy</t>
  </si>
  <si>
    <t>FPE170001950230_div.jpg</t>
  </si>
  <si>
    <t>170001951716</t>
  </si>
  <si>
    <t>https://drive.google.com/open?id=1HtbFpQEpJUQ135f0Y790A3f3_CHPJyD4&amp;usp=drive_copy</t>
  </si>
  <si>
    <t>FPE170001951716_div.jpg</t>
  </si>
  <si>
    <t>170001970819</t>
  </si>
  <si>
    <t>https://drive.google.com/open?id=1K-49J6Q8SZwEWiFdnF5IJ1_VoWJDsPVi&amp;usp=drive_copy</t>
  </si>
  <si>
    <t>FPE170001970819_div.jpg</t>
  </si>
  <si>
    <t>170001919373</t>
  </si>
  <si>
    <t>https://drive.google.com/open?id=1LX939mNz9sQOS4XOIu8GC8aCW77U01r7&amp;usp=drive_copy</t>
  </si>
  <si>
    <t>FPE170001919373_div.jpeg</t>
  </si>
  <si>
    <t>170001900209</t>
  </si>
  <si>
    <t>https://drive.google.com/open?id=1M8f3_L0Inc8Y_GcDIxwCIeEtsBx3LQPn&amp;usp=drive_copy</t>
  </si>
  <si>
    <t>FPE170001900209_div.jpg</t>
  </si>
  <si>
    <t>170001923538</t>
  </si>
  <si>
    <t>https://drive.google.com/open?id=1MHFIFiYFLQoMFUj4EYL0gAvceOO9K6mv&amp;usp=drive_copy</t>
  </si>
  <si>
    <t>FPE170001923538_div.jpg</t>
  </si>
  <si>
    <t>170001915525</t>
  </si>
  <si>
    <t>https://drive.google.com/open?id=1MZJJCRbI_M70H6a_Zm-Dc7A8zYqdYotK&amp;usp=drive_copy</t>
  </si>
  <si>
    <t>FPE170001915525_div.jpeg</t>
  </si>
  <si>
    <t>170001883334</t>
  </si>
  <si>
    <t>https://drive.google.com/open?id=1PEkX5kK1nCveyYCRvxwQqjVYG5WLaomA&amp;usp=drive_copy</t>
  </si>
  <si>
    <t>FPE170001883334_div.jpg</t>
  </si>
  <si>
    <t>170001970081</t>
  </si>
  <si>
    <t>https://drive.google.com/open?id=1Pc1AIsgLAU1vKw1nKEZmrc1Z7iwEGvp7&amp;usp=drive_copy</t>
  </si>
  <si>
    <t>FPE170001970081_div.jpg</t>
  </si>
  <si>
    <t>170001938678</t>
  </si>
  <si>
    <t>https://drive.google.com/open?id=1-InHSAfRwKvoHMIO9MNaaM7rSk99MQHi&amp;usp=drive_copy</t>
  </si>
  <si>
    <t>FPE170001938678_div.jpeg</t>
  </si>
  <si>
    <t>170001959156</t>
  </si>
  <si>
    <t>https://drive.google.com/open?id=11QaBIWsTqD3JvPx5W7B_k1RdfWHWjBks&amp;usp=drive_copy</t>
  </si>
  <si>
    <t>FPE170001959156_div.jpg</t>
  </si>
  <si>
    <t>170001914506</t>
  </si>
  <si>
    <t>https://drive.google.com/open?id=11otrG8WaN1aFt8-dzc7D_OS2Zu3_0r7S&amp;usp=drive_copy</t>
  </si>
  <si>
    <t>FPE170001914506_div.jpg</t>
  </si>
  <si>
    <t>170001916577</t>
  </si>
  <si>
    <t>https://drive.google.com/open?id=13BJbIpmtMxWNUyXnr3pyFp0nd4S0Wecu&amp;usp=drive_copy</t>
  </si>
  <si>
    <t>FPE170001916577_div.jpeg</t>
  </si>
  <si>
    <t>170001898275</t>
  </si>
  <si>
    <t>https://drive.google.com/open?id=13RqTvEgEisW1zTNPs4zwViXNaE0VOT38&amp;usp=drive_copy</t>
  </si>
  <si>
    <t>FPE170001898275_div.jpeg</t>
  </si>
  <si>
    <t>170001883054</t>
  </si>
  <si>
    <t>https://drive.google.com/open?id=13TCLBtj9Lri6peyVSe7dMED0FkseExLq&amp;usp=drive_copy</t>
  </si>
  <si>
    <t>FPE170001883054_div.jpg</t>
  </si>
  <si>
    <t>170001940161</t>
  </si>
  <si>
    <t>https://drive.google.com/open?id=15IXDeBgIba_zHaVQQFY5F62Csx77oJuI&amp;usp=drive_copy</t>
  </si>
  <si>
    <t>FPE170001940161_div.jpg</t>
  </si>
  <si>
    <t>170001970852</t>
  </si>
  <si>
    <t>https://drive.google.com/open?id=173gl4YvH5iUk4xTd5UKJYtkDqyPVEOjA&amp;usp=drive_copy</t>
  </si>
  <si>
    <t>FPE170001970852_div.jpg</t>
  </si>
  <si>
    <t>170001956368</t>
  </si>
  <si>
    <t>https://drive.google.com/open?id=19pTyKF5AX4DWldIeup1fD3dJ6UheAqhG&amp;usp=drive_copy</t>
  </si>
  <si>
    <t>FPE170001956368_div.jpg</t>
  </si>
  <si>
    <t>170001914477</t>
  </si>
  <si>
    <t>https://drive.google.com/open?id=19rtSAKID8snqMlJZtbCWUm4JFS5hVtto&amp;usp=drive_copy</t>
  </si>
  <si>
    <t>FPE170001914477_div.jpg</t>
  </si>
  <si>
    <t>170001964412</t>
  </si>
  <si>
    <t>https://drive.google.com/open?id=1AIiUTn7dDD309yLkITKn_0852GxXptO0&amp;usp=drive_copy</t>
  </si>
  <si>
    <t>FPE170001964412_div.jpg</t>
  </si>
  <si>
    <t>170001915078</t>
  </si>
  <si>
    <t>https://drive.google.com/open?id=1AvYjLblYNuPPv3fwIAi7lcN7GImcSoyR&amp;usp=drive_copy</t>
  </si>
  <si>
    <t>FPE170001915078_div.jpeg</t>
  </si>
  <si>
    <t>170001950360</t>
  </si>
  <si>
    <t>https://drive.google.com/open?id=1BHA-DXjFO4LDqhOvNzV9vBdpHZzOasQk&amp;usp=drive_copy</t>
  </si>
  <si>
    <t>FPE170001950360_div.jpg</t>
  </si>
  <si>
    <t>170001976558</t>
  </si>
  <si>
    <t>https://drive.google.com/open?id=1F7sGMWW2dTRElGwUD8JDypngW3UPdZAE&amp;usp=drive_copy</t>
  </si>
  <si>
    <t>FPE170001976558_div.jpg</t>
  </si>
  <si>
    <t>170001952102</t>
  </si>
  <si>
    <t>https://drive.google.com/open?id=1FAyqJYuHUWw7CkE6z51T1F7BsqqC4ni8&amp;usp=drive_copy</t>
  </si>
  <si>
    <t>FPE170001952102_div.jpg</t>
  </si>
  <si>
    <t>170001929078</t>
  </si>
  <si>
    <t>https://drive.google.com/open?id=1FVB35aYWoVsunTt9qluc2KPsSRn7VTyM&amp;usp=drive_copy</t>
  </si>
  <si>
    <t>FPE170001929078_div.jpg</t>
  </si>
  <si>
    <t>170001950328</t>
  </si>
  <si>
    <t>https://drive.google.com/open?id=1GCQI_4WADQwr4-WXYH9yja49lR-v_zKM&amp;usp=drive_copy</t>
  </si>
  <si>
    <t>FPE170001950328_div.jpg</t>
  </si>
  <si>
    <t>170001962561</t>
  </si>
  <si>
    <t>https://drive.google.com/open?id=1GGOspEJxKjDIgIBRW1Mwi8k5-EYZJvh-&amp;usp=drive_copy</t>
  </si>
  <si>
    <t>FPE170001962561_div.jpg</t>
  </si>
  <si>
    <t>170001971191</t>
  </si>
  <si>
    <t>https://drive.google.com/open?id=1H2ITrpqijKP9i3nbWrMoLynXzXcTUeqD&amp;usp=drive_copy</t>
  </si>
  <si>
    <t>FPE170001971191_div.jpeg</t>
  </si>
  <si>
    <t>170001932452</t>
  </si>
  <si>
    <t>https://drive.google.com/open?id=1J4YGXEggQtwPtkjGpqNpPL9NXvpIqn50&amp;usp=drive_copy</t>
  </si>
  <si>
    <t>FPE170001932452_div.jpeg</t>
  </si>
  <si>
    <t>170001915130</t>
  </si>
  <si>
    <t>https://drive.google.com/open?id=1JLR_n8LJxCgzUlr-8XAO08Xr61Xa52oX&amp;usp=drive_copy</t>
  </si>
  <si>
    <t>FPE170001915130_div.jpg</t>
  </si>
  <si>
    <t>170001901003</t>
  </si>
  <si>
    <t>https://drive.google.com/open?id=1L8LxyVkFotSU5AjqnxxRtPEs5qL-MwcG&amp;usp=drive_copy</t>
  </si>
  <si>
    <t>FPE170001901003_div.jpeg</t>
  </si>
  <si>
    <t>170001950651</t>
  </si>
  <si>
    <t>https://drive.google.com/open?id=1NDLpE4TEyXzAmjNMwxMN4cf-Szt3zflq&amp;usp=drive_copy</t>
  </si>
  <si>
    <t>FPE170001950651_div.jpg</t>
  </si>
  <si>
    <t>170001915520</t>
  </si>
  <si>
    <t>https://drive.google.com/open?id=1OCzABevfq5FvvFV2JF4is-JVCYGd41sC&amp;usp=drive_copy</t>
  </si>
  <si>
    <t>FPE170001915520_div.jpg</t>
  </si>
  <si>
    <t>170001951713</t>
  </si>
  <si>
    <t>https://drive.google.com/open?id=1OI2beoA4yRsYyzjVt06wwQwthddByDNe&amp;usp=drive_copy</t>
  </si>
  <si>
    <t>FPE170001951713_div.jpg</t>
  </si>
  <si>
    <t>170001935254</t>
  </si>
  <si>
    <t>https://drive.google.com/open?id=1PLmXYeMssYJLzX8XAEOK6hW7UAnTeF1P&amp;usp=drive_copy</t>
  </si>
  <si>
    <t>FPE170001935254_div.jpg</t>
  </si>
  <si>
    <t>170001915613</t>
  </si>
  <si>
    <t>https://drive.google.com/open?id=1PUi2_9wRckrigjzSaMbuBJbBiBzBsHBZ&amp;usp=drive_copy</t>
  </si>
  <si>
    <t>FPE170001915613_div.jpg</t>
  </si>
  <si>
    <t>170001966789</t>
  </si>
  <si>
    <t>https://drive.google.com/open?id=1PktfxVGHxNPnElcadKWXWvIEXi9u8pP1&amp;usp=drive_copy</t>
  </si>
  <si>
    <t>FPE170001966789_div.jpeg</t>
  </si>
  <si>
    <t>170001928097</t>
  </si>
  <si>
    <t>https://drive.google.com/open?id=1PzaRN17yG_t8i91aUmtb7C5oHZExHOg3&amp;usp=drive_copy</t>
  </si>
  <si>
    <t>FPE170001928097_div.jpg</t>
  </si>
  <si>
    <t>170001915527</t>
  </si>
  <si>
    <t>https://drive.google.com/open?id=1QK1u21Cvlw509NRerCJKRsWK7g6v8H4y&amp;usp=drive_copy</t>
  </si>
  <si>
    <t>FPE170001915527_div.jpg</t>
  </si>
  <si>
    <t>170001943117</t>
  </si>
  <si>
    <t>https://drive.google.com/open?id=1QrIUHHL_SZ3uNQYkveSZHmc1aO3wLXX8&amp;usp=drive_copy</t>
  </si>
  <si>
    <t>FPE170001943117_div.jpg</t>
  </si>
  <si>
    <t>170001964114</t>
  </si>
  <si>
    <t>https://drive.google.com/open?id=1RE8bdu251KhZyWOnD-T62vvWyH5EsRSg&amp;usp=drive_copy</t>
  </si>
  <si>
    <t>FPE170001964114_div.jpg</t>
  </si>
  <si>
    <t>170001952819</t>
  </si>
  <si>
    <t>https://drive.google.com/open?id=1RioJ-ISvPv_pW9K6lD57tYUbm1QjhQEl&amp;usp=drive_copy</t>
  </si>
  <si>
    <t>FPE170001952819_div.jpg</t>
  </si>
  <si>
    <t>170001964200</t>
  </si>
  <si>
    <t>https://drive.google.com/open?id=1S36N_WYXASfSDd7jHWF1l8kwWe2bnDBL&amp;usp=drive_copy</t>
  </si>
  <si>
    <t>FPE170001964200_div.jpg</t>
  </si>
  <si>
    <t>170001967667</t>
  </si>
  <si>
    <t>https://drive.google.com/open?id=1S_dtz_Xly4Dw9YZ1g8ETbLRs4EoyrUTr&amp;usp=drive_copy</t>
  </si>
  <si>
    <t>FPE170001967667_div.jpg</t>
  </si>
  <si>
    <t>170001957299</t>
  </si>
  <si>
    <t>https://drive.google.com/open?id=1SodQsEGFq7EjNnK9vS4k_ksf0aPQDTsB&amp;usp=drive_copy</t>
  </si>
  <si>
    <t>FPE170001957299_div.jpg</t>
  </si>
  <si>
    <t>170001898062</t>
  </si>
  <si>
    <t>https://drive.google.com/open?id=1Te464DxdvcaAq0qSPzCJACHvKWDPgcoh&amp;usp=drive_copy</t>
  </si>
  <si>
    <t>FPE170001898062_div.jpg</t>
  </si>
  <si>
    <t>170001923837</t>
  </si>
  <si>
    <t>https://drive.google.com/open?id=1Tr5nRdLtLQd8SslXwkJCWhfZ7qX4Sxpk&amp;usp=drive_copy</t>
  </si>
  <si>
    <t>FPE170001923837_div.jpg</t>
  </si>
  <si>
    <t>170001914638</t>
  </si>
  <si>
    <t>https://drive.google.com/open?id=1UOGQMlAsnmJkhcJX1FyLv_Ek4KsgYd-d&amp;usp=drive_copy</t>
  </si>
  <si>
    <t>FPE170001914638_div.jpg</t>
  </si>
  <si>
    <t>170001976958</t>
  </si>
  <si>
    <t>https://drive.google.com/open?id=1VKXKBFrFjqYRBpjdfI1t__P9s9PBXVf2&amp;usp=drive_copy</t>
  </si>
  <si>
    <t>FPE170001976958_div.jpeg</t>
  </si>
  <si>
    <t>170001881155</t>
  </si>
  <si>
    <t>https://drive.google.com/open?id=1W2b15zqtj4n1O3TbL2mSgsEZWzmwUXvg&amp;usp=drive_copy</t>
  </si>
  <si>
    <t>FPE170001881155_div.jpg</t>
  </si>
  <si>
    <t>170001961317</t>
  </si>
  <si>
    <t>https://drive.google.com/open?id=1XruO3T_s_aRo3DU3vQxOyYzA-MtYMU3-&amp;usp=drive_copy</t>
  </si>
  <si>
    <t>FPE170001961317_div.jpg</t>
  </si>
  <si>
    <t>170001901200</t>
  </si>
  <si>
    <t>https://drive.google.com/open?id=1YKHR2Pf6Oik2bk0gtJrNo95sM2OvcOo0&amp;usp=drive_copy</t>
  </si>
  <si>
    <t>FPE170001901200_div.jpg</t>
  </si>
  <si>
    <t>170001923998</t>
  </si>
  <si>
    <t>https://drive.google.com/open?id=1YYrLMF7xTQzjcl44DEeWgYtg4rGhKgNj&amp;usp=drive_copy</t>
  </si>
  <si>
    <t>FPE170001923998_div.jpg</t>
  </si>
  <si>
    <t>170001938881</t>
  </si>
  <si>
    <t>https://drive.google.com/open?id=1_cUHTLAhFipDIKj5e3J4HqOwD8OtSF-A&amp;usp=drive_copy</t>
  </si>
  <si>
    <t>FPE170001938881_div.jpeg</t>
  </si>
  <si>
    <t>170001959444</t>
  </si>
  <si>
    <t>https://drive.google.com/open?id=1cUIpUryYAcRCX13wHAjisraMUlLMK7bh&amp;usp=drive_copy</t>
  </si>
  <si>
    <t>FPE170001959444_div.jpg</t>
  </si>
  <si>
    <t>170001915020</t>
  </si>
  <si>
    <t>https://drive.google.com/open?id=1cop31kWiZtCk_iPNVvdhgfVVMGpuSKj2&amp;usp=drive_copy</t>
  </si>
  <si>
    <t>FPE170001915020_div.jpeg</t>
  </si>
  <si>
    <t>170001939288</t>
  </si>
  <si>
    <t>https://drive.google.com/open?id=1d54uHfHcNj3tP4Jsxyun7sTeWijQFLmz&amp;usp=drive_copy</t>
  </si>
  <si>
    <t>FPE170001939288_div.jpeg</t>
  </si>
  <si>
    <t>170001970165</t>
  </si>
  <si>
    <t>https://drive.google.com/open?id=1dIpqGoSEQ7PoxTXBDbt-BPPv_81f2_ar&amp;usp=drive_copy</t>
  </si>
  <si>
    <t>FPE170001970165_div.jpg</t>
  </si>
  <si>
    <t>170001915530</t>
  </si>
  <si>
    <t>https://drive.google.com/open?id=1e9M7G0Ac2SWr9GfTs1uKkM0pzcFZAuj6&amp;usp=drive_copy</t>
  </si>
  <si>
    <t>FPE170001915530_div.jpg</t>
  </si>
  <si>
    <t>170001915023</t>
  </si>
  <si>
    <t>https://drive.google.com/open?id=1eT0fMnVWoqJHV0xh7rXleqbSHXsWR7fJ&amp;usp=drive_copy</t>
  </si>
  <si>
    <t>FPE170001915023_div.jpg</t>
  </si>
  <si>
    <t>170001936662</t>
  </si>
  <si>
    <t>https://drive.google.com/open?id=1evno0C7VC-J9LwuJqyEEJJfyt9leeWxD&amp;usp=drive_copy</t>
  </si>
  <si>
    <t>FPE170001936662_div.jpeg</t>
  </si>
  <si>
    <t>170001969495</t>
  </si>
  <si>
    <t>https://drive.google.com/open?id=1fN_KDlzDWJSeI-5_6zFku3Hwg_9lTGKr&amp;usp=drive_copy</t>
  </si>
  <si>
    <t>FPE170001969495_div.jpg</t>
  </si>
  <si>
    <t>170001949424</t>
  </si>
  <si>
    <t>https://drive.google.com/open?id=1fWkAO-YAsBvlX2kHYdtCdgH1IOmWVvl_&amp;usp=drive_copy</t>
  </si>
  <si>
    <t>FPE170001949424_div.jpg</t>
  </si>
  <si>
    <t>170001920971</t>
  </si>
  <si>
    <t>https://drive.google.com/open?id=1fh1Ed4k3O0Wnm6cyEMa4LpZmPL5-o_Nm&amp;usp=drive_copy</t>
  </si>
  <si>
    <t>FPE170001920971_div.jpg</t>
  </si>
  <si>
    <t>170001971416</t>
  </si>
  <si>
    <t>https://drive.google.com/open?id=1fk2gXQWpcf1aPWntPtrrxJGGXPOZXSqf&amp;usp=drive_copy</t>
  </si>
  <si>
    <t>FPE170001971416_div.jpg</t>
  </si>
  <si>
    <t>170001954882</t>
  </si>
  <si>
    <t>https://drive.google.com/open?id=1fxsI6JhzjkJk_hAwsSqA6KrnqvGNHg4a&amp;usp=drive_copy</t>
  </si>
  <si>
    <t>FPE170001954882_div.jpeg</t>
  </si>
  <si>
    <t>170001966777</t>
  </si>
  <si>
    <t>https://drive.google.com/open?id=1gFKuS-gsb3ZDKx-gqIBgHItgFQEHhgzu&amp;usp=drive_copy</t>
  </si>
  <si>
    <t>FPE170001966777_div.jpg</t>
  </si>
  <si>
    <t>170001952117</t>
  </si>
  <si>
    <t>https://drive.google.com/open?id=1gFQvxWWrcMLZjb4hCr2wZN7ky75ujRht&amp;usp=drive_copy</t>
  </si>
  <si>
    <t>FPE170001952117_div.jpg</t>
  </si>
  <si>
    <t>170001914508</t>
  </si>
  <si>
    <t>https://drive.google.com/open?id=1gPITRWZjYjtwxs88CLPTKgC-P13zDuuR&amp;usp=drive_copy</t>
  </si>
  <si>
    <t>FPE170001914508_div.jpg</t>
  </si>
  <si>
    <t>170001938923</t>
  </si>
  <si>
    <t>https://drive.google.com/open?id=1i9ahSYUWLmVGs34jk9P1HmDyuwJUniXe&amp;usp=drive_copy</t>
  </si>
  <si>
    <t>FPE170001938923_div.jpeg</t>
  </si>
  <si>
    <t>170001950325</t>
  </si>
  <si>
    <t>https://drive.google.com/open?id=1jD2WS-Bv77ZK76wXbV_a3O4SRux2dcHT&amp;usp=drive_copy</t>
  </si>
  <si>
    <t>FPE170001950325_div.jpg</t>
  </si>
  <si>
    <t>170001968178</t>
  </si>
  <si>
    <t>https://drive.google.com/open?id=1jIfvFB4EB4VCMS3xbIKAsR6x5QbtDg5J&amp;usp=drive_copy</t>
  </si>
  <si>
    <t>FPE170001968178_div.jpg</t>
  </si>
  <si>
    <t>170001917497</t>
  </si>
  <si>
    <t>https://drive.google.com/open?id=1jLrARiF9X49KqJQPDH-sdcyf7VtMm0DU&amp;usp=drive_copy</t>
  </si>
  <si>
    <t>FPE170001917497_div.jpg</t>
  </si>
  <si>
    <t>170001914660</t>
  </si>
  <si>
    <t>https://drive.google.com/open?id=1jwFOJLhbrNz0cbT00ZAbGoxVwN-OREjz&amp;usp=drive_copy</t>
  </si>
  <si>
    <t>FPE170001914660_div.jpeg</t>
  </si>
  <si>
    <t>170001935054</t>
  </si>
  <si>
    <t>https://drive.google.com/open?id=1k0v0gZV2POnFxGyydPNS4AqNKLeOHViM&amp;usp=drive_copy</t>
  </si>
  <si>
    <t>FPE170001935054_div.jpg</t>
  </si>
  <si>
    <t>170001962171</t>
  </si>
  <si>
    <t>https://drive.google.com/open?id=1ka4lPQLBfBLsbgLj0VOnhua20a0zVaSi&amp;usp=drive_copy</t>
  </si>
  <si>
    <t>FPE170001962171_div.jpeg</t>
  </si>
  <si>
    <t>170001973565</t>
  </si>
  <si>
    <t>https://drive.google.com/open?id=1m4L3KfeEEmyiEDjV3tbIy54r_Ji1fYBt&amp;usp=drive_copy</t>
  </si>
  <si>
    <t>FPE170001973565_div.jpg</t>
  </si>
  <si>
    <t>170001966638</t>
  </si>
  <si>
    <t>https://drive.google.com/open?id=1mxI7USGVvCEX6I4_SqwbuQZctPgy9tyh&amp;usp=drive_copy</t>
  </si>
  <si>
    <t>FPE170001966638_div.jpg</t>
  </si>
  <si>
    <t>170001966718</t>
  </si>
  <si>
    <t>https://drive.google.com/open?id=1oZQZgTw9ou4kpg6MVZA8fwr5d69hsg8z&amp;usp=drive_copy</t>
  </si>
  <si>
    <t>FPE170001966718_div.jpg</t>
  </si>
  <si>
    <t>170001944672</t>
  </si>
  <si>
    <t>https://drive.google.com/open?id=1o_jdMZJBzQ9yaSRJfwc3lnc0KQM4n6CB&amp;usp=drive_copy</t>
  </si>
  <si>
    <t>FPE170001944672_div.jpg</t>
  </si>
  <si>
    <t>170001926093</t>
  </si>
  <si>
    <t>https://drive.google.com/open?id=1pkgifQujE_VLL0DaBVhGr3j54Fr8fbea&amp;usp=drive_copy</t>
  </si>
  <si>
    <t>FPE170001926093_div.jpg</t>
  </si>
  <si>
    <t>170001935803</t>
  </si>
  <si>
    <t>https://drive.google.com/open?id=1s28KZyqsRkfQ-Dq7pm3-CzZywKyCPPGC&amp;usp=drive_copy</t>
  </si>
  <si>
    <t>FPE170001935803_div.jpg</t>
  </si>
  <si>
    <t>170001917212</t>
  </si>
  <si>
    <t>https://drive.google.com/open?id=1soB4Je467d8WNavP4YkTcAcJWDeAifBt&amp;usp=drive_copy</t>
  </si>
  <si>
    <t>FPE170001917212_div.jpg</t>
  </si>
  <si>
    <t>170001971420</t>
  </si>
  <si>
    <t>https://drive.google.com/open?id=1teuKbpYF2knWu-CVWpN5G7SD1grswRmz&amp;usp=drive_copy</t>
  </si>
  <si>
    <t>FPE170001971420_div.jpeg</t>
  </si>
  <si>
    <t>170001963700</t>
  </si>
  <si>
    <t>https://drive.google.com/open?id=1vPAdqSRVqi-g8cAwp7K_djtUwth2nzwX&amp;usp=drive_copy</t>
  </si>
  <si>
    <t>FPE170001963700_div.jpg</t>
  </si>
  <si>
    <t>170001926545</t>
  </si>
  <si>
    <t>https://drive.google.com/open?id=1vt8guyP4YKkM5N1KR1vxGa0z_Uhb1pxK&amp;usp=drive_copy</t>
  </si>
  <si>
    <t>FPE170001926545_div.jpg</t>
  </si>
  <si>
    <t>170001972777</t>
  </si>
  <si>
    <t>https://drive.google.com/open?id=1xHNwfrYUZ6nm53Aki_IzwYHCw_hA-S3R&amp;usp=drive_copy</t>
  </si>
  <si>
    <t>FPE170001972777_div.jpeg</t>
  </si>
  <si>
    <t>170001898654</t>
  </si>
  <si>
    <t>https://drive.google.com/open?id=1xMjh-L9X7qlramteYmZclKoi71lw-rqu&amp;usp=drive_copy</t>
  </si>
  <si>
    <t>FPE170001898654_div.jpg</t>
  </si>
  <si>
    <t>170001919561</t>
  </si>
  <si>
    <t>https://drive.google.com/open?id=1yTMJOYC58-xDeKjiNcTOKKnOoB1O062x&amp;usp=drive_copy</t>
  </si>
  <si>
    <t>FPE170001919561_div.jpg</t>
  </si>
  <si>
    <t>170002025050</t>
  </si>
  <si>
    <t>https://drive.google.com/open?id=1-JWx_8YERUxKrSNU1EFHbrhMfOaFhmjU&amp;usp=drive_copy</t>
  </si>
  <si>
    <t>FPE170002025050_div.jpg</t>
  </si>
  <si>
    <t>170002024403</t>
  </si>
  <si>
    <t>https://drive.google.com/open?id=10-R6VLuUVNBrooRPeY29O-M_1_-XP0lT&amp;usp=drive_copy</t>
  </si>
  <si>
    <t>FPE170002024403_div.jpg</t>
  </si>
  <si>
    <t>170001993154</t>
  </si>
  <si>
    <t>https://drive.google.com/open?id=100T8Lz-IQJdlAyXq9RHdAtVjQNy3XvJc&amp;usp=drive_copy</t>
  </si>
  <si>
    <t>FPE170001993154_div.jpeg</t>
  </si>
  <si>
    <t>170002050326</t>
  </si>
  <si>
    <t>https://drive.google.com/open?id=10INM-sHS2D_w_MKXXTFGvrmDxIktndSY&amp;usp=drive_copy</t>
  </si>
  <si>
    <t>FPE170002050326_div.jpeg</t>
  </si>
  <si>
    <t>170001991266</t>
  </si>
  <si>
    <t>https://drive.google.com/open?id=10tFBnqP5O15HyQD6HT-31i6NwXyzKUi7&amp;usp=drive_copy</t>
  </si>
  <si>
    <t>FPE170001991266_div.jpg</t>
  </si>
  <si>
    <t>170001991395</t>
  </si>
  <si>
    <t>https://drive.google.com/open?id=118kfDiRu05FuiQhet1oHnCm9DMTZGTHc&amp;usp=drive_copy</t>
  </si>
  <si>
    <t>FPE170001991395_div.jpg</t>
  </si>
  <si>
    <t>170002014473</t>
  </si>
  <si>
    <t>https://drive.google.com/open?id=11GmB93zVfCQzjqqL0OE3EmDn38uLM_zv&amp;usp=drive_copy</t>
  </si>
  <si>
    <t>FPE170002014473_div.jpg</t>
  </si>
  <si>
    <t>170002021592</t>
  </si>
  <si>
    <t>https://drive.google.com/open?id=11ZPPEtkEbYgDfynBKYuvsCwEcePYrdMO&amp;usp=drive_copy</t>
  </si>
  <si>
    <t>FPE170002021592_div.jpeg</t>
  </si>
  <si>
    <t>170002025286</t>
  </si>
  <si>
    <t>https://drive.google.com/open?id=131XRefa5kYjFkyszs66ciP7_bYOMu6gj&amp;usp=drive_copy</t>
  </si>
  <si>
    <t>FPE170002025286_div.jpg</t>
  </si>
  <si>
    <t>170002019861</t>
  </si>
  <si>
    <t>https://drive.google.com/open?id=13LaKkRyM75uhpz8pdnG1cdEti1QimxCo&amp;usp=drive_copy</t>
  </si>
  <si>
    <t>FPE170002019861_div.jpg</t>
  </si>
  <si>
    <t>170002047824</t>
  </si>
  <si>
    <t>https://drive.google.com/open?id=13QWiuJ6Hak-aic4K4rIfvFyLQAI6s8dN&amp;usp=drive_copy</t>
  </si>
  <si>
    <t>FPE170002047824_div.jpg</t>
  </si>
  <si>
    <t>170002053893</t>
  </si>
  <si>
    <t>https://drive.google.com/open?id=13iqHT3Ky5h-3k7JOH6sykdrz5NPzb7zk&amp;usp=drive_copy</t>
  </si>
  <si>
    <t>FPE170002053893_div.jpeg</t>
  </si>
  <si>
    <t>170002058900</t>
  </si>
  <si>
    <t>https://drive.google.com/open?id=14EGIrhuKg_U-79gcQWdWXZoLvDUftOgQ&amp;usp=drive_copy</t>
  </si>
  <si>
    <t>FPE170002058900_div.jpg</t>
  </si>
  <si>
    <t>170002042780</t>
  </si>
  <si>
    <t>https://drive.google.com/open?id=14SoBj-dgzbZ_qiyXbUeAxrm5lMYRGfP_&amp;usp=drive_copy</t>
  </si>
  <si>
    <t>FPE170002042780_div.jpg</t>
  </si>
  <si>
    <t>170002005863</t>
  </si>
  <si>
    <t>https://drive.google.com/open?id=151enPwY6JWkW1zXncFjUhf6HTeHAfOC3&amp;usp=drive_copy</t>
  </si>
  <si>
    <t>FPE170002005863_div.jpg</t>
  </si>
  <si>
    <t>170002040772</t>
  </si>
  <si>
    <t>https://drive.google.com/open?id=16Onua8ZSfFR8CQkV58rvCNOGldKEsa1Y&amp;usp=drive_copy</t>
  </si>
  <si>
    <t>FPE170002040772_div.jpg</t>
  </si>
  <si>
    <t>170002040294</t>
  </si>
  <si>
    <t>https://drive.google.com/open?id=17M3l57k3NU5GjbB60yLK7QyVoYxPbjs_&amp;usp=drive_copy</t>
  </si>
  <si>
    <t>FPE170002040294_div.jpg</t>
  </si>
  <si>
    <t>170002042879</t>
  </si>
  <si>
    <t>https://drive.google.com/open?id=17VJKjdUccQcZ-s22iusHS7E7L94LcRbX&amp;usp=drive_copy</t>
  </si>
  <si>
    <t>FPE170002042879_div.jpeg</t>
  </si>
  <si>
    <t>170002043917</t>
  </si>
  <si>
    <t>https://drive.google.com/open?id=18NR82UTfWsnplDjvCbG93f3uQfaxzXmZ&amp;usp=drive_copy</t>
  </si>
  <si>
    <t>FPE170002043917_div.jpg</t>
  </si>
  <si>
    <t>170002004102</t>
  </si>
  <si>
    <t>https://drive.google.com/open?id=19AD2dJaqdroptd58CMXA0yAnYLhsJ-LN&amp;usp=drive_copy</t>
  </si>
  <si>
    <t>FPE170002004102_div.jpg</t>
  </si>
  <si>
    <t>170002043965</t>
  </si>
  <si>
    <t>https://drive.google.com/open?id=19UmrkwAqX8n87quVCztOpB4vFT7Mc8Ml&amp;usp=drive_copy</t>
  </si>
  <si>
    <t>FPE170002043965_div.jpg</t>
  </si>
  <si>
    <t>170001983397</t>
  </si>
  <si>
    <t>https://drive.google.com/open?id=1AHrMJykTqheCM43_CSgP-7wsTsuaj223&amp;usp=drive_copy</t>
  </si>
  <si>
    <t>FPE170001983397_div.jpg</t>
  </si>
  <si>
    <t>170002043192</t>
  </si>
  <si>
    <t>https://drive.google.com/open?id=1AW0NY7h3UtTnDE8_ljZVi8Esm0ZZbuop&amp;usp=drive_copy</t>
  </si>
  <si>
    <t>FPE170002043192_div.jpg</t>
  </si>
  <si>
    <t>170002008948</t>
  </si>
  <si>
    <t>https://drive.google.com/open?id=1BTmeQsiy1VBiimhsi7Gh4QyvuUx2Z3LW&amp;usp=drive_copy</t>
  </si>
  <si>
    <t>FPE170002008948_div.jpeg</t>
  </si>
  <si>
    <t>170002024464</t>
  </si>
  <si>
    <t>https://drive.google.com/open?id=1By3p-ZZ8sR2Ons5btlm9nJV-YYgUYZUe&amp;usp=drive_copy</t>
  </si>
  <si>
    <t>FPE170002024464_div.jpg</t>
  </si>
  <si>
    <t>170002008806</t>
  </si>
  <si>
    <t>https://drive.google.com/open?id=1CL_UJ_Ub2eLPwFba-__pwSdFpxxKeWJz&amp;usp=drive_copy</t>
  </si>
  <si>
    <t>FPE170002008806_div.jpg</t>
  </si>
  <si>
    <t>170002045272</t>
  </si>
  <si>
    <t>https://drive.google.com/open?id=1DDbfj9B1LglbyjOkSbRBldXNs7JQbQyl&amp;usp=drive_copy</t>
  </si>
  <si>
    <t>FPE170002045272_div.jpg</t>
  </si>
  <si>
    <t>170002008393</t>
  </si>
  <si>
    <t>https://drive.google.com/open?id=1DK9p5EarXWQjOGNP439sn3p-6o_uhZOF&amp;usp=drive_copy</t>
  </si>
  <si>
    <t>FPE170002008393_div.jpeg</t>
  </si>
  <si>
    <t>170002041733</t>
  </si>
  <si>
    <t>https://drive.google.com/open?id=1DQBl2dZRh1yEEM1xcM4XF2QwfKd4F74Z&amp;usp=drive_copy</t>
  </si>
  <si>
    <t>FPE170002041733_div.jpg</t>
  </si>
  <si>
    <t>170001988981</t>
  </si>
  <si>
    <t>https://drive.google.com/open?id=1Dwf5MljdNEixpFoT0scBvX8Pr9xfG53m&amp;usp=drive_copy</t>
  </si>
  <si>
    <t>FPE170001988981_div.jpg</t>
  </si>
  <si>
    <t>170002036477</t>
  </si>
  <si>
    <t>https://drive.google.com/open?id=1F_uudYog84IdNujWO8-oHwJu6J3sj33k&amp;usp=drive_copy</t>
  </si>
  <si>
    <t>FPE170002036477_div.jpg</t>
  </si>
  <si>
    <t>170002049995</t>
  </si>
  <si>
    <t>https://drive.google.com/open?id=1FaIwAVsv0Mn4YXfhGUd-96_CidSVPDoB&amp;usp=drive_copy</t>
  </si>
  <si>
    <t>FPE170002049995_div.jpg</t>
  </si>
  <si>
    <t>170001994188</t>
  </si>
  <si>
    <t>https://drive.google.com/open?id=1G1Cly82L5pfLWiEbV8AlBAfW70FZpfmz&amp;usp=drive_copy</t>
  </si>
  <si>
    <t>FPE170001994188_div.jpeg</t>
  </si>
  <si>
    <t>170002007983</t>
  </si>
  <si>
    <t>https://drive.google.com/open?id=1GQphO3DQrcHpeYiIL5nEwqvQALCiZ8yJ&amp;usp=drive_copy</t>
  </si>
  <si>
    <t>FPE170002007983_div.jpeg</t>
  </si>
  <si>
    <t>170002037104</t>
  </si>
  <si>
    <t>https://drive.google.com/open?id=1Hhha8dRukg9G1Igypg_W7jXRZNGbpsOe&amp;usp=drive_copy</t>
  </si>
  <si>
    <t>FPE170002037104_div.jpeg</t>
  </si>
  <si>
    <t>170002048554</t>
  </si>
  <si>
    <t>https://drive.google.com/open?id=1Ihdo3xMyXcYSZyTIFtDi8PqJDNe_tkrP&amp;usp=drive_copy</t>
  </si>
  <si>
    <t>FPE170002048554_div.jpg</t>
  </si>
  <si>
    <t>170002014908</t>
  </si>
  <si>
    <t>https://drive.google.com/open?id=1IlM6yanrpJ2cqbpG58tnunL6fEcPAmOT&amp;usp=drive_copy</t>
  </si>
  <si>
    <t>FPE170002014908_div.jpeg</t>
  </si>
  <si>
    <t>170002025062</t>
  </si>
  <si>
    <t>https://drive.google.com/open?id=1IvrRGypM6b1joE9U2-0wd7RzLNiQTbvD&amp;usp=drive_copy</t>
  </si>
  <si>
    <t>FPE170002025062_div.jpg</t>
  </si>
  <si>
    <t>170001983459</t>
  </si>
  <si>
    <t>https://drive.google.com/open?id=1KXQU1P6TmickbfiNgekZhVQMpn7DFhiq&amp;usp=drive_copy</t>
  </si>
  <si>
    <t>FPE170001983459_div.jpg</t>
  </si>
  <si>
    <t>170002021453</t>
  </si>
  <si>
    <t>https://drive.google.com/open?id=1Ky4akLVyGqLYvaE0zBErh8wP0HlfUCUL&amp;usp=drive_copy</t>
  </si>
  <si>
    <t>FPE170002021453_div.jpg</t>
  </si>
  <si>
    <t>170001989220</t>
  </si>
  <si>
    <t>https://drive.google.com/open?id=1LwmO9-vVNKhkd1r0xpsdZ4aTfXp1Zd6k&amp;usp=drive_copy</t>
  </si>
  <si>
    <t>FPE170001989220_div.jpg</t>
  </si>
  <si>
    <t>170001980448</t>
  </si>
  <si>
    <t>https://drive.google.com/open?id=1MJFM8r3OWb8CgSh5M3wPAawWu7zJXuwh&amp;usp=drive_copy</t>
  </si>
  <si>
    <t>FPE170001980448_div.jpg</t>
  </si>
  <si>
    <t>170002014777</t>
  </si>
  <si>
    <t>https://drive.google.com/open?id=1MiKZGVB5fJYFcKOtSDVx48sRYkFmImJH&amp;usp=drive_copy</t>
  </si>
  <si>
    <t>FPE170002014777_div.jpg</t>
  </si>
  <si>
    <t>170002010774</t>
  </si>
  <si>
    <t>https://drive.google.com/open?id=1Og91zk3y9o4Y8HdtQFcNz32TlKm48NG6&amp;usp=drive_copy</t>
  </si>
  <si>
    <t>FPE170002010774_div.jpg</t>
  </si>
  <si>
    <t>170002016727</t>
  </si>
  <si>
    <t>https://drive.google.com/open?id=1QI8I4t8rrBKOaFjdt9tERRovVSSVrkBL&amp;usp=drive_copy</t>
  </si>
  <si>
    <t>FPE170002016727_div.jpg</t>
  </si>
  <si>
    <t>170002014738</t>
  </si>
  <si>
    <t>https://drive.google.com/open?id=1RRkvxCb3RZjwnKxGAJRA0TqkIGrqXNGc&amp;usp=drive_copy</t>
  </si>
  <si>
    <t>FPE170002014738_div.jpeg</t>
  </si>
  <si>
    <t>170001996711</t>
  </si>
  <si>
    <t>https://drive.google.com/open?id=1RtbEHZyUe-_2EuwUCaPan_rUHOSGS2rN&amp;usp=drive_copy</t>
  </si>
  <si>
    <t>FPE170001996711_div.jpg</t>
  </si>
  <si>
    <t>170002031392</t>
  </si>
  <si>
    <t>https://drive.google.com/open?id=1S79rsI8QH99mdthA_jB4lGAxD2BgX98u&amp;usp=drive_copy</t>
  </si>
  <si>
    <t>FPE170002031392_div.jpeg</t>
  </si>
  <si>
    <t>170001980384</t>
  </si>
  <si>
    <t>https://drive.google.com/open?id=1SHDW6MrLu1aBIsNixpWeLPtzjw86ogWw&amp;usp=drive_copy</t>
  </si>
  <si>
    <t>FPE170001980384_div.jpg</t>
  </si>
  <si>
    <t>170001985447</t>
  </si>
  <si>
    <t>https://drive.google.com/open?id=1SyIsu79Ni5tqiHOfFMHLRckrNrW2xPe7&amp;usp=drive_copy</t>
  </si>
  <si>
    <t>FPE170001985447_div.jpg</t>
  </si>
  <si>
    <t>170002020188</t>
  </si>
  <si>
    <t>https://drive.google.com/open?id=1TExIi9jIZrzulGYggftj39JtNQSues7Y&amp;usp=drive_copy</t>
  </si>
  <si>
    <t>FPE170002020188_div.jpg</t>
  </si>
  <si>
    <t>170002036231</t>
  </si>
  <si>
    <t>https://drive.google.com/open?id=1USEyRAxBIRJHlAHNmhSCU6tXnzsylJrI&amp;usp=drive_copy</t>
  </si>
  <si>
    <t>FPE170002036231_div.jpeg</t>
  </si>
  <si>
    <t>170001982770</t>
  </si>
  <si>
    <t>https://drive.google.com/open?id=1UgqybeF9yg4eFmkL9qdTYqkMU9CWkhOu&amp;usp=drive_copy</t>
  </si>
  <si>
    <t>FPE170001982770_div.jpg</t>
  </si>
  <si>
    <t>170002036647</t>
  </si>
  <si>
    <t>https://drive.google.com/open?id=1Vk83k9iS9C8_ByIUjMBV_2RdcjrJ4MYx&amp;usp=drive_copy</t>
  </si>
  <si>
    <t>FPE170002036647_div.jpeg</t>
  </si>
  <si>
    <t>170002040610</t>
  </si>
  <si>
    <t>https://drive.google.com/open?id=1W2k5aovxdO4wo-nstJlswLCZxk9dxPlS&amp;usp=drive_copy</t>
  </si>
  <si>
    <t>FPE170002040610_div.jpg</t>
  </si>
  <si>
    <t>170002008292</t>
  </si>
  <si>
    <t>https://drive.google.com/open?id=1Ws2y9qCL927uNkDdfgh0K1x9K8AcqPSh&amp;usp=drive_copy</t>
  </si>
  <si>
    <t>FPE170002008292_div.jpeg</t>
  </si>
  <si>
    <t>170002041894</t>
  </si>
  <si>
    <t>https://drive.google.com/open?id=1X67No_qs49pkrpo5EShpJzI0wyKDLO7W&amp;usp=drive_copy</t>
  </si>
  <si>
    <t>FPE170002041894_div.jpg</t>
  </si>
  <si>
    <t>170002042882</t>
  </si>
  <si>
    <t>https://drive.google.com/open?id=1Y8GWSBmHuYqz_siQ0pYxQ9rPrtbm16ur&amp;usp=drive_copy</t>
  </si>
  <si>
    <t>FPE170002042882_div.jpg</t>
  </si>
  <si>
    <t>170002025621</t>
  </si>
  <si>
    <t>https://drive.google.com/open?id=1YS5mwoRLPst1wESeZ_A_P13oHApCFlLJ&amp;usp=drive_copy</t>
  </si>
  <si>
    <t>FPE170002025621_div.jpeg</t>
  </si>
  <si>
    <t>170002040024</t>
  </si>
  <si>
    <t>https://drive.google.com/open?id=1ZGojqf1a09v2KWB1MnwOQXT6hHkG0X5h&amp;usp=drive_copy</t>
  </si>
  <si>
    <t>FPE170002040024_div.jpg</t>
  </si>
  <si>
    <t>170002006148</t>
  </si>
  <si>
    <t>https://drive.google.com/open?id=1ZmX7deF1XUzSRWEZtEZPmc4ZwpmaDOFy&amp;usp=drive_copy</t>
  </si>
  <si>
    <t>FPE170002006148_div.jpg</t>
  </si>
  <si>
    <t>170002005234</t>
  </si>
  <si>
    <t>https://drive.google.com/open?id=1ZnCdWIt1aDztu8I6lnUDzyYZ2X0i4YqM&amp;usp=drive_copy</t>
  </si>
  <si>
    <t>FPE170002005234_div.jpg</t>
  </si>
  <si>
    <t>170002019347</t>
  </si>
  <si>
    <t>https://drive.google.com/open?id=1_AWBfdkGkbGx6JZe3ut9DJdi2i2lmzSo&amp;usp=drive_copy</t>
  </si>
  <si>
    <t>FPE170002019347_div.jpg</t>
  </si>
  <si>
    <t>170002054536</t>
  </si>
  <si>
    <t>https://drive.google.com/open?id=1_Cco-avbGczsln4lVSOCFWvNvXQU9BOK&amp;usp=drive_copy</t>
  </si>
  <si>
    <t>FPE170002054536_div.jpg</t>
  </si>
  <si>
    <t>170002035841</t>
  </si>
  <si>
    <t>https://drive.google.com/open?id=1_kzggvW8e7yyEvIji2ECt6Fr_z1ghfc8&amp;usp=drive_copy</t>
  </si>
  <si>
    <t>FPE170002035841_div.jpg</t>
  </si>
  <si>
    <t>170002006089</t>
  </si>
  <si>
    <t>https://drive.google.com/open?id=1_vsvil2I_qul5uXYvAsZjT6QR2WgfNDK&amp;usp=drive_copy</t>
  </si>
  <si>
    <t>FPE170002006089_div.jpg</t>
  </si>
  <si>
    <t>170002043676</t>
  </si>
  <si>
    <t>https://drive.google.com/open?id=1aJfXH-Cmg15JOess_Tsg_15Oo9tfo8Ba&amp;usp=drive_copy</t>
  </si>
  <si>
    <t>FPE170002043676_div.jpg</t>
  </si>
  <si>
    <t>170002042529</t>
  </si>
  <si>
    <t>https://drive.google.com/open?id=1aPFA1ipovoAmOeqGs3vrObldoOkGEXXa&amp;usp=drive_copy</t>
  </si>
  <si>
    <t>FPE170002042529_div.jpg</t>
  </si>
  <si>
    <t>170002041606</t>
  </si>
  <si>
    <t>https://drive.google.com/open?id=1b6vsO4P3AYR3Ipl-vJNBo9PuVy3QFW5Y&amp;usp=drive_copy</t>
  </si>
  <si>
    <t>FPE170002041606_div.jpg</t>
  </si>
  <si>
    <t>170002004926</t>
  </si>
  <si>
    <t>https://drive.google.com/open?id=1b8MV5U-xAhXbFSDZz4jw7k9w_KdirYWB&amp;usp=drive_copy</t>
  </si>
  <si>
    <t>FPE170002004926_div.jpg</t>
  </si>
  <si>
    <t>170001982771</t>
  </si>
  <si>
    <t>https://drive.google.com/open?id=1bAiyuwYrLqQb5M-ObZXWT_-N4FGa4N81&amp;usp=drive_copy</t>
  </si>
  <si>
    <t>FPE170001982771_div.jpg</t>
  </si>
  <si>
    <t>170002044256</t>
  </si>
  <si>
    <t>https://drive.google.com/open?id=1bMGEkqVMUGWkrgg1AIuY5FB-YNQkOCMZ&amp;usp=drive_copy</t>
  </si>
  <si>
    <t>FPE170002044256_div.jpg</t>
  </si>
  <si>
    <t>170001991551</t>
  </si>
  <si>
    <t>https://drive.google.com/open?id=1bTiBjWKrbQNNR5BqdMBrNve2-feukcAz&amp;usp=drive_copy</t>
  </si>
  <si>
    <t>FPE170001991551_div.jpg</t>
  </si>
  <si>
    <t>170002038445</t>
  </si>
  <si>
    <t>https://drive.google.com/open?id=1bf0lcDLyenJ3wlSD7hAjVrGtHN24NdX1&amp;usp=drive_copy</t>
  </si>
  <si>
    <t>FPE170002038445_div.jpg</t>
  </si>
  <si>
    <t>170002007588</t>
  </si>
  <si>
    <t>https://drive.google.com/open?id=1bgtFERbggzxbt_d6E6uMotAs7OApFsn7&amp;usp=drive_copy</t>
  </si>
  <si>
    <t>FPE170002007588_div.jpg</t>
  </si>
  <si>
    <t>170001983313</t>
  </si>
  <si>
    <t>https://drive.google.com/open?id=1c6Fw9D2YJHTyCt1VJ2S-8GOwwM2B0MO9&amp;usp=drive_copy</t>
  </si>
  <si>
    <t>FPE170001983313_div.jpg</t>
  </si>
  <si>
    <t>170002043968</t>
  </si>
  <si>
    <t>https://drive.google.com/open?id=1cEiC7UPQILwENrWb95j_ky4V2pY_Z1Cd&amp;usp=drive_copy</t>
  </si>
  <si>
    <t>FPE170002043968_div.jpg</t>
  </si>
  <si>
    <t>170001986841</t>
  </si>
  <si>
    <t>https://drive.google.com/open?id=1caR12p_TeY_U0jNWvRWY0n5OAfJNgcqe&amp;usp=drive_copy</t>
  </si>
  <si>
    <t>FPE170001986841_div.jpg</t>
  </si>
  <si>
    <t>170002059076</t>
  </si>
  <si>
    <t>https://drive.google.com/open?id=1eBu9pN3bZ9QWsLhWr3EWQdbSSKxO5f5y&amp;usp=drive_copy</t>
  </si>
  <si>
    <t>FPE170002059076_div.jpeg</t>
  </si>
  <si>
    <t>170002054153</t>
  </si>
  <si>
    <t>https://drive.google.com/open?id=1e_ViTWOXwP-qothCqK3utZPnkIzKCDOl&amp;usp=drive_copy</t>
  </si>
  <si>
    <t>FPE170002054153_div.jpg</t>
  </si>
  <si>
    <t>170002021666</t>
  </si>
  <si>
    <t>https://drive.google.com/open?id=1fRylZI7OlsD53CMsSNwUT4vxjgMKZI6X&amp;usp=drive_copy</t>
  </si>
  <si>
    <t>FPE170002021666_div.jpg</t>
  </si>
  <si>
    <t>170002039877</t>
  </si>
  <si>
    <t>https://drive.google.com/open?id=1gxjHHESIJQSm0VTwUWxfmWyMRphARV1J&amp;usp=drive_copy</t>
  </si>
  <si>
    <t>FPE170002039877_div.jpg</t>
  </si>
  <si>
    <t>170002043210</t>
  </si>
  <si>
    <t>https://drive.google.com/open?id=1h5Jk1alytc0T9wbVV3OiAEY9llp6Z7CZ&amp;usp=drive_copy</t>
  </si>
  <si>
    <t>FPE170002043210_div.jpg</t>
  </si>
  <si>
    <t>170001981434</t>
  </si>
  <si>
    <t>https://drive.google.com/open?id=1hXvGlSi-pqpoNRPAuy7A-6Ly2rpb6Wjq&amp;usp=drive_copy</t>
  </si>
  <si>
    <t>FPE170001981434_div.jpg</t>
  </si>
  <si>
    <t>170002050826</t>
  </si>
  <si>
    <t>https://drive.google.com/open?id=1i6kNYGc6lv8Jw1Fr4JflsXePmfOcWiD1&amp;usp=drive_copy</t>
  </si>
  <si>
    <t>FPE170002050826_div.jpg</t>
  </si>
  <si>
    <t>170001991428</t>
  </si>
  <si>
    <t>https://drive.google.com/open?id=1iHKOLe-mXkB-DxQ2YhpnZi9uNwkQn4VR&amp;usp=drive_copy</t>
  </si>
  <si>
    <t>FPE170001991428_div.jpg</t>
  </si>
  <si>
    <t>170002006596</t>
  </si>
  <si>
    <t>https://drive.google.com/open?id=1j0EpH-BqoMEYzSV7qSqh4nCehzf9V4km&amp;usp=drive_copy</t>
  </si>
  <si>
    <t>FPE170002006596_div.jpg</t>
  </si>
  <si>
    <t>170001980291</t>
  </si>
  <si>
    <t>https://drive.google.com/open?id=1jFYIXkXYS8c7-ylIh5NNDoM_yoyn892L&amp;usp=drive_copy</t>
  </si>
  <si>
    <t>FPE170001980291_div.jpg</t>
  </si>
  <si>
    <t>170002006130</t>
  </si>
  <si>
    <t>https://drive.google.com/open?id=1jN1e2Oxue7YB-iOfiovTpZvbBNDyNtnC&amp;usp=drive_copy</t>
  </si>
  <si>
    <t>FPE170002006130_div.jpg</t>
  </si>
  <si>
    <t>170002019876</t>
  </si>
  <si>
    <t>https://drive.google.com/open?id=1jYZJBasH6pDVQgxPXrqI63KRBwqGS2k_&amp;usp=drive_copy</t>
  </si>
  <si>
    <t>FPE170002019876_div.jpg</t>
  </si>
  <si>
    <t>170002026111</t>
  </si>
  <si>
    <t>https://drive.google.com/open?id=1jcY4TRcrjjKpGMYB54wbhRlxux8GqRD6&amp;usp=drive_copy</t>
  </si>
  <si>
    <t>FPE170002026111_div.jpeg</t>
  </si>
  <si>
    <t>170001993852</t>
  </si>
  <si>
    <t>https://drive.google.com/open?id=1joSip-HSzvquH3RKpFLRGa2glclAfSgf&amp;usp=drive_copy</t>
  </si>
  <si>
    <t>FPE170001993852_div.jpg</t>
  </si>
  <si>
    <t>170001980262</t>
  </si>
  <si>
    <t>https://drive.google.com/open?id=1kMuhCmuTG4KbX5OvaDL_3AFMY2lH1a7D&amp;usp=drive_copy</t>
  </si>
  <si>
    <t>FPE170001980262_div.jpg</t>
  </si>
  <si>
    <t>170002005490</t>
  </si>
  <si>
    <t>https://drive.google.com/open?id=1mtovHE8NyMu4hzjUAjWVXpoIW9tEyotO&amp;usp=drive_copy</t>
  </si>
  <si>
    <t>FPE170002005490_div.jpg</t>
  </si>
  <si>
    <t>170002006197</t>
  </si>
  <si>
    <t>https://drive.google.com/open?id=1nBoPmpVqirNnxTnQgSV2P1wpxP5WeKmH&amp;usp=drive_copy</t>
  </si>
  <si>
    <t>FPE170002006197_div.jpg</t>
  </si>
  <si>
    <t>170002040190</t>
  </si>
  <si>
    <t>https://drive.google.com/open?id=1nQ2gTIbtse66x8xU_YLzhnOQYAbMRCJs&amp;usp=drive_copy</t>
  </si>
  <si>
    <t>FPE170002040190_div.jpg</t>
  </si>
  <si>
    <t>170002058442</t>
  </si>
  <si>
    <t>https://drive.google.com/open?id=1o25OSZDARHoQVhFXKagNebv_tggKeNjc&amp;usp=drive_copy</t>
  </si>
  <si>
    <t>FPE170002058442_div.jpg</t>
  </si>
  <si>
    <t>170001990352</t>
  </si>
  <si>
    <t>https://drive.google.com/open?id=1o61ItyOVMYoDd53TV3uFzc2dSmK2SbeL&amp;usp=drive_copy</t>
  </si>
  <si>
    <t>FPE170001990352_div.jpg</t>
  </si>
  <si>
    <t>170002009432</t>
  </si>
  <si>
    <t>https://drive.google.com/open?id=1o_m6UQYN3Nuf4NbDqsG_UYm6jErAE5NR&amp;usp=drive_copy</t>
  </si>
  <si>
    <t>FPE170002009432_div.jpg</t>
  </si>
  <si>
    <t>170002058428</t>
  </si>
  <si>
    <t>https://drive.google.com/open?id=1oqYJSf0VRzUthd52OJzl6lZH5aXjfipS&amp;usp=drive_copy</t>
  </si>
  <si>
    <t>FPE170002058428_div.jpg</t>
  </si>
  <si>
    <t>170002032806</t>
  </si>
  <si>
    <t>https://drive.google.com/open?id=1oveYMHPsT-JpXh2y68bjUXOKoxNT4nSv&amp;usp=drive_copy</t>
  </si>
  <si>
    <t>FPE170002032806_div.jpg</t>
  </si>
  <si>
    <t>170002008338</t>
  </si>
  <si>
    <t>https://drive.google.com/open?id=1p2U0V-qFa_16QytpiYo9Ncj97LAbls8z&amp;usp=drive_copy</t>
  </si>
  <si>
    <t>FPE170002008338_div.jpg</t>
  </si>
  <si>
    <t>170002041088</t>
  </si>
  <si>
    <t>https://drive.google.com/open?id=1pbc5ptjJto0f4qITOfnh9CWF2HNudfMC&amp;usp=drive_copy</t>
  </si>
  <si>
    <t>FPE170002041088_div.jpg</t>
  </si>
  <si>
    <t>170002007634</t>
  </si>
  <si>
    <t>https://drive.google.com/open?id=1pqJUrSQWsvSRGYs8eHiQ6hvmyegK3HAU&amp;usp=drive_copy</t>
  </si>
  <si>
    <t>FPE170002007634_div.jpg</t>
  </si>
  <si>
    <t>170002022389</t>
  </si>
  <si>
    <t>https://drive.google.com/open?id=1pwDU5oA7DhR0VdzzwAdUBaKDY6wOh15H&amp;usp=drive_copy</t>
  </si>
  <si>
    <t>FPE170002022389_div.jpg</t>
  </si>
  <si>
    <t>170001981446</t>
  </si>
  <si>
    <t>https://drive.google.com/open?id=1q--siMHKmu5Cjf06cW_FU6Nm1K-HKpL0&amp;usp=drive_copy</t>
  </si>
  <si>
    <t>FPE170001981446_div.jpg</t>
  </si>
  <si>
    <t>170002007137</t>
  </si>
  <si>
    <t>https://drive.google.com/open?id=1qW83WK9GNp8AdSFasYVV6F3drIJk6gy0&amp;usp=drive_copy</t>
  </si>
  <si>
    <t>FPE170002007137_div.jpg</t>
  </si>
  <si>
    <t>170001990597</t>
  </si>
  <si>
    <t>https://drive.google.com/open?id=1rOLZHJWIfVX7E5mwO7i1sDtvu_fdl70C&amp;usp=drive_copy</t>
  </si>
  <si>
    <t>FPE170001990597_div.jpeg</t>
  </si>
  <si>
    <t>170002023288</t>
  </si>
  <si>
    <t>https://drive.google.com/open?id=1rRjY8u16cOGClewUgduiX822fwlK0Fbu&amp;usp=drive_copy</t>
  </si>
  <si>
    <t>FPE170002023288_div.jpeg</t>
  </si>
  <si>
    <t>170002040601</t>
  </si>
  <si>
    <t>https://drive.google.com/open?id=1rgdnHliptgeZqi4TN4i4hHqu29QK4LC9&amp;usp=drive_copy</t>
  </si>
  <si>
    <t>FPE170002040601_div.jpg</t>
  </si>
  <si>
    <t>170002039386</t>
  </si>
  <si>
    <t>https://drive.google.com/open?id=1rzQGIYWGEc_nPpJvk2uyXsimIKKCLC41&amp;usp=drive_copy</t>
  </si>
  <si>
    <t>FPE170002039386_div.jpg</t>
  </si>
  <si>
    <t>170002024354</t>
  </si>
  <si>
    <t>https://drive.google.com/open?id=1sYlM0kb8H-5auu7yd63Mk_kbZnuXS9Mr&amp;usp=drive_copy</t>
  </si>
  <si>
    <t>FPE170002024354_div.jpeg</t>
  </si>
  <si>
    <t>170001983531</t>
  </si>
  <si>
    <t>https://drive.google.com/open?id=1sdjQJ_EVwwSemgt8NF6Tr3A5GRkwwRFN&amp;usp=drive_copy</t>
  </si>
  <si>
    <t>FPE170001983531_div.jpg</t>
  </si>
  <si>
    <t>170001993468</t>
  </si>
  <si>
    <t>https://drive.google.com/open?id=1ugNXZnpU21a3z4WTpYr0aFqr9Ysea3vW&amp;usp=drive_copy</t>
  </si>
  <si>
    <t>FPE170001993468_div.jpg</t>
  </si>
  <si>
    <t>170002035899</t>
  </si>
  <si>
    <t>https://drive.google.com/open?id=1wE1BUDaSk5_pVKzyP_FkP4yy6nH3x251&amp;usp=drive_copy</t>
  </si>
  <si>
    <t>FPE170002035899_div.jpg</t>
  </si>
  <si>
    <t>170002004972</t>
  </si>
  <si>
    <t>https://drive.google.com/open?id=1wesJYRg_pHR_Tymb4hV1ALm1UKhtEH2l&amp;usp=drive_copy</t>
  </si>
  <si>
    <t>FPE170002004972_div.jpeg</t>
  </si>
  <si>
    <t>170002056232</t>
  </si>
  <si>
    <t>https://drive.google.com/open?id=1wqaaI2xWuQR-5VbZwMw3DCm2O-ktKA5U&amp;usp=drive_copy</t>
  </si>
  <si>
    <t>FPE170002056232_div.jpg</t>
  </si>
  <si>
    <t>170002049305</t>
  </si>
  <si>
    <t>https://drive.google.com/open?id=1x9lZEp1yLPSoVytsk2j8GOoN6jBX_90A&amp;usp=drive_copy</t>
  </si>
  <si>
    <t>FPE170002049305_div.jpg</t>
  </si>
  <si>
    <t>170002053401</t>
  </si>
  <si>
    <t>https://drive.google.com/open?id=1xB-fejT_9N-UQ6iYPIwp-RSKEj-3mLab&amp;usp=drive_copy</t>
  </si>
  <si>
    <t>FPE170002053401_div.jpg</t>
  </si>
  <si>
    <t>170002040809</t>
  </si>
  <si>
    <t>https://drive.google.com/open?id=1xD6Wd2XsJlhBNXpC3C8a2iyr6PwWgyoQ&amp;usp=drive_copy</t>
  </si>
  <si>
    <t>FPE170002040809_div.jpg</t>
  </si>
  <si>
    <t>170002045354</t>
  </si>
  <si>
    <t>https://drive.google.com/open?id=1xK2B8-kinGJd520Iu7paPFz1P5JgNOpZ&amp;usp=drive_copy</t>
  </si>
  <si>
    <t>FPE170002045354_div.jpg</t>
  </si>
  <si>
    <t>170002039006</t>
  </si>
  <si>
    <t>https://drive.google.com/open?id=1xpICvcobiGoCzPFLXeyNjdFjL9zyMmNB&amp;usp=drive_copy</t>
  </si>
  <si>
    <t>FPE170002039006_div.jpg</t>
  </si>
  <si>
    <t>170002043580</t>
  </si>
  <si>
    <t>https://drive.google.com/open?id=1ygthnuaO7Y1gTpB5qQ5lkwRmyRoESQxX&amp;usp=drive_copy</t>
  </si>
  <si>
    <t>FPE170002043580_div.jpg</t>
  </si>
  <si>
    <t>170002008170</t>
  </si>
  <si>
    <t>https://drive.google.com/open?id=1zz9RXfcpDzgFc3Vsd-1qtm8MXNYZYhyW&amp;usp=drive_copy</t>
  </si>
  <si>
    <t>FPE170002008170_div.jpg</t>
  </si>
  <si>
    <t>170002128389</t>
  </si>
  <si>
    <t>https://drive.google.com/open?id=107HJczLnQNOQyfpE_EYDFVaB7iv33svs&amp;usp=drive_copy</t>
  </si>
  <si>
    <t>FPE170002128389_div.jpeg</t>
  </si>
  <si>
    <t>170002105372</t>
  </si>
  <si>
    <t>https://drive.google.com/open?id=10qefDEJuOAEWjlu22yL4gN_foCAwXip_&amp;usp=drive_copy</t>
  </si>
  <si>
    <t>FPE170002105372_div.jpeg</t>
  </si>
  <si>
    <t>170002062127</t>
  </si>
  <si>
    <t>https://drive.google.com/open?id=115VPecRXcTTo4gOb9PBKS7JUf0rL8Tsq&amp;usp=drive_copy</t>
  </si>
  <si>
    <t>FPE170002062127_div.jpeg</t>
  </si>
  <si>
    <t>170002060519</t>
  </si>
  <si>
    <t>https://drive.google.com/open?id=11LjI8dT24ysu__meBaYGcbljxaJygwTu&amp;usp=drive_copy</t>
  </si>
  <si>
    <t>FPE170002060519_div.jpg</t>
  </si>
  <si>
    <t>170002084311</t>
  </si>
  <si>
    <t>https://drive.google.com/open?id=12QI2jqo_3Qg54FAJlZRcraQP8tIWYHHY&amp;usp=drive_copy</t>
  </si>
  <si>
    <t>FPE170002084311_div.jpg</t>
  </si>
  <si>
    <t>170002114410</t>
  </si>
  <si>
    <t>https://drive.google.com/open?id=13JRMmjdBRWQ04ivd6cDqLZLue5ctlQji&amp;usp=drive_copy</t>
  </si>
  <si>
    <t>FPE170002114410_div.jpg</t>
  </si>
  <si>
    <t>170002083103</t>
  </si>
  <si>
    <t>https://drive.google.com/open?id=15eCgbL4ZUBrH6Vw6jGW4xd5crdQhgwln&amp;usp=drive_copy</t>
  </si>
  <si>
    <t>FPE170002083103_div.jpg</t>
  </si>
  <si>
    <t>170002136286</t>
  </si>
  <si>
    <t>https://drive.google.com/open?id=17ntdWdwOuBT7uan8n2M-_CcPamETeZAG&amp;usp=drive_copy</t>
  </si>
  <si>
    <t>FPE170002136286_div.jpg</t>
  </si>
  <si>
    <t>170002060120</t>
  </si>
  <si>
    <t>https://drive.google.com/open?id=18-1ENe7MqE29fwrG772T73KbPuX0RE9c&amp;usp=drive_copy</t>
  </si>
  <si>
    <t>FPE170002060120_div.jpg</t>
  </si>
  <si>
    <t>170002107312</t>
  </si>
  <si>
    <t>https://drive.google.com/open?id=18GPntQ3P9DbSoxyKukNXXrDELAh4rBhv&amp;usp=drive_copy</t>
  </si>
  <si>
    <t>FPE170002107312_div.jpg</t>
  </si>
  <si>
    <t>170002117114</t>
  </si>
  <si>
    <t>https://drive.google.com/open?id=18W-qn9bPqmX5LX8QCGzNoj96ia4JLZZY&amp;usp=drive_copy</t>
  </si>
  <si>
    <t>FPE170002117114_div.jpg</t>
  </si>
  <si>
    <t>170002131848</t>
  </si>
  <si>
    <t>https://drive.google.com/open?id=18tfpr3JnC1Js32Yycue3ElGTzWGmM4np&amp;usp=drive_copy</t>
  </si>
  <si>
    <t>FPE170002131848_div.jpg</t>
  </si>
  <si>
    <t>170002084564</t>
  </si>
  <si>
    <t>https://drive.google.com/open?id=1A77v4rSQBQ30aNffHVZ247paxoQkMvRa&amp;usp=drive_copy</t>
  </si>
  <si>
    <t>FPE170002084564_div.jpg</t>
  </si>
  <si>
    <t>170002083487</t>
  </si>
  <si>
    <t>https://drive.google.com/open?id=1ABBWcxsK3_ZL__nCot1JnJkUZwTXR-mg&amp;usp=drive_copy</t>
  </si>
  <si>
    <t>FPE170002083487_div.jpg</t>
  </si>
  <si>
    <t>170002110211</t>
  </si>
  <si>
    <t>https://drive.google.com/open?id=1Ag-rjvYKc8eC4FgYwWqWHjYPY4nHQVIf&amp;usp=drive_copy</t>
  </si>
  <si>
    <t>FPE170002110211_div.jpg</t>
  </si>
  <si>
    <t>170002064100</t>
  </si>
  <si>
    <t>https://drive.google.com/open?id=1CBPX2SkdgwnCnFlouOVYHPNHmwEsyxBq&amp;usp=drive_copy</t>
  </si>
  <si>
    <t>FPE170002064100_div.jpeg</t>
  </si>
  <si>
    <t>170002104102</t>
  </si>
  <si>
    <t>https://drive.google.com/open?id=1DZJ1_-7n1HDWAzwjF37bBkEyL9_JW-67&amp;usp=drive_copy</t>
  </si>
  <si>
    <t>FPE170002104102_div.jpg</t>
  </si>
  <si>
    <t>170002125689</t>
  </si>
  <si>
    <t>https://drive.google.com/open?id=1DhKocJCB6yLnMnT1FWbMarrtgdpFHQ4B&amp;usp=drive_copy</t>
  </si>
  <si>
    <t>FPE170002125689_div.jpeg</t>
  </si>
  <si>
    <t>170002123636</t>
  </si>
  <si>
    <t>https://drive.google.com/open?id=1EL1VJgKnZbP6vtiSrQaPwTqMoMErgSRE&amp;usp=drive_copy</t>
  </si>
  <si>
    <t>FPE170002123636_div.jpg</t>
  </si>
  <si>
    <t>170002119155</t>
  </si>
  <si>
    <t>https://drive.google.com/open?id=1F6xQsL-ywT7dTKBKd4yOWQA455TwbO2_&amp;usp=drive_copy</t>
  </si>
  <si>
    <t>FPE170002119155_div.jpeg</t>
  </si>
  <si>
    <t>170002119872</t>
  </si>
  <si>
    <t>https://drive.google.com/open?id=1FD6mw6DVm8R4SVDPH8_UWg10uww-wRu3&amp;usp=drive_copy</t>
  </si>
  <si>
    <t>FPE170002119872_div.jpeg</t>
  </si>
  <si>
    <t>170002105166</t>
  </si>
  <si>
    <t>https://drive.google.com/open?id=1IF6fBpcrOEqDgpjJFmgZEM9U2Tz-TqMu&amp;usp=drive_copy</t>
  </si>
  <si>
    <t>FPE170002105166_div.jpg</t>
  </si>
  <si>
    <t>170002061556</t>
  </si>
  <si>
    <t>https://drive.google.com/open?id=1JNTfvUA9e-HUC-Dq3wWFJUP7a_o0ih7f&amp;usp=drive_copy</t>
  </si>
  <si>
    <t>FPE170002061556_div.jpg</t>
  </si>
  <si>
    <t>170002095597</t>
  </si>
  <si>
    <t>https://drive.google.com/open?id=1KBtk8uXVeJYMYgIm4byiZ5RnC-UOvcb3&amp;usp=drive_copy</t>
  </si>
  <si>
    <t>FPE170002095597_div.jpg</t>
  </si>
  <si>
    <t>170002134006</t>
  </si>
  <si>
    <t>https://drive.google.com/open?id=1KZmx9BFguu9P21UD7eyFdwag4N5NPLAz&amp;usp=drive_copy</t>
  </si>
  <si>
    <t>FPE170002134006_div.jpg</t>
  </si>
  <si>
    <t>170002106094</t>
  </si>
  <si>
    <t>https://drive.google.com/open?id=1KipDnnL_fLi-UG8RZqHPGJvY480_LpuL&amp;usp=drive_copy</t>
  </si>
  <si>
    <t>FPE170002106094_div.jpg</t>
  </si>
  <si>
    <t>170002106820</t>
  </si>
  <si>
    <t>https://drive.google.com/open?id=1KjIJ27vzFDltUT1m8zNlJ77e3JHBO5SX&amp;usp=drive_copy</t>
  </si>
  <si>
    <t>FPE170002106820_div.jpg</t>
  </si>
  <si>
    <t>170002139229</t>
  </si>
  <si>
    <t>https://drive.google.com/open?id=1KpyWpPH4vi4vWvURtZSLYzVafXONPvuG&amp;usp=drive_copy</t>
  </si>
  <si>
    <t>FPE170002139229_div.jpg</t>
  </si>
  <si>
    <t>170002104777</t>
  </si>
  <si>
    <t>https://drive.google.com/open?id=1LW1YdwuW4NZzCvNoiW1CMWyXCEALuNdt&amp;usp=drive_copy</t>
  </si>
  <si>
    <t>FPE170002104777_div.jpg</t>
  </si>
  <si>
    <t>170002069327</t>
  </si>
  <si>
    <t>https://drive.google.com/open?id=1NB6hseDnxcqrtVo--jfu46ah0iszyoMF&amp;usp=drive_copy</t>
  </si>
  <si>
    <t>FPE170002069327_div.jpg</t>
  </si>
  <si>
    <t>170002107841</t>
  </si>
  <si>
    <t>https://drive.google.com/open?id=1Nir27iWQ6BmI3hwPc4nPR4Axbn3P-J3c&amp;usp=drive_copy</t>
  </si>
  <si>
    <t>FPE170002107841_div.jpg</t>
  </si>
  <si>
    <t>170002059855</t>
  </si>
  <si>
    <t>https://drive.google.com/open?id=1Nwpl8fngJ5rWnghbEsCLvlq7BWkrvGWK&amp;usp=drive_copy</t>
  </si>
  <si>
    <t>FPE170002059855_div.jpg</t>
  </si>
  <si>
    <t>170002085455</t>
  </si>
  <si>
    <t>https://drive.google.com/open?id=1OGKpw_2eQQiOFcrPl-H4B6RDbYcTqUr0&amp;usp=drive_copy</t>
  </si>
  <si>
    <t>FPE170002085455_div.jpeg</t>
  </si>
  <si>
    <t>170002065338</t>
  </si>
  <si>
    <t>https://drive.google.com/open?id=1Ply5r7m0i6ZqYNhUpk3PNSa1Oc8EJV0Y&amp;usp=drive_copy</t>
  </si>
  <si>
    <t>FPE170002065338_div.jpg</t>
  </si>
  <si>
    <t>170002135219</t>
  </si>
  <si>
    <t>https://drive.google.com/open?id=1Q-m3cFgozOQP1TLxp9sJUe_ghOYnbUqM&amp;usp=drive_copy</t>
  </si>
  <si>
    <t>FPE170002135219_div.jpg</t>
  </si>
  <si>
    <t>170002128218</t>
  </si>
  <si>
    <t>https://drive.google.com/open?id=1QB6qW0UGKSivxX3t5xk4od42JRyXcJHo&amp;usp=drive_copy</t>
  </si>
  <si>
    <t>FPE170002128218_div.jpg</t>
  </si>
  <si>
    <t>170002118670</t>
  </si>
  <si>
    <t>https://drive.google.com/open?id=1RP7gCzZaJxGQvVh8tmjbo7tEoxAyDQTK&amp;usp=drive_copy</t>
  </si>
  <si>
    <t>FPE170002118670_div.jpg</t>
  </si>
  <si>
    <t>170002113489</t>
  </si>
  <si>
    <t>https://drive.google.com/open?id=1RrdfO-rullTSL5n0cdmIdLxRae34WKiP&amp;usp=drive_copy</t>
  </si>
  <si>
    <t>FPE170002113489_div.jpg</t>
  </si>
  <si>
    <t>170002107584</t>
  </si>
  <si>
    <t>https://drive.google.com/open?id=1Rtp9zHiQeQJ4nrswV9uOnlIVqDyLWWYz&amp;usp=drive_copy</t>
  </si>
  <si>
    <t>FPE170002107584_div.jpg</t>
  </si>
  <si>
    <t>170002120541</t>
  </si>
  <si>
    <t>https://drive.google.com/open?id=1RxnzUzKBOZkSysPNfgCvtttgy0P6WOP6&amp;usp=drive_copy</t>
  </si>
  <si>
    <t>FPE170002120541_div.jpg</t>
  </si>
  <si>
    <t>170002112661</t>
  </si>
  <si>
    <t>https://drive.google.com/open?id=1S-dRPWlHQKEoBgPejeOjyCIHKl8PLJJM&amp;usp=drive_copy</t>
  </si>
  <si>
    <t>FPE170002112661_div.jpg</t>
  </si>
  <si>
    <t>170002097895</t>
  </si>
  <si>
    <t>https://drive.google.com/open?id=1SeddOgzmq5pzQyLIza8CrTyUcB-X5FEl&amp;usp=drive_copy</t>
  </si>
  <si>
    <t>FPE170002097895_div.jpeg</t>
  </si>
  <si>
    <t>170002129682</t>
  </si>
  <si>
    <t>https://drive.google.com/open?id=1SzDBQMRVE-Vj5jt1RnvluApJgqDPQB66&amp;usp=drive_copy</t>
  </si>
  <si>
    <t>FPE170002129682_div.jpg</t>
  </si>
  <si>
    <t>170002084657</t>
  </si>
  <si>
    <t>https://drive.google.com/open?id=1T-Mw7DI5FaZUc_NvaeZwJb78s55WlKLY&amp;usp=drive_copy</t>
  </si>
  <si>
    <t>FPE170002084657_div.jpg</t>
  </si>
  <si>
    <t>170002127894</t>
  </si>
  <si>
    <t>https://drive.google.com/open?id=1TeWp0BQAxo6eV4zaOhEpEm5li-m0G3J0&amp;usp=drive_copy</t>
  </si>
  <si>
    <t>FPE170002127894_div.jpg</t>
  </si>
  <si>
    <t>170002106408</t>
  </si>
  <si>
    <t>https://drive.google.com/open?id=1TfaJDHRZL7W80ELylZDPbLq9tawZ3k9Z&amp;usp=drive_copy</t>
  </si>
  <si>
    <t>FPE170002106408_div.jpg</t>
  </si>
  <si>
    <t>170002084558</t>
  </si>
  <si>
    <t>https://drive.google.com/open?id=1TsWXuByjjMmyqowMraXWTlG8aEx-eJEY&amp;usp=drive_copy</t>
  </si>
  <si>
    <t>FPE170002084558_div.jpg</t>
  </si>
  <si>
    <t>170002116323</t>
  </si>
  <si>
    <t>https://drive.google.com/open?id=1UFVVLFn2sNtynluQFhWTYDCcyJNVqhSN&amp;usp=drive_copy</t>
  </si>
  <si>
    <t>FPE170002116323_div.jpg</t>
  </si>
  <si>
    <t>170002088549</t>
  </si>
  <si>
    <t>https://drive.google.com/open?id=1VXyKJfhZhHsXyJIZBClfo3aR9FalGMFe&amp;usp=drive_copy</t>
  </si>
  <si>
    <t>FPE170002088549_div.jpg</t>
  </si>
  <si>
    <t>170002095626</t>
  </si>
  <si>
    <t>https://drive.google.com/open?id=1WZw8kHbRhfRPJ6Au5r-Xb-AW4HulzdzY&amp;usp=drive_copy</t>
  </si>
  <si>
    <t>FPE170002095626_div.jpg</t>
  </si>
  <si>
    <t>170002106615</t>
  </si>
  <si>
    <t>https://drive.google.com/open?id=1X8f8c_1pmww8X9lyOzaW3f71u__DBTO4&amp;usp=drive_copy</t>
  </si>
  <si>
    <t>FPE170002106615_div.jpg</t>
  </si>
  <si>
    <t>170002081741</t>
  </si>
  <si>
    <t>https://drive.google.com/open?id=1Xf1SvnXHMMkb84QG7xgQQxMY8GOdPb0g&amp;usp=drive_copy</t>
  </si>
  <si>
    <t>FPE170002081741_div.jpg</t>
  </si>
  <si>
    <t>170002132314</t>
  </si>
  <si>
    <t>https://drive.google.com/open?id=1XkONym0_KM_GWR0kurPVOprW6iLjc-BB&amp;usp=drive_copy</t>
  </si>
  <si>
    <t>FPE170002132314_div.jpg</t>
  </si>
  <si>
    <t>170002121571</t>
  </si>
  <si>
    <t>https://drive.google.com/open?id=1YdqBWY7AOqNLpfBXwXJmxbHHVEiCsLoP&amp;usp=drive_copy</t>
  </si>
  <si>
    <t>FPE170002121571_div.jpg</t>
  </si>
  <si>
    <t>170002115644</t>
  </si>
  <si>
    <t>https://drive.google.com/open?id=1ZROzXtfVyof3r1Xfpqljb7S1mz0tlUY-&amp;usp=drive_copy</t>
  </si>
  <si>
    <t>FPE170002115644_div.jpg</t>
  </si>
  <si>
    <t>170002113931</t>
  </si>
  <si>
    <t>https://drive.google.com/open?id=1_Jx2vD8SxQiIFBzVKcwIw4fb3Hnn59CE&amp;usp=drive_copy</t>
  </si>
  <si>
    <t>FPE170002113931_div.jpg</t>
  </si>
  <si>
    <t>170002097760</t>
  </si>
  <si>
    <t>https://drive.google.com/open?id=1aMEZzukHsDjjgfBC227ZSRISaQF0yhPF&amp;usp=drive_copy</t>
  </si>
  <si>
    <t>FPE170002097760_div.jpg</t>
  </si>
  <si>
    <t>170002124703</t>
  </si>
  <si>
    <t>https://drive.google.com/open?id=1aZo0I-PMU2NZrGlVsdQMMwWbiypiayu-&amp;usp=drive_copy</t>
  </si>
  <si>
    <t>FPE170002124703_div.jpg</t>
  </si>
  <si>
    <t>170002117894</t>
  </si>
  <si>
    <t>https://drive.google.com/open?id=1b4kD0yjiKuA33AKJfwjAna-i51cMxXkd&amp;usp=drive_copy</t>
  </si>
  <si>
    <t>FPE170002117894_div.jpg</t>
  </si>
  <si>
    <t>170002064743</t>
  </si>
  <si>
    <t>https://drive.google.com/open?id=1fQh1_lU85rznmneeW4iFVYb3vvZyGja5&amp;usp=drive_copy</t>
  </si>
  <si>
    <t>FPE170002064743_div.jpg</t>
  </si>
  <si>
    <t>170002105560</t>
  </si>
  <si>
    <t>https://drive.google.com/open?id=1fmQSlDTQ510UYImViIGyNJUgbHlmSiW9&amp;usp=drive_copy</t>
  </si>
  <si>
    <t>FPE170002105560_div.jpg</t>
  </si>
  <si>
    <t>170002105453</t>
  </si>
  <si>
    <t>https://drive.google.com/open?id=1fp1q24rJZ_TRfCG31iRnp4U8-7tdZNXH&amp;usp=drive_copy</t>
  </si>
  <si>
    <t>FPE170002105453_div.jpg</t>
  </si>
  <si>
    <t>170002126877</t>
  </si>
  <si>
    <t>https://drive.google.com/open?id=1gS6TkSr42Df5UILoVcZJnOG1mMp06tLO&amp;usp=drive_copy</t>
  </si>
  <si>
    <t>FPE170002126877_div.jpeg</t>
  </si>
  <si>
    <t>170002063929</t>
  </si>
  <si>
    <t>https://drive.google.com/open?id=1gTMio6YNGcTzf7WbtM6VYYHaq-ksTDiN&amp;usp=drive_copy</t>
  </si>
  <si>
    <t>FPE170002063929_div.jpeg</t>
  </si>
  <si>
    <t>170002084016</t>
  </si>
  <si>
    <t>https://drive.google.com/open?id=1gXT0So5QrlwlmYEB6XJOmc6tc2m76CR_&amp;usp=drive_copy</t>
  </si>
  <si>
    <t>FPE170002084016_div.jpg</t>
  </si>
  <si>
    <t>170002122002</t>
  </si>
  <si>
    <t>https://drive.google.com/open?id=1gpu-9T6ipKiL9ERmNg54DGte5o9VyHZm&amp;usp=drive_copy</t>
  </si>
  <si>
    <t>FPE170002122002_div.jpg</t>
  </si>
  <si>
    <t>170002099062</t>
  </si>
  <si>
    <t>https://drive.google.com/open?id=1h4yzP00aiifVzeH9CYrNsaqSRRCMIYCV&amp;usp=drive_copy</t>
  </si>
  <si>
    <t>FPE170002099062_div.jpg</t>
  </si>
  <si>
    <t>170002118093</t>
  </si>
  <si>
    <t>https://drive.google.com/open?id=1hdu8JcJhnCfsXxD0hp0FEivWR1dUdpoU&amp;usp=drive_copy</t>
  </si>
  <si>
    <t>FPE170002118093_div.jpeg</t>
  </si>
  <si>
    <t>170002068186</t>
  </si>
  <si>
    <t>https://drive.google.com/open?id=1imRdy5OMP66P5YU3zy1ftjEqvnyS9Zue&amp;usp=drive_copy</t>
  </si>
  <si>
    <t>FPE170002068186_div.jpg</t>
  </si>
  <si>
    <t>170002134914</t>
  </si>
  <si>
    <t>https://drive.google.com/open?id=1k28fvxdUeCMP83bzVaZvhKddwe_zxMuj&amp;usp=drive_copy</t>
  </si>
  <si>
    <t>FPE170002134914_div.jpg</t>
  </si>
  <si>
    <t>170002087604</t>
  </si>
  <si>
    <t>https://drive.google.com/open?id=1kUbisHRumvlJ8llTCjGqRpUz8nLg9gBi&amp;usp=drive_copy</t>
  </si>
  <si>
    <t>FPE170002087604_div.jpeg</t>
  </si>
  <si>
    <t>170002132261</t>
  </si>
  <si>
    <t>https://drive.google.com/open?id=1kng42Yw_fj_mBz9fb8hZDse4P-aOuXL1&amp;usp=drive_copy</t>
  </si>
  <si>
    <t>FPE170002132261_div.jpg</t>
  </si>
  <si>
    <t>170002110869</t>
  </si>
  <si>
    <t>https://drive.google.com/open?id=1lIMVbPUDEcbg3ryltn7baOfTdOyDx1Jd&amp;usp=drive_copy</t>
  </si>
  <si>
    <t>FPE170002110869_div.jpg</t>
  </si>
  <si>
    <t>170002130606</t>
  </si>
  <si>
    <t>https://drive.google.com/open?id=1nfcLswTwQ1wolRHdSC7ndsaTJDfdFIcK&amp;usp=drive_copy</t>
  </si>
  <si>
    <t>FPE170002130606_div.jpg</t>
  </si>
  <si>
    <t>170002065865</t>
  </si>
  <si>
    <t>https://drive.google.com/open?id=1npumc4_q99ma2PoiErLBMXWpDfa85kRC&amp;usp=drive_copy</t>
  </si>
  <si>
    <t>FPE170002065865_div.jpg</t>
  </si>
  <si>
    <t>170002111755</t>
  </si>
  <si>
    <t>https://drive.google.com/open?id=1nwxwCb0AJuOqmWS4HdW9R5DeGDJyWB0a&amp;usp=drive_copy</t>
  </si>
  <si>
    <t>FPE170002111755_div.jpeg</t>
  </si>
  <si>
    <t>170002115864</t>
  </si>
  <si>
    <t>https://drive.google.com/open?id=1oCNlN-1ts962xmtmiPFj21lQPBpnhaWb&amp;usp=drive_copy</t>
  </si>
  <si>
    <t>FPE170002115864_div.jpg</t>
  </si>
  <si>
    <t>170002132493</t>
  </si>
  <si>
    <t>https://drive.google.com/open?id=1oUnYJkYZf9tuEjHMM5sE5EJPIRvZEksY&amp;usp=drive_copy</t>
  </si>
  <si>
    <t>FPE170002132493_div.jpg</t>
  </si>
  <si>
    <t>170002097927</t>
  </si>
  <si>
    <t>https://drive.google.com/open?id=1pX_lKa4hvLYdFKus9tPqILRJibqQi3XQ&amp;usp=drive_copy</t>
  </si>
  <si>
    <t>FPE170002097927_div.jpg</t>
  </si>
  <si>
    <t>170002082167</t>
  </si>
  <si>
    <t>https://drive.google.com/open?id=1qq2ke8lDkVGp9ZXKvfeogkdCjEylRCFW&amp;usp=drive_copy</t>
  </si>
  <si>
    <t>FPE170002082167_div.jpeg</t>
  </si>
  <si>
    <t>170002112027</t>
  </si>
  <si>
    <t>https://drive.google.com/open?id=1r5j0ItP1WPA-PeC5oQWzlkaM00sO_J8s&amp;usp=drive_copy</t>
  </si>
  <si>
    <t>FPE170002112027_div.jpg</t>
  </si>
  <si>
    <t>170002082118</t>
  </si>
  <si>
    <t>https://drive.google.com/open?id=1rAEokTUNwVPZiszK3vSdDH56A5tKKA3a&amp;usp=drive_copy</t>
  </si>
  <si>
    <t>FPE170002082118_div.jpg</t>
  </si>
  <si>
    <t>170002084202</t>
  </si>
  <si>
    <t>https://drive.google.com/open?id=1tWCc-7ZqaNBJDMM1TVbZyc6OsvQ3Q5pq&amp;usp=drive_copy</t>
  </si>
  <si>
    <t>FPE170002084202_div.jpg</t>
  </si>
  <si>
    <t>170002082073</t>
  </si>
  <si>
    <t>https://drive.google.com/open?id=1uUXKpXUuum2HjZShSgNfG01qKErjrg9h&amp;usp=drive_copy</t>
  </si>
  <si>
    <t>FPE170002082073_div.jpg</t>
  </si>
  <si>
    <t>170002068099</t>
  </si>
  <si>
    <t>https://drive.google.com/open?id=1ul8svISXp_VDEijFARom_uliBEa6bJcr&amp;usp=drive_copy</t>
  </si>
  <si>
    <t>FPE170002068099_div.jpg</t>
  </si>
  <si>
    <t>170002060981</t>
  </si>
  <si>
    <t>https://drive.google.com/open?id=1w5A6PX7xPxlkWG7QOLNBJ_2uBaC9I8NJ&amp;usp=drive_copy</t>
  </si>
  <si>
    <t>FPE170002060981_div.jpeg</t>
  </si>
  <si>
    <t>170002103692</t>
  </si>
  <si>
    <t>https://drive.google.com/open?id=1wqqYQKAvPtXumVjMPaNAvfLax1Zzbjjx&amp;usp=drive_copy</t>
  </si>
  <si>
    <t>FPE170002103692_div.jpeg</t>
  </si>
  <si>
    <t>170002108144</t>
  </si>
  <si>
    <t>https://drive.google.com/open?id=1xljYiPYe1HebnnVCHjGChrUbPrB_mmzq&amp;usp=drive_copy</t>
  </si>
  <si>
    <t>FPE170002108144_div.jpg</t>
  </si>
  <si>
    <t>170002117791</t>
  </si>
  <si>
    <t>https://drive.google.com/open?id=1yOW_3G1pp6-mhRMb0ex5aKGbWi888CU7&amp;usp=drive_copy</t>
  </si>
  <si>
    <t>FPE170002117791_div.jpeg</t>
  </si>
  <si>
    <t>170002082981</t>
  </si>
  <si>
    <t>https://drive.google.com/open?id=1zUtT3tEj0Rr-XjYysz-v0lTBqpGNxaKQ&amp;usp=drive_copy</t>
  </si>
  <si>
    <t>FPE170002082981_div.jpg</t>
  </si>
  <si>
    <t>170002214552</t>
  </si>
  <si>
    <t>https://drive.google.com/open?id=1-4T0AvbdJwG0u7A6f4AXWWKM119VMaQy&amp;usp=drive_copy</t>
  </si>
  <si>
    <t>FPE170002214552_div.jpg</t>
  </si>
  <si>
    <t>170002231727</t>
  </si>
  <si>
    <t>https://drive.google.com/open?id=10wnI1FsWSxNYG9EcOK3NOyrvlGaEnFkt&amp;usp=drive_copy</t>
  </si>
  <si>
    <t>FPE170002231727_div.jpg</t>
  </si>
  <si>
    <t>170002142328</t>
  </si>
  <si>
    <t>https://drive.google.com/open?id=120JAQ078UybFx7QZ_Ax8gV6JcySAybvQ&amp;usp=drive_copy</t>
  </si>
  <si>
    <t>FPE170002142328_div.jpeg</t>
  </si>
  <si>
    <t>170002143726</t>
  </si>
  <si>
    <t>https://drive.google.com/open?id=12SbEl_LMCwjl769SAcc2L2Ch_1rAtNyP&amp;usp=drive_copy</t>
  </si>
  <si>
    <t>FPE170002143726_div.jpg</t>
  </si>
  <si>
    <t>170002187890</t>
  </si>
  <si>
    <t>https://drive.google.com/open?id=12Z3fSRCFuY2dhuWrrG9GtDw9KtppHMU3&amp;usp=drive_copy</t>
  </si>
  <si>
    <t>FPE170002187890_div.jpg</t>
  </si>
  <si>
    <t>170002156476</t>
  </si>
  <si>
    <t>https://drive.google.com/open?id=13CdBjz2cY06UsPArnaJJelBOsJta1Wcb&amp;usp=drive_copy</t>
  </si>
  <si>
    <t>FPE170002156476_div.jpg</t>
  </si>
  <si>
    <t>170002206125</t>
  </si>
  <si>
    <t>https://drive.google.com/open?id=13jSWMbn2kDNaaOVyPqglqiHg1L1afB4Q&amp;usp=drive_copy</t>
  </si>
  <si>
    <t>FPE170002206125_div.jpeg</t>
  </si>
  <si>
    <t>170002184650</t>
  </si>
  <si>
    <t>https://drive.google.com/open?id=14K9Anw41svQ-yF0ovaB71TeFOXc74osh&amp;usp=drive_copy</t>
  </si>
  <si>
    <t>FPE170002184650_div.jpeg</t>
  </si>
  <si>
    <t>170002144790</t>
  </si>
  <si>
    <t>https://drive.google.com/open?id=14XUoIFufRDrGqo41_lmcbapc_TTDdk4_&amp;usp=drive_copy</t>
  </si>
  <si>
    <t>FPE170002144790_div.jpg</t>
  </si>
  <si>
    <t>170002156825</t>
  </si>
  <si>
    <t>https://drive.google.com/open?id=15okItZ8pl7FTKEaf1KdbbSMflHeq5YaK&amp;usp=drive_copy</t>
  </si>
  <si>
    <t>FPE170002156825_div.jpg</t>
  </si>
  <si>
    <t>170002198527</t>
  </si>
  <si>
    <t>https://drive.google.com/open?id=16G2lLunQv19wNCLHMsY0vuWUWllNjZJE&amp;usp=drive_copy</t>
  </si>
  <si>
    <t>FPE170002198527_div.jpg</t>
  </si>
  <si>
    <t>170002215943</t>
  </si>
  <si>
    <t>https://drive.google.com/open?id=18UxVUHJlckloK8EeKN-p8jEJGL-5P1Rg&amp;usp=drive_copy</t>
  </si>
  <si>
    <t>FPE170002215943_div.jpg</t>
  </si>
  <si>
    <t>170002197886</t>
  </si>
  <si>
    <t>https://drive.google.com/open?id=19D6p6Zlf8GYdoQybHG1vNEzuoQwZio_4&amp;usp=drive_copy</t>
  </si>
  <si>
    <t>FPE170002197886_div.jpg</t>
  </si>
  <si>
    <t>170002206468</t>
  </si>
  <si>
    <t>https://drive.google.com/open?id=19cVEE8bRA_DziOa9KujpMh0X3niA6r8s&amp;usp=drive_copy</t>
  </si>
  <si>
    <t>FPE170002206468_div.jpg</t>
  </si>
  <si>
    <t>170002180448</t>
  </si>
  <si>
    <t>https://drive.google.com/open?id=1ABKKIcmZNlOrj0sv6n1_R_-wgBWFvDVZ&amp;usp=drive_copy</t>
  </si>
  <si>
    <t>FPE170002180448_div.jpg</t>
  </si>
  <si>
    <t>170002153381</t>
  </si>
  <si>
    <t>https://drive.google.com/open?id=1BA2W6X9r3ufCvYnV3RKWgfSl86I-ZFFS&amp;usp=drive_copy</t>
  </si>
  <si>
    <t>FPE170002153381_div.jpg</t>
  </si>
  <si>
    <t>170002214786</t>
  </si>
  <si>
    <t>https://drive.google.com/open?id=1BKRzGERqLYeSSfYfwH8Mh6xWypFGU_js&amp;usp=drive_copy</t>
  </si>
  <si>
    <t>FPE170002214786_div.jpg</t>
  </si>
  <si>
    <t>170002197853</t>
  </si>
  <si>
    <t>https://drive.google.com/open?id=1BUK3aAs_oOV1rDsVjDeMWyq-n0sSIcfy&amp;usp=drive_copy</t>
  </si>
  <si>
    <t>FPE170002197853_div.jpeg</t>
  </si>
  <si>
    <t>170002227032</t>
  </si>
  <si>
    <t>https://drive.google.com/open?id=1B_Dj-R9zuV-yEYCaVN5P5rhPiOyiZV7H&amp;usp=drive_copy</t>
  </si>
  <si>
    <t>FPE170002227032_div.jpeg</t>
  </si>
  <si>
    <t>170002256494</t>
  </si>
  <si>
    <t>https://drive.google.com/open?id=1CFtdDaPsoXopWq1o7LAirOLQb93ub1a7&amp;usp=drive_copy</t>
  </si>
  <si>
    <t>FPE170002256494_div.jpg</t>
  </si>
  <si>
    <t>170002149250</t>
  </si>
  <si>
    <t>https://drive.google.com/open?id=1CLEJLDBeiRs9aAk2dqd4TKGMdK4D2VKK&amp;usp=drive_copy</t>
  </si>
  <si>
    <t>FPE170002149250_div.jpeg</t>
  </si>
  <si>
    <t>170002188597</t>
  </si>
  <si>
    <t>https://drive.google.com/open?id=1DleMWHwBxY_f0sdoZmB2bA5PvL3wzuZt&amp;usp=drive_copy</t>
  </si>
  <si>
    <t>FPE170002188597_div.jpeg</t>
  </si>
  <si>
    <t>170002147297</t>
  </si>
  <si>
    <t>https://drive.google.com/open?id=1FuOCAO5OO3wh2bg-9G759FCa1zxh70as&amp;usp=drive_copy</t>
  </si>
  <si>
    <t>FPE170002147297_div.jpg</t>
  </si>
  <si>
    <t>170002181570</t>
  </si>
  <si>
    <t>https://drive.google.com/open?id=1GhyABSFq8ttGCSZJtoMBDqX9v87m6YmX&amp;usp=drive_copy</t>
  </si>
  <si>
    <t>FPE170002181570_div.jpeg</t>
  </si>
  <si>
    <t>170002195081</t>
  </si>
  <si>
    <t>https://drive.google.com/open?id=1GtafMJWIv5HAi8FVEPMXvTh31oAkeQU5&amp;usp=drive_copy</t>
  </si>
  <si>
    <t>FPE170002195081_div.jpg</t>
  </si>
  <si>
    <t>170002145872</t>
  </si>
  <si>
    <t>https://drive.google.com/open?id=1IfOQgSNRSloz6tq5x-nRFF6rJWxVxjeP&amp;usp=drive_copy</t>
  </si>
  <si>
    <t>FPE170002145872_div.jpg</t>
  </si>
  <si>
    <t>170002143502</t>
  </si>
  <si>
    <t>https://drive.google.com/open?id=1Ii5ZG9qMtp8oXxuB_0BoIDWrU9R_hPXn&amp;usp=drive_copy</t>
  </si>
  <si>
    <t>FPE170002143502_div.jpg</t>
  </si>
  <si>
    <t>170002143291</t>
  </si>
  <si>
    <t>https://drive.google.com/open?id=1J9AjxVlyFvmMvfRtNEAvDTeloG3CFBkp&amp;usp=drive_copy</t>
  </si>
  <si>
    <t>FPE170002143291_div.jpeg</t>
  </si>
  <si>
    <t>170002248243</t>
  </si>
  <si>
    <t>https://drive.google.com/open?id=1JDFDho2aJ8dcW-zGvrsrOKQXHi-JbvZJ&amp;usp=drive_copy</t>
  </si>
  <si>
    <t>FPE170002248243_div.jpeg</t>
  </si>
  <si>
    <t>170002216966</t>
  </si>
  <si>
    <t>https://drive.google.com/open?id=1K1tMifXRclQnOv6_1hmeuHFOXpWJp835&amp;usp=drive_copy</t>
  </si>
  <si>
    <t>FPE170002216966_div.jpeg</t>
  </si>
  <si>
    <t>170002163609</t>
  </si>
  <si>
    <t>https://drive.google.com/open?id=1LaAaGSzoWKjjVOnfQZsx28-Sc1X32mhU&amp;usp=drive_copy</t>
  </si>
  <si>
    <t>FPE170002163609_div.jpg</t>
  </si>
  <si>
    <t>170002242378</t>
  </si>
  <si>
    <t>https://drive.google.com/open?id=1Lv5q14Da8GliYE6HSaF7LvJGOJITLsSK&amp;usp=drive_copy</t>
  </si>
  <si>
    <t>FPE170002242378_div.jpg</t>
  </si>
  <si>
    <t>170002197529</t>
  </si>
  <si>
    <t>https://drive.google.com/open?id=1MJRY7VsO2I61UdHJcRFtUc_i3hv0zDWo&amp;usp=drive_copy</t>
  </si>
  <si>
    <t>FPE170002197529_div.jpg</t>
  </si>
  <si>
    <t>170002171744</t>
  </si>
  <si>
    <t>https://drive.google.com/open?id=1MUjbkcw_E5HuaDfTI0eFTKuezFGHhymo&amp;usp=drive_copy</t>
  </si>
  <si>
    <t>FPE170002171744_div.jpg</t>
  </si>
  <si>
    <t>170002213687</t>
  </si>
  <si>
    <t>https://drive.google.com/open?id=1NakZPKYYP31yuonwpkUIBpIUqRGJ8XMs&amp;usp=drive_copy</t>
  </si>
  <si>
    <t>FPE170002213687_div.jpg</t>
  </si>
  <si>
    <t>170002253817</t>
  </si>
  <si>
    <t>https://drive.google.com/open?id=1NyenTEBgBI_EYPcKOn7naoFPaU-hRdgv&amp;usp=drive_copy</t>
  </si>
  <si>
    <t>FPE170002253817_div.jpg</t>
  </si>
  <si>
    <t>170002196732</t>
  </si>
  <si>
    <t>https://drive.google.com/open?id=1O7NxS1HFxuA4-P45sAUwLLuofyFcgx7A&amp;usp=drive_copy</t>
  </si>
  <si>
    <t>FPE170002196732_div.jpg</t>
  </si>
  <si>
    <t>170002243148</t>
  </si>
  <si>
    <t>https://drive.google.com/open?id=1PVGV5Qn7G_TMuKB4X8l_kJ226Qdnh3QG&amp;usp=drive_copy</t>
  </si>
  <si>
    <t>FPE170002243148_div.jpg</t>
  </si>
  <si>
    <t>170002188250</t>
  </si>
  <si>
    <t>https://drive.google.com/open?id=1PxAa11mJ0l2uWnQopZ7ZaoP5SY5FVjBE&amp;usp=drive_copy</t>
  </si>
  <si>
    <t>FPE170002188250_div.jpg</t>
  </si>
  <si>
    <t>170002181013</t>
  </si>
  <si>
    <t>https://drive.google.com/open?id=1QJYnNPPyJ2Zrr1-secWB1bNi56L2AEYV&amp;usp=drive_copy</t>
  </si>
  <si>
    <t>FPE170002181013_div.jpg</t>
  </si>
  <si>
    <t>170002187382</t>
  </si>
  <si>
    <t>https://drive.google.com/open?id=1S07il-8r-MCmxAXgmsTqq77LTRr7yTn5&amp;usp=drive_copy</t>
  </si>
  <si>
    <t>FPE170002187382_div.jpeg</t>
  </si>
  <si>
    <t>170002142143</t>
  </si>
  <si>
    <t>https://drive.google.com/open?id=1SH0c9w2AIJoLQuhbZssfjuIJGgGI1ICy&amp;usp=drive_copy</t>
  </si>
  <si>
    <t>FPE170002142143_div.jpg</t>
  </si>
  <si>
    <t>170002242560</t>
  </si>
  <si>
    <t>https://drive.google.com/open?id=1SYp8SbcLH_3_rLCQdkCOJt0GH-QTIhqj&amp;usp=drive_copy</t>
  </si>
  <si>
    <t>FPE170002242560_div.jpeg</t>
  </si>
  <si>
    <t>170002148499</t>
  </si>
  <si>
    <t>https://drive.google.com/open?id=1TyPxKtUZ8f8yIJ8DWeAuw5LVL0yEfyyu&amp;usp=drive_copy</t>
  </si>
  <si>
    <t>FPE170002148499_div.jpg</t>
  </si>
  <si>
    <t>170002145356</t>
  </si>
  <si>
    <t>https://drive.google.com/open?id=1Ut7z1r3FUggcZw1BBRR2W783_l2CZfUV&amp;usp=drive_copy</t>
  </si>
  <si>
    <t>FPE170002145356_div.jpeg</t>
  </si>
  <si>
    <t>170002196014</t>
  </si>
  <si>
    <t>https://drive.google.com/open?id=1UztX_30U-dx98EgceIpPedDMNCRyFh0j&amp;usp=drive_copy</t>
  </si>
  <si>
    <t>FPE170002196014_div.jpg</t>
  </si>
  <si>
    <t>170002206424</t>
  </si>
  <si>
    <t>https://drive.google.com/open?id=1VYawxRzUsQ7J8XLMZeJ0hLcmT_JnMM2Q&amp;usp=drive_copy</t>
  </si>
  <si>
    <t>FPE170002206424_div.jpeg</t>
  </si>
  <si>
    <t>170002149746</t>
  </si>
  <si>
    <t>https://drive.google.com/open?id=1VndmwCxAXU8Bwxm-qfr-DRxx4HmBJIKv&amp;usp=drive_copy</t>
  </si>
  <si>
    <t>FPE170002149746_div.jpeg</t>
  </si>
  <si>
    <t>170002212863</t>
  </si>
  <si>
    <t>https://drive.google.com/open?id=1_Ospzi0sEIOqbTgZY2CBsdJHqAxcXrWs&amp;usp=drive_copy</t>
  </si>
  <si>
    <t>FPE170002212863_div.jpg</t>
  </si>
  <si>
    <t>170002153739</t>
  </si>
  <si>
    <t>https://drive.google.com/open?id=1_XIKDtsvDl6_wb0umFlTuFr-QvLbisJs&amp;usp=drive_copy</t>
  </si>
  <si>
    <t>FPE170002153739_div.jpg</t>
  </si>
  <si>
    <t>170002193094</t>
  </si>
  <si>
    <t>https://drive.google.com/open?id=1a-guc68gCZuGnsSM5u2rbUCYj5mKLwyq&amp;usp=drive_copy</t>
  </si>
  <si>
    <t>FPE170002193094_div.jpg</t>
  </si>
  <si>
    <t>170002195128</t>
  </si>
  <si>
    <t>https://drive.google.com/open?id=1aFdKbA3QNOfu3Bdx1qcILayZrfNcYk_1&amp;usp=drive_copy</t>
  </si>
  <si>
    <t>FPE170002195128_div.jpg</t>
  </si>
  <si>
    <t>170002215530</t>
  </si>
  <si>
    <t>https://drive.google.com/open?id=1b1bBYkR9Zpyr5iUJeizYAMgXoGUFXawC&amp;usp=drive_copy</t>
  </si>
  <si>
    <t>FPE170002215530_div.jpg</t>
  </si>
  <si>
    <t>170002216092</t>
  </si>
  <si>
    <t>https://drive.google.com/open?id=1b2FNkjIALuTXVYSEfkSM12BCttPKc_Ez&amp;usp=drive_copy</t>
  </si>
  <si>
    <t>FPE170002216092_div.jpg</t>
  </si>
  <si>
    <t>170002225839</t>
  </si>
  <si>
    <t>https://drive.google.com/open?id=1bC-qwTGFGicw2hsLyue4oIWyBJwZ4w1a&amp;usp=drive_copy</t>
  </si>
  <si>
    <t>FPE170002225839_div.jpg</t>
  </si>
  <si>
    <t>170002196438</t>
  </si>
  <si>
    <t>https://drive.google.com/open?id=1d9UMW0rf1IBFoMSbYFBCQDJWfzbRy-hz&amp;usp=drive_copy</t>
  </si>
  <si>
    <t>FPE170002196438_div.jpg</t>
  </si>
  <si>
    <t>170002201194</t>
  </si>
  <si>
    <t>https://drive.google.com/open?id=1dK_k8OiMZQ0jzuvIGCnNWuW5BKM_-zTk&amp;usp=drive_copy</t>
  </si>
  <si>
    <t>FPE170002201194_div.jpg</t>
  </si>
  <si>
    <t>170002148419</t>
  </si>
  <si>
    <t>https://drive.google.com/open?id=1dWJzrjrwldQIe0Z4DszRfISAs5t1RHUh&amp;usp=drive_copy</t>
  </si>
  <si>
    <t>FPE170002148419_div.jpeg</t>
  </si>
  <si>
    <t>170002155334</t>
  </si>
  <si>
    <t>https://drive.google.com/open?id=1e9Tox9UujaH4i3yjC_f28BtPex5tWSJV&amp;usp=drive_copy</t>
  </si>
  <si>
    <t>FPE170002155334_div.jpg</t>
  </si>
  <si>
    <t>170002162335</t>
  </si>
  <si>
    <t>https://drive.google.com/open?id=1eErTtWnaqaCkESAnkm_kBodjDgPU3aLQ&amp;usp=drive_copy</t>
  </si>
  <si>
    <t>FPE170002162335_div.jpg</t>
  </si>
  <si>
    <t>170002255771</t>
  </si>
  <si>
    <t>https://drive.google.com/open?id=1eRy2CSqQ8IJxweCtMF4ioZbz4Pi2ZLRi&amp;usp=drive_copy</t>
  </si>
  <si>
    <t>FPE170002255771_div.jpg</t>
  </si>
  <si>
    <t>170002243476</t>
  </si>
  <si>
    <t>https://drive.google.com/open?id=1eSaDB_NvTGwOgOrpfBkPw8Q622gc_Z3E&amp;usp=drive_copy</t>
  </si>
  <si>
    <t>FPE170002243476_div.jpg</t>
  </si>
  <si>
    <t>170002149011</t>
  </si>
  <si>
    <t>https://drive.google.com/open?id=1efeTBjEynB_Vq3I7ePP4TgsmT6n-b37G&amp;usp=drive_copy</t>
  </si>
  <si>
    <t>FPE170002149011_div.jpeg</t>
  </si>
  <si>
    <t>170002227034</t>
  </si>
  <si>
    <t>https://drive.google.com/open?id=1f5PspbiX7HSp7DAogy6lDwiMu8q8QzrA&amp;usp=drive_copy</t>
  </si>
  <si>
    <t>FPE170002227034_div.jpg</t>
  </si>
  <si>
    <t>170002217352</t>
  </si>
  <si>
    <t>https://drive.google.com/open?id=1fdQjwZrPAS0spx60zXrQTzkjK4FPaHpT&amp;usp=drive_copy</t>
  </si>
  <si>
    <t>FPE170002217352_div.jpg</t>
  </si>
  <si>
    <t>170002193879</t>
  </si>
  <si>
    <t>https://drive.google.com/open?id=1gOwi83R1sj9HyGcaQe99D8Rxtb0d0ZDn&amp;usp=drive_copy</t>
  </si>
  <si>
    <t>FPE170002193879_div.jpg</t>
  </si>
  <si>
    <t>170002191657</t>
  </si>
  <si>
    <t>https://drive.google.com/open?id=1gb0evkUQUIIbQlJb9Au-rlCLJQfI5SMC&amp;usp=drive_copy</t>
  </si>
  <si>
    <t>FPE170002191657_div.jpg</t>
  </si>
  <si>
    <t>170002200184</t>
  </si>
  <si>
    <t>https://drive.google.com/open?id=1hVht4Db44LySA5pslEpWmKYVm1qPb7DG&amp;usp=drive_copy</t>
  </si>
  <si>
    <t>FPE170002200184_div.jpg</t>
  </si>
  <si>
    <t>170002203576</t>
  </si>
  <si>
    <t>https://drive.google.com/open?id=1hiCsEhEqDq8ZtxyyM1gJLg2gxrsUhwTp&amp;usp=drive_copy</t>
  </si>
  <si>
    <t>FPE170002203576_div.jpg</t>
  </si>
  <si>
    <t>170002155726</t>
  </si>
  <si>
    <t>https://drive.google.com/open?id=1iP-NZo1-QHJjAeyJFKOkc3Ku_DaSk33t&amp;usp=drive_copy</t>
  </si>
  <si>
    <t>FPE170002155726_div.jpg</t>
  </si>
  <si>
    <t>170002188752</t>
  </si>
  <si>
    <t>https://drive.google.com/open?id=1kR4hvp1F5V9P50e58HU6TdZOS9xJejy2&amp;usp=drive_copy</t>
  </si>
  <si>
    <t>FPE170002188752_div.jpg</t>
  </si>
  <si>
    <t>170002246187</t>
  </si>
  <si>
    <t>https://drive.google.com/open?id=1kpVwOHdRqVZbFtP3S6bgOcRp1iJhmegl&amp;usp=drive_copy</t>
  </si>
  <si>
    <t>FPE170002246187_div.jpg</t>
  </si>
  <si>
    <t>170002187750</t>
  </si>
  <si>
    <t>https://drive.google.com/open?id=1kxrqRoMYvZXRwXcNkuuKZ9S9LAk7lXIf&amp;usp=drive_copy</t>
  </si>
  <si>
    <t>FPE170002187750_div.jpeg</t>
  </si>
  <si>
    <t>170002146336</t>
  </si>
  <si>
    <t>https://drive.google.com/open?id=1l8vCgwAU6Bi2RYS28PVzLmvGQSS3nV8m&amp;usp=drive_copy</t>
  </si>
  <si>
    <t>FPE170002146336_div.jpg</t>
  </si>
  <si>
    <t>170002154954</t>
  </si>
  <si>
    <t>https://drive.google.com/open?id=1leDw1-jtTwFoQr7A_pjv0rT3Hh1Y4O5y&amp;usp=drive_copy</t>
  </si>
  <si>
    <t>FPE170002154954_div.jpg</t>
  </si>
  <si>
    <t>170002204243</t>
  </si>
  <si>
    <t>https://drive.google.com/open?id=1lg-qlMg4-q2la5o9YSLyaMebRTpa4Hml&amp;usp=drive_copy</t>
  </si>
  <si>
    <t>FPE170002204243_div.jpg</t>
  </si>
  <si>
    <t>170002244295</t>
  </si>
  <si>
    <t>https://drive.google.com/open?id=1mI6nDU6j2OF1DXqknC9kEcvDflU-vhh9&amp;usp=drive_copy</t>
  </si>
  <si>
    <t>FPE170002244295_div.jpg</t>
  </si>
  <si>
    <t>170002183861</t>
  </si>
  <si>
    <t>https://drive.google.com/open?id=1mO5HYwdOcscZgwmDkA75QLKh6-bxmlJb&amp;usp=drive_copy</t>
  </si>
  <si>
    <t>FPE170002183861_div.jpg</t>
  </si>
  <si>
    <t>170002244178</t>
  </si>
  <si>
    <t>https://drive.google.com/open?id=1mPQU9e7OkgX9vRpRTANMkYeUuE5uGptO&amp;usp=drive_copy</t>
  </si>
  <si>
    <t>FPE170002244178_div.jpg</t>
  </si>
  <si>
    <t>170002140671</t>
  </si>
  <si>
    <t>https://drive.google.com/open?id=1nVvH877SXMfMIbTIaPZTSKxROQncgQA-&amp;usp=drive_copy</t>
  </si>
  <si>
    <t>FPE170002140671_div.jpeg</t>
  </si>
  <si>
    <t>170002243258</t>
  </si>
  <si>
    <t>https://drive.google.com/open?id=1oAz_rtXkewlSDRo-3AlgjxLRSBS8XuTU&amp;usp=drive_copy</t>
  </si>
  <si>
    <t>FPE170002243258_div.jpg</t>
  </si>
  <si>
    <t>170002241555</t>
  </si>
  <si>
    <t>https://drive.google.com/open?id=1oGZtoe0hpDoxx1I7d5UTJNm5opaDIsLW&amp;usp=drive_copy</t>
  </si>
  <si>
    <t>FPE170002241555_div.jpg</t>
  </si>
  <si>
    <t>170002220384</t>
  </si>
  <si>
    <t>https://drive.google.com/open?id=1rBVLvUfbB2Xw9kBCKJfG0qCGqTl_pASA&amp;usp=drive_copy</t>
  </si>
  <si>
    <t>FPE170002220384_div.jpg</t>
  </si>
  <si>
    <t>170002212835</t>
  </si>
  <si>
    <t>https://drive.google.com/open?id=1rBj2sJFFfI_1HN8al1MLOke-q4glmMAJ&amp;usp=drive_copy</t>
  </si>
  <si>
    <t>FPE170002212835_div.jpeg</t>
  </si>
  <si>
    <t>170002149854</t>
  </si>
  <si>
    <t>https://drive.google.com/open?id=1tsLYsn4Ucgh8J_WY_ONl-6B6_y_6rSPh&amp;usp=drive_copy</t>
  </si>
  <si>
    <t>FPE170002149854_div.jpeg</t>
  </si>
  <si>
    <t>170002144589</t>
  </si>
  <si>
    <t>https://drive.google.com/open?id=1uBQXcYyXIDHwg1-h2VJ-1K81IJyCxuZa&amp;usp=drive_copy</t>
  </si>
  <si>
    <t>FPE170002144589_div.jpg</t>
  </si>
  <si>
    <t>170002200050</t>
  </si>
  <si>
    <t>https://drive.google.com/open?id=1vHSpV0S1trXYLnUz_q7KR5WGMoOzNvsU&amp;usp=drive_copy</t>
  </si>
  <si>
    <t>FPE170002200050_div.jpg</t>
  </si>
  <si>
    <t>170002217637</t>
  </si>
  <si>
    <t>https://drive.google.com/open?id=1vNWsNBiGi5GvRU8vidCvelHoLcq2nO0m&amp;usp=drive_copy</t>
  </si>
  <si>
    <t>FPE170002217637_div.jpg</t>
  </si>
  <si>
    <t>170002199794</t>
  </si>
  <si>
    <t>https://drive.google.com/open?id=1w0do1cOrLaQoVl48tAgRiMJ45c85XdPY&amp;usp=drive_copy</t>
  </si>
  <si>
    <t>FPE170002199794_div.jpg</t>
  </si>
  <si>
    <t>170002244848</t>
  </si>
  <si>
    <t>https://drive.google.com/open?id=1x9D4uo3_dGK7z67W9aITqYVhLKK1EVCP&amp;usp=drive_copy</t>
  </si>
  <si>
    <t>FPE170002244848_div.jpg</t>
  </si>
  <si>
    <t>170002246255</t>
  </si>
  <si>
    <t>https://drive.google.com/open?id=1xXckcMeOQ9E_pr4Znfvx377Ao3fuLvdp&amp;usp=drive_copy</t>
  </si>
  <si>
    <t>FPE170002246255_div.jpg</t>
  </si>
  <si>
    <t>170002201856</t>
  </si>
  <si>
    <t>https://drive.google.com/open?id=1yPZMDVYtYHotjnBW-IDDCPs5OddAxJ-r&amp;usp=drive_copy</t>
  </si>
  <si>
    <t>FPE170002201856_div.jpg</t>
  </si>
  <si>
    <t>170002214303</t>
  </si>
  <si>
    <t>https://drive.google.com/open?id=1yaXxcpMa0eFvTzW-DHUDWhAYw7qkR7r0&amp;usp=drive_copy</t>
  </si>
  <si>
    <t>FPE170002214303_div.jpg</t>
  </si>
  <si>
    <t>170002148376</t>
  </si>
  <si>
    <t>https://drive.google.com/open?id=1zHSsI1e2H7Vgh1q1F2EQhimmg0-hfvbw&amp;usp=drive_copy</t>
  </si>
  <si>
    <t>FPE170002148376_div.jpg</t>
  </si>
  <si>
    <t>170002251334</t>
  </si>
  <si>
    <t>https://drive.google.com/open?id=1zeIBGzAFqTuteh2yubD8LcTRyzIDuFYR&amp;usp=drive_copy</t>
  </si>
  <si>
    <t>FPE170002251334_div.jpg</t>
  </si>
  <si>
    <t>170002212286</t>
  </si>
  <si>
    <t>https://drive.google.com/open?id=1zqqCGBD1gd7bipw2dHZGYzVQ527sRKuv&amp;usp=drive_copy</t>
  </si>
  <si>
    <t>FPE170002212286_div.jpeg</t>
  </si>
  <si>
    <t>170002311656</t>
  </si>
  <si>
    <t>https://drive.google.com/open?id=1-rac9Isjh_PCvofIfyRpu3kADlSBkBqe&amp;usp=drive_copy</t>
  </si>
  <si>
    <t>FPE170002311656_div.jpg</t>
  </si>
  <si>
    <t>170002336465</t>
  </si>
  <si>
    <t>https://drive.google.com/open?id=1-useLefM11APoUoQ9d6vJ4FQw7TkkOkS&amp;usp=drive_copy</t>
  </si>
  <si>
    <t>FPE170002336465_div.jpeg</t>
  </si>
  <si>
    <t>170002279555</t>
  </si>
  <si>
    <t>https://drive.google.com/open?id=11UYQx0_B_SKbYQTXti1OiHH5h5cmpVhx&amp;usp=drive_copy</t>
  </si>
  <si>
    <t>FPE170002279555_div.jpg</t>
  </si>
  <si>
    <t>170002309783</t>
  </si>
  <si>
    <t>https://drive.google.com/open?id=13M_A4NWITfQhSyywO6512pnfs2UiemQM&amp;usp=drive_copy</t>
  </si>
  <si>
    <t>FPE170002309783_div.jpg</t>
  </si>
  <si>
    <t>170002261360</t>
  </si>
  <si>
    <t>https://drive.google.com/open?id=14AIrqgeXe-ol7vvcUT-mARkGunXcA4WL&amp;usp=drive_copy</t>
  </si>
  <si>
    <t>FPE170002261360_div.jpeg</t>
  </si>
  <si>
    <t>170002356962</t>
  </si>
  <si>
    <t>https://drive.google.com/open?id=14UXEQtxUPqbfOvqQR80ABJNOo66emTIG&amp;usp=drive_copy</t>
  </si>
  <si>
    <t>FPE170002356962_div.jpg</t>
  </si>
  <si>
    <t>170002331246</t>
  </si>
  <si>
    <t>https://drive.google.com/open?id=15-GfshQGjXePRvu2ZTTrjIhr9hSybxVS&amp;usp=drive_copy</t>
  </si>
  <si>
    <t>FPE170002331246_div.jpeg</t>
  </si>
  <si>
    <t>170002339322</t>
  </si>
  <si>
    <t>https://drive.google.com/open?id=1695ICXoeoPqgh73oNX-bAlWx2rOdw2He&amp;usp=drive_copy</t>
  </si>
  <si>
    <t>FPE170002339322_div.jpg</t>
  </si>
  <si>
    <t>170002311085</t>
  </si>
  <si>
    <t>https://drive.google.com/open?id=16XWcFQaOqWrkgVpphY6Yz0TzA_sTEArC&amp;usp=drive_copy</t>
  </si>
  <si>
    <t>FPE170002311085_div.jpg</t>
  </si>
  <si>
    <t>170002315279</t>
  </si>
  <si>
    <t>https://drive.google.com/open?id=18SfzcxXk_rNJK-kSj99-saWr1skb8zPS&amp;usp=drive_copy</t>
  </si>
  <si>
    <t>FPE170002315279_div.jpg</t>
  </si>
  <si>
    <t>170002311768</t>
  </si>
  <si>
    <t>https://drive.google.com/open?id=18SudROybyII5Vl0MY76R7ZRX6TUya_FK&amp;usp=drive_copy</t>
  </si>
  <si>
    <t>FPE170002311768_div.jpg</t>
  </si>
  <si>
    <t>170002261603</t>
  </si>
  <si>
    <t>https://drive.google.com/open?id=1943jgkeDVkkTu-NKd7worT9ecrQ8IJxw&amp;usp=drive_copy</t>
  </si>
  <si>
    <t>FPE170002261603_div.jpg</t>
  </si>
  <si>
    <t>170002317617</t>
  </si>
  <si>
    <t>https://drive.google.com/open?id=1A52Go8-VvGZvqU4tC8cqULnCAcNYh_Dq&amp;usp=drive_copy</t>
  </si>
  <si>
    <t>FPE170002317617_div.jpg</t>
  </si>
  <si>
    <t>170002282020</t>
  </si>
  <si>
    <t>https://drive.google.com/open?id=1CIEviSaSlM0_9ehX5KPkV37SNRc6liXV&amp;usp=drive_copy</t>
  </si>
  <si>
    <t>FPE170002282020_div.jpg</t>
  </si>
  <si>
    <t>170002327184</t>
  </si>
  <si>
    <t>https://drive.google.com/open?id=1CZK4Ygbb77IjxG4GOiQbsnyuY2Q99aLF&amp;usp=drive_copy</t>
  </si>
  <si>
    <t>FPE170002327184_div.jpg</t>
  </si>
  <si>
    <t>170002361109</t>
  </si>
  <si>
    <t>https://drive.google.com/open?id=1C_XuAn59SBUqRrOS1a4WYUnpmr2Q1Pb3&amp;usp=drive_copy</t>
  </si>
  <si>
    <t>FPE170002361109_div.jpg</t>
  </si>
  <si>
    <t>170002355158</t>
  </si>
  <si>
    <t>https://drive.google.com/open?id=1ESJawNnALNxIPo9ToJwhDURm_RDpauIc&amp;usp=drive_copy</t>
  </si>
  <si>
    <t>FPE170002355158_div.jpg</t>
  </si>
  <si>
    <t>170002349125</t>
  </si>
  <si>
    <t>https://drive.google.com/open?id=1Eou40YSyEU5S3DpHZzCkQqN-nKcaYtcJ&amp;usp=drive_copy</t>
  </si>
  <si>
    <t>FPE170002349125_div.jpeg</t>
  </si>
  <si>
    <t>170002350325</t>
  </si>
  <si>
    <t>https://drive.google.com/open?id=1FSEEk2hJ1moaiB2ot4DqQPWHvvqCyEyX&amp;usp=drive_copy</t>
  </si>
  <si>
    <t>FPE170002350325_div.jpg</t>
  </si>
  <si>
    <t>170002333700</t>
  </si>
  <si>
    <t>https://drive.google.com/open?id=1GU5vJLxSWmACkML1QLVHYj94Imu8KFFS&amp;usp=drive_copy</t>
  </si>
  <si>
    <t>FPE170002333700_div.jpeg</t>
  </si>
  <si>
    <t>170002361657</t>
  </si>
  <si>
    <t>https://drive.google.com/open?id=1GjC5dBBRkiAoesFo_QwYb3fN5OIrnAxa&amp;usp=drive_copy</t>
  </si>
  <si>
    <t>FPE170002361657_div.jpg</t>
  </si>
  <si>
    <t>170002264215</t>
  </si>
  <si>
    <t>https://drive.google.com/open?id=1H4UPJwQod4Sj3zfat-pBT5qOl3AQ6pEB&amp;usp=drive_copy</t>
  </si>
  <si>
    <t>FPE170002264215_div.jpg</t>
  </si>
  <si>
    <t>170002323409</t>
  </si>
  <si>
    <t>https://drive.google.com/open?id=1HtyINQG0zx030temkt1YJUOq9Ng9_0Ip&amp;usp=drive_copy</t>
  </si>
  <si>
    <t>FPE170002323409_div.jpeg</t>
  </si>
  <si>
    <t>170002266934</t>
  </si>
  <si>
    <t>https://drive.google.com/open?id=1I4iGXWxxNaItnmhAmi2vnsNKps3qlez-&amp;usp=drive_copy</t>
  </si>
  <si>
    <t>FPE170002266934_div.jpeg</t>
  </si>
  <si>
    <t>170002319080</t>
  </si>
  <si>
    <t>https://drive.google.com/open?id=1I92KVy9__xZvTBbnlXdplGuLMN5-3zbg&amp;usp=drive_copy</t>
  </si>
  <si>
    <t>FPE170002319080_div.jpg</t>
  </si>
  <si>
    <t>170002320577</t>
  </si>
  <si>
    <t>https://drive.google.com/open?id=1IEDW0v_xreRi9eJkyP_rYciCpfAnPZjp&amp;usp=drive_copy</t>
  </si>
  <si>
    <t>FPE170002320577_div.jpg</t>
  </si>
  <si>
    <t>170002346154</t>
  </si>
  <si>
    <t>https://drive.google.com/open?id=1IhsK8piaznnX0GYxPrRDP3tffvlVf1nI&amp;usp=drive_copy</t>
  </si>
  <si>
    <t>FPE170002346154_div.jpg</t>
  </si>
  <si>
    <t>170002341648</t>
  </si>
  <si>
    <t>https://drive.google.com/open?id=1IilHOrJQYL4E-ioHUz2a7duoK7kxENqi&amp;usp=drive_copy</t>
  </si>
  <si>
    <t>FPE170002341648_div.jpg</t>
  </si>
  <si>
    <t>170002354458</t>
  </si>
  <si>
    <t>https://drive.google.com/open?id=1Ij90uduT3z9B1VwiAq9MmPQ-ikxdhmm4&amp;usp=drive_copy</t>
  </si>
  <si>
    <t>FPE170002354458_div.jpg</t>
  </si>
  <si>
    <t>170002343827</t>
  </si>
  <si>
    <t>https://drive.google.com/open?id=1J--z886GwVJ_zgFaF61wc0uCrJ63qXw1&amp;usp=drive_copy</t>
  </si>
  <si>
    <t>FPE170002343827_div.jpg</t>
  </si>
  <si>
    <t>170002337321</t>
  </si>
  <si>
    <t>https://drive.google.com/open?id=1J6fgdqKpJpkHNFOt4cFcyQvRT4dV_os9&amp;usp=drive_copy</t>
  </si>
  <si>
    <t>FPE170002337321_div.jpg</t>
  </si>
  <si>
    <t>170002330014</t>
  </si>
  <si>
    <t>https://drive.google.com/open?id=1Jnqs0DxmJAtvfx5uE8drWNdCTgti_dfu&amp;usp=drive_copy</t>
  </si>
  <si>
    <t>FPE170002330014_div.jpeg</t>
  </si>
  <si>
    <t>170002271555</t>
  </si>
  <si>
    <t>https://drive.google.com/open?id=1K05gIEW031wvhfp9GlIKX__m8PrmB9xG&amp;usp=drive_copy</t>
  </si>
  <si>
    <t>FPE170002271555_div.jpg</t>
  </si>
  <si>
    <t>170002340452</t>
  </si>
  <si>
    <t>https://drive.google.com/open?id=1LO0PgNHceS4lYwuTpbaTLqsNqA9KDL1a&amp;usp=drive_copy</t>
  </si>
  <si>
    <t>FPE170002340452_div.jpg</t>
  </si>
  <si>
    <t>170002279667</t>
  </si>
  <si>
    <t>https://drive.google.com/open?id=1LogQqGfsiEZ0v2DYJ8Hz-M4dAoMvaW0m&amp;usp=drive_copy</t>
  </si>
  <si>
    <t>FPE170002279667_div.jpeg</t>
  </si>
  <si>
    <t>170002372757</t>
  </si>
  <si>
    <t>https://drive.google.com/open?id=1LvFbDzIeHxrXxZ6o7UY02iIjxlMih28t&amp;usp=drive_copy</t>
  </si>
  <si>
    <t>FPE170002372757_div.jpg</t>
  </si>
  <si>
    <t>170002329999</t>
  </si>
  <si>
    <t>https://drive.google.com/open?id=1N42R0D0cp9k-ub2X-BDgM3-9TGLM02kw&amp;usp=drive_copy</t>
  </si>
  <si>
    <t>FPE170002329999_div.jpeg</t>
  </si>
  <si>
    <t>170002257793</t>
  </si>
  <si>
    <t>https://drive.google.com/open?id=1O9VFTabIFkPp894G4C2XJL1AHz0xtZwh&amp;usp=drive_copy</t>
  </si>
  <si>
    <t>FPE170002257793_div.jpg</t>
  </si>
  <si>
    <t>170002311499</t>
  </si>
  <si>
    <t>https://drive.google.com/open?id=1QynADTI8mIbImTXbsj2v-0ojGaOV06p5&amp;usp=drive_copy</t>
  </si>
  <si>
    <t>FPE170002311499_div.jpg</t>
  </si>
  <si>
    <t>170002282263</t>
  </si>
  <si>
    <t>https://drive.google.com/open?id=1R0a1m1x6Bzo2XY5XMAQ7floX1g8BbXGL&amp;usp=drive_copy</t>
  </si>
  <si>
    <t>FPE170002282263_div.jpg</t>
  </si>
  <si>
    <t>170002328994</t>
  </si>
  <si>
    <t>https://drive.google.com/open?id=1RE6w1-0XtHo4ZjIRr6w-YmiN7L8Cb3Bw&amp;usp=drive_copy</t>
  </si>
  <si>
    <t>FPE170002328994_div.jpeg</t>
  </si>
  <si>
    <t>170002345707</t>
  </si>
  <si>
    <t>https://drive.google.com/open?id=1RGRRZiiluOQZMK28_2nlubyRQbRvSf2L&amp;usp=drive_copy</t>
  </si>
  <si>
    <t>FPE170002345707_div.jpg</t>
  </si>
  <si>
    <t>170002280213</t>
  </si>
  <si>
    <t>https://drive.google.com/open?id=1RmtJWXSHawfDZsmRUM5URC_I76OW-30d&amp;usp=drive_copy</t>
  </si>
  <si>
    <t>FPE170002280213_div.jpg</t>
  </si>
  <si>
    <t>170002335181</t>
  </si>
  <si>
    <t>https://drive.google.com/open?id=1UO2RMQS4TJzWNdPIpX8zBDPOdSji5P2T&amp;usp=drive_copy</t>
  </si>
  <si>
    <t>FPE170002335181_div.jpg</t>
  </si>
  <si>
    <t>170002331846</t>
  </si>
  <si>
    <t>https://drive.google.com/open?id=1USltRNqriPeTGEm5_Gw8tjjXk8QxJ2Ru&amp;usp=drive_copy</t>
  </si>
  <si>
    <t>FPE170002331846_div.jpg</t>
  </si>
  <si>
    <t>170002283980</t>
  </si>
  <si>
    <t>https://drive.google.com/open?id=1Uo5cwb-IobssLEWJ0crdEGdndBt9djMJ&amp;usp=drive_copy</t>
  </si>
  <si>
    <t>FPE170002283980_div.jpg</t>
  </si>
  <si>
    <t>170002319174</t>
  </si>
  <si>
    <t>https://drive.google.com/open?id=1VfNnVtejyObsmHcU2383mW2NIsDI_zIx&amp;usp=drive_copy</t>
  </si>
  <si>
    <t>FPE170002319174_div.jpg</t>
  </si>
  <si>
    <t>170002350122</t>
  </si>
  <si>
    <t>https://drive.google.com/open?id=1WIDAEqYg29FB70-VMBykzY-P3akB1MtR&amp;usp=drive_copy</t>
  </si>
  <si>
    <t>FPE170002350122_div.jpeg</t>
  </si>
  <si>
    <t>170002343353</t>
  </si>
  <si>
    <t>https://drive.google.com/open?id=1X1zES0XLiWSoE-YXaeIzxZOYGgUGjFya&amp;usp=drive_copy</t>
  </si>
  <si>
    <t>FPE170002343353_div.jpeg</t>
  </si>
  <si>
    <t>170002323444</t>
  </si>
  <si>
    <t>https://drive.google.com/open?id=1YajpKD-DS-uxhhL31RExK6v5XtH4NQ2n&amp;usp=drive_copy</t>
  </si>
  <si>
    <t>FPE170002323444_div.jpg</t>
  </si>
  <si>
    <t>170002317578</t>
  </si>
  <si>
    <t>https://drive.google.com/open?id=1ZtY-lzGAmJ2RS4tlxs4fCIFQJi3enXae&amp;usp=drive_copy</t>
  </si>
  <si>
    <t>FPE170002317578_div.jpg</t>
  </si>
  <si>
    <t>170002270921</t>
  </si>
  <si>
    <t>https://drive.google.com/open?id=1_91NMyU_3bY9sOUphs9QwubmWgmPaU2W&amp;usp=drive_copy</t>
  </si>
  <si>
    <t>FPE170002270921_div.jpg</t>
  </si>
  <si>
    <t>170002292329</t>
  </si>
  <si>
    <t>https://drive.google.com/open?id=1aS2hVgQBD5uPYCyBqLaIvZZCQza3_KAB&amp;usp=drive_copy</t>
  </si>
  <si>
    <t>FPE170002292329_div.jpg</t>
  </si>
  <si>
    <t>170002288239</t>
  </si>
  <si>
    <t>https://drive.google.com/open?id=1cwFbYi0NJQpq2W1zmlj-sG4aVhkwju6a&amp;usp=drive_copy</t>
  </si>
  <si>
    <t>FPE170002288239_div.jpg</t>
  </si>
  <si>
    <t>170002276454</t>
  </si>
  <si>
    <t>https://drive.google.com/open?id=1dyisdGn1jspO6iE5vtquAqWkShNnGINc&amp;usp=drive_copy</t>
  </si>
  <si>
    <t>FPE170002276454_div.jpeg</t>
  </si>
  <si>
    <t>170002323578</t>
  </si>
  <si>
    <t>https://drive.google.com/open?id=1eSXHhusEBl9wA_QucpqUB9kRka_Ank--&amp;usp=drive_copy</t>
  </si>
  <si>
    <t>FPE170002323578_div.jpg</t>
  </si>
  <si>
    <t>170002338338</t>
  </si>
  <si>
    <t>https://drive.google.com/open?id=1g4d7CLJQBlQo2bfzerfLbApampkRb7YC&amp;usp=drive_copy</t>
  </si>
  <si>
    <t>FPE170002338338_div.jpg</t>
  </si>
  <si>
    <t>170002315499</t>
  </si>
  <si>
    <t>https://drive.google.com/open?id=1i6ZgLIqXvClnT0HBKghfBnFnpTKeGSy3&amp;usp=drive_copy</t>
  </si>
  <si>
    <t>FPE170002315499_div.jpeg</t>
  </si>
  <si>
    <t>170002323972</t>
  </si>
  <si>
    <t>https://drive.google.com/open?id=1i9HHTJKbIlFodxJ5pJ6cPPiuupcdDWLj&amp;usp=drive_copy</t>
  </si>
  <si>
    <t>FPE170002323972_div.jpg</t>
  </si>
  <si>
    <t>170002333076</t>
  </si>
  <si>
    <t>https://drive.google.com/open?id=1j2z2Pl_E883VpwTarFn-e2WczJzKGFw0&amp;usp=drive_copy</t>
  </si>
  <si>
    <t>FPE170002333076_div.jpg</t>
  </si>
  <si>
    <t>170002327085</t>
  </si>
  <si>
    <t>https://drive.google.com/open?id=1kN3JPA-ANATZFO0DW48QSbFJguQ3Oh2N&amp;usp=drive_copy</t>
  </si>
  <si>
    <t>FPE170002327085_div.jpg</t>
  </si>
  <si>
    <t>170002277807</t>
  </si>
  <si>
    <t>https://drive.google.com/open?id=1lkWwYJy9xClj3a3m0XOKxQIQthnur39Q&amp;usp=drive_copy</t>
  </si>
  <si>
    <t>FPE170002277807_div.jpg</t>
  </si>
  <si>
    <t>170002322957</t>
  </si>
  <si>
    <t>https://drive.google.com/open?id=1mJ_xFqyIj6SHNJuE6y8hFgTR0IsZdwYi&amp;usp=drive_copy</t>
  </si>
  <si>
    <t>FPE170002322957_div.jpg</t>
  </si>
  <si>
    <t>170002323592</t>
  </si>
  <si>
    <t>https://drive.google.com/open?id=1mYHU7OEWlzYElCvK_VjaZcugd1kMihCx&amp;usp=drive_copy</t>
  </si>
  <si>
    <t>FPE170002323592_div.jpeg</t>
  </si>
  <si>
    <t>170002286180</t>
  </si>
  <si>
    <t>https://drive.google.com/open?id=1miJGm65XUzfxWRxqVbvehBGVJm7JzZUg&amp;usp=drive_copy</t>
  </si>
  <si>
    <t>FPE170002286180_div.jpg</t>
  </si>
  <si>
    <t>170002356561</t>
  </si>
  <si>
    <t>https://drive.google.com/open?id=1mip6mcJ0Uf2DCE5NZtUJYYwGk-p_Ie09&amp;usp=drive_copy</t>
  </si>
  <si>
    <t>FPE170002356561_div.jpg</t>
  </si>
  <si>
    <t>170002335207</t>
  </si>
  <si>
    <t>https://drive.google.com/open?id=1mjSN7jmM7-rwIPcHRpxoEZLmGLDiMRfI&amp;usp=drive_copy</t>
  </si>
  <si>
    <t>FPE170002335207_div.jpg</t>
  </si>
  <si>
    <t>170002259035</t>
  </si>
  <si>
    <t>https://drive.google.com/open?id=1nN5U9JenyQ1vE-UPiUAHinR4yr5SIjmO&amp;usp=drive_copy</t>
  </si>
  <si>
    <t>FPE170002259035_div.jpg</t>
  </si>
  <si>
    <t>170002259555</t>
  </si>
  <si>
    <t>https://drive.google.com/open?id=1nbE_MTUubtmj1MfSr8X8zVoYWnpwyL55&amp;usp=drive_copy</t>
  </si>
  <si>
    <t>FPE170002259555_div.jpg</t>
  </si>
  <si>
    <t>170002263930</t>
  </si>
  <si>
    <t>https://drive.google.com/open?id=1p2leonbDbe9ZhCpfO04ut_weUAUC7SWQ&amp;usp=drive_copy</t>
  </si>
  <si>
    <t>FPE170002263930_div.jpg</t>
  </si>
  <si>
    <t>170002258001</t>
  </si>
  <si>
    <t>https://drive.google.com/open?id=1qKJQHjJ5pYCIhmDIPNB22UDsZEHriIhY&amp;usp=drive_copy</t>
  </si>
  <si>
    <t>FPE170002258001_div.jpg</t>
  </si>
  <si>
    <t>170002315684</t>
  </si>
  <si>
    <t>https://drive.google.com/open?id=1rjomqK2r_tXSpE4Igvt_vXWmuLToBaQK&amp;usp=drive_copy</t>
  </si>
  <si>
    <t>FPE170002315684_div.jpg</t>
  </si>
  <si>
    <t>170002293435</t>
  </si>
  <si>
    <t>https://drive.google.com/open?id=1s5M_stxJdXt-XxZabpuFKZiEb_pLnBqt&amp;usp=drive_copy</t>
  </si>
  <si>
    <t>FPE170002293435_div.jpg</t>
  </si>
  <si>
    <t>170002320981</t>
  </si>
  <si>
    <t>https://drive.google.com/open?id=1sGV65P8qqR6fsUESMmbAyNqEB_3X8SWf&amp;usp=drive_copy</t>
  </si>
  <si>
    <t>FPE170002320981_div.jpg</t>
  </si>
  <si>
    <t>170002257848</t>
  </si>
  <si>
    <t>https://drive.google.com/open?id=1t4RP0Ze2__CJvK25YL3f0sonyrHh5yHr&amp;usp=drive_copy</t>
  </si>
  <si>
    <t>FPE170002257848_div.jpg</t>
  </si>
  <si>
    <t>170002273426</t>
  </si>
  <si>
    <t>https://drive.google.com/open?id=1u7ZJCP2lfyGMarTSgbHLjWxTzRRNc686&amp;usp=drive_copy</t>
  </si>
  <si>
    <t>FPE170002273426_div.jpeg</t>
  </si>
  <si>
    <t>170002332858</t>
  </si>
  <si>
    <t>https://drive.google.com/open?id=1vNzS9Nm7liQHN4R4XP2cJM7gUTJ2jwPM&amp;usp=drive_copy</t>
  </si>
  <si>
    <t>FPE170002332858_div.jpeg</t>
  </si>
  <si>
    <t>170002261348</t>
  </si>
  <si>
    <t>https://drive.google.com/open?id=1vpXAcRZ-M3gA1RpEjap9fdk0Idkw1uxW&amp;usp=drive_copy</t>
  </si>
  <si>
    <t>FPE170002261348_div.jpg</t>
  </si>
  <si>
    <t>170002262237</t>
  </si>
  <si>
    <t>https://drive.google.com/open?id=1w789tid89LuZx4jSNIneKAv3gagzgI16&amp;usp=drive_copy</t>
  </si>
  <si>
    <t>FPE170002262237_div.jpeg</t>
  </si>
  <si>
    <t>170002337699</t>
  </si>
  <si>
    <t>https://drive.google.com/open?id=1wJTn6gD4hT0Zg6oyh4BMGqGUgMZPadkv&amp;usp=drive_copy</t>
  </si>
  <si>
    <t>FPE170002337699_div.jpg</t>
  </si>
  <si>
    <t>170002322452</t>
  </si>
  <si>
    <t>https://drive.google.com/open?id=1wRMqKy4khP-IOOovx--6JoTPCR4DP_aE&amp;usp=drive_copy</t>
  </si>
  <si>
    <t>FPE170002322452_div.jpeg</t>
  </si>
  <si>
    <t>170002332785</t>
  </si>
  <si>
    <t>https://drive.google.com/open?id=1xkIQ9Rxj3AMqlxBIx4UVireC0TUvtdtk&amp;usp=drive_copy</t>
  </si>
  <si>
    <t>FPE170002332785_div.jpg</t>
  </si>
  <si>
    <t>170002321356</t>
  </si>
  <si>
    <t>https://drive.google.com/open?id=1z2GNU1d8qZFN31L5PTUcIC7H9Zo8i92H&amp;usp=drive_copy</t>
  </si>
  <si>
    <t>FPE170002321356_div.jpg</t>
  </si>
  <si>
    <t>170002260141</t>
  </si>
  <si>
    <t>https://drive.google.com/open?id=1zoSTkgKNppjZoP3W1AZZ_rdg1ojCROg-&amp;usp=drive_copy</t>
  </si>
  <si>
    <t>FPE170002260141_div.jpg</t>
  </si>
  <si>
    <t>170002379378</t>
  </si>
  <si>
    <t>https://drive.google.com/open?id=19ImP1xAcruOgJS7ArQBc9pVrLBtNeSUs&amp;usp=drive_copy</t>
  </si>
  <si>
    <t>FPE170002379378_div.jpeg</t>
  </si>
  <si>
    <t>170002386501</t>
  </si>
  <si>
    <t>https://drive.google.com/open?id=1lyYgBk_vDrDFS7yMqIwItTliqbHtY7IO&amp;usp=drive_copy</t>
  </si>
  <si>
    <t>FPE170002386501_div.jpg</t>
  </si>
  <si>
    <t>170002392403</t>
  </si>
  <si>
    <t>https://drive.google.com/open?id=1iLjVtQsvwb6WpKHdsLarFwT1a_PoQJAm&amp;usp=drive_copy</t>
  </si>
  <si>
    <t>FPE170002392403_div.jpg</t>
  </si>
  <si>
    <t>170002383561</t>
  </si>
  <si>
    <t>https://drive.google.com/open?id=1kx7cAZi_jMcu7TPF90Vxq8qCJ-iHPhg_&amp;usp=drive_copy</t>
  </si>
  <si>
    <t>FPE170002383561_div.jpg</t>
  </si>
  <si>
    <t>170002395900</t>
  </si>
  <si>
    <t>https://drive.google.com/open?id=14W2huttz3_86uDEN_bSbPtODqeFVT_w_&amp;usp=drive_copy</t>
  </si>
  <si>
    <t>FPE170002395900_div.jpeg</t>
  </si>
  <si>
    <t>170002389933</t>
  </si>
  <si>
    <t>https://drive.google.com/open?id=13f3beWYL0Il4BRsNSusb-KFTL7B6nvIe&amp;usp=drive_copy</t>
  </si>
  <si>
    <t>FPE170002389933_div.jpg</t>
  </si>
  <si>
    <t>170002377472</t>
  </si>
  <si>
    <t>https://drive.google.com/open?id=1fH15mTpMozUjzcqyy7Y4QKXavb9gqjEN&amp;usp=drive_copy</t>
  </si>
  <si>
    <t>FPE170002377472_div.jpg</t>
  </si>
  <si>
    <t>170002375538</t>
  </si>
  <si>
    <t>https://drive.google.com/open?id=1ryve3P4T507UVdtpUGVVeL26EMSu75cZ&amp;usp=drive_copy</t>
  </si>
  <si>
    <t>FPE170002375538_div.jpeg</t>
  </si>
  <si>
    <t>MUNICÍPIO</t>
  </si>
  <si>
    <t>BRANCOS</t>
  </si>
  <si>
    <t>NULOS</t>
  </si>
  <si>
    <t>VÁLIDOS</t>
  </si>
  <si>
    <t>GERAL</t>
  </si>
  <si>
    <t>% BRANCOS</t>
  </si>
  <si>
    <t>% NULOS</t>
  </si>
  <si>
    <t>% VALIDOS</t>
  </si>
  <si>
    <t>GLORIA DO GOITÁ</t>
  </si>
  <si>
    <t xml:space="preserve">PESQUEIRA </t>
  </si>
  <si>
    <t>SANTA MARIA DO CAMBUCA</t>
  </si>
  <si>
    <t>SÃO VICENTE FERRER</t>
  </si>
  <si>
    <t xml:space="preserve">TORITAMA </t>
  </si>
  <si>
    <t>Municipio</t>
  </si>
  <si>
    <t>informações prefeitos</t>
  </si>
  <si>
    <t>numeros candidatos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</si>
</sst>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#,##0;\(#,##0\)"/>
    <numFmt numFmtId="166" formatCode="_-* #,##0_-;\-* #,##0_-;_-* &quot;-&quot;??_-;_-@_-"/>
  </numFmts>
  <fonts count="22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sz val="10"/>
      <color rgb="FF202020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sz val="10"/>
      <color rgb="FF434343"/>
      <name val="Roboto"/>
    </font>
    <font>
      <u/>
      <sz val="10"/>
      <color rgb="FF0000FF"/>
      <name val="Roboto"/>
    </font>
    <font>
      <u/>
      <sz val="10"/>
      <color rgb="FF434343"/>
      <name val="Roboto"/>
    </font>
    <font>
      <u/>
      <sz val="10"/>
      <color rgb="FF0000FF"/>
      <name val="Roboto"/>
    </font>
    <font>
      <sz val="10"/>
      <color theme="1"/>
      <name val="Roboto"/>
    </font>
    <font>
      <u/>
      <sz val="10"/>
      <color rgb="FF0000FF"/>
      <name val="Roboto"/>
    </font>
    <font>
      <u/>
      <sz val="10"/>
      <color rgb="FF434343"/>
      <name val="Roboto"/>
    </font>
    <font>
      <sz val="11"/>
      <color rgb="FF434343"/>
      <name val="Roboto"/>
    </font>
    <font>
      <sz val="9"/>
      <color rgb="FF000000"/>
      <name val="Arial"/>
      <scheme val="minor"/>
    </font>
    <font>
      <sz val="9"/>
      <color rgb="FF000000"/>
      <name val="Arial"/>
    </font>
    <font>
      <sz val="9"/>
      <color rgb="FF000000"/>
      <name val="UOLtext"/>
    </font>
    <font>
      <sz val="9"/>
      <color rgb="FF000000"/>
      <name val="Roboto"/>
    </font>
    <font>
      <sz val="10"/>
      <color rgb="FF000000"/>
      <name val="Arial"/>
      <scheme val="minor"/>
    </font>
    <font>
      <sz val="10"/>
      <color rgb="FF000000"/>
      <name val="Docs-Roboto"/>
    </font>
    <font>
      <sz val="10"/>
      <color rgb="FF000000"/>
      <name val="Roboto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8F9FA"/>
        <bgColor rgb="FFF8F9FA"/>
      </patternFill>
    </fill>
    <fill>
      <patternFill patternType="solid">
        <fgColor rgb="FFF6F8F9"/>
        <bgColor rgb="FFF6F8F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0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3" fontId="1" fillId="0" borderId="5" xfId="0" applyNumberFormat="1" applyFont="1" applyBorder="1" applyAlignment="1">
      <alignment vertical="center"/>
    </xf>
    <xf numFmtId="10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3" fontId="1" fillId="0" borderId="8" xfId="0" applyNumberFormat="1" applyFont="1" applyBorder="1" applyAlignment="1">
      <alignment vertical="center"/>
    </xf>
    <xf numFmtId="10" fontId="1" fillId="0" borderId="8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0" fontId="4" fillId="2" borderId="5" xfId="0" applyNumberFormat="1" applyFont="1" applyFill="1" applyBorder="1" applyAlignment="1">
      <alignment horizontal="right" vertical="center"/>
    </xf>
    <xf numFmtId="0" fontId="1" fillId="0" borderId="8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3" fontId="1" fillId="2" borderId="5" xfId="0" applyNumberFormat="1" applyFont="1" applyFill="1" applyBorder="1" applyAlignment="1">
      <alignment vertical="center"/>
    </xf>
    <xf numFmtId="10" fontId="1" fillId="2" borderId="5" xfId="0" applyNumberFormat="1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3" fontId="1" fillId="0" borderId="11" xfId="0" applyNumberFormat="1" applyFont="1" applyBorder="1" applyAlignment="1">
      <alignment vertical="center"/>
    </xf>
    <xf numFmtId="10" fontId="1" fillId="0" borderId="11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3" fontId="1" fillId="0" borderId="14" xfId="0" applyNumberFormat="1" applyFont="1" applyBorder="1" applyAlignment="1">
      <alignment vertical="center"/>
    </xf>
    <xf numFmtId="10" fontId="1" fillId="0" borderId="14" xfId="0" applyNumberFormat="1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5" fillId="2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7" fillId="2" borderId="16" xfId="0" applyFont="1" applyFill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9" fillId="2" borderId="16" xfId="0" applyFont="1" applyFill="1" applyBorder="1" applyAlignment="1">
      <alignment horizontal="center" vertical="center"/>
    </xf>
    <xf numFmtId="0" fontId="10" fillId="0" borderId="16" xfId="0" applyFont="1" applyBorder="1" applyAlignment="1">
      <alignment vertical="center"/>
    </xf>
    <xf numFmtId="0" fontId="11" fillId="2" borderId="16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vertical="center"/>
    </xf>
    <xf numFmtId="164" fontId="15" fillId="2" borderId="5" xfId="0" applyNumberFormat="1" applyFont="1" applyFill="1" applyBorder="1" applyAlignment="1">
      <alignment vertical="center"/>
    </xf>
    <xf numFmtId="3" fontId="15" fillId="2" borderId="5" xfId="0" applyNumberFormat="1" applyFont="1" applyFill="1" applyBorder="1" applyAlignment="1">
      <alignment vertical="center"/>
    </xf>
    <xf numFmtId="10" fontId="15" fillId="2" borderId="5" xfId="0" applyNumberFormat="1" applyFont="1" applyFill="1" applyBorder="1" applyAlignment="1">
      <alignment vertical="center"/>
    </xf>
    <xf numFmtId="10" fontId="15" fillId="2" borderId="6" xfId="0" applyNumberFormat="1" applyFont="1" applyFill="1" applyBorder="1" applyAlignment="1">
      <alignment vertical="center"/>
    </xf>
    <xf numFmtId="0" fontId="14" fillId="4" borderId="8" xfId="0" applyFont="1" applyFill="1" applyBorder="1" applyAlignment="1">
      <alignment vertical="center"/>
    </xf>
    <xf numFmtId="164" fontId="15" fillId="5" borderId="14" xfId="0" applyNumberFormat="1" applyFont="1" applyFill="1" applyBorder="1" applyAlignment="1">
      <alignment vertical="center"/>
    </xf>
    <xf numFmtId="164" fontId="16" fillId="5" borderId="14" xfId="0" applyNumberFormat="1" applyFont="1" applyFill="1" applyBorder="1" applyAlignment="1">
      <alignment vertical="center"/>
    </xf>
    <xf numFmtId="3" fontId="16" fillId="5" borderId="14" xfId="0" applyNumberFormat="1" applyFont="1" applyFill="1" applyBorder="1" applyAlignment="1">
      <alignment vertical="center"/>
    </xf>
    <xf numFmtId="10" fontId="15" fillId="2" borderId="14" xfId="0" applyNumberFormat="1" applyFont="1" applyFill="1" applyBorder="1" applyAlignment="1">
      <alignment vertical="center"/>
    </xf>
    <xf numFmtId="10" fontId="16" fillId="5" borderId="15" xfId="0" applyNumberFormat="1" applyFont="1" applyFill="1" applyBorder="1" applyAlignment="1">
      <alignment vertical="center"/>
    </xf>
    <xf numFmtId="164" fontId="16" fillId="0" borderId="5" xfId="0" applyNumberFormat="1" applyFont="1" applyBorder="1" applyAlignment="1">
      <alignment vertical="center"/>
    </xf>
    <xf numFmtId="164" fontId="15" fillId="0" borderId="5" xfId="0" applyNumberFormat="1" applyFont="1" applyBorder="1" applyAlignment="1">
      <alignment vertical="center"/>
    </xf>
    <xf numFmtId="3" fontId="15" fillId="0" borderId="5" xfId="0" applyNumberFormat="1" applyFont="1" applyBorder="1" applyAlignment="1">
      <alignment vertical="center"/>
    </xf>
    <xf numFmtId="10" fontId="15" fillId="0" borderId="6" xfId="0" applyNumberFormat="1" applyFont="1" applyBorder="1" applyAlignment="1">
      <alignment vertical="center"/>
    </xf>
    <xf numFmtId="164" fontId="15" fillId="0" borderId="14" xfId="0" applyNumberFormat="1" applyFont="1" applyBorder="1" applyAlignment="1">
      <alignment vertical="center"/>
    </xf>
    <xf numFmtId="3" fontId="15" fillId="0" borderId="14" xfId="0" applyNumberFormat="1" applyFont="1" applyBorder="1" applyAlignment="1">
      <alignment vertical="center"/>
    </xf>
    <xf numFmtId="10" fontId="15" fillId="0" borderId="15" xfId="0" applyNumberFormat="1" applyFont="1" applyBorder="1" applyAlignment="1">
      <alignment vertical="center"/>
    </xf>
    <xf numFmtId="164" fontId="17" fillId="2" borderId="5" xfId="0" applyNumberFormat="1" applyFont="1" applyFill="1" applyBorder="1" applyAlignment="1">
      <alignment vertical="center"/>
    </xf>
    <xf numFmtId="164" fontId="18" fillId="2" borderId="5" xfId="0" applyNumberFormat="1" applyFont="1" applyFill="1" applyBorder="1" applyAlignment="1">
      <alignment vertical="center"/>
    </xf>
    <xf numFmtId="3" fontId="18" fillId="2" borderId="5" xfId="0" applyNumberFormat="1" applyFont="1" applyFill="1" applyBorder="1" applyAlignment="1">
      <alignment vertical="center"/>
    </xf>
    <xf numFmtId="10" fontId="18" fillId="2" borderId="6" xfId="0" applyNumberFormat="1" applyFont="1" applyFill="1" applyBorder="1" applyAlignment="1">
      <alignment vertical="center"/>
    </xf>
    <xf numFmtId="164" fontId="17" fillId="5" borderId="14" xfId="0" applyNumberFormat="1" applyFont="1" applyFill="1" applyBorder="1" applyAlignment="1">
      <alignment vertical="center"/>
    </xf>
    <xf numFmtId="164" fontId="18" fillId="5" borderId="14" xfId="0" applyNumberFormat="1" applyFont="1" applyFill="1" applyBorder="1" applyAlignment="1">
      <alignment vertical="center"/>
    </xf>
    <xf numFmtId="3" fontId="18" fillId="5" borderId="14" xfId="0" applyNumberFormat="1" applyFont="1" applyFill="1" applyBorder="1" applyAlignment="1">
      <alignment vertical="center"/>
    </xf>
    <xf numFmtId="10" fontId="18" fillId="5" borderId="15" xfId="0" applyNumberFormat="1" applyFont="1" applyFill="1" applyBorder="1" applyAlignment="1">
      <alignment vertical="center"/>
    </xf>
    <xf numFmtId="164" fontId="19" fillId="0" borderId="14" xfId="0" applyNumberFormat="1" applyFont="1" applyBorder="1" applyAlignment="1">
      <alignment vertical="center"/>
    </xf>
    <xf numFmtId="3" fontId="19" fillId="0" borderId="14" xfId="0" applyNumberFormat="1" applyFont="1" applyBorder="1" applyAlignment="1">
      <alignment vertical="center"/>
    </xf>
    <xf numFmtId="10" fontId="19" fillId="0" borderId="15" xfId="0" applyNumberFormat="1" applyFont="1" applyBorder="1" applyAlignment="1">
      <alignment vertical="center"/>
    </xf>
    <xf numFmtId="164" fontId="19" fillId="0" borderId="5" xfId="0" applyNumberFormat="1" applyFont="1" applyBorder="1" applyAlignment="1">
      <alignment vertical="center"/>
    </xf>
    <xf numFmtId="3" fontId="19" fillId="0" borderId="5" xfId="0" applyNumberFormat="1" applyFont="1" applyBorder="1" applyAlignment="1">
      <alignment vertical="center"/>
    </xf>
    <xf numFmtId="10" fontId="19" fillId="0" borderId="6" xfId="0" applyNumberFormat="1" applyFont="1" applyBorder="1" applyAlignment="1">
      <alignment vertical="center"/>
    </xf>
    <xf numFmtId="164" fontId="17" fillId="6" borderId="17" xfId="0" applyNumberFormat="1" applyFont="1" applyFill="1" applyBorder="1" applyAlignment="1">
      <alignment vertical="center"/>
    </xf>
    <xf numFmtId="164" fontId="1" fillId="0" borderId="14" xfId="0" applyNumberFormat="1" applyFont="1" applyBorder="1" applyAlignment="1">
      <alignment vertical="center"/>
    </xf>
    <xf numFmtId="10" fontId="1" fillId="0" borderId="15" xfId="0" applyNumberFormat="1" applyFont="1" applyBorder="1" applyAlignment="1">
      <alignment vertical="center"/>
    </xf>
    <xf numFmtId="164" fontId="19" fillId="6" borderId="17" xfId="0" applyNumberFormat="1" applyFont="1" applyFill="1" applyBorder="1" applyAlignment="1">
      <alignment vertical="center"/>
    </xf>
    <xf numFmtId="164" fontId="20" fillId="2" borderId="5" xfId="0" applyNumberFormat="1" applyFont="1" applyFill="1" applyBorder="1" applyAlignment="1">
      <alignment vertical="center" wrapText="1"/>
    </xf>
    <xf numFmtId="3" fontId="20" fillId="2" borderId="5" xfId="0" applyNumberFormat="1" applyFont="1" applyFill="1" applyBorder="1" applyAlignment="1">
      <alignment vertical="center" wrapText="1"/>
    </xf>
    <xf numFmtId="10" fontId="20" fillId="2" borderId="6" xfId="0" applyNumberFormat="1" applyFont="1" applyFill="1" applyBorder="1" applyAlignment="1">
      <alignment horizontal="right" vertical="center" wrapText="1"/>
    </xf>
    <xf numFmtId="164" fontId="21" fillId="5" borderId="14" xfId="0" applyNumberFormat="1" applyFont="1" applyFill="1" applyBorder="1" applyAlignment="1">
      <alignment vertical="center" wrapText="1"/>
    </xf>
    <xf numFmtId="3" fontId="21" fillId="5" borderId="14" xfId="0" applyNumberFormat="1" applyFont="1" applyFill="1" applyBorder="1" applyAlignment="1">
      <alignment vertical="center" wrapText="1"/>
    </xf>
    <xf numFmtId="10" fontId="21" fillId="5" borderId="15" xfId="0" applyNumberFormat="1" applyFont="1" applyFill="1" applyBorder="1" applyAlignment="1">
      <alignment vertical="center" wrapText="1"/>
    </xf>
    <xf numFmtId="0" fontId="14" fillId="4" borderId="18" xfId="0" applyFont="1" applyFill="1" applyBorder="1" applyAlignment="1">
      <alignment vertical="center"/>
    </xf>
    <xf numFmtId="164" fontId="19" fillId="0" borderId="19" xfId="0" applyNumberFormat="1" applyFont="1" applyBorder="1" applyAlignment="1">
      <alignment vertical="center"/>
    </xf>
    <xf numFmtId="3" fontId="19" fillId="0" borderId="19" xfId="0" applyNumberFormat="1" applyFont="1" applyBorder="1" applyAlignment="1">
      <alignment vertical="center"/>
    </xf>
    <xf numFmtId="10" fontId="15" fillId="2" borderId="19" xfId="0" applyNumberFormat="1" applyFont="1" applyFill="1" applyBorder="1" applyAlignment="1">
      <alignment vertical="center"/>
    </xf>
    <xf numFmtId="10" fontId="19" fillId="0" borderId="20" xfId="0" applyNumberFormat="1" applyFont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166" fontId="0" fillId="0" borderId="0" xfId="1" applyNumberFormat="1" applyFont="1"/>
    <xf numFmtId="166" fontId="0" fillId="0" borderId="0" xfId="0" applyNumberFormat="1"/>
    <xf numFmtId="0" fontId="14" fillId="7" borderId="5" xfId="0" applyFont="1" applyFill="1" applyBorder="1" applyAlignment="1">
      <alignment vertical="center"/>
    </xf>
    <xf numFmtId="166" fontId="0" fillId="8" borderId="0" xfId="1" applyNumberFormat="1" applyFont="1" applyFill="1"/>
    <xf numFmtId="166" fontId="0" fillId="8" borderId="0" xfId="0" applyNumberFormat="1" applyFill="1"/>
  </cellXfs>
  <cellStyles count="2">
    <cellStyle name="Normal" xfId="0" builtinId="0"/>
    <cellStyle name="Vírgula" xfId="1" builtinId="3"/>
  </cellStyles>
  <dxfs count="12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4">
    <tableStyle name="RESULTADO ELEIÇÕES PREFEITOS 20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RESULTADOS PRIMEIRO TURNO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IMAGENS CANDIDATOS PREFEITOS-style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NÚMEROS DE CANDIDATOS POR MUNIC-style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_10" displayName="Tabela_10" ref="A1:Y504">
  <autoFilter ref="A1:Y504" xr:uid="{00000000-0009-0000-0100-000001000000}"/>
  <tableColumns count="25">
    <tableColumn id="1" xr3:uid="{00000000-0010-0000-0000-000001000000}" name="COD_IBGE"/>
    <tableColumn id="2" xr3:uid="{00000000-0010-0000-0000-000002000000}" name="NM_UE"/>
    <tableColumn id="3" xr3:uid="{00000000-0010-0000-0000-000003000000}" name="DS_CARGO"/>
    <tableColumn id="4" xr3:uid="{00000000-0010-0000-0000-000004000000}" name="SQ_CANDIDATO"/>
    <tableColumn id="5" xr3:uid="{00000000-0010-0000-0000-000005000000}" name="NR_CANDIDATO"/>
    <tableColumn id="6" xr3:uid="{00000000-0010-0000-0000-000006000000}" name="NM_CANDIDATO"/>
    <tableColumn id="7" xr3:uid="{00000000-0010-0000-0000-000007000000}" name="EMAIL"/>
    <tableColumn id="8" xr3:uid="{00000000-0010-0000-0000-000008000000}" name="TELEFONE"/>
    <tableColumn id="9" xr3:uid="{00000000-0010-0000-0000-000009000000}" name="CANDIDATO SEM CARACTERES"/>
    <tableColumn id="10" xr3:uid="{00000000-0010-0000-0000-00000A000000}" name="TIPO DE CANDIDATURA"/>
    <tableColumn id="11" xr3:uid="{00000000-0010-0000-0000-00000B000000}" name="PERFIL POLÍTICO"/>
    <tableColumn id="12" xr3:uid="{00000000-0010-0000-0000-00000C000000}" name="RESULTADO"/>
    <tableColumn id="13" xr3:uid="{00000000-0010-0000-0000-00000D000000}" name="VOTOS RECEBIDOS"/>
    <tableColumn id="14" xr3:uid="{00000000-0010-0000-0000-00000E000000}" name="PORCENTAGEM DE VOTOS RECEBIDOS"/>
    <tableColumn id="15" xr3:uid="{00000000-0010-0000-0000-00000F000000}" name="NM_URNA_CANDIDATO"/>
    <tableColumn id="16" xr3:uid="{00000000-0010-0000-0000-000010000000}" name="TP_AGREMIACAO"/>
    <tableColumn id="17" xr3:uid="{00000000-0010-0000-0000-000011000000}" name="NR_PARTIDO"/>
    <tableColumn id="18" xr3:uid="{00000000-0010-0000-0000-000012000000}" name="SG_PARTIDO"/>
    <tableColumn id="19" xr3:uid="{00000000-0010-0000-0000-000013000000}" name="NM_PARTIDO"/>
    <tableColumn id="20" xr3:uid="{00000000-0010-0000-0000-000014000000}" name="NM_COLIGACAO"/>
    <tableColumn id="21" xr3:uid="{00000000-0010-0000-0000-000015000000}" name="DS_COMPOSICAO_COLIGACAO"/>
    <tableColumn id="22" xr3:uid="{00000000-0010-0000-0000-000016000000}" name="DS_GENERO"/>
    <tableColumn id="23" xr3:uid="{00000000-0010-0000-0000-000017000000}" name="DS_GRAU_INSTRUCAO"/>
    <tableColumn id="24" xr3:uid="{00000000-0010-0000-0000-000018000000}" name="DS_COR_RACA"/>
    <tableColumn id="25" xr3:uid="{00000000-0010-0000-0000-000019000000}" name="DS_OCUPACAO"/>
  </tableColumns>
  <tableStyleInfo name="RESULTADO ELEIÇÕES PREFEITOS 20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_1" displayName="Tabela_1" ref="A1:Y14">
  <autoFilter ref="A1:Y14" xr:uid="{00000000-0009-0000-0100-000002000000}"/>
  <tableColumns count="25">
    <tableColumn id="1" xr3:uid="{00000000-0010-0000-0100-000001000000}" name="COD_IBGE"/>
    <tableColumn id="2" xr3:uid="{00000000-0010-0000-0100-000002000000}" name="NM_UE"/>
    <tableColumn id="3" xr3:uid="{00000000-0010-0000-0100-000003000000}" name="DS_CARGO"/>
    <tableColumn id="4" xr3:uid="{00000000-0010-0000-0100-000004000000}" name="SQ_CANDIDATO"/>
    <tableColumn id="5" xr3:uid="{00000000-0010-0000-0100-000005000000}" name="NR_CANDIDATO"/>
    <tableColumn id="6" xr3:uid="{00000000-0010-0000-0100-000006000000}" name="NM_CANDIDATO"/>
    <tableColumn id="7" xr3:uid="{00000000-0010-0000-0100-000007000000}" name="EMAIL"/>
    <tableColumn id="8" xr3:uid="{00000000-0010-0000-0100-000008000000}" name="TELEFONE"/>
    <tableColumn id="9" xr3:uid="{00000000-0010-0000-0100-000009000000}" name="CANDIDATO SEM CARACTERES"/>
    <tableColumn id="10" xr3:uid="{00000000-0010-0000-0100-00000A000000}" name="TIPO DE CANDIDATURA"/>
    <tableColumn id="11" xr3:uid="{00000000-0010-0000-0100-00000B000000}" name="PERFIL POLÍTICO"/>
    <tableColumn id="12" xr3:uid="{00000000-0010-0000-0100-00000C000000}" name="RESULTADO"/>
    <tableColumn id="13" xr3:uid="{00000000-0010-0000-0100-00000D000000}" name="VOTOS RECEBIDOS"/>
    <tableColumn id="14" xr3:uid="{00000000-0010-0000-0100-00000E000000}" name="PORCENTAGEM DE VOTOS RECEBIDOS"/>
    <tableColumn id="15" xr3:uid="{00000000-0010-0000-0100-00000F000000}" name="NM_URNA_CANDIDATO"/>
    <tableColumn id="16" xr3:uid="{00000000-0010-0000-0100-000010000000}" name="TP_AGREMIACAO"/>
    <tableColumn id="17" xr3:uid="{00000000-0010-0000-0100-000011000000}" name="NR_PARTIDO"/>
    <tableColumn id="18" xr3:uid="{00000000-0010-0000-0100-000012000000}" name="SG_PARTIDO"/>
    <tableColumn id="19" xr3:uid="{00000000-0010-0000-0100-000013000000}" name="NM_PARTIDO"/>
    <tableColumn id="20" xr3:uid="{00000000-0010-0000-0100-000014000000}" name="NM_COLIGACAO"/>
    <tableColumn id="21" xr3:uid="{00000000-0010-0000-0100-000015000000}" name="DS_COMPOSICAO_COLIGACAO"/>
    <tableColumn id="22" xr3:uid="{00000000-0010-0000-0100-000016000000}" name="DS_GENERO"/>
    <tableColumn id="23" xr3:uid="{00000000-0010-0000-0100-000017000000}" name="DS_GRAU_INSTRUCAO"/>
    <tableColumn id="24" xr3:uid="{00000000-0010-0000-0100-000018000000}" name="DS_COR_RACA"/>
    <tableColumn id="25" xr3:uid="{00000000-0010-0000-0100-000019000000}" name="DS_OCUPACAO"/>
  </tableColumns>
  <tableStyleInfo name="RESULTADOS PRIMEIRO TURNO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_4" displayName="Tabela_4" ref="A1:G504">
  <tableColumns count="7">
    <tableColumn id="1" xr3:uid="{00000000-0010-0000-0200-000001000000}" name="COD"/>
    <tableColumn id="2" xr3:uid="{00000000-0010-0000-0200-000002000000}" name="IMAGEM"/>
    <tableColumn id="3" xr3:uid="{00000000-0010-0000-0200-000003000000}" name="CONJUNTO"/>
    <tableColumn id="4" xr3:uid="{00000000-0010-0000-0200-000004000000}" name="REGEXTRACT"/>
    <tableColumn id="5" xr3:uid="{00000000-0010-0000-0200-000005000000}" name="URL THUMBNAIL"/>
    <tableColumn id="6" xr3:uid="{00000000-0010-0000-0200-000006000000}" name="REGEXEXTRACT ID "/>
    <tableColumn id="7" xr3:uid="{00000000-0010-0000-0200-000007000000}" name="CONCAT THUMBNAIL + ID"/>
  </tableColumns>
  <tableStyleInfo name="IMAGENS CANDIDATOS PREFEITO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_12" displayName="Tabela_12" ref="A1:H185">
  <autoFilter ref="A1:H185" xr:uid="{00000000-0009-0000-0100-000004000000}"/>
  <tableColumns count="8">
    <tableColumn id="1" xr3:uid="{00000000-0010-0000-0300-000001000000}" name="MUNICÍPIO"/>
    <tableColumn id="2" xr3:uid="{00000000-0010-0000-0300-000002000000}" name="BRANCOS"/>
    <tableColumn id="3" xr3:uid="{00000000-0010-0000-0300-000003000000}" name="NULOS"/>
    <tableColumn id="4" xr3:uid="{00000000-0010-0000-0300-000004000000}" name="VÁLIDOS"/>
    <tableColumn id="5" xr3:uid="{00000000-0010-0000-0300-000005000000}" name="GERAL"/>
    <tableColumn id="6" xr3:uid="{00000000-0010-0000-0300-000006000000}" name="% BRANCOS"/>
    <tableColumn id="7" xr3:uid="{00000000-0010-0000-0300-000007000000}" name="% NULOS"/>
    <tableColumn id="8" xr3:uid="{00000000-0010-0000-0300-000008000000}" name="% VALIDOS"/>
  </tableColumns>
  <tableStyleInfo name="NÚMEROS DE CANDIDATOS POR MUNIC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dvalanandrade@gmail.com" TargetMode="External"/><Relationship Id="rId18" Type="http://schemas.openxmlformats.org/officeDocument/2006/relationships/hyperlink" Target="mailto:campanhalagoadocarro20@gmail.com" TargetMode="External"/><Relationship Id="rId26" Type="http://schemas.openxmlformats.org/officeDocument/2006/relationships/hyperlink" Target="mailto:assessoriaeleicoes.tb@gmail.com" TargetMode="External"/><Relationship Id="rId3" Type="http://schemas.openxmlformats.org/officeDocument/2006/relationships/hyperlink" Target="mailto:amarajiavante70@gmail.com" TargetMode="External"/><Relationship Id="rId21" Type="http://schemas.openxmlformats.org/officeDocument/2006/relationships/hyperlink" Target="mailto:vceleicoes2024@gmail.com" TargetMode="External"/><Relationship Id="rId34" Type="http://schemas.openxmlformats.org/officeDocument/2006/relationships/table" Target="../tables/table1.xml"/><Relationship Id="rId7" Type="http://schemas.openxmlformats.org/officeDocument/2006/relationships/hyperlink" Target="mailto:cruzchico@gmail.com" TargetMode="External"/><Relationship Id="rId12" Type="http://schemas.openxmlformats.org/officeDocument/2006/relationships/hyperlink" Target="mailto:unidosporcondado@gmail.com" TargetMode="External"/><Relationship Id="rId17" Type="http://schemas.openxmlformats.org/officeDocument/2006/relationships/hyperlink" Target="mailto:dimasousa@hotmail.com" TargetMode="External"/><Relationship Id="rId25" Type="http://schemas.openxmlformats.org/officeDocument/2006/relationships/hyperlink" Target="mailto:watha_adv@hotmail.com" TargetMode="External"/><Relationship Id="rId33" Type="http://schemas.openxmlformats.org/officeDocument/2006/relationships/hyperlink" Target="mailto:kelvin-douglas07@hotmail.com" TargetMode="External"/><Relationship Id="rId2" Type="http://schemas.openxmlformats.org/officeDocument/2006/relationships/hyperlink" Target="mailto:elton.martins@hotmail.com" TargetMode="External"/><Relationship Id="rId16" Type="http://schemas.openxmlformats.org/officeDocument/2006/relationships/hyperlink" Target="mailto:advpablosantos@gmail.com" TargetMode="External"/><Relationship Id="rId20" Type="http://schemas.openxmlformats.org/officeDocument/2006/relationships/hyperlink" Target="mailto:2024orocope@gmail.com" TargetMode="External"/><Relationship Id="rId29" Type="http://schemas.openxmlformats.org/officeDocument/2006/relationships/hyperlink" Target="mailto:campanha2024mr@gmail.com" TargetMode="External"/><Relationship Id="rId1" Type="http://schemas.openxmlformats.org/officeDocument/2006/relationships/hyperlink" Target="mailto:crmcontabilidade2@gmail.com" TargetMode="External"/><Relationship Id="rId6" Type="http://schemas.openxmlformats.org/officeDocument/2006/relationships/hyperlink" Target="mailto:uniaodobembm@gmail.com" TargetMode="External"/><Relationship Id="rId11" Type="http://schemas.openxmlformats.org/officeDocument/2006/relationships/hyperlink" Target="mailto:andrepedroraimundo@hotmail.com" TargetMode="External"/><Relationship Id="rId24" Type="http://schemas.openxmlformats.org/officeDocument/2006/relationships/hyperlink" Target="mailto:eleitoral@lcaadv.com.br" TargetMode="External"/><Relationship Id="rId32" Type="http://schemas.openxmlformats.org/officeDocument/2006/relationships/hyperlink" Target="mailto:contato@eduardabaima.com" TargetMode="External"/><Relationship Id="rId5" Type="http://schemas.openxmlformats.org/officeDocument/2006/relationships/hyperlink" Target="mailto:inojosa001@gmail.com" TargetMode="External"/><Relationship Id="rId15" Type="http://schemas.openxmlformats.org/officeDocument/2006/relationships/hyperlink" Target="mailto:netoguerrab@gmail.com" TargetMode="External"/><Relationship Id="rId23" Type="http://schemas.openxmlformats.org/officeDocument/2006/relationships/hyperlink" Target="mailto:ricardouriasnovais@yahoo.com" TargetMode="External"/><Relationship Id="rId28" Type="http://schemas.openxmlformats.org/officeDocument/2006/relationships/hyperlink" Target="mailto:midia.aninhadaferbom@gmail.com" TargetMode="External"/><Relationship Id="rId10" Type="http://schemas.openxmlformats.org/officeDocument/2006/relationships/hyperlink" Target="mailto:saulofbarros@hotmail.com" TargetMode="External"/><Relationship Id="rId19" Type="http://schemas.openxmlformats.org/officeDocument/2006/relationships/hyperlink" Target="mailto:luizcavalcante185@gmail.com" TargetMode="External"/><Relationship Id="rId31" Type="http://schemas.openxmlformats.org/officeDocument/2006/relationships/hyperlink" Target="mailto:isabellacordeiro.s@gmail.com" TargetMode="External"/><Relationship Id="rId4" Type="http://schemas.openxmlformats.org/officeDocument/2006/relationships/hyperlink" Target="mailto:evilasio17000@outlook.com" TargetMode="External"/><Relationship Id="rId9" Type="http://schemas.openxmlformats.org/officeDocument/2006/relationships/hyperlink" Target="mailto:dezinhofilho_bc@yahoo.com.br" TargetMode="External"/><Relationship Id="rId14" Type="http://schemas.openxmlformats.org/officeDocument/2006/relationships/hyperlink" Target="mailto:podemosgloriadogoita@gmail.com" TargetMode="External"/><Relationship Id="rId22" Type="http://schemas.openxmlformats.org/officeDocument/2006/relationships/hyperlink" Target="mailto:parnamirimeleicoes2024@gmail.com" TargetMode="External"/><Relationship Id="rId27" Type="http://schemas.openxmlformats.org/officeDocument/2006/relationships/hyperlink" Target="mailto:fredbrito@perfilloja.com.br" TargetMode="External"/><Relationship Id="rId30" Type="http://schemas.openxmlformats.org/officeDocument/2006/relationships/hyperlink" Target="mailto:adeyltonfarias@hotmail.com" TargetMode="External"/><Relationship Id="rId8" Type="http://schemas.openxmlformats.org/officeDocument/2006/relationships/hyperlink" Target="mailto:gabrielbezerra201999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1" Type="http://schemas.openxmlformats.org/officeDocument/2006/relationships/hyperlink" Target="https://drive.google.com/thumbnail?id=" TargetMode="External"/><Relationship Id="rId170" Type="http://schemas.openxmlformats.org/officeDocument/2006/relationships/hyperlink" Target="https://drive.google.com/open?id=1SodQsEGFq7EjNnK9vS4k_ksf0aPQDTsB&amp;usp=drive_copy" TargetMode="External"/><Relationship Id="rId268" Type="http://schemas.openxmlformats.org/officeDocument/2006/relationships/hyperlink" Target="https://drive.google.com/open?id=1mxI7USGVvCEX6I4_SqwbuQZctPgy9tyh&amp;usp=drive_copy" TargetMode="External"/><Relationship Id="rId475" Type="http://schemas.openxmlformats.org/officeDocument/2006/relationships/hyperlink" Target="https://drive.google.com/open?id=1Y8GWSBmHuYqz_siQ0pYxQ9rPrtbm16ur&amp;usp=drive_copy" TargetMode="External"/><Relationship Id="rId682" Type="http://schemas.openxmlformats.org/officeDocument/2006/relationships/hyperlink" Target="https://drive.google.com/open?id=115VPecRXcTTo4gOb9PBKS7JUf0rL8Tsq&amp;usp=drive_copy" TargetMode="External"/><Relationship Id="rId128" Type="http://schemas.openxmlformats.org/officeDocument/2006/relationships/hyperlink" Target="https://drive.google.com/open?id=1L8LxyVkFotSU5AjqnxxRtPEs5qL-MwcG&amp;usp=drive_copy" TargetMode="External"/><Relationship Id="rId335" Type="http://schemas.openxmlformats.org/officeDocument/2006/relationships/hyperlink" Target="https://drive.google.com/open?id=13QWiuJ6Hak-aic4K4rIfvFyLQAI6s8dN&amp;usp=drive_copy" TargetMode="External"/><Relationship Id="rId542" Type="http://schemas.openxmlformats.org/officeDocument/2006/relationships/hyperlink" Target="https://drive.google.com/open?id=1e_ViTWOXwP-qothCqK3utZPnkIzKCDOl&amp;usp=drive_copy" TargetMode="External"/><Relationship Id="rId987" Type="http://schemas.openxmlformats.org/officeDocument/2006/relationships/hyperlink" Target="https://drive.google.com/thumbnail?id=" TargetMode="External"/><Relationship Id="rId1172" Type="http://schemas.openxmlformats.org/officeDocument/2006/relationships/hyperlink" Target="https://drive.google.com/open?id=1lg-qlMg4-q2la5o9YSLyaMebRTpa4Hml&amp;usp=drive_copy" TargetMode="External"/><Relationship Id="rId402" Type="http://schemas.openxmlformats.org/officeDocument/2006/relationships/hyperlink" Target="https://drive.google.com/thumbnail?id=" TargetMode="External"/><Relationship Id="rId847" Type="http://schemas.openxmlformats.org/officeDocument/2006/relationships/hyperlink" Target="https://drive.google.com/open?id=1aZo0I-PMU2NZrGlVsdQMMwWbiypiayu-&amp;usp=drive_copy" TargetMode="External"/><Relationship Id="rId1032" Type="http://schemas.openxmlformats.org/officeDocument/2006/relationships/hyperlink" Target="https://drive.google.com/thumbnail?id=" TargetMode="External"/><Relationship Id="rId1477" Type="http://schemas.openxmlformats.org/officeDocument/2006/relationships/hyperlink" Target="https://drive.google.com/open?id=1xkIQ9Rxj3AMqlxBIx4UVireC0TUvtdtk&amp;usp=drive_copy" TargetMode="External"/><Relationship Id="rId707" Type="http://schemas.openxmlformats.org/officeDocument/2006/relationships/hyperlink" Target="https://drive.google.com/open?id=18W-qn9bPqmX5LX8QCGzNoj96ia4JLZZY&amp;usp=drive_copy" TargetMode="External"/><Relationship Id="rId914" Type="http://schemas.openxmlformats.org/officeDocument/2006/relationships/hyperlink" Target="https://drive.google.com/open?id=1qq2ke8lDkVGp9ZXKvfeogkdCjEylRCFW&amp;usp=drive_copy" TargetMode="External"/><Relationship Id="rId1337" Type="http://schemas.openxmlformats.org/officeDocument/2006/relationships/hyperlink" Target="https://drive.google.com/open?id=1LogQqGfsiEZ0v2DYJ8Hz-M4dAoMvaW0m&amp;usp=drive_copy" TargetMode="External"/><Relationship Id="rId43" Type="http://schemas.openxmlformats.org/officeDocument/2006/relationships/hyperlink" Target="https://drive.google.com/open?id=1K-49J6Q8SZwEWiFdnF5IJ1_VoWJDsPVi&amp;usp=drive_copy" TargetMode="External"/><Relationship Id="rId1404" Type="http://schemas.openxmlformats.org/officeDocument/2006/relationships/hyperlink" Target="https://drive.google.com/thumbnail?id=" TargetMode="External"/><Relationship Id="rId192" Type="http://schemas.openxmlformats.org/officeDocument/2006/relationships/hyperlink" Target="https://drive.google.com/thumbnail?id=" TargetMode="External"/><Relationship Id="rId497" Type="http://schemas.openxmlformats.org/officeDocument/2006/relationships/hyperlink" Target="https://drive.google.com/open?id=1_kzggvW8e7yyEvIji2ECt6Fr_z1ghfc8&amp;usp=drive_copy" TargetMode="External"/><Relationship Id="rId357" Type="http://schemas.openxmlformats.org/officeDocument/2006/relationships/hyperlink" Target="https://drive.google.com/thumbnail?id=" TargetMode="External"/><Relationship Id="rId1194" Type="http://schemas.openxmlformats.org/officeDocument/2006/relationships/hyperlink" Target="https://drive.google.com/thumbnail?id=" TargetMode="External"/><Relationship Id="rId217" Type="http://schemas.openxmlformats.org/officeDocument/2006/relationships/hyperlink" Target="https://drive.google.com/open?id=1evno0C7VC-J9LwuJqyEEJJfyt9leeWxD&amp;usp=drive_copy" TargetMode="External"/><Relationship Id="rId564" Type="http://schemas.openxmlformats.org/officeDocument/2006/relationships/hyperlink" Target="https://drive.google.com/thumbnail?id=" TargetMode="External"/><Relationship Id="rId771" Type="http://schemas.openxmlformats.org/officeDocument/2006/relationships/hyperlink" Target="https://drive.google.com/thumbnail?id=" TargetMode="External"/><Relationship Id="rId869" Type="http://schemas.openxmlformats.org/officeDocument/2006/relationships/hyperlink" Target="https://drive.google.com/open?id=1gXT0So5QrlwlmYEB6XJOmc6tc2m76CR_&amp;usp=drive_copy" TargetMode="External"/><Relationship Id="rId1499" Type="http://schemas.openxmlformats.org/officeDocument/2006/relationships/hyperlink" Target="https://drive.google.com/open?id=14W2huttz3_86uDEN_bSbPtODqeFVT_w_&amp;usp=drive_copy" TargetMode="External"/><Relationship Id="rId424" Type="http://schemas.openxmlformats.org/officeDocument/2006/relationships/hyperlink" Target="https://drive.google.com/open?id=1LwmO9-vVNKhkd1r0xpsdZ4aTfXp1Zd6k&amp;usp=drive_copy" TargetMode="External"/><Relationship Id="rId631" Type="http://schemas.openxmlformats.org/officeDocument/2006/relationships/hyperlink" Target="https://drive.google.com/open?id=1rgdnHliptgeZqi4TN4i4hHqu29QK4LC9&amp;usp=drive_copy" TargetMode="External"/><Relationship Id="rId729" Type="http://schemas.openxmlformats.org/officeDocument/2006/relationships/hyperlink" Target="https://drive.google.com/thumbnail?id=" TargetMode="External"/><Relationship Id="rId1054" Type="http://schemas.openxmlformats.org/officeDocument/2006/relationships/hyperlink" Target="https://drive.google.com/open?id=1O7NxS1HFxuA4-P45sAUwLLuofyFcgx7A&amp;usp=drive_copy" TargetMode="External"/><Relationship Id="rId1261" Type="http://schemas.openxmlformats.org/officeDocument/2006/relationships/hyperlink" Target="https://drive.google.com/open?id=18SfzcxXk_rNJK-kSj99-saWr1skb8zPS&amp;usp=drive_copy" TargetMode="External"/><Relationship Id="rId1359" Type="http://schemas.openxmlformats.org/officeDocument/2006/relationships/hyperlink" Target="https://drive.google.com/thumbnail?id=" TargetMode="External"/><Relationship Id="rId936" Type="http://schemas.openxmlformats.org/officeDocument/2006/relationships/hyperlink" Target="https://drive.google.com/thumbnail?id=" TargetMode="External"/><Relationship Id="rId1121" Type="http://schemas.openxmlformats.org/officeDocument/2006/relationships/hyperlink" Target="https://drive.google.com/open?id=1e9Tox9UujaH4i3yjC_f28BtPex5tWSJV&amp;usp=drive_copy" TargetMode="External"/><Relationship Id="rId1219" Type="http://schemas.openxmlformats.org/officeDocument/2006/relationships/hyperlink" Target="https://drive.google.com/open?id=1yPZMDVYtYHotjnBW-IDDCPs5OddAxJ-r&amp;usp=drive_copy" TargetMode="External"/><Relationship Id="rId65" Type="http://schemas.openxmlformats.org/officeDocument/2006/relationships/hyperlink" Target="https://drive.google.com/open?id=1-InHSAfRwKvoHMIO9MNaaM7rSk99MQHi&amp;usp=drive_copy" TargetMode="External"/><Relationship Id="rId1426" Type="http://schemas.openxmlformats.org/officeDocument/2006/relationships/hyperlink" Target="https://drive.google.com/open?id=1miJGm65XUzfxWRxqVbvehBGVJm7JzZUg&amp;usp=drive_copy" TargetMode="External"/><Relationship Id="rId281" Type="http://schemas.openxmlformats.org/officeDocument/2006/relationships/hyperlink" Target="https://drive.google.com/open?id=1s28KZyqsRkfQ-Dq7pm3-CzZywKyCPPGC&amp;usp=drive_copy" TargetMode="External"/><Relationship Id="rId141" Type="http://schemas.openxmlformats.org/officeDocument/2006/relationships/hyperlink" Target="https://drive.google.com/thumbnail?id=" TargetMode="External"/><Relationship Id="rId379" Type="http://schemas.openxmlformats.org/officeDocument/2006/relationships/hyperlink" Target="https://drive.google.com/open?id=1CL_UJ_Ub2eLPwFba-__pwSdFpxxKeWJz&amp;usp=drive_copy" TargetMode="External"/><Relationship Id="rId586" Type="http://schemas.openxmlformats.org/officeDocument/2006/relationships/hyperlink" Target="https://drive.google.com/open?id=1nBoPmpVqirNnxTnQgSV2P1wpxP5WeKmH&amp;usp=drive_copy" TargetMode="External"/><Relationship Id="rId793" Type="http://schemas.openxmlformats.org/officeDocument/2006/relationships/hyperlink" Target="https://drive.google.com/open?id=1RxnzUzKBOZkSysPNfgCvtttgy0P6WOP6&amp;usp=drive_copy" TargetMode="External"/><Relationship Id="rId7" Type="http://schemas.openxmlformats.org/officeDocument/2006/relationships/hyperlink" Target="https://drive.google.com/open?id=14m72j3uZb5-vPCvnnbwuj14BcTcy-_Rf&amp;usp=drive_copy" TargetMode="External"/><Relationship Id="rId239" Type="http://schemas.openxmlformats.org/officeDocument/2006/relationships/hyperlink" Target="https://drive.google.com/open?id=1gFQvxWWrcMLZjb4hCr2wZN7ky75ujRht&amp;usp=drive_copy" TargetMode="External"/><Relationship Id="rId446" Type="http://schemas.openxmlformats.org/officeDocument/2006/relationships/hyperlink" Target="https://drive.google.com/open?id=1S79rsI8QH99mdthA_jB4lGAxD2BgX98u&amp;usp=drive_copy" TargetMode="External"/><Relationship Id="rId653" Type="http://schemas.openxmlformats.org/officeDocument/2006/relationships/hyperlink" Target="https://drive.google.com/open?id=1wqaaI2xWuQR-5VbZwMw3DCm2O-ktKA5U&amp;usp=drive_copy" TargetMode="External"/><Relationship Id="rId1076" Type="http://schemas.openxmlformats.org/officeDocument/2006/relationships/hyperlink" Target="https://drive.google.com/open?id=1TyPxKtUZ8f8yIJ8DWeAuw5LVL0yEfyyu&amp;usp=drive_copy" TargetMode="External"/><Relationship Id="rId1283" Type="http://schemas.openxmlformats.org/officeDocument/2006/relationships/hyperlink" Target="https://drive.google.com/open?id=1ESJawNnALNxIPo9ToJwhDURm_RDpauIc&amp;usp=drive_copy" TargetMode="External"/><Relationship Id="rId1490" Type="http://schemas.openxmlformats.org/officeDocument/2006/relationships/hyperlink" Target="https://drive.google.com/open?id=1lyYgBk_vDrDFS7yMqIwItTliqbHtY7IO&amp;usp=drive_copy" TargetMode="External"/><Relationship Id="rId306" Type="http://schemas.openxmlformats.org/officeDocument/2006/relationships/hyperlink" Target="https://drive.google.com/thumbnail?id=" TargetMode="External"/><Relationship Id="rId860" Type="http://schemas.openxmlformats.org/officeDocument/2006/relationships/hyperlink" Target="https://drive.google.com/open?id=1fp1q24rJZ_TRfCG31iRnp4U8-7tdZNXH&amp;usp=drive_copy" TargetMode="External"/><Relationship Id="rId958" Type="http://schemas.openxmlformats.org/officeDocument/2006/relationships/hyperlink" Target="https://drive.google.com/open?id=12Z3fSRCFuY2dhuWrrG9GtDw9KtppHMU3&amp;usp=drive_copy" TargetMode="External"/><Relationship Id="rId1143" Type="http://schemas.openxmlformats.org/officeDocument/2006/relationships/hyperlink" Target="https://drive.google.com/thumbnail?id=" TargetMode="External"/><Relationship Id="rId87" Type="http://schemas.openxmlformats.org/officeDocument/2006/relationships/hyperlink" Target="https://drive.google.com/thumbnail?id=" TargetMode="External"/><Relationship Id="rId513" Type="http://schemas.openxmlformats.org/officeDocument/2006/relationships/hyperlink" Target="https://drive.google.com/thumbnail?id=" TargetMode="External"/><Relationship Id="rId720" Type="http://schemas.openxmlformats.org/officeDocument/2006/relationships/hyperlink" Target="https://drive.google.com/thumbnail?id=" TargetMode="External"/><Relationship Id="rId818" Type="http://schemas.openxmlformats.org/officeDocument/2006/relationships/hyperlink" Target="https://drive.google.com/open?id=1UFVVLFn2sNtynluQFhWTYDCcyJNVqhSN&amp;usp=drive_copy" TargetMode="External"/><Relationship Id="rId1350" Type="http://schemas.openxmlformats.org/officeDocument/2006/relationships/hyperlink" Target="https://drive.google.com/thumbnail?id=" TargetMode="External"/><Relationship Id="rId1448" Type="http://schemas.openxmlformats.org/officeDocument/2006/relationships/hyperlink" Target="https://drive.google.com/open?id=1rjomqK2r_tXSpE4Igvt_vXWmuLToBaQK&amp;usp=drive_copy" TargetMode="External"/><Relationship Id="rId1003" Type="http://schemas.openxmlformats.org/officeDocument/2006/relationships/hyperlink" Target="https://drive.google.com/open?id=1CFtdDaPsoXopWq1o7LAirOLQb93ub1a7&amp;usp=drive_copy" TargetMode="External"/><Relationship Id="rId1210" Type="http://schemas.openxmlformats.org/officeDocument/2006/relationships/hyperlink" Target="https://drive.google.com/open?id=1w0do1cOrLaQoVl48tAgRiMJ45c85XdPY&amp;usp=drive_copy" TargetMode="External"/><Relationship Id="rId1308" Type="http://schemas.openxmlformats.org/officeDocument/2006/relationships/hyperlink" Target="https://drive.google.com/thumbnail?id=" TargetMode="External"/><Relationship Id="rId14" Type="http://schemas.openxmlformats.org/officeDocument/2006/relationships/hyperlink" Target="https://drive.google.com/open?id=15jQX9-nCtfJhrzbtHmYS3ecVskdDPc2l&amp;usp=drive_copy" TargetMode="External"/><Relationship Id="rId163" Type="http://schemas.openxmlformats.org/officeDocument/2006/relationships/hyperlink" Target="https://drive.google.com/open?id=1S36N_WYXASfSDd7jHWF1l8kwWe2bnDBL&amp;usp=drive_copy" TargetMode="External"/><Relationship Id="rId370" Type="http://schemas.openxmlformats.org/officeDocument/2006/relationships/hyperlink" Target="https://drive.google.com/open?id=1AW0NY7h3UtTnDE8_ljZVi8Esm0ZZbuop&amp;usp=drive_copy" TargetMode="External"/><Relationship Id="rId230" Type="http://schemas.openxmlformats.org/officeDocument/2006/relationships/hyperlink" Target="https://drive.google.com/open?id=1fk2gXQWpcf1aPWntPtrrxJGGXPOZXSqf&amp;usp=drive_copy" TargetMode="External"/><Relationship Id="rId468" Type="http://schemas.openxmlformats.org/officeDocument/2006/relationships/hyperlink" Target="https://drive.google.com/thumbnail?id=" TargetMode="External"/><Relationship Id="rId675" Type="http://schemas.openxmlformats.org/officeDocument/2006/relationships/hyperlink" Target="https://drive.google.com/thumbnail?id=" TargetMode="External"/><Relationship Id="rId882" Type="http://schemas.openxmlformats.org/officeDocument/2006/relationships/hyperlink" Target="https://drive.google.com/thumbnail?id=" TargetMode="External"/><Relationship Id="rId1098" Type="http://schemas.openxmlformats.org/officeDocument/2006/relationships/hyperlink" Target="https://drive.google.com/thumbnail?id=" TargetMode="External"/><Relationship Id="rId328" Type="http://schemas.openxmlformats.org/officeDocument/2006/relationships/hyperlink" Target="https://drive.google.com/open?id=131XRefa5kYjFkyszs66ciP7_bYOMu6gj&amp;usp=drive_copy" TargetMode="External"/><Relationship Id="rId535" Type="http://schemas.openxmlformats.org/officeDocument/2006/relationships/hyperlink" Target="https://drive.google.com/open?id=1caR12p_TeY_U0jNWvRWY0n5OAfJNgcqe&amp;usp=drive_copy" TargetMode="External"/><Relationship Id="rId742" Type="http://schemas.openxmlformats.org/officeDocument/2006/relationships/hyperlink" Target="https://drive.google.com/open?id=1JNTfvUA9e-HUC-Dq3wWFJUP7a_o0ih7f&amp;usp=drive_copy" TargetMode="External"/><Relationship Id="rId1165" Type="http://schemas.openxmlformats.org/officeDocument/2006/relationships/hyperlink" Target="https://drive.google.com/open?id=1l8vCgwAU6Bi2RYS28PVzLmvGQSS3nV8m&amp;usp=drive_copy" TargetMode="External"/><Relationship Id="rId1372" Type="http://schemas.openxmlformats.org/officeDocument/2006/relationships/hyperlink" Target="https://drive.google.com/open?id=1VfNnVtejyObsmHcU2383mW2NIsDI_zIx&amp;usp=drive_copy" TargetMode="External"/><Relationship Id="rId602" Type="http://schemas.openxmlformats.org/officeDocument/2006/relationships/hyperlink" Target="https://drive.google.com/open?id=1oqYJSf0VRzUthd52OJzl6lZH5aXjfipS&amp;usp=drive_copy" TargetMode="External"/><Relationship Id="rId1025" Type="http://schemas.openxmlformats.org/officeDocument/2006/relationships/hyperlink" Target="https://drive.google.com/open?id=1Ii5ZG9qMtp8oXxuB_0BoIDWrU9R_hPXn&amp;usp=drive_copy" TargetMode="External"/><Relationship Id="rId1232" Type="http://schemas.openxmlformats.org/officeDocument/2006/relationships/hyperlink" Target="https://drive.google.com/open?id=1zqqCGBD1gd7bipw2dHZGYzVQ527sRKuv&amp;usp=drive_copy" TargetMode="External"/><Relationship Id="rId907" Type="http://schemas.openxmlformats.org/officeDocument/2006/relationships/hyperlink" Target="https://drive.google.com/open?id=1oUnYJkYZf9tuEjHMM5sE5EJPIRvZEksY&amp;usp=drive_copy" TargetMode="External"/><Relationship Id="rId36" Type="http://schemas.openxmlformats.org/officeDocument/2006/relationships/hyperlink" Target="https://drive.google.com/thumbnail?id=" TargetMode="External"/><Relationship Id="rId185" Type="http://schemas.openxmlformats.org/officeDocument/2006/relationships/hyperlink" Target="https://drive.google.com/open?id=1W2b15zqtj4n1O3TbL2mSgsEZWzmwUXvg&amp;usp=drive_copy" TargetMode="External"/><Relationship Id="rId392" Type="http://schemas.openxmlformats.org/officeDocument/2006/relationships/hyperlink" Target="https://drive.google.com/open?id=1Dwf5MljdNEixpFoT0scBvX8Pr9xfG53m&amp;usp=drive_copy" TargetMode="External"/><Relationship Id="rId697" Type="http://schemas.openxmlformats.org/officeDocument/2006/relationships/hyperlink" Target="https://drive.google.com/open?id=17ntdWdwOuBT7uan8n2M-_CcPamETeZAG&amp;usp=drive_copy" TargetMode="External"/><Relationship Id="rId252" Type="http://schemas.openxmlformats.org/officeDocument/2006/relationships/hyperlink" Target="https://drive.google.com/thumbnail?id=" TargetMode="External"/><Relationship Id="rId1187" Type="http://schemas.openxmlformats.org/officeDocument/2006/relationships/hyperlink" Target="https://drive.google.com/open?id=1oAz_rtXkewlSDRo-3AlgjxLRSBS8XuTU&amp;usp=drive_copy" TargetMode="External"/><Relationship Id="rId112" Type="http://schemas.openxmlformats.org/officeDocument/2006/relationships/hyperlink" Target="https://drive.google.com/open?id=1GCQI_4WADQwr4-WXYH9yja49lR-v_zKM&amp;usp=drive_copy" TargetMode="External"/><Relationship Id="rId557" Type="http://schemas.openxmlformats.org/officeDocument/2006/relationships/hyperlink" Target="https://drive.google.com/open?id=1i6kNYGc6lv8Jw1Fr4JflsXePmfOcWiD1&amp;usp=drive_copy" TargetMode="External"/><Relationship Id="rId764" Type="http://schemas.openxmlformats.org/officeDocument/2006/relationships/hyperlink" Target="https://drive.google.com/open?id=1NB6hseDnxcqrtVo--jfu46ah0iszyoMF&amp;usp=drive_copy" TargetMode="External"/><Relationship Id="rId971" Type="http://schemas.openxmlformats.org/officeDocument/2006/relationships/hyperlink" Target="https://drive.google.com/open?id=14XUoIFufRDrGqo41_lmcbapc_TTDdk4_&amp;usp=drive_copy" TargetMode="External"/><Relationship Id="rId1394" Type="http://schemas.openxmlformats.org/officeDocument/2006/relationships/hyperlink" Target="https://drive.google.com/open?id=1cwFbYi0NJQpq2W1zmlj-sG4aVhkwju6a&amp;usp=drive_copy" TargetMode="External"/><Relationship Id="rId417" Type="http://schemas.openxmlformats.org/officeDocument/2006/relationships/hyperlink" Target="https://drive.google.com/thumbnail?id=" TargetMode="External"/><Relationship Id="rId624" Type="http://schemas.openxmlformats.org/officeDocument/2006/relationships/hyperlink" Target="https://drive.google.com/thumbnail?id=" TargetMode="External"/><Relationship Id="rId831" Type="http://schemas.openxmlformats.org/officeDocument/2006/relationships/hyperlink" Target="https://drive.google.com/thumbnail?id=" TargetMode="External"/><Relationship Id="rId1047" Type="http://schemas.openxmlformats.org/officeDocument/2006/relationships/hyperlink" Target="https://drive.google.com/thumbnail?id=" TargetMode="External"/><Relationship Id="rId1254" Type="http://schemas.openxmlformats.org/officeDocument/2006/relationships/hyperlink" Target="https://drive.google.com/thumbnail?id=" TargetMode="External"/><Relationship Id="rId1461" Type="http://schemas.openxmlformats.org/officeDocument/2006/relationships/hyperlink" Target="https://drive.google.com/thumbnail?id=" TargetMode="External"/><Relationship Id="rId929" Type="http://schemas.openxmlformats.org/officeDocument/2006/relationships/hyperlink" Target="https://drive.google.com/open?id=1ul8svISXp_VDEijFARom_uliBEa6bJcr&amp;usp=drive_copy" TargetMode="External"/><Relationship Id="rId1114" Type="http://schemas.openxmlformats.org/officeDocument/2006/relationships/hyperlink" Target="https://drive.google.com/open?id=1dK_k8OiMZQ0jzuvIGCnNWuW5BKM_-zTk&amp;usp=drive_copy" TargetMode="External"/><Relationship Id="rId1321" Type="http://schemas.openxmlformats.org/officeDocument/2006/relationships/hyperlink" Target="https://drive.google.com/open?id=1J--z886GwVJ_zgFaF61wc0uCrJ63qXw1&amp;usp=drive_copy" TargetMode="External"/><Relationship Id="rId58" Type="http://schemas.openxmlformats.org/officeDocument/2006/relationships/hyperlink" Target="https://drive.google.com/open?id=1PEkX5kK1nCveyYCRvxwQqjVYG5WLaomA&amp;usp=drive_copy" TargetMode="External"/><Relationship Id="rId1419" Type="http://schemas.openxmlformats.org/officeDocument/2006/relationships/hyperlink" Target="https://drive.google.com/thumbnail?id=" TargetMode="External"/><Relationship Id="rId274" Type="http://schemas.openxmlformats.org/officeDocument/2006/relationships/hyperlink" Target="https://drive.google.com/open?id=1o_jdMZJBzQ9yaSRJfwc3lnc0KQM4n6CB&amp;usp=drive_copy" TargetMode="External"/><Relationship Id="rId481" Type="http://schemas.openxmlformats.org/officeDocument/2006/relationships/hyperlink" Target="https://drive.google.com/open?id=1ZGojqf1a09v2KWB1MnwOQXT6hHkG0X5h&amp;usp=drive_copy" TargetMode="External"/><Relationship Id="rId134" Type="http://schemas.openxmlformats.org/officeDocument/2006/relationships/hyperlink" Target="https://drive.google.com/open?id=1OCzABevfq5FvvFV2JF4is-JVCYGd41sC&amp;usp=drive_copy" TargetMode="External"/><Relationship Id="rId579" Type="http://schemas.openxmlformats.org/officeDocument/2006/relationships/hyperlink" Target="https://drive.google.com/thumbnail?id=" TargetMode="External"/><Relationship Id="rId786" Type="http://schemas.openxmlformats.org/officeDocument/2006/relationships/hyperlink" Target="https://drive.google.com/thumbnail?id=" TargetMode="External"/><Relationship Id="rId993" Type="http://schemas.openxmlformats.org/officeDocument/2006/relationships/hyperlink" Target="https://drive.google.com/thumbnail?id=" TargetMode="External"/><Relationship Id="rId341" Type="http://schemas.openxmlformats.org/officeDocument/2006/relationships/hyperlink" Target="https://drive.google.com/open?id=14EGIrhuKg_U-79gcQWdWXZoLvDUftOgQ&amp;usp=drive_copy" TargetMode="External"/><Relationship Id="rId439" Type="http://schemas.openxmlformats.org/officeDocument/2006/relationships/hyperlink" Target="https://drive.google.com/open?id=1RRkvxCb3RZjwnKxGAJRA0TqkIGrqXNGc&amp;usp=drive_copy" TargetMode="External"/><Relationship Id="rId646" Type="http://schemas.openxmlformats.org/officeDocument/2006/relationships/hyperlink" Target="https://drive.google.com/open?id=1wE1BUDaSk5_pVKzyP_FkP4yy6nH3x251&amp;usp=drive_copy" TargetMode="External"/><Relationship Id="rId1069" Type="http://schemas.openxmlformats.org/officeDocument/2006/relationships/hyperlink" Target="https://drive.google.com/open?id=1SH0c9w2AIJoLQuhbZssfjuIJGgGI1ICy&amp;usp=drive_copy" TargetMode="External"/><Relationship Id="rId1276" Type="http://schemas.openxmlformats.org/officeDocument/2006/relationships/hyperlink" Target="https://drive.google.com/open?id=1CZK4Ygbb77IjxG4GOiQbsnyuY2Q99aLF&amp;usp=drive_copy" TargetMode="External"/><Relationship Id="rId1483" Type="http://schemas.openxmlformats.org/officeDocument/2006/relationships/hyperlink" Target="https://drive.google.com/open?id=1zoSTkgKNppjZoP3W1AZZ_rdg1ojCROg-&amp;usp=drive_copy" TargetMode="External"/><Relationship Id="rId201" Type="http://schemas.openxmlformats.org/officeDocument/2006/relationships/hyperlink" Target="https://drive.google.com/thumbnail?id=" TargetMode="External"/><Relationship Id="rId506" Type="http://schemas.openxmlformats.org/officeDocument/2006/relationships/hyperlink" Target="https://drive.google.com/open?id=1aPFA1ipovoAmOeqGs3vrObldoOkGEXXa&amp;usp=drive_copy" TargetMode="External"/><Relationship Id="rId853" Type="http://schemas.openxmlformats.org/officeDocument/2006/relationships/hyperlink" Target="https://drive.google.com/open?id=1fQh1_lU85rznmneeW4iFVYb3vvZyGja5&amp;usp=drive_copy" TargetMode="External"/><Relationship Id="rId1136" Type="http://schemas.openxmlformats.org/officeDocument/2006/relationships/hyperlink" Target="https://drive.google.com/open?id=1f5PspbiX7HSp7DAogy6lDwiMu8q8QzrA&amp;usp=drive_copy" TargetMode="External"/><Relationship Id="rId713" Type="http://schemas.openxmlformats.org/officeDocument/2006/relationships/hyperlink" Target="https://drive.google.com/open?id=1A77v4rSQBQ30aNffHVZ247paxoQkMvRa&amp;usp=drive_copy" TargetMode="External"/><Relationship Id="rId920" Type="http://schemas.openxmlformats.org/officeDocument/2006/relationships/hyperlink" Target="https://drive.google.com/open?id=1rAEokTUNwVPZiszK3vSdDH56A5tKKA3a&amp;usp=drive_copy" TargetMode="External"/><Relationship Id="rId1343" Type="http://schemas.openxmlformats.org/officeDocument/2006/relationships/hyperlink" Target="https://drive.google.com/open?id=1N42R0D0cp9k-ub2X-BDgM3-9TGLM02kw&amp;usp=drive_copy" TargetMode="External"/><Relationship Id="rId1203" Type="http://schemas.openxmlformats.org/officeDocument/2006/relationships/hyperlink" Target="https://drive.google.com/thumbnail?id=" TargetMode="External"/><Relationship Id="rId1410" Type="http://schemas.openxmlformats.org/officeDocument/2006/relationships/hyperlink" Target="https://drive.google.com/thumbnail?id=" TargetMode="External"/><Relationship Id="rId1508" Type="http://schemas.openxmlformats.org/officeDocument/2006/relationships/hyperlink" Target="https://drive.google.com/open?id=1ryve3P4T507UVdtpUGVVeL26EMSu75cZ&amp;usp=drive_copy" TargetMode="External"/><Relationship Id="rId296" Type="http://schemas.openxmlformats.org/officeDocument/2006/relationships/hyperlink" Target="https://drive.google.com/open?id=1xHNwfrYUZ6nm53Aki_IzwYHCw_hA-S3R&amp;usp=drive_copy" TargetMode="External"/><Relationship Id="rId156" Type="http://schemas.openxmlformats.org/officeDocument/2006/relationships/hyperlink" Target="https://drive.google.com/thumbnail?id=" TargetMode="External"/><Relationship Id="rId363" Type="http://schemas.openxmlformats.org/officeDocument/2006/relationships/hyperlink" Target="https://drive.google.com/thumbnail?id=" TargetMode="External"/><Relationship Id="rId570" Type="http://schemas.openxmlformats.org/officeDocument/2006/relationships/hyperlink" Target="https://drive.google.com/thumbnail?id=" TargetMode="External"/><Relationship Id="rId223" Type="http://schemas.openxmlformats.org/officeDocument/2006/relationships/hyperlink" Target="https://drive.google.com/open?id=1fWkAO-YAsBvlX2kHYdtCdgH1IOmWVvl_&amp;usp=drive_copy" TargetMode="External"/><Relationship Id="rId430" Type="http://schemas.openxmlformats.org/officeDocument/2006/relationships/hyperlink" Target="https://drive.google.com/open?id=1MiKZGVB5fJYFcKOtSDVx48sRYkFmImJH&amp;usp=drive_copy" TargetMode="External"/><Relationship Id="rId668" Type="http://schemas.openxmlformats.org/officeDocument/2006/relationships/hyperlink" Target="https://drive.google.com/open?id=1xpICvcobiGoCzPFLXeyNjdFjL9zyMmNB&amp;usp=drive_copy" TargetMode="External"/><Relationship Id="rId875" Type="http://schemas.openxmlformats.org/officeDocument/2006/relationships/hyperlink" Target="https://drive.google.com/open?id=1h4yzP00aiifVzeH9CYrNsaqSRRCMIYCV&amp;usp=drive_copy" TargetMode="External"/><Relationship Id="rId1060" Type="http://schemas.openxmlformats.org/officeDocument/2006/relationships/hyperlink" Target="https://drive.google.com/open?id=1PxAa11mJ0l2uWnQopZ7ZaoP5SY5FVjBE&amp;usp=drive_copy" TargetMode="External"/><Relationship Id="rId1298" Type="http://schemas.openxmlformats.org/officeDocument/2006/relationships/hyperlink" Target="https://drive.google.com/open?id=1H4UPJwQod4Sj3zfat-pBT5qOl3AQ6pEB&amp;usp=drive_copy" TargetMode="External"/><Relationship Id="rId528" Type="http://schemas.openxmlformats.org/officeDocument/2006/relationships/hyperlink" Target="https://drive.google.com/thumbnail?id=" TargetMode="External"/><Relationship Id="rId735" Type="http://schemas.openxmlformats.org/officeDocument/2006/relationships/hyperlink" Target="https://drive.google.com/thumbnail?id=" TargetMode="External"/><Relationship Id="rId942" Type="http://schemas.openxmlformats.org/officeDocument/2006/relationships/hyperlink" Target="https://drive.google.com/thumbnail?id=" TargetMode="External"/><Relationship Id="rId1158" Type="http://schemas.openxmlformats.org/officeDocument/2006/relationships/hyperlink" Target="https://drive.google.com/thumbnail?id=" TargetMode="External"/><Relationship Id="rId1365" Type="http://schemas.openxmlformats.org/officeDocument/2006/relationships/hyperlink" Target="https://drive.google.com/thumbnail?id=" TargetMode="External"/><Relationship Id="rId1018" Type="http://schemas.openxmlformats.org/officeDocument/2006/relationships/hyperlink" Target="https://drive.google.com/open?id=1GtafMJWIv5HAi8FVEPMXvTh31oAkeQU5&amp;usp=drive_copy" TargetMode="External"/><Relationship Id="rId1225" Type="http://schemas.openxmlformats.org/officeDocument/2006/relationships/hyperlink" Target="https://drive.google.com/open?id=1zHSsI1e2H7Vgh1q1F2EQhimmg0-hfvbw&amp;usp=drive_copy" TargetMode="External"/><Relationship Id="rId1432" Type="http://schemas.openxmlformats.org/officeDocument/2006/relationships/hyperlink" Target="https://drive.google.com/open?id=1mjSN7jmM7-rwIPcHRpxoEZLmGLDiMRfI&amp;usp=drive_copy" TargetMode="External"/><Relationship Id="rId71" Type="http://schemas.openxmlformats.org/officeDocument/2006/relationships/hyperlink" Target="https://drive.google.com/open?id=11otrG8WaN1aFt8-dzc7D_OS2Zu3_0r7S&amp;usp=drive_copy" TargetMode="External"/><Relationship Id="rId802" Type="http://schemas.openxmlformats.org/officeDocument/2006/relationships/hyperlink" Target="https://drive.google.com/open?id=1SzDBQMRVE-Vj5jt1RnvluApJgqDPQB66&amp;usp=drive_copy" TargetMode="External"/><Relationship Id="rId29" Type="http://schemas.openxmlformats.org/officeDocument/2006/relationships/hyperlink" Target="https://drive.google.com/open?id=1EnbTfrHoBcysU7BvrkSM6U5l-I3IiiE0&amp;usp=drive_copy" TargetMode="External"/><Relationship Id="rId178" Type="http://schemas.openxmlformats.org/officeDocument/2006/relationships/hyperlink" Target="https://drive.google.com/open?id=1UOGQMlAsnmJkhcJX1FyLv_Ek4KsgYd-d&amp;usp=drive_copy" TargetMode="External"/><Relationship Id="rId385" Type="http://schemas.openxmlformats.org/officeDocument/2006/relationships/hyperlink" Target="https://drive.google.com/open?id=1DK9p5EarXWQjOGNP439sn3p-6o_uhZOF&amp;usp=drive_copy" TargetMode="External"/><Relationship Id="rId592" Type="http://schemas.openxmlformats.org/officeDocument/2006/relationships/hyperlink" Target="https://drive.google.com/open?id=1o25OSZDARHoQVhFXKagNebv_tggKeNjc&amp;usp=drive_copy" TargetMode="External"/><Relationship Id="rId245" Type="http://schemas.openxmlformats.org/officeDocument/2006/relationships/hyperlink" Target="https://drive.google.com/open?id=1i9ahSYUWLmVGs34jk9P1HmDyuwJUniXe&amp;usp=drive_copy" TargetMode="External"/><Relationship Id="rId452" Type="http://schemas.openxmlformats.org/officeDocument/2006/relationships/hyperlink" Target="https://drive.google.com/open?id=1SyIsu79Ni5tqiHOfFMHLRckrNrW2xPe7&amp;usp=drive_copy" TargetMode="External"/><Relationship Id="rId897" Type="http://schemas.openxmlformats.org/officeDocument/2006/relationships/hyperlink" Target="https://drive.google.com/thumbnail?id=" TargetMode="External"/><Relationship Id="rId1082" Type="http://schemas.openxmlformats.org/officeDocument/2006/relationships/hyperlink" Target="https://drive.google.com/open?id=1UztX_30U-dx98EgceIpPedDMNCRyFh0j&amp;usp=drive_copy" TargetMode="External"/><Relationship Id="rId105" Type="http://schemas.openxmlformats.org/officeDocument/2006/relationships/hyperlink" Target="https://drive.google.com/thumbnail?id=" TargetMode="External"/><Relationship Id="rId312" Type="http://schemas.openxmlformats.org/officeDocument/2006/relationships/hyperlink" Target="https://drive.google.com/thumbnail?id=" TargetMode="External"/><Relationship Id="rId757" Type="http://schemas.openxmlformats.org/officeDocument/2006/relationships/hyperlink" Target="https://drive.google.com/open?id=1KpyWpPH4vi4vWvURtZSLYzVafXONPvuG&amp;usp=drive_copy" TargetMode="External"/><Relationship Id="rId964" Type="http://schemas.openxmlformats.org/officeDocument/2006/relationships/hyperlink" Target="https://drive.google.com/open?id=13jSWMbn2kDNaaOVyPqglqiHg1L1afB4Q&amp;usp=drive_copy" TargetMode="External"/><Relationship Id="rId1387" Type="http://schemas.openxmlformats.org/officeDocument/2006/relationships/hyperlink" Target="https://drive.google.com/open?id=1_91NMyU_3bY9sOUphs9QwubmWgmPaU2W&amp;usp=drive_copy" TargetMode="External"/><Relationship Id="rId93" Type="http://schemas.openxmlformats.org/officeDocument/2006/relationships/hyperlink" Target="https://drive.google.com/thumbnail?id=" TargetMode="External"/><Relationship Id="rId617" Type="http://schemas.openxmlformats.org/officeDocument/2006/relationships/hyperlink" Target="https://drive.google.com/open?id=1pwDU5oA7DhR0VdzzwAdUBaKDY6wOh15H&amp;usp=drive_copy" TargetMode="External"/><Relationship Id="rId824" Type="http://schemas.openxmlformats.org/officeDocument/2006/relationships/hyperlink" Target="https://drive.google.com/open?id=1WZw8kHbRhfRPJ6Au5r-Xb-AW4HulzdzY&amp;usp=drive_copy" TargetMode="External"/><Relationship Id="rId1247" Type="http://schemas.openxmlformats.org/officeDocument/2006/relationships/hyperlink" Target="https://drive.google.com/open?id=14AIrqgeXe-ol7vvcUT-mARkGunXcA4WL&amp;usp=drive_copy" TargetMode="External"/><Relationship Id="rId1454" Type="http://schemas.openxmlformats.org/officeDocument/2006/relationships/hyperlink" Target="https://drive.google.com/open?id=1sGV65P8qqR6fsUESMmbAyNqEB_3X8SWf&amp;usp=drive_copy" TargetMode="External"/><Relationship Id="rId1107" Type="http://schemas.openxmlformats.org/officeDocument/2006/relationships/hyperlink" Target="https://drive.google.com/thumbnail?id=" TargetMode="External"/><Relationship Id="rId1314" Type="http://schemas.openxmlformats.org/officeDocument/2006/relationships/hyperlink" Target="https://drive.google.com/thumbnail?id=" TargetMode="External"/><Relationship Id="rId20" Type="http://schemas.openxmlformats.org/officeDocument/2006/relationships/hyperlink" Target="https://drive.google.com/open?id=18KIPhUzWXOf1YJs_TM2hal-6UPJI-mt6&amp;usp=drive_copy" TargetMode="External"/><Relationship Id="rId267" Type="http://schemas.openxmlformats.org/officeDocument/2006/relationships/hyperlink" Target="https://drive.google.com/thumbnail?id=" TargetMode="External"/><Relationship Id="rId474" Type="http://schemas.openxmlformats.org/officeDocument/2006/relationships/hyperlink" Target="https://drive.google.com/thumbnail?id=" TargetMode="External"/><Relationship Id="rId127" Type="http://schemas.openxmlformats.org/officeDocument/2006/relationships/hyperlink" Target="https://drive.google.com/open?id=1L8LxyVkFotSU5AjqnxxRtPEs5qL-MwcG&amp;usp=drive_copy" TargetMode="External"/><Relationship Id="rId681" Type="http://schemas.openxmlformats.org/officeDocument/2006/relationships/hyperlink" Target="https://drive.google.com/thumbnail?id=" TargetMode="External"/><Relationship Id="rId779" Type="http://schemas.openxmlformats.org/officeDocument/2006/relationships/hyperlink" Target="https://drive.google.com/open?id=1Q-m3cFgozOQP1TLxp9sJUe_ghOYnbUqM&amp;usp=drive_copy" TargetMode="External"/><Relationship Id="rId986" Type="http://schemas.openxmlformats.org/officeDocument/2006/relationships/hyperlink" Target="https://drive.google.com/open?id=19cVEE8bRA_DziOa9KujpMh0X3niA6r8s&amp;usp=drive_copy" TargetMode="External"/><Relationship Id="rId334" Type="http://schemas.openxmlformats.org/officeDocument/2006/relationships/hyperlink" Target="https://drive.google.com/open?id=13QWiuJ6Hak-aic4K4rIfvFyLQAI6s8dN&amp;usp=drive_copy" TargetMode="External"/><Relationship Id="rId541" Type="http://schemas.openxmlformats.org/officeDocument/2006/relationships/hyperlink" Target="https://drive.google.com/open?id=1e_ViTWOXwP-qothCqK3utZPnkIzKCDOl&amp;usp=drive_copy" TargetMode="External"/><Relationship Id="rId639" Type="http://schemas.openxmlformats.org/officeDocument/2006/relationships/hyperlink" Target="https://drive.google.com/thumbnail?id=" TargetMode="External"/><Relationship Id="rId1171" Type="http://schemas.openxmlformats.org/officeDocument/2006/relationships/hyperlink" Target="https://drive.google.com/open?id=1lg-qlMg4-q2la5o9YSLyaMebRTpa4Hml&amp;usp=drive_copy" TargetMode="External"/><Relationship Id="rId1269" Type="http://schemas.openxmlformats.org/officeDocument/2006/relationships/hyperlink" Target="https://drive.google.com/thumbnail?id=" TargetMode="External"/><Relationship Id="rId1476" Type="http://schemas.openxmlformats.org/officeDocument/2006/relationships/hyperlink" Target="https://drive.google.com/thumbnail?id=" TargetMode="External"/><Relationship Id="rId401" Type="http://schemas.openxmlformats.org/officeDocument/2006/relationships/hyperlink" Target="https://drive.google.com/open?id=1G1Cly82L5pfLWiEbV8AlBAfW70FZpfmz&amp;usp=drive_copy" TargetMode="External"/><Relationship Id="rId846" Type="http://schemas.openxmlformats.org/officeDocument/2006/relationships/hyperlink" Target="https://drive.google.com/thumbnail?id=" TargetMode="External"/><Relationship Id="rId1031" Type="http://schemas.openxmlformats.org/officeDocument/2006/relationships/hyperlink" Target="https://drive.google.com/open?id=1JDFDho2aJ8dcW-zGvrsrOKQXHi-JbvZJ&amp;usp=drive_copy" TargetMode="External"/><Relationship Id="rId1129" Type="http://schemas.openxmlformats.org/officeDocument/2006/relationships/hyperlink" Target="https://drive.google.com/open?id=1eSaDB_NvTGwOgOrpfBkPw8Q622gc_Z3E&amp;usp=drive_copy" TargetMode="External"/><Relationship Id="rId706" Type="http://schemas.openxmlformats.org/officeDocument/2006/relationships/hyperlink" Target="https://drive.google.com/open?id=18W-qn9bPqmX5LX8QCGzNoj96ia4JLZZY&amp;usp=drive_copy" TargetMode="External"/><Relationship Id="rId913" Type="http://schemas.openxmlformats.org/officeDocument/2006/relationships/hyperlink" Target="https://drive.google.com/open?id=1qq2ke8lDkVGp9ZXKvfeogkdCjEylRCFW&amp;usp=drive_copy" TargetMode="External"/><Relationship Id="rId1336" Type="http://schemas.openxmlformats.org/officeDocument/2006/relationships/hyperlink" Target="https://drive.google.com/open?id=1LogQqGfsiEZ0v2DYJ8Hz-M4dAoMvaW0m&amp;usp=drive_copy" TargetMode="External"/><Relationship Id="rId42" Type="http://schemas.openxmlformats.org/officeDocument/2006/relationships/hyperlink" Target="https://drive.google.com/thumbnail?id=" TargetMode="External"/><Relationship Id="rId1403" Type="http://schemas.openxmlformats.org/officeDocument/2006/relationships/hyperlink" Target="https://drive.google.com/open?id=1g4d7CLJQBlQo2bfzerfLbApampkRb7YC&amp;usp=drive_copy" TargetMode="External"/><Relationship Id="rId191" Type="http://schemas.openxmlformats.org/officeDocument/2006/relationships/hyperlink" Target="https://drive.google.com/open?id=1YKHR2Pf6Oik2bk0gtJrNo95sM2OvcOo0&amp;usp=drive_copy" TargetMode="External"/><Relationship Id="rId289" Type="http://schemas.openxmlformats.org/officeDocument/2006/relationships/hyperlink" Target="https://drive.google.com/open?id=1vPAdqSRVqi-g8cAwp7K_djtUwth2nzwX&amp;usp=drive_copy" TargetMode="External"/><Relationship Id="rId496" Type="http://schemas.openxmlformats.org/officeDocument/2006/relationships/hyperlink" Target="https://drive.google.com/open?id=1_kzggvW8e7yyEvIji2ECt6Fr_z1ghfc8&amp;usp=drive_copy" TargetMode="External"/><Relationship Id="rId149" Type="http://schemas.openxmlformats.org/officeDocument/2006/relationships/hyperlink" Target="https://drive.google.com/open?id=1PzaRN17yG_t8i91aUmtb7C5oHZExHOg3&amp;usp=drive_copy" TargetMode="External"/><Relationship Id="rId356" Type="http://schemas.openxmlformats.org/officeDocument/2006/relationships/hyperlink" Target="https://drive.google.com/open?id=17VJKjdUccQcZ-s22iusHS7E7L94LcRbX&amp;usp=drive_copy" TargetMode="External"/><Relationship Id="rId563" Type="http://schemas.openxmlformats.org/officeDocument/2006/relationships/hyperlink" Target="https://drive.google.com/open?id=1j0EpH-BqoMEYzSV7qSqh4nCehzf9V4km&amp;usp=drive_copy" TargetMode="External"/><Relationship Id="rId770" Type="http://schemas.openxmlformats.org/officeDocument/2006/relationships/hyperlink" Target="https://drive.google.com/open?id=1Nwpl8fngJ5rWnghbEsCLvlq7BWkrvGWK&amp;usp=drive_copy" TargetMode="External"/><Relationship Id="rId1193" Type="http://schemas.openxmlformats.org/officeDocument/2006/relationships/hyperlink" Target="https://drive.google.com/open?id=1rBVLvUfbB2Xw9kBCKJfG0qCGqTl_pASA&amp;usp=drive_copy" TargetMode="External"/><Relationship Id="rId216" Type="http://schemas.openxmlformats.org/officeDocument/2006/relationships/hyperlink" Target="https://drive.google.com/thumbnail?id=" TargetMode="External"/><Relationship Id="rId423" Type="http://schemas.openxmlformats.org/officeDocument/2006/relationships/hyperlink" Target="https://drive.google.com/thumbnail?id=" TargetMode="External"/><Relationship Id="rId868" Type="http://schemas.openxmlformats.org/officeDocument/2006/relationships/hyperlink" Target="https://drive.google.com/open?id=1gXT0So5QrlwlmYEB6XJOmc6tc2m76CR_&amp;usp=drive_copy" TargetMode="External"/><Relationship Id="rId1053" Type="http://schemas.openxmlformats.org/officeDocument/2006/relationships/hyperlink" Target="https://drive.google.com/thumbnail?id=" TargetMode="External"/><Relationship Id="rId1260" Type="http://schemas.openxmlformats.org/officeDocument/2006/relationships/hyperlink" Target="https://drive.google.com/thumbnail?id=" TargetMode="External"/><Relationship Id="rId1498" Type="http://schemas.openxmlformats.org/officeDocument/2006/relationships/hyperlink" Target="https://drive.google.com/open?id=14W2huttz3_86uDEN_bSbPtODqeFVT_w_&amp;usp=drive_copy" TargetMode="External"/><Relationship Id="rId630" Type="http://schemas.openxmlformats.org/officeDocument/2006/relationships/hyperlink" Target="https://drive.google.com/thumbnail?id=" TargetMode="External"/><Relationship Id="rId728" Type="http://schemas.openxmlformats.org/officeDocument/2006/relationships/hyperlink" Target="https://drive.google.com/open?id=1DhKocJCB6yLnMnT1FWbMarrtgdpFHQ4B&amp;usp=drive_copy" TargetMode="External"/><Relationship Id="rId935" Type="http://schemas.openxmlformats.org/officeDocument/2006/relationships/hyperlink" Target="https://drive.google.com/open?id=1wqqYQKAvPtXumVjMPaNAvfLax1Zzbjjx&amp;usp=drive_copy" TargetMode="External"/><Relationship Id="rId1358" Type="http://schemas.openxmlformats.org/officeDocument/2006/relationships/hyperlink" Target="https://drive.google.com/open?id=1RGRRZiiluOQZMK28_2nlubyRQbRvSf2L&amp;usp=drive_copy" TargetMode="External"/><Relationship Id="rId64" Type="http://schemas.openxmlformats.org/officeDocument/2006/relationships/hyperlink" Target="https://drive.google.com/open?id=1-InHSAfRwKvoHMIO9MNaaM7rSk99MQHi&amp;usp=drive_copy" TargetMode="External"/><Relationship Id="rId1120" Type="http://schemas.openxmlformats.org/officeDocument/2006/relationships/hyperlink" Target="https://drive.google.com/open?id=1e9Tox9UujaH4i3yjC_f28BtPex5tWSJV&amp;usp=drive_copy" TargetMode="External"/><Relationship Id="rId1218" Type="http://schemas.openxmlformats.org/officeDocument/2006/relationships/hyperlink" Target="https://drive.google.com/thumbnail?id=" TargetMode="External"/><Relationship Id="rId1425" Type="http://schemas.openxmlformats.org/officeDocument/2006/relationships/hyperlink" Target="https://drive.google.com/thumbnail?id=" TargetMode="External"/><Relationship Id="rId280" Type="http://schemas.openxmlformats.org/officeDocument/2006/relationships/hyperlink" Target="https://drive.google.com/open?id=1s28KZyqsRkfQ-Dq7pm3-CzZywKyCPPGC&amp;usp=drive_copy" TargetMode="External"/><Relationship Id="rId140" Type="http://schemas.openxmlformats.org/officeDocument/2006/relationships/hyperlink" Target="https://drive.google.com/open?id=1PLmXYeMssYJLzX8XAEOK6hW7UAnTeF1P&amp;usp=drive_copy" TargetMode="External"/><Relationship Id="rId378" Type="http://schemas.openxmlformats.org/officeDocument/2006/relationships/hyperlink" Target="https://drive.google.com/thumbnail?id=" TargetMode="External"/><Relationship Id="rId585" Type="http://schemas.openxmlformats.org/officeDocument/2006/relationships/hyperlink" Target="https://drive.google.com/thumbnail?id=" TargetMode="External"/><Relationship Id="rId792" Type="http://schemas.openxmlformats.org/officeDocument/2006/relationships/hyperlink" Target="https://drive.google.com/thumbnail?id=" TargetMode="External"/><Relationship Id="rId6" Type="http://schemas.openxmlformats.org/officeDocument/2006/relationships/hyperlink" Target="https://drive.google.com/thumbnail?id=" TargetMode="External"/><Relationship Id="rId238" Type="http://schemas.openxmlformats.org/officeDocument/2006/relationships/hyperlink" Target="https://drive.google.com/open?id=1gFQvxWWrcMLZjb4hCr2wZN7ky75ujRht&amp;usp=drive_copy" TargetMode="External"/><Relationship Id="rId445" Type="http://schemas.openxmlformats.org/officeDocument/2006/relationships/hyperlink" Target="https://drive.google.com/open?id=1S79rsI8QH99mdthA_jB4lGAxD2BgX98u&amp;usp=drive_copy" TargetMode="External"/><Relationship Id="rId652" Type="http://schemas.openxmlformats.org/officeDocument/2006/relationships/hyperlink" Target="https://drive.google.com/open?id=1wqaaI2xWuQR-5VbZwMw3DCm2O-ktKA5U&amp;usp=drive_copy" TargetMode="External"/><Relationship Id="rId1075" Type="http://schemas.openxmlformats.org/officeDocument/2006/relationships/hyperlink" Target="https://drive.google.com/open?id=1TyPxKtUZ8f8yIJ8DWeAuw5LVL0yEfyyu&amp;usp=drive_copy" TargetMode="External"/><Relationship Id="rId1282" Type="http://schemas.openxmlformats.org/officeDocument/2006/relationships/hyperlink" Target="https://drive.google.com/open?id=1ESJawNnALNxIPo9ToJwhDURm_RDpauIc&amp;usp=drive_copy" TargetMode="External"/><Relationship Id="rId305" Type="http://schemas.openxmlformats.org/officeDocument/2006/relationships/hyperlink" Target="https://drive.google.com/open?id=1-JWx_8YERUxKrSNU1EFHbrhMfOaFhmjU&amp;usp=drive_copy" TargetMode="External"/><Relationship Id="rId512" Type="http://schemas.openxmlformats.org/officeDocument/2006/relationships/hyperlink" Target="https://drive.google.com/open?id=1b8MV5U-xAhXbFSDZz4jw7k9w_KdirYWB&amp;usp=drive_copy" TargetMode="External"/><Relationship Id="rId957" Type="http://schemas.openxmlformats.org/officeDocument/2006/relationships/hyperlink" Target="https://drive.google.com/thumbnail?id=" TargetMode="External"/><Relationship Id="rId1142" Type="http://schemas.openxmlformats.org/officeDocument/2006/relationships/hyperlink" Target="https://drive.google.com/open?id=1gOwi83R1sj9HyGcaQe99D8Rxtb0d0ZDn&amp;usp=drive_copy" TargetMode="External"/><Relationship Id="rId86" Type="http://schemas.openxmlformats.org/officeDocument/2006/relationships/hyperlink" Target="https://drive.google.com/open?id=173gl4YvH5iUk4xTd5UKJYtkDqyPVEOjA&amp;usp=drive_copy" TargetMode="External"/><Relationship Id="rId817" Type="http://schemas.openxmlformats.org/officeDocument/2006/relationships/hyperlink" Target="https://drive.google.com/open?id=1UFVVLFn2sNtynluQFhWTYDCcyJNVqhSN&amp;usp=drive_copy" TargetMode="External"/><Relationship Id="rId1002" Type="http://schemas.openxmlformats.org/officeDocument/2006/relationships/hyperlink" Target="https://drive.google.com/thumbnail?id=" TargetMode="External"/><Relationship Id="rId1447" Type="http://schemas.openxmlformats.org/officeDocument/2006/relationships/hyperlink" Target="https://drive.google.com/open?id=1rjomqK2r_tXSpE4Igvt_vXWmuLToBaQK&amp;usp=drive_copy" TargetMode="External"/><Relationship Id="rId1307" Type="http://schemas.openxmlformats.org/officeDocument/2006/relationships/hyperlink" Target="https://drive.google.com/open?id=1I92KVy9__xZvTBbnlXdplGuLMN5-3zbg&amp;usp=drive_copy" TargetMode="External"/><Relationship Id="rId13" Type="http://schemas.openxmlformats.org/officeDocument/2006/relationships/hyperlink" Target="https://drive.google.com/open?id=15jQX9-nCtfJhrzbtHmYS3ecVskdDPc2l&amp;usp=drive_copy" TargetMode="External"/><Relationship Id="rId162" Type="http://schemas.openxmlformats.org/officeDocument/2006/relationships/hyperlink" Target="https://drive.google.com/thumbnail?id=" TargetMode="External"/><Relationship Id="rId467" Type="http://schemas.openxmlformats.org/officeDocument/2006/relationships/hyperlink" Target="https://drive.google.com/open?id=1W2k5aovxdO4wo-nstJlswLCZxk9dxPlS&amp;usp=drive_copy" TargetMode="External"/><Relationship Id="rId1097" Type="http://schemas.openxmlformats.org/officeDocument/2006/relationships/hyperlink" Target="https://drive.google.com/open?id=1a-guc68gCZuGnsSM5u2rbUCYj5mKLwyq&amp;usp=drive_copy" TargetMode="External"/><Relationship Id="rId674" Type="http://schemas.openxmlformats.org/officeDocument/2006/relationships/hyperlink" Target="https://drive.google.com/open?id=1zz9RXfcpDzgFc3Vsd-1qtm8MXNYZYhyW&amp;usp=drive_copy" TargetMode="External"/><Relationship Id="rId881" Type="http://schemas.openxmlformats.org/officeDocument/2006/relationships/hyperlink" Target="https://drive.google.com/open?id=1imRdy5OMP66P5YU3zy1ftjEqvnyS9Zue&amp;usp=drive_copy" TargetMode="External"/><Relationship Id="rId979" Type="http://schemas.openxmlformats.org/officeDocument/2006/relationships/hyperlink" Target="https://drive.google.com/open?id=18UxVUHJlckloK8EeKN-p8jEJGL-5P1Rg&amp;usp=drive_copy" TargetMode="External"/><Relationship Id="rId327" Type="http://schemas.openxmlformats.org/officeDocument/2006/relationships/hyperlink" Target="https://drive.google.com/thumbnail?id=" TargetMode="External"/><Relationship Id="rId534" Type="http://schemas.openxmlformats.org/officeDocument/2006/relationships/hyperlink" Target="https://drive.google.com/thumbnail?id=" TargetMode="External"/><Relationship Id="rId741" Type="http://schemas.openxmlformats.org/officeDocument/2006/relationships/hyperlink" Target="https://drive.google.com/thumbnail?id=" TargetMode="External"/><Relationship Id="rId839" Type="http://schemas.openxmlformats.org/officeDocument/2006/relationships/hyperlink" Target="https://drive.google.com/open?id=1ZROzXtfVyof3r1Xfpqljb7S1mz0tlUY-&amp;usp=drive_copy" TargetMode="External"/><Relationship Id="rId1164" Type="http://schemas.openxmlformats.org/officeDocument/2006/relationships/hyperlink" Target="https://drive.google.com/thumbnail?id=" TargetMode="External"/><Relationship Id="rId1371" Type="http://schemas.openxmlformats.org/officeDocument/2006/relationships/hyperlink" Target="https://drive.google.com/thumbnail?id=" TargetMode="External"/><Relationship Id="rId1469" Type="http://schemas.openxmlformats.org/officeDocument/2006/relationships/hyperlink" Target="https://drive.google.com/open?id=1w789tid89LuZx4jSNIneKAv3gagzgI16&amp;usp=drive_copy" TargetMode="External"/><Relationship Id="rId601" Type="http://schemas.openxmlformats.org/officeDocument/2006/relationships/hyperlink" Target="https://drive.google.com/open?id=1oqYJSf0VRzUthd52OJzl6lZH5aXjfipS&amp;usp=drive_copy" TargetMode="External"/><Relationship Id="rId1024" Type="http://schemas.openxmlformats.org/officeDocument/2006/relationships/hyperlink" Target="https://drive.google.com/open?id=1Ii5ZG9qMtp8oXxuB_0BoIDWrU9R_hPXn&amp;usp=drive_copy" TargetMode="External"/><Relationship Id="rId1231" Type="http://schemas.openxmlformats.org/officeDocument/2006/relationships/hyperlink" Target="https://drive.google.com/open?id=1zqqCGBD1gd7bipw2dHZGYzVQ527sRKuv&amp;usp=drive_copy" TargetMode="External"/><Relationship Id="rId906" Type="http://schemas.openxmlformats.org/officeDocument/2006/relationships/hyperlink" Target="https://drive.google.com/thumbnail?id=" TargetMode="External"/><Relationship Id="rId1329" Type="http://schemas.openxmlformats.org/officeDocument/2006/relationships/hyperlink" Target="https://drive.google.com/thumbnail?id=" TargetMode="External"/><Relationship Id="rId35" Type="http://schemas.openxmlformats.org/officeDocument/2006/relationships/hyperlink" Target="https://drive.google.com/open?id=1FL_ytPdsTa_Fcm-VFSlNE9ctSYdijgIq&amp;usp=drive_copy" TargetMode="External"/><Relationship Id="rId184" Type="http://schemas.openxmlformats.org/officeDocument/2006/relationships/hyperlink" Target="https://drive.google.com/open?id=1W2b15zqtj4n1O3TbL2mSgsEZWzmwUXvg&amp;usp=drive_copy" TargetMode="External"/><Relationship Id="rId391" Type="http://schemas.openxmlformats.org/officeDocument/2006/relationships/hyperlink" Target="https://drive.google.com/open?id=1Dwf5MljdNEixpFoT0scBvX8Pr9xfG53m&amp;usp=drive_copy" TargetMode="External"/><Relationship Id="rId251" Type="http://schemas.openxmlformats.org/officeDocument/2006/relationships/hyperlink" Target="https://drive.google.com/open?id=1jIfvFB4EB4VCMS3xbIKAsR6x5QbtDg5J&amp;usp=drive_copy" TargetMode="External"/><Relationship Id="rId489" Type="http://schemas.openxmlformats.org/officeDocument/2006/relationships/hyperlink" Target="https://drive.google.com/thumbnail?id=" TargetMode="External"/><Relationship Id="rId696" Type="http://schemas.openxmlformats.org/officeDocument/2006/relationships/hyperlink" Target="https://drive.google.com/thumbnail?id=" TargetMode="External"/><Relationship Id="rId349" Type="http://schemas.openxmlformats.org/officeDocument/2006/relationships/hyperlink" Target="https://drive.google.com/open?id=16Onua8ZSfFR8CQkV58rvCNOGldKEsa1Y&amp;usp=drive_copy" TargetMode="External"/><Relationship Id="rId556" Type="http://schemas.openxmlformats.org/officeDocument/2006/relationships/hyperlink" Target="https://drive.google.com/open?id=1i6kNYGc6lv8Jw1Fr4JflsXePmfOcWiD1&amp;usp=drive_copy" TargetMode="External"/><Relationship Id="rId763" Type="http://schemas.openxmlformats.org/officeDocument/2006/relationships/hyperlink" Target="https://drive.google.com/open?id=1NB6hseDnxcqrtVo--jfu46ah0iszyoMF&amp;usp=drive_copy" TargetMode="External"/><Relationship Id="rId1186" Type="http://schemas.openxmlformats.org/officeDocument/2006/relationships/hyperlink" Target="https://drive.google.com/open?id=1oAz_rtXkewlSDRo-3AlgjxLRSBS8XuTU&amp;usp=drive_copy" TargetMode="External"/><Relationship Id="rId1393" Type="http://schemas.openxmlformats.org/officeDocument/2006/relationships/hyperlink" Target="https://drive.google.com/open?id=1cwFbYi0NJQpq2W1zmlj-sG4aVhkwju6a&amp;usp=drive_copy" TargetMode="External"/><Relationship Id="rId111" Type="http://schemas.openxmlformats.org/officeDocument/2006/relationships/hyperlink" Target="https://drive.google.com/thumbnail?id=" TargetMode="External"/><Relationship Id="rId209" Type="http://schemas.openxmlformats.org/officeDocument/2006/relationships/hyperlink" Target="https://drive.google.com/open?id=1dIpqGoSEQ7PoxTXBDbt-BPPv_81f2_ar&amp;usp=drive_copy" TargetMode="External"/><Relationship Id="rId416" Type="http://schemas.openxmlformats.org/officeDocument/2006/relationships/hyperlink" Target="https://drive.google.com/open?id=1IvrRGypM6b1joE9U2-0wd7RzLNiQTbvD&amp;usp=drive_copy" TargetMode="External"/><Relationship Id="rId970" Type="http://schemas.openxmlformats.org/officeDocument/2006/relationships/hyperlink" Target="https://drive.google.com/open?id=14XUoIFufRDrGqo41_lmcbapc_TTDdk4_&amp;usp=drive_copy" TargetMode="External"/><Relationship Id="rId1046" Type="http://schemas.openxmlformats.org/officeDocument/2006/relationships/hyperlink" Target="https://drive.google.com/open?id=1MUjbkcw_E5HuaDfTI0eFTKuezFGHhymo&amp;usp=drive_copy" TargetMode="External"/><Relationship Id="rId1253" Type="http://schemas.openxmlformats.org/officeDocument/2006/relationships/hyperlink" Target="https://drive.google.com/open?id=15-GfshQGjXePRvu2ZTTrjIhr9hSybxVS&amp;usp=drive_copy" TargetMode="External"/><Relationship Id="rId623" Type="http://schemas.openxmlformats.org/officeDocument/2006/relationships/hyperlink" Target="https://drive.google.com/open?id=1qW83WK9GNp8AdSFasYVV6F3drIJk6gy0&amp;usp=drive_copy" TargetMode="External"/><Relationship Id="rId830" Type="http://schemas.openxmlformats.org/officeDocument/2006/relationships/hyperlink" Target="https://drive.google.com/open?id=1Xf1SvnXHMMkb84QG7xgQQxMY8GOdPb0g&amp;usp=drive_copy" TargetMode="External"/><Relationship Id="rId928" Type="http://schemas.openxmlformats.org/officeDocument/2006/relationships/hyperlink" Target="https://drive.google.com/open?id=1ul8svISXp_VDEijFARom_uliBEa6bJcr&amp;usp=drive_copy" TargetMode="External"/><Relationship Id="rId1460" Type="http://schemas.openxmlformats.org/officeDocument/2006/relationships/hyperlink" Target="https://drive.google.com/open?id=1u7ZJCP2lfyGMarTSgbHLjWxTzRRNc686&amp;usp=drive_copy" TargetMode="External"/><Relationship Id="rId57" Type="http://schemas.openxmlformats.org/officeDocument/2006/relationships/hyperlink" Target="https://drive.google.com/thumbnail?id=" TargetMode="External"/><Relationship Id="rId1113" Type="http://schemas.openxmlformats.org/officeDocument/2006/relationships/hyperlink" Target="https://drive.google.com/thumbnail?id=" TargetMode="External"/><Relationship Id="rId1320" Type="http://schemas.openxmlformats.org/officeDocument/2006/relationships/hyperlink" Target="https://drive.google.com/thumbnail?id=" TargetMode="External"/><Relationship Id="rId1418" Type="http://schemas.openxmlformats.org/officeDocument/2006/relationships/hyperlink" Target="https://drive.google.com/open?id=1lkWwYJy9xClj3a3m0XOKxQIQthnur39Q&amp;usp=drive_copy" TargetMode="External"/><Relationship Id="rId273" Type="http://schemas.openxmlformats.org/officeDocument/2006/relationships/hyperlink" Target="https://drive.google.com/thumbnail?id=" TargetMode="External"/><Relationship Id="rId480" Type="http://schemas.openxmlformats.org/officeDocument/2006/relationships/hyperlink" Target="https://drive.google.com/thumbnail?id=" TargetMode="External"/><Relationship Id="rId133" Type="http://schemas.openxmlformats.org/officeDocument/2006/relationships/hyperlink" Target="https://drive.google.com/open?id=1OCzABevfq5FvvFV2JF4is-JVCYGd41sC&amp;usp=drive_copy" TargetMode="External"/><Relationship Id="rId340" Type="http://schemas.openxmlformats.org/officeDocument/2006/relationships/hyperlink" Target="https://drive.google.com/open?id=14EGIrhuKg_U-79gcQWdWXZoLvDUftOgQ&amp;usp=drive_copy" TargetMode="External"/><Relationship Id="rId578" Type="http://schemas.openxmlformats.org/officeDocument/2006/relationships/hyperlink" Target="https://drive.google.com/open?id=1joSip-HSzvquH3RKpFLRGa2glclAfSgf&amp;usp=drive_copy" TargetMode="External"/><Relationship Id="rId785" Type="http://schemas.openxmlformats.org/officeDocument/2006/relationships/hyperlink" Target="https://drive.google.com/open?id=1RP7gCzZaJxGQvVh8tmjbo7tEoxAyDQTK&amp;usp=drive_copy" TargetMode="External"/><Relationship Id="rId992" Type="http://schemas.openxmlformats.org/officeDocument/2006/relationships/hyperlink" Target="https://drive.google.com/open?id=1BA2W6X9r3ufCvYnV3RKWgfSl86I-ZFFS&amp;usp=drive_copy" TargetMode="External"/><Relationship Id="rId200" Type="http://schemas.openxmlformats.org/officeDocument/2006/relationships/hyperlink" Target="https://drive.google.com/open?id=1cUIpUryYAcRCX13wHAjisraMUlLMK7bh&amp;usp=drive_copy" TargetMode="External"/><Relationship Id="rId438" Type="http://schemas.openxmlformats.org/officeDocument/2006/relationships/hyperlink" Target="https://drive.google.com/thumbnail?id=" TargetMode="External"/><Relationship Id="rId645" Type="http://schemas.openxmlformats.org/officeDocument/2006/relationships/hyperlink" Target="https://drive.google.com/thumbnail?id=" TargetMode="External"/><Relationship Id="rId852" Type="http://schemas.openxmlformats.org/officeDocument/2006/relationships/hyperlink" Target="https://drive.google.com/thumbnail?id=" TargetMode="External"/><Relationship Id="rId1068" Type="http://schemas.openxmlformats.org/officeDocument/2006/relationships/hyperlink" Target="https://drive.google.com/thumbnail?id=" TargetMode="External"/><Relationship Id="rId1275" Type="http://schemas.openxmlformats.org/officeDocument/2006/relationships/hyperlink" Target="https://drive.google.com/thumbnail?id=" TargetMode="External"/><Relationship Id="rId1482" Type="http://schemas.openxmlformats.org/officeDocument/2006/relationships/hyperlink" Target="https://drive.google.com/thumbnail?id=" TargetMode="External"/><Relationship Id="rId505" Type="http://schemas.openxmlformats.org/officeDocument/2006/relationships/hyperlink" Target="https://drive.google.com/open?id=1aPFA1ipovoAmOeqGs3vrObldoOkGEXXa&amp;usp=drive_copy" TargetMode="External"/><Relationship Id="rId712" Type="http://schemas.openxmlformats.org/officeDocument/2006/relationships/hyperlink" Target="https://drive.google.com/open?id=1A77v4rSQBQ30aNffHVZ247paxoQkMvRa&amp;usp=drive_copy" TargetMode="External"/><Relationship Id="rId1135" Type="http://schemas.openxmlformats.org/officeDocument/2006/relationships/hyperlink" Target="https://drive.google.com/open?id=1f5PspbiX7HSp7DAogy6lDwiMu8q8QzrA&amp;usp=drive_copy" TargetMode="External"/><Relationship Id="rId1342" Type="http://schemas.openxmlformats.org/officeDocument/2006/relationships/hyperlink" Target="https://drive.google.com/open?id=1N42R0D0cp9k-ub2X-BDgM3-9TGLM02kw&amp;usp=drive_copy" TargetMode="External"/><Relationship Id="rId79" Type="http://schemas.openxmlformats.org/officeDocument/2006/relationships/hyperlink" Target="https://drive.google.com/open?id=13TCLBtj9Lri6peyVSe7dMED0FkseExLq&amp;usp=drive_copy" TargetMode="External"/><Relationship Id="rId1202" Type="http://schemas.openxmlformats.org/officeDocument/2006/relationships/hyperlink" Target="https://drive.google.com/open?id=1uBQXcYyXIDHwg1-h2VJ-1K81IJyCxuZa&amp;usp=drive_copy" TargetMode="External"/><Relationship Id="rId1507" Type="http://schemas.openxmlformats.org/officeDocument/2006/relationships/hyperlink" Target="https://drive.google.com/open?id=1ryve3P4T507UVdtpUGVVeL26EMSu75cZ&amp;usp=drive_copy" TargetMode="External"/><Relationship Id="rId295" Type="http://schemas.openxmlformats.org/officeDocument/2006/relationships/hyperlink" Target="https://drive.google.com/open?id=1xHNwfrYUZ6nm53Aki_IzwYHCw_hA-S3R&amp;usp=drive_copy" TargetMode="External"/><Relationship Id="rId155" Type="http://schemas.openxmlformats.org/officeDocument/2006/relationships/hyperlink" Target="https://drive.google.com/open?id=1QrIUHHL_SZ3uNQYkveSZHmc1aO3wLXX8&amp;usp=drive_copy" TargetMode="External"/><Relationship Id="rId362" Type="http://schemas.openxmlformats.org/officeDocument/2006/relationships/hyperlink" Target="https://drive.google.com/open?id=19AD2dJaqdroptd58CMXA0yAnYLhsJ-LN&amp;usp=drive_copy" TargetMode="External"/><Relationship Id="rId1297" Type="http://schemas.openxmlformats.org/officeDocument/2006/relationships/hyperlink" Target="https://drive.google.com/open?id=1H4UPJwQod4Sj3zfat-pBT5qOl3AQ6pEB&amp;usp=drive_copy" TargetMode="External"/><Relationship Id="rId222" Type="http://schemas.openxmlformats.org/officeDocument/2006/relationships/hyperlink" Target="https://drive.google.com/thumbnail?id=" TargetMode="External"/><Relationship Id="rId667" Type="http://schemas.openxmlformats.org/officeDocument/2006/relationships/hyperlink" Target="https://drive.google.com/open?id=1xpICvcobiGoCzPFLXeyNjdFjL9zyMmNB&amp;usp=drive_copy" TargetMode="External"/><Relationship Id="rId874" Type="http://schemas.openxmlformats.org/officeDocument/2006/relationships/hyperlink" Target="https://drive.google.com/open?id=1h4yzP00aiifVzeH9CYrNsaqSRRCMIYCV&amp;usp=drive_copy" TargetMode="External"/><Relationship Id="rId527" Type="http://schemas.openxmlformats.org/officeDocument/2006/relationships/hyperlink" Target="https://drive.google.com/open?id=1bgtFERbggzxbt_d6E6uMotAs7OApFsn7&amp;usp=drive_copy" TargetMode="External"/><Relationship Id="rId734" Type="http://schemas.openxmlformats.org/officeDocument/2006/relationships/hyperlink" Target="https://drive.google.com/open?id=1F6xQsL-ywT7dTKBKd4yOWQA455TwbO2_&amp;usp=drive_copy" TargetMode="External"/><Relationship Id="rId941" Type="http://schemas.openxmlformats.org/officeDocument/2006/relationships/hyperlink" Target="https://drive.google.com/open?id=1yOW_3G1pp6-mhRMb0ex5aKGbWi888CU7&amp;usp=drive_copy" TargetMode="External"/><Relationship Id="rId1157" Type="http://schemas.openxmlformats.org/officeDocument/2006/relationships/hyperlink" Target="https://drive.google.com/open?id=1kR4hvp1F5V9P50e58HU6TdZOS9xJejy2&amp;usp=drive_copy" TargetMode="External"/><Relationship Id="rId1364" Type="http://schemas.openxmlformats.org/officeDocument/2006/relationships/hyperlink" Target="https://drive.google.com/open?id=1UO2RMQS4TJzWNdPIpX8zBDPOdSji5P2T&amp;usp=drive_copy" TargetMode="External"/><Relationship Id="rId70" Type="http://schemas.openxmlformats.org/officeDocument/2006/relationships/hyperlink" Target="https://drive.google.com/open?id=11otrG8WaN1aFt8-dzc7D_OS2Zu3_0r7S&amp;usp=drive_copy" TargetMode="External"/><Relationship Id="rId801" Type="http://schemas.openxmlformats.org/officeDocument/2006/relationships/hyperlink" Target="https://drive.google.com/thumbnail?id=" TargetMode="External"/><Relationship Id="rId1017" Type="http://schemas.openxmlformats.org/officeDocument/2006/relationships/hyperlink" Target="https://drive.google.com/thumbnail?id=" TargetMode="External"/><Relationship Id="rId1224" Type="http://schemas.openxmlformats.org/officeDocument/2006/relationships/hyperlink" Target="https://drive.google.com/thumbnail?id=" TargetMode="External"/><Relationship Id="rId1431" Type="http://schemas.openxmlformats.org/officeDocument/2006/relationships/hyperlink" Target="https://drive.google.com/thumbnail?id=" TargetMode="External"/><Relationship Id="rId28" Type="http://schemas.openxmlformats.org/officeDocument/2006/relationships/hyperlink" Target="https://drive.google.com/open?id=1EnbTfrHoBcysU7BvrkSM6U5l-I3IiiE0&amp;usp=drive_copy" TargetMode="External"/><Relationship Id="rId177" Type="http://schemas.openxmlformats.org/officeDocument/2006/relationships/hyperlink" Target="https://drive.google.com/thumbnail?id=" TargetMode="External"/><Relationship Id="rId384" Type="http://schemas.openxmlformats.org/officeDocument/2006/relationships/hyperlink" Target="https://drive.google.com/thumbnail?id=" TargetMode="External"/><Relationship Id="rId591" Type="http://schemas.openxmlformats.org/officeDocument/2006/relationships/hyperlink" Target="https://drive.google.com/thumbnail?id=" TargetMode="External"/><Relationship Id="rId244" Type="http://schemas.openxmlformats.org/officeDocument/2006/relationships/hyperlink" Target="https://drive.google.com/open?id=1i9ahSYUWLmVGs34jk9P1HmDyuwJUniXe&amp;usp=drive_copy" TargetMode="External"/><Relationship Id="rId689" Type="http://schemas.openxmlformats.org/officeDocument/2006/relationships/hyperlink" Target="https://drive.google.com/open?id=12QI2jqo_3Qg54FAJlZRcraQP8tIWYHHY&amp;usp=drive_copy" TargetMode="External"/><Relationship Id="rId896" Type="http://schemas.openxmlformats.org/officeDocument/2006/relationships/hyperlink" Target="https://drive.google.com/open?id=1nfcLswTwQ1wolRHdSC7ndsaTJDfdFIcK&amp;usp=drive_copy" TargetMode="External"/><Relationship Id="rId1081" Type="http://schemas.openxmlformats.org/officeDocument/2006/relationships/hyperlink" Target="https://drive.google.com/open?id=1UztX_30U-dx98EgceIpPedDMNCRyFh0j&amp;usp=drive_copy" TargetMode="External"/><Relationship Id="rId451" Type="http://schemas.openxmlformats.org/officeDocument/2006/relationships/hyperlink" Target="https://drive.google.com/open?id=1SyIsu79Ni5tqiHOfFMHLRckrNrW2xPe7&amp;usp=drive_copy" TargetMode="External"/><Relationship Id="rId549" Type="http://schemas.openxmlformats.org/officeDocument/2006/relationships/hyperlink" Target="https://drive.google.com/thumbnail?id=" TargetMode="External"/><Relationship Id="rId756" Type="http://schemas.openxmlformats.org/officeDocument/2006/relationships/hyperlink" Target="https://drive.google.com/thumbnail?id=" TargetMode="External"/><Relationship Id="rId1179" Type="http://schemas.openxmlformats.org/officeDocument/2006/relationships/hyperlink" Target="https://drive.google.com/thumbnail?id=" TargetMode="External"/><Relationship Id="rId1386" Type="http://schemas.openxmlformats.org/officeDocument/2006/relationships/hyperlink" Target="https://drive.google.com/thumbnail?id=" TargetMode="External"/><Relationship Id="rId104" Type="http://schemas.openxmlformats.org/officeDocument/2006/relationships/hyperlink" Target="https://drive.google.com/open?id=1F7sGMWW2dTRElGwUD8JDypngW3UPdZAE&amp;usp=drive_copy" TargetMode="External"/><Relationship Id="rId311" Type="http://schemas.openxmlformats.org/officeDocument/2006/relationships/hyperlink" Target="https://drive.google.com/open?id=100T8Lz-IQJdlAyXq9RHdAtVjQNy3XvJc&amp;usp=drive_copy" TargetMode="External"/><Relationship Id="rId409" Type="http://schemas.openxmlformats.org/officeDocument/2006/relationships/hyperlink" Target="https://drive.google.com/open?id=1Ihdo3xMyXcYSZyTIFtDi8PqJDNe_tkrP&amp;usp=drive_copy" TargetMode="External"/><Relationship Id="rId963" Type="http://schemas.openxmlformats.org/officeDocument/2006/relationships/hyperlink" Target="https://drive.google.com/thumbnail?id=" TargetMode="External"/><Relationship Id="rId1039" Type="http://schemas.openxmlformats.org/officeDocument/2006/relationships/hyperlink" Target="https://drive.google.com/open?id=1Lv5q14Da8GliYE6HSaF7LvJGOJITLsSK&amp;usp=drive_copy" TargetMode="External"/><Relationship Id="rId1246" Type="http://schemas.openxmlformats.org/officeDocument/2006/relationships/hyperlink" Target="https://drive.google.com/open?id=14AIrqgeXe-ol7vvcUT-mARkGunXcA4WL&amp;usp=drive_copy" TargetMode="External"/><Relationship Id="rId92" Type="http://schemas.openxmlformats.org/officeDocument/2006/relationships/hyperlink" Target="https://drive.google.com/open?id=19rtSAKID8snqMlJZtbCWUm4JFS5hVtto&amp;usp=drive_copy" TargetMode="External"/><Relationship Id="rId616" Type="http://schemas.openxmlformats.org/officeDocument/2006/relationships/hyperlink" Target="https://drive.google.com/open?id=1pwDU5oA7DhR0VdzzwAdUBaKDY6wOh15H&amp;usp=drive_copy" TargetMode="External"/><Relationship Id="rId823" Type="http://schemas.openxmlformats.org/officeDocument/2006/relationships/hyperlink" Target="https://drive.google.com/open?id=1WZw8kHbRhfRPJ6Au5r-Xb-AW4HulzdzY&amp;usp=drive_copy" TargetMode="External"/><Relationship Id="rId1453" Type="http://schemas.openxmlformats.org/officeDocument/2006/relationships/hyperlink" Target="https://drive.google.com/open?id=1sGV65P8qqR6fsUESMmbAyNqEB_3X8SWf&amp;usp=drive_copy" TargetMode="External"/><Relationship Id="rId1106" Type="http://schemas.openxmlformats.org/officeDocument/2006/relationships/hyperlink" Target="https://drive.google.com/open?id=1b2FNkjIALuTXVYSEfkSM12BCttPKc_Ez&amp;usp=drive_copy" TargetMode="External"/><Relationship Id="rId1313" Type="http://schemas.openxmlformats.org/officeDocument/2006/relationships/hyperlink" Target="https://drive.google.com/open?id=1IhsK8piaznnX0GYxPrRDP3tffvlVf1nI&amp;usp=drive_copy" TargetMode="External"/><Relationship Id="rId199" Type="http://schemas.openxmlformats.org/officeDocument/2006/relationships/hyperlink" Target="https://drive.google.com/open?id=1cUIpUryYAcRCX13wHAjisraMUlLMK7bh&amp;usp=drive_copy" TargetMode="External"/><Relationship Id="rId266" Type="http://schemas.openxmlformats.org/officeDocument/2006/relationships/hyperlink" Target="https://drive.google.com/open?id=1m4L3KfeEEmyiEDjV3tbIy54r_Ji1fYBt&amp;usp=drive_copy" TargetMode="External"/><Relationship Id="rId473" Type="http://schemas.openxmlformats.org/officeDocument/2006/relationships/hyperlink" Target="https://drive.google.com/open?id=1X67No_qs49pkrpo5EShpJzI0wyKDLO7W&amp;usp=drive_copy" TargetMode="External"/><Relationship Id="rId680" Type="http://schemas.openxmlformats.org/officeDocument/2006/relationships/hyperlink" Target="https://drive.google.com/open?id=10qefDEJuOAEWjlu22yL4gN_foCAwXip_&amp;usp=drive_copy" TargetMode="External"/><Relationship Id="rId126" Type="http://schemas.openxmlformats.org/officeDocument/2006/relationships/hyperlink" Target="https://drive.google.com/thumbnail?id=" TargetMode="External"/><Relationship Id="rId333" Type="http://schemas.openxmlformats.org/officeDocument/2006/relationships/hyperlink" Target="https://drive.google.com/thumbnail?id=" TargetMode="External"/><Relationship Id="rId540" Type="http://schemas.openxmlformats.org/officeDocument/2006/relationships/hyperlink" Target="https://drive.google.com/thumbnail?id=" TargetMode="External"/><Relationship Id="rId778" Type="http://schemas.openxmlformats.org/officeDocument/2006/relationships/hyperlink" Target="https://drive.google.com/open?id=1Q-m3cFgozOQP1TLxp9sJUe_ghOYnbUqM&amp;usp=drive_copy" TargetMode="External"/><Relationship Id="rId985" Type="http://schemas.openxmlformats.org/officeDocument/2006/relationships/hyperlink" Target="https://drive.google.com/open?id=19cVEE8bRA_DziOa9KujpMh0X3niA6r8s&amp;usp=drive_copy" TargetMode="External"/><Relationship Id="rId1170" Type="http://schemas.openxmlformats.org/officeDocument/2006/relationships/hyperlink" Target="https://drive.google.com/thumbnail?id=" TargetMode="External"/><Relationship Id="rId638" Type="http://schemas.openxmlformats.org/officeDocument/2006/relationships/hyperlink" Target="https://drive.google.com/open?id=1sYlM0kb8H-5auu7yd63Mk_kbZnuXS9Mr&amp;usp=drive_copy" TargetMode="External"/><Relationship Id="rId845" Type="http://schemas.openxmlformats.org/officeDocument/2006/relationships/hyperlink" Target="https://drive.google.com/open?id=1aMEZzukHsDjjgfBC227ZSRISaQF0yhPF&amp;usp=drive_copy" TargetMode="External"/><Relationship Id="rId1030" Type="http://schemas.openxmlformats.org/officeDocument/2006/relationships/hyperlink" Target="https://drive.google.com/open?id=1JDFDho2aJ8dcW-zGvrsrOKQXHi-JbvZJ&amp;usp=drive_copy" TargetMode="External"/><Relationship Id="rId1268" Type="http://schemas.openxmlformats.org/officeDocument/2006/relationships/hyperlink" Target="https://drive.google.com/open?id=1943jgkeDVkkTu-NKd7worT9ecrQ8IJxw&amp;usp=drive_copy" TargetMode="External"/><Relationship Id="rId1475" Type="http://schemas.openxmlformats.org/officeDocument/2006/relationships/hyperlink" Target="https://drive.google.com/open?id=1wRMqKy4khP-IOOovx--6JoTPCR4DP_aE&amp;usp=drive_copy" TargetMode="External"/><Relationship Id="rId400" Type="http://schemas.openxmlformats.org/officeDocument/2006/relationships/hyperlink" Target="https://drive.google.com/open?id=1G1Cly82L5pfLWiEbV8AlBAfW70FZpfmz&amp;usp=drive_copy" TargetMode="External"/><Relationship Id="rId705" Type="http://schemas.openxmlformats.org/officeDocument/2006/relationships/hyperlink" Target="https://drive.google.com/thumbnail?id=" TargetMode="External"/><Relationship Id="rId1128" Type="http://schemas.openxmlformats.org/officeDocument/2006/relationships/hyperlink" Target="https://drive.google.com/thumbnail?id=" TargetMode="External"/><Relationship Id="rId1335" Type="http://schemas.openxmlformats.org/officeDocument/2006/relationships/hyperlink" Target="https://drive.google.com/thumbnail?id=" TargetMode="External"/><Relationship Id="rId137" Type="http://schemas.openxmlformats.org/officeDocument/2006/relationships/hyperlink" Target="https://drive.google.com/open?id=1OI2beoA4yRsYyzjVt06wwQwthddByDNe&amp;usp=drive_copy" TargetMode="External"/><Relationship Id="rId344" Type="http://schemas.openxmlformats.org/officeDocument/2006/relationships/hyperlink" Target="https://drive.google.com/open?id=14SoBj-dgzbZ_qiyXbUeAxrm5lMYRGfP_&amp;usp=drive_copy" TargetMode="External"/><Relationship Id="rId691" Type="http://schemas.openxmlformats.org/officeDocument/2006/relationships/hyperlink" Target="https://drive.google.com/open?id=13JRMmjdBRWQ04ivd6cDqLZLue5ctlQji&amp;usp=drive_copy" TargetMode="External"/><Relationship Id="rId789" Type="http://schemas.openxmlformats.org/officeDocument/2006/relationships/hyperlink" Target="https://drive.google.com/thumbnail?id=" TargetMode="External"/><Relationship Id="rId912" Type="http://schemas.openxmlformats.org/officeDocument/2006/relationships/hyperlink" Target="https://drive.google.com/thumbnail?id=" TargetMode="External"/><Relationship Id="rId996" Type="http://schemas.openxmlformats.org/officeDocument/2006/relationships/hyperlink" Target="https://drive.google.com/thumbnail?id=" TargetMode="External"/><Relationship Id="rId41" Type="http://schemas.openxmlformats.org/officeDocument/2006/relationships/hyperlink" Target="https://drive.google.com/open?id=1HtbFpQEpJUQ135f0Y790A3f3_CHPJyD4&amp;usp=drive_copy" TargetMode="External"/><Relationship Id="rId551" Type="http://schemas.openxmlformats.org/officeDocument/2006/relationships/hyperlink" Target="https://drive.google.com/open?id=1h5Jk1alytc0T9wbVV3OiAEY9llp6Z7CZ&amp;usp=drive_copy" TargetMode="External"/><Relationship Id="rId649" Type="http://schemas.openxmlformats.org/officeDocument/2006/relationships/hyperlink" Target="https://drive.google.com/open?id=1wesJYRg_pHR_Tymb4hV1ALm1UKhtEH2l&amp;usp=drive_copy" TargetMode="External"/><Relationship Id="rId856" Type="http://schemas.openxmlformats.org/officeDocument/2006/relationships/hyperlink" Target="https://drive.google.com/open?id=1fmQSlDTQ510UYImViIGyNJUgbHlmSiW9&amp;usp=drive_copy" TargetMode="External"/><Relationship Id="rId1181" Type="http://schemas.openxmlformats.org/officeDocument/2006/relationships/hyperlink" Target="https://drive.google.com/open?id=1mPQU9e7OkgX9vRpRTANMkYeUuE5uGptO&amp;usp=drive_copy" TargetMode="External"/><Relationship Id="rId1279" Type="http://schemas.openxmlformats.org/officeDocument/2006/relationships/hyperlink" Target="https://drive.google.com/open?id=1C_XuAn59SBUqRrOS1a4WYUnpmr2Q1Pb3&amp;usp=drive_copy" TargetMode="External"/><Relationship Id="rId1402" Type="http://schemas.openxmlformats.org/officeDocument/2006/relationships/hyperlink" Target="https://drive.google.com/open?id=1g4d7CLJQBlQo2bfzerfLbApampkRb7YC&amp;usp=drive_copy" TargetMode="External"/><Relationship Id="rId1486" Type="http://schemas.openxmlformats.org/officeDocument/2006/relationships/hyperlink" Target="https://drive.google.com/open?id=19ImP1xAcruOgJS7ArQBc9pVrLBtNeSUs&amp;usp=drive_copy" TargetMode="External"/><Relationship Id="rId190" Type="http://schemas.openxmlformats.org/officeDocument/2006/relationships/hyperlink" Target="https://drive.google.com/open?id=1YKHR2Pf6Oik2bk0gtJrNo95sM2OvcOo0&amp;usp=drive_copy" TargetMode="External"/><Relationship Id="rId204" Type="http://schemas.openxmlformats.org/officeDocument/2006/relationships/hyperlink" Target="https://drive.google.com/thumbnail?id=" TargetMode="External"/><Relationship Id="rId288" Type="http://schemas.openxmlformats.org/officeDocument/2006/relationships/hyperlink" Target="https://drive.google.com/thumbnail?id=" TargetMode="External"/><Relationship Id="rId411" Type="http://schemas.openxmlformats.org/officeDocument/2006/relationships/hyperlink" Target="https://drive.google.com/thumbnail?id=" TargetMode="External"/><Relationship Id="rId509" Type="http://schemas.openxmlformats.org/officeDocument/2006/relationships/hyperlink" Target="https://drive.google.com/open?id=1b6vsO4P3AYR3Ipl-vJNBo9PuVy3QFW5Y&amp;usp=drive_copy" TargetMode="External"/><Relationship Id="rId1041" Type="http://schemas.openxmlformats.org/officeDocument/2006/relationships/hyperlink" Target="https://drive.google.com/thumbnail?id=" TargetMode="External"/><Relationship Id="rId1139" Type="http://schemas.openxmlformats.org/officeDocument/2006/relationships/hyperlink" Target="https://drive.google.com/open?id=1fdQjwZrPAS0spx60zXrQTzkjK4FPaHpT&amp;usp=drive_copy" TargetMode="External"/><Relationship Id="rId1346" Type="http://schemas.openxmlformats.org/officeDocument/2006/relationships/hyperlink" Target="https://drive.google.com/open?id=1O9VFTabIFkPp894G4C2XJL1AHz0xtZwh&amp;usp=drive_copy" TargetMode="External"/><Relationship Id="rId495" Type="http://schemas.openxmlformats.org/officeDocument/2006/relationships/hyperlink" Target="https://drive.google.com/thumbnail?id=" TargetMode="External"/><Relationship Id="rId716" Type="http://schemas.openxmlformats.org/officeDocument/2006/relationships/hyperlink" Target="https://drive.google.com/open?id=1ABBWcxsK3_ZL__nCot1JnJkUZwTXR-mg&amp;usp=drive_copy" TargetMode="External"/><Relationship Id="rId923" Type="http://schemas.openxmlformats.org/officeDocument/2006/relationships/hyperlink" Target="https://drive.google.com/open?id=1tWCc-7ZqaNBJDMM1TVbZyc6OsvQ3Q5pq&amp;usp=drive_copy" TargetMode="External"/><Relationship Id="rId52" Type="http://schemas.openxmlformats.org/officeDocument/2006/relationships/hyperlink" Target="https://drive.google.com/open?id=1MHFIFiYFLQoMFUj4EYL0gAvceOO9K6mv&amp;usp=drive_copy" TargetMode="External"/><Relationship Id="rId148" Type="http://schemas.openxmlformats.org/officeDocument/2006/relationships/hyperlink" Target="https://drive.google.com/open?id=1PzaRN17yG_t8i91aUmtb7C5oHZExHOg3&amp;usp=drive_copy" TargetMode="External"/><Relationship Id="rId355" Type="http://schemas.openxmlformats.org/officeDocument/2006/relationships/hyperlink" Target="https://drive.google.com/open?id=17VJKjdUccQcZ-s22iusHS7E7L94LcRbX&amp;usp=drive_copy" TargetMode="External"/><Relationship Id="rId562" Type="http://schemas.openxmlformats.org/officeDocument/2006/relationships/hyperlink" Target="https://drive.google.com/open?id=1j0EpH-BqoMEYzSV7qSqh4nCehzf9V4km&amp;usp=drive_copy" TargetMode="External"/><Relationship Id="rId1192" Type="http://schemas.openxmlformats.org/officeDocument/2006/relationships/hyperlink" Target="https://drive.google.com/open?id=1rBVLvUfbB2Xw9kBCKJfG0qCGqTl_pASA&amp;usp=drive_copy" TargetMode="External"/><Relationship Id="rId1206" Type="http://schemas.openxmlformats.org/officeDocument/2006/relationships/hyperlink" Target="https://drive.google.com/thumbnail?id=" TargetMode="External"/><Relationship Id="rId1413" Type="http://schemas.openxmlformats.org/officeDocument/2006/relationships/hyperlink" Target="https://drive.google.com/thumbnail?id=" TargetMode="External"/><Relationship Id="rId215" Type="http://schemas.openxmlformats.org/officeDocument/2006/relationships/hyperlink" Target="https://drive.google.com/open?id=1eT0fMnVWoqJHV0xh7rXleqbSHXsWR7fJ&amp;usp=drive_copy" TargetMode="External"/><Relationship Id="rId422" Type="http://schemas.openxmlformats.org/officeDocument/2006/relationships/hyperlink" Target="https://drive.google.com/open?id=1Ky4akLVyGqLYvaE0zBErh8wP0HlfUCUL&amp;usp=drive_copy" TargetMode="External"/><Relationship Id="rId867" Type="http://schemas.openxmlformats.org/officeDocument/2006/relationships/hyperlink" Target="https://drive.google.com/thumbnail?id=" TargetMode="External"/><Relationship Id="rId1052" Type="http://schemas.openxmlformats.org/officeDocument/2006/relationships/hyperlink" Target="https://drive.google.com/open?id=1NyenTEBgBI_EYPcKOn7naoFPaU-hRdgv&amp;usp=drive_copy" TargetMode="External"/><Relationship Id="rId1497" Type="http://schemas.openxmlformats.org/officeDocument/2006/relationships/hyperlink" Target="https://drive.google.com/thumbnail?id=" TargetMode="External"/><Relationship Id="rId299" Type="http://schemas.openxmlformats.org/officeDocument/2006/relationships/hyperlink" Target="https://drive.google.com/open?id=1xMjh-L9X7qlramteYmZclKoi71lw-rqu&amp;usp=drive_copy" TargetMode="External"/><Relationship Id="rId727" Type="http://schemas.openxmlformats.org/officeDocument/2006/relationships/hyperlink" Target="https://drive.google.com/open?id=1DhKocJCB6yLnMnT1FWbMarrtgdpFHQ4B&amp;usp=drive_copy" TargetMode="External"/><Relationship Id="rId934" Type="http://schemas.openxmlformats.org/officeDocument/2006/relationships/hyperlink" Target="https://drive.google.com/open?id=1wqqYQKAvPtXumVjMPaNAvfLax1Zzbjjx&amp;usp=drive_copy" TargetMode="External"/><Relationship Id="rId1357" Type="http://schemas.openxmlformats.org/officeDocument/2006/relationships/hyperlink" Target="https://drive.google.com/open?id=1RGRRZiiluOQZMK28_2nlubyRQbRvSf2L&amp;usp=drive_copy" TargetMode="External"/><Relationship Id="rId63" Type="http://schemas.openxmlformats.org/officeDocument/2006/relationships/hyperlink" Target="https://drive.google.com/thumbnail?id=" TargetMode="External"/><Relationship Id="rId159" Type="http://schemas.openxmlformats.org/officeDocument/2006/relationships/hyperlink" Target="https://drive.google.com/thumbnail?id=" TargetMode="External"/><Relationship Id="rId366" Type="http://schemas.openxmlformats.org/officeDocument/2006/relationships/hyperlink" Target="https://drive.google.com/thumbnail?id=" TargetMode="External"/><Relationship Id="rId573" Type="http://schemas.openxmlformats.org/officeDocument/2006/relationships/hyperlink" Target="https://drive.google.com/thumbnail?id=" TargetMode="External"/><Relationship Id="rId780" Type="http://schemas.openxmlformats.org/officeDocument/2006/relationships/hyperlink" Target="https://drive.google.com/thumbnail?id=" TargetMode="External"/><Relationship Id="rId1217" Type="http://schemas.openxmlformats.org/officeDocument/2006/relationships/hyperlink" Target="https://drive.google.com/open?id=1xXckcMeOQ9E_pr4Znfvx377Ao3fuLvdp&amp;usp=drive_copy" TargetMode="External"/><Relationship Id="rId1424" Type="http://schemas.openxmlformats.org/officeDocument/2006/relationships/hyperlink" Target="https://drive.google.com/open?id=1mYHU7OEWlzYElCvK_VjaZcugd1kMihCx&amp;usp=drive_copy" TargetMode="External"/><Relationship Id="rId226" Type="http://schemas.openxmlformats.org/officeDocument/2006/relationships/hyperlink" Target="https://drive.google.com/open?id=1fh1Ed4k3O0Wnm6cyEMa4LpZmPL5-o_Nm&amp;usp=drive_copy" TargetMode="External"/><Relationship Id="rId433" Type="http://schemas.openxmlformats.org/officeDocument/2006/relationships/hyperlink" Target="https://drive.google.com/open?id=1Og91zk3y9o4Y8HdtQFcNz32TlKm48NG6&amp;usp=drive_copy" TargetMode="External"/><Relationship Id="rId878" Type="http://schemas.openxmlformats.org/officeDocument/2006/relationships/hyperlink" Target="https://drive.google.com/open?id=1hdu8JcJhnCfsXxD0hp0FEivWR1dUdpoU&amp;usp=drive_copy" TargetMode="External"/><Relationship Id="rId1063" Type="http://schemas.openxmlformats.org/officeDocument/2006/relationships/hyperlink" Target="https://drive.google.com/open?id=1QJYnNPPyJ2Zrr1-secWB1bNi56L2AEYV&amp;usp=drive_copy" TargetMode="External"/><Relationship Id="rId1270" Type="http://schemas.openxmlformats.org/officeDocument/2006/relationships/hyperlink" Target="https://drive.google.com/open?id=1A52Go8-VvGZvqU4tC8cqULnCAcNYh_Dq&amp;usp=drive_copy" TargetMode="External"/><Relationship Id="rId640" Type="http://schemas.openxmlformats.org/officeDocument/2006/relationships/hyperlink" Target="https://drive.google.com/open?id=1sdjQJ_EVwwSemgt8NF6Tr3A5GRkwwRFN&amp;usp=drive_copy" TargetMode="External"/><Relationship Id="rId738" Type="http://schemas.openxmlformats.org/officeDocument/2006/relationships/hyperlink" Target="https://drive.google.com/thumbnail?id=" TargetMode="External"/><Relationship Id="rId945" Type="http://schemas.openxmlformats.org/officeDocument/2006/relationships/hyperlink" Target="https://drive.google.com/thumbnail?id=" TargetMode="External"/><Relationship Id="rId1368" Type="http://schemas.openxmlformats.org/officeDocument/2006/relationships/hyperlink" Target="https://drive.google.com/thumbnail?id=" TargetMode="External"/><Relationship Id="rId74" Type="http://schemas.openxmlformats.org/officeDocument/2006/relationships/hyperlink" Target="https://drive.google.com/open?id=13BJbIpmtMxWNUyXnr3pyFp0nd4S0Wecu&amp;usp=drive_copy" TargetMode="External"/><Relationship Id="rId377" Type="http://schemas.openxmlformats.org/officeDocument/2006/relationships/hyperlink" Target="https://drive.google.com/open?id=1By3p-ZZ8sR2Ons5btlm9nJV-YYgUYZUe&amp;usp=drive_copy" TargetMode="External"/><Relationship Id="rId500" Type="http://schemas.openxmlformats.org/officeDocument/2006/relationships/hyperlink" Target="https://drive.google.com/open?id=1_vsvil2I_qul5uXYvAsZjT6QR2WgfNDK&amp;usp=drive_copy" TargetMode="External"/><Relationship Id="rId584" Type="http://schemas.openxmlformats.org/officeDocument/2006/relationships/hyperlink" Target="https://drive.google.com/open?id=1mtovHE8NyMu4hzjUAjWVXpoIW9tEyotO&amp;usp=drive_copy" TargetMode="External"/><Relationship Id="rId805" Type="http://schemas.openxmlformats.org/officeDocument/2006/relationships/hyperlink" Target="https://drive.google.com/open?id=1T-Mw7DI5FaZUc_NvaeZwJb78s55WlKLY&amp;usp=drive_copy" TargetMode="External"/><Relationship Id="rId1130" Type="http://schemas.openxmlformats.org/officeDocument/2006/relationships/hyperlink" Target="https://drive.google.com/open?id=1eSaDB_NvTGwOgOrpfBkPw8Q622gc_Z3E&amp;usp=drive_copy" TargetMode="External"/><Relationship Id="rId1228" Type="http://schemas.openxmlformats.org/officeDocument/2006/relationships/hyperlink" Target="https://drive.google.com/open?id=1zeIBGzAFqTuteh2yubD8LcTRyzIDuFYR&amp;usp=drive_copy" TargetMode="External"/><Relationship Id="rId1435" Type="http://schemas.openxmlformats.org/officeDocument/2006/relationships/hyperlink" Target="https://drive.google.com/open?id=1nN5U9JenyQ1vE-UPiUAHinR4yr5SIjmO&amp;usp=drive_copy" TargetMode="External"/><Relationship Id="rId5" Type="http://schemas.openxmlformats.org/officeDocument/2006/relationships/hyperlink" Target="https://drive.google.com/open?id=101dS08BKnvzudnNl492IUGZ3fbLOkwXv&amp;usp=drive_copy" TargetMode="External"/><Relationship Id="rId237" Type="http://schemas.openxmlformats.org/officeDocument/2006/relationships/hyperlink" Target="https://drive.google.com/thumbnail?id=" TargetMode="External"/><Relationship Id="rId791" Type="http://schemas.openxmlformats.org/officeDocument/2006/relationships/hyperlink" Target="https://drive.google.com/open?id=1Rtp9zHiQeQJ4nrswV9uOnlIVqDyLWWYz&amp;usp=drive_copy" TargetMode="External"/><Relationship Id="rId889" Type="http://schemas.openxmlformats.org/officeDocument/2006/relationships/hyperlink" Target="https://drive.google.com/open?id=1kng42Yw_fj_mBz9fb8hZDse4P-aOuXL1&amp;usp=drive_copy" TargetMode="External"/><Relationship Id="rId1074" Type="http://schemas.openxmlformats.org/officeDocument/2006/relationships/hyperlink" Target="https://drive.google.com/thumbnail?id=" TargetMode="External"/><Relationship Id="rId444" Type="http://schemas.openxmlformats.org/officeDocument/2006/relationships/hyperlink" Target="https://drive.google.com/thumbnail?id=" TargetMode="External"/><Relationship Id="rId651" Type="http://schemas.openxmlformats.org/officeDocument/2006/relationships/hyperlink" Target="https://drive.google.com/thumbnail?id=" TargetMode="External"/><Relationship Id="rId749" Type="http://schemas.openxmlformats.org/officeDocument/2006/relationships/hyperlink" Target="https://drive.google.com/open?id=1KZmx9BFguu9P21UD7eyFdwag4N5NPLAz&amp;usp=drive_copy" TargetMode="External"/><Relationship Id="rId1281" Type="http://schemas.openxmlformats.org/officeDocument/2006/relationships/hyperlink" Target="https://drive.google.com/thumbnail?id=" TargetMode="External"/><Relationship Id="rId1379" Type="http://schemas.openxmlformats.org/officeDocument/2006/relationships/hyperlink" Target="https://drive.google.com/open?id=1X1zES0XLiWSoE-YXaeIzxZOYGgUGjFya&amp;usp=drive_copy" TargetMode="External"/><Relationship Id="rId1502" Type="http://schemas.openxmlformats.org/officeDocument/2006/relationships/hyperlink" Target="https://drive.google.com/open?id=13f3beWYL0Il4BRsNSusb-KFTL7B6nvIe&amp;usp=drive_copy" TargetMode="External"/><Relationship Id="rId290" Type="http://schemas.openxmlformats.org/officeDocument/2006/relationships/hyperlink" Target="https://drive.google.com/open?id=1vPAdqSRVqi-g8cAwp7K_djtUwth2nzwX&amp;usp=drive_copy" TargetMode="External"/><Relationship Id="rId304" Type="http://schemas.openxmlformats.org/officeDocument/2006/relationships/hyperlink" Target="https://drive.google.com/open?id=1-JWx_8YERUxKrSNU1EFHbrhMfOaFhmjU&amp;usp=drive_copy" TargetMode="External"/><Relationship Id="rId388" Type="http://schemas.openxmlformats.org/officeDocument/2006/relationships/hyperlink" Target="https://drive.google.com/open?id=1DQBl2dZRh1yEEM1xcM4XF2QwfKd4F74Z&amp;usp=drive_copy" TargetMode="External"/><Relationship Id="rId511" Type="http://schemas.openxmlformats.org/officeDocument/2006/relationships/hyperlink" Target="https://drive.google.com/open?id=1b8MV5U-xAhXbFSDZz4jw7k9w_KdirYWB&amp;usp=drive_copy" TargetMode="External"/><Relationship Id="rId609" Type="http://schemas.openxmlformats.org/officeDocument/2006/relationships/hyperlink" Target="https://drive.google.com/thumbnail?id=" TargetMode="External"/><Relationship Id="rId956" Type="http://schemas.openxmlformats.org/officeDocument/2006/relationships/hyperlink" Target="https://drive.google.com/open?id=12SbEl_LMCwjl769SAcc2L2Ch_1rAtNyP&amp;usp=drive_copy" TargetMode="External"/><Relationship Id="rId1141" Type="http://schemas.openxmlformats.org/officeDocument/2006/relationships/hyperlink" Target="https://drive.google.com/open?id=1gOwi83R1sj9HyGcaQe99D8Rxtb0d0ZDn&amp;usp=drive_copy" TargetMode="External"/><Relationship Id="rId1239" Type="http://schemas.openxmlformats.org/officeDocument/2006/relationships/hyperlink" Target="https://drive.google.com/thumbnail?id=" TargetMode="External"/><Relationship Id="rId85" Type="http://schemas.openxmlformats.org/officeDocument/2006/relationships/hyperlink" Target="https://drive.google.com/open?id=173gl4YvH5iUk4xTd5UKJYtkDqyPVEOjA&amp;usp=drive_copy" TargetMode="External"/><Relationship Id="rId150" Type="http://schemas.openxmlformats.org/officeDocument/2006/relationships/hyperlink" Target="https://drive.google.com/thumbnail?id=" TargetMode="External"/><Relationship Id="rId595" Type="http://schemas.openxmlformats.org/officeDocument/2006/relationships/hyperlink" Target="https://drive.google.com/open?id=1o61ItyOVMYoDd53TV3uFzc2dSmK2SbeL&amp;usp=drive_copy" TargetMode="External"/><Relationship Id="rId816" Type="http://schemas.openxmlformats.org/officeDocument/2006/relationships/hyperlink" Target="https://drive.google.com/thumbnail?id=" TargetMode="External"/><Relationship Id="rId1001" Type="http://schemas.openxmlformats.org/officeDocument/2006/relationships/hyperlink" Target="https://drive.google.com/open?id=1B_Dj-R9zuV-yEYCaVN5P5rhPiOyiZV7H&amp;usp=drive_copy" TargetMode="External"/><Relationship Id="rId1446" Type="http://schemas.openxmlformats.org/officeDocument/2006/relationships/hyperlink" Target="https://drive.google.com/thumbnail?id=" TargetMode="External"/><Relationship Id="rId248" Type="http://schemas.openxmlformats.org/officeDocument/2006/relationships/hyperlink" Target="https://drive.google.com/open?id=1jD2WS-Bv77ZK76wXbV_a3O4SRux2dcHT&amp;usp=drive_copy" TargetMode="External"/><Relationship Id="rId455" Type="http://schemas.openxmlformats.org/officeDocument/2006/relationships/hyperlink" Target="https://drive.google.com/open?id=1TExIi9jIZrzulGYggftj39JtNQSues7Y&amp;usp=drive_copy" TargetMode="External"/><Relationship Id="rId662" Type="http://schemas.openxmlformats.org/officeDocument/2006/relationships/hyperlink" Target="https://drive.google.com/open?id=1xD6Wd2XsJlhBNXpC3C8a2iyr6PwWgyoQ&amp;usp=drive_copy" TargetMode="External"/><Relationship Id="rId1085" Type="http://schemas.openxmlformats.org/officeDocument/2006/relationships/hyperlink" Target="https://drive.google.com/open?id=1VYawxRzUsQ7J8XLMZeJ0hLcmT_JnMM2Q&amp;usp=drive_copy" TargetMode="External"/><Relationship Id="rId1292" Type="http://schemas.openxmlformats.org/officeDocument/2006/relationships/hyperlink" Target="https://drive.google.com/open?id=1GU5vJLxSWmACkML1QLVHYj94Imu8KFFS&amp;usp=drive_copy" TargetMode="External"/><Relationship Id="rId1306" Type="http://schemas.openxmlformats.org/officeDocument/2006/relationships/hyperlink" Target="https://drive.google.com/open?id=1I92KVy9__xZvTBbnlXdplGuLMN5-3zbg&amp;usp=drive_copy" TargetMode="External"/><Relationship Id="rId12" Type="http://schemas.openxmlformats.org/officeDocument/2006/relationships/hyperlink" Target="https://drive.google.com/thumbnail?id=" TargetMode="External"/><Relationship Id="rId108" Type="http://schemas.openxmlformats.org/officeDocument/2006/relationships/hyperlink" Target="https://drive.google.com/thumbnail?id=" TargetMode="External"/><Relationship Id="rId315" Type="http://schemas.openxmlformats.org/officeDocument/2006/relationships/hyperlink" Target="https://drive.google.com/thumbnail?id=" TargetMode="External"/><Relationship Id="rId522" Type="http://schemas.openxmlformats.org/officeDocument/2006/relationships/hyperlink" Target="https://drive.google.com/thumbnail?id=" TargetMode="External"/><Relationship Id="rId967" Type="http://schemas.openxmlformats.org/officeDocument/2006/relationships/hyperlink" Target="https://drive.google.com/open?id=14K9Anw41svQ-yF0ovaB71TeFOXc74osh&amp;usp=drive_copy" TargetMode="External"/><Relationship Id="rId1152" Type="http://schemas.openxmlformats.org/officeDocument/2006/relationships/hyperlink" Target="https://drive.google.com/thumbnail?id=" TargetMode="External"/><Relationship Id="rId96" Type="http://schemas.openxmlformats.org/officeDocument/2006/relationships/hyperlink" Target="https://drive.google.com/thumbnail?id=" TargetMode="External"/><Relationship Id="rId161" Type="http://schemas.openxmlformats.org/officeDocument/2006/relationships/hyperlink" Target="https://drive.google.com/open?id=1RioJ-ISvPv_pW9K6lD57tYUbm1QjhQEl&amp;usp=drive_copy" TargetMode="External"/><Relationship Id="rId399" Type="http://schemas.openxmlformats.org/officeDocument/2006/relationships/hyperlink" Target="https://drive.google.com/thumbnail?id=" TargetMode="External"/><Relationship Id="rId827" Type="http://schemas.openxmlformats.org/officeDocument/2006/relationships/hyperlink" Target="https://drive.google.com/open?id=1X8f8c_1pmww8X9lyOzaW3f71u__DBTO4&amp;usp=drive_copy" TargetMode="External"/><Relationship Id="rId1012" Type="http://schemas.openxmlformats.org/officeDocument/2006/relationships/hyperlink" Target="https://drive.google.com/open?id=1FuOCAO5OO3wh2bg-9G759FCa1zxh70as&amp;usp=drive_copy" TargetMode="External"/><Relationship Id="rId1457" Type="http://schemas.openxmlformats.org/officeDocument/2006/relationships/hyperlink" Target="https://drive.google.com/open?id=1t4RP0Ze2__CJvK25YL3f0sonyrHh5yHr&amp;usp=drive_copy" TargetMode="External"/><Relationship Id="rId259" Type="http://schemas.openxmlformats.org/officeDocument/2006/relationships/hyperlink" Target="https://drive.google.com/open?id=1k0v0gZV2POnFxGyydPNS4AqNKLeOHViM&amp;usp=drive_copy" TargetMode="External"/><Relationship Id="rId466" Type="http://schemas.openxmlformats.org/officeDocument/2006/relationships/hyperlink" Target="https://drive.google.com/open?id=1W2k5aovxdO4wo-nstJlswLCZxk9dxPlS&amp;usp=drive_copy" TargetMode="External"/><Relationship Id="rId673" Type="http://schemas.openxmlformats.org/officeDocument/2006/relationships/hyperlink" Target="https://drive.google.com/open?id=1zz9RXfcpDzgFc3Vsd-1qtm8MXNYZYhyW&amp;usp=drive_copy" TargetMode="External"/><Relationship Id="rId880" Type="http://schemas.openxmlformats.org/officeDocument/2006/relationships/hyperlink" Target="https://drive.google.com/open?id=1imRdy5OMP66P5YU3zy1ftjEqvnyS9Zue&amp;usp=drive_copy" TargetMode="External"/><Relationship Id="rId1096" Type="http://schemas.openxmlformats.org/officeDocument/2006/relationships/hyperlink" Target="https://drive.google.com/open?id=1a-guc68gCZuGnsSM5u2rbUCYj5mKLwyq&amp;usp=drive_copy" TargetMode="External"/><Relationship Id="rId1317" Type="http://schemas.openxmlformats.org/officeDocument/2006/relationships/hyperlink" Target="https://drive.google.com/thumbnail?id=" TargetMode="External"/><Relationship Id="rId23" Type="http://schemas.openxmlformats.org/officeDocument/2006/relationships/hyperlink" Target="https://drive.google.com/open?id=18poR1JmOsGWnIRvUOUZzYlPxXmH7VwNr&amp;usp=drive_copy" TargetMode="External"/><Relationship Id="rId119" Type="http://schemas.openxmlformats.org/officeDocument/2006/relationships/hyperlink" Target="https://drive.google.com/open?id=1H2ITrpqijKP9i3nbWrMoLynXzXcTUeqD&amp;usp=drive_copy" TargetMode="External"/><Relationship Id="rId326" Type="http://schemas.openxmlformats.org/officeDocument/2006/relationships/hyperlink" Target="https://drive.google.com/open?id=11ZPPEtkEbYgDfynBKYuvsCwEcePYrdMO&amp;usp=drive_copy" TargetMode="External"/><Relationship Id="rId533" Type="http://schemas.openxmlformats.org/officeDocument/2006/relationships/hyperlink" Target="https://drive.google.com/open?id=1cEiC7UPQILwENrWb95j_ky4V2pY_Z1Cd&amp;usp=drive_copy" TargetMode="External"/><Relationship Id="rId978" Type="http://schemas.openxmlformats.org/officeDocument/2006/relationships/hyperlink" Target="https://drive.google.com/thumbnail?id=" TargetMode="External"/><Relationship Id="rId1163" Type="http://schemas.openxmlformats.org/officeDocument/2006/relationships/hyperlink" Target="https://drive.google.com/open?id=1kxrqRoMYvZXRwXcNkuuKZ9S9LAk7lXIf&amp;usp=drive_copy" TargetMode="External"/><Relationship Id="rId1370" Type="http://schemas.openxmlformats.org/officeDocument/2006/relationships/hyperlink" Target="https://drive.google.com/open?id=1Uo5cwb-IobssLEWJ0crdEGdndBt9djMJ&amp;usp=drive_copy" TargetMode="External"/><Relationship Id="rId740" Type="http://schemas.openxmlformats.org/officeDocument/2006/relationships/hyperlink" Target="https://drive.google.com/open?id=1IF6fBpcrOEqDgpjJFmgZEM9U2Tz-TqMu&amp;usp=drive_copy" TargetMode="External"/><Relationship Id="rId838" Type="http://schemas.openxmlformats.org/officeDocument/2006/relationships/hyperlink" Target="https://drive.google.com/open?id=1ZROzXtfVyof3r1Xfpqljb7S1mz0tlUY-&amp;usp=drive_copy" TargetMode="External"/><Relationship Id="rId1023" Type="http://schemas.openxmlformats.org/officeDocument/2006/relationships/hyperlink" Target="https://drive.google.com/thumbnail?id=" TargetMode="External"/><Relationship Id="rId1468" Type="http://schemas.openxmlformats.org/officeDocument/2006/relationships/hyperlink" Target="https://drive.google.com/open?id=1w789tid89LuZx4jSNIneKAv3gagzgI16&amp;usp=drive_copy" TargetMode="External"/><Relationship Id="rId172" Type="http://schemas.openxmlformats.org/officeDocument/2006/relationships/hyperlink" Target="https://drive.google.com/open?id=1Te464DxdvcaAq0qSPzCJACHvKWDPgcoh&amp;usp=drive_copy" TargetMode="External"/><Relationship Id="rId477" Type="http://schemas.openxmlformats.org/officeDocument/2006/relationships/hyperlink" Target="https://drive.google.com/thumbnail?id=" TargetMode="External"/><Relationship Id="rId600" Type="http://schemas.openxmlformats.org/officeDocument/2006/relationships/hyperlink" Target="https://drive.google.com/thumbnail?id=" TargetMode="External"/><Relationship Id="rId684" Type="http://schemas.openxmlformats.org/officeDocument/2006/relationships/hyperlink" Target="https://drive.google.com/thumbnail?id=" TargetMode="External"/><Relationship Id="rId1230" Type="http://schemas.openxmlformats.org/officeDocument/2006/relationships/hyperlink" Target="https://drive.google.com/thumbnail?id=" TargetMode="External"/><Relationship Id="rId1328" Type="http://schemas.openxmlformats.org/officeDocument/2006/relationships/hyperlink" Target="https://drive.google.com/open?id=1Jnqs0DxmJAtvfx5uE8drWNdCTgti_dfu&amp;usp=drive_copy" TargetMode="External"/><Relationship Id="rId337" Type="http://schemas.openxmlformats.org/officeDocument/2006/relationships/hyperlink" Target="https://drive.google.com/open?id=13iqHT3Ky5h-3k7JOH6sykdrz5NPzb7zk&amp;usp=drive_copy" TargetMode="External"/><Relationship Id="rId891" Type="http://schemas.openxmlformats.org/officeDocument/2006/relationships/hyperlink" Target="https://drive.google.com/thumbnail?id=" TargetMode="External"/><Relationship Id="rId905" Type="http://schemas.openxmlformats.org/officeDocument/2006/relationships/hyperlink" Target="https://drive.google.com/open?id=1oCNlN-1ts962xmtmiPFj21lQPBpnhaWb&amp;usp=drive_copy" TargetMode="External"/><Relationship Id="rId989" Type="http://schemas.openxmlformats.org/officeDocument/2006/relationships/hyperlink" Target="https://drive.google.com/open?id=1ABKKIcmZNlOrj0sv6n1_R_-wgBWFvDVZ&amp;usp=drive_copy" TargetMode="External"/><Relationship Id="rId34" Type="http://schemas.openxmlformats.org/officeDocument/2006/relationships/hyperlink" Target="https://drive.google.com/open?id=1FL_ytPdsTa_Fcm-VFSlNE9ctSYdijgIq&amp;usp=drive_copy" TargetMode="External"/><Relationship Id="rId544" Type="http://schemas.openxmlformats.org/officeDocument/2006/relationships/hyperlink" Target="https://drive.google.com/open?id=1fRylZI7OlsD53CMsSNwUT4vxjgMKZI6X&amp;usp=drive_copy" TargetMode="External"/><Relationship Id="rId751" Type="http://schemas.openxmlformats.org/officeDocument/2006/relationships/hyperlink" Target="https://drive.google.com/open?id=1KipDnnL_fLi-UG8RZqHPGJvY480_LpuL&amp;usp=drive_copy" TargetMode="External"/><Relationship Id="rId849" Type="http://schemas.openxmlformats.org/officeDocument/2006/relationships/hyperlink" Target="https://drive.google.com/thumbnail?id=" TargetMode="External"/><Relationship Id="rId1174" Type="http://schemas.openxmlformats.org/officeDocument/2006/relationships/hyperlink" Target="https://drive.google.com/open?id=1mI6nDU6j2OF1DXqknC9kEcvDflU-vhh9&amp;usp=drive_copy" TargetMode="External"/><Relationship Id="rId1381" Type="http://schemas.openxmlformats.org/officeDocument/2006/relationships/hyperlink" Target="https://drive.google.com/open?id=1YajpKD-DS-uxhhL31RExK6v5XtH4NQ2n&amp;usp=drive_copy" TargetMode="External"/><Relationship Id="rId1479" Type="http://schemas.openxmlformats.org/officeDocument/2006/relationships/hyperlink" Target="https://drive.google.com/thumbnail?id=" TargetMode="External"/><Relationship Id="rId183" Type="http://schemas.openxmlformats.org/officeDocument/2006/relationships/hyperlink" Target="https://drive.google.com/thumbnail?id=" TargetMode="External"/><Relationship Id="rId390" Type="http://schemas.openxmlformats.org/officeDocument/2006/relationships/hyperlink" Target="https://drive.google.com/thumbnail?id=" TargetMode="External"/><Relationship Id="rId404" Type="http://schemas.openxmlformats.org/officeDocument/2006/relationships/hyperlink" Target="https://drive.google.com/open?id=1GQphO3DQrcHpeYiIL5nEwqvQALCiZ8yJ&amp;usp=drive_copy" TargetMode="External"/><Relationship Id="rId611" Type="http://schemas.openxmlformats.org/officeDocument/2006/relationships/hyperlink" Target="https://drive.google.com/open?id=1pbc5ptjJto0f4qITOfnh9CWF2HNudfMC&amp;usp=drive_copy" TargetMode="External"/><Relationship Id="rId1034" Type="http://schemas.openxmlformats.org/officeDocument/2006/relationships/hyperlink" Target="https://drive.google.com/open?id=1K1tMifXRclQnOv6_1hmeuHFOXpWJp835&amp;usp=drive_copy" TargetMode="External"/><Relationship Id="rId1241" Type="http://schemas.openxmlformats.org/officeDocument/2006/relationships/hyperlink" Target="https://drive.google.com/open?id=11UYQx0_B_SKbYQTXti1OiHH5h5cmpVhx&amp;usp=drive_copy" TargetMode="External"/><Relationship Id="rId1339" Type="http://schemas.openxmlformats.org/officeDocument/2006/relationships/hyperlink" Target="https://drive.google.com/open?id=1LvFbDzIeHxrXxZ6o7UY02iIjxlMih28t&amp;usp=drive_copy" TargetMode="External"/><Relationship Id="rId250" Type="http://schemas.openxmlformats.org/officeDocument/2006/relationships/hyperlink" Target="https://drive.google.com/open?id=1jIfvFB4EB4VCMS3xbIKAsR6x5QbtDg5J&amp;usp=drive_copy" TargetMode="External"/><Relationship Id="rId488" Type="http://schemas.openxmlformats.org/officeDocument/2006/relationships/hyperlink" Target="https://drive.google.com/open?id=1ZnCdWIt1aDztu8I6lnUDzyYZ2X0i4YqM&amp;usp=drive_copy" TargetMode="External"/><Relationship Id="rId695" Type="http://schemas.openxmlformats.org/officeDocument/2006/relationships/hyperlink" Target="https://drive.google.com/open?id=15eCgbL4ZUBrH6Vw6jGW4xd5crdQhgwln&amp;usp=drive_copy" TargetMode="External"/><Relationship Id="rId709" Type="http://schemas.openxmlformats.org/officeDocument/2006/relationships/hyperlink" Target="https://drive.google.com/open?id=18tfpr3JnC1Js32Yycue3ElGTzWGmM4np&amp;usp=drive_copy" TargetMode="External"/><Relationship Id="rId916" Type="http://schemas.openxmlformats.org/officeDocument/2006/relationships/hyperlink" Target="https://drive.google.com/open?id=1r5j0ItP1WPA-PeC5oQWzlkaM00sO_J8s&amp;usp=drive_copy" TargetMode="External"/><Relationship Id="rId1101" Type="http://schemas.openxmlformats.org/officeDocument/2006/relationships/hyperlink" Target="https://drive.google.com/thumbnail?id=" TargetMode="External"/><Relationship Id="rId45" Type="http://schemas.openxmlformats.org/officeDocument/2006/relationships/hyperlink" Target="https://drive.google.com/thumbnail?id=" TargetMode="External"/><Relationship Id="rId110" Type="http://schemas.openxmlformats.org/officeDocument/2006/relationships/hyperlink" Target="https://drive.google.com/open?id=1FVB35aYWoVsunTt9qluc2KPsSRn7VTyM&amp;usp=drive_copy" TargetMode="External"/><Relationship Id="rId348" Type="http://schemas.openxmlformats.org/officeDocument/2006/relationships/hyperlink" Target="https://drive.google.com/thumbnail?id=" TargetMode="External"/><Relationship Id="rId555" Type="http://schemas.openxmlformats.org/officeDocument/2006/relationships/hyperlink" Target="https://drive.google.com/thumbnail?id=" TargetMode="External"/><Relationship Id="rId762" Type="http://schemas.openxmlformats.org/officeDocument/2006/relationships/hyperlink" Target="https://drive.google.com/thumbnail?id=" TargetMode="External"/><Relationship Id="rId1185" Type="http://schemas.openxmlformats.org/officeDocument/2006/relationships/hyperlink" Target="https://drive.google.com/thumbnail?id=" TargetMode="External"/><Relationship Id="rId1392" Type="http://schemas.openxmlformats.org/officeDocument/2006/relationships/hyperlink" Target="https://drive.google.com/thumbnail?id=" TargetMode="External"/><Relationship Id="rId1406" Type="http://schemas.openxmlformats.org/officeDocument/2006/relationships/hyperlink" Target="https://drive.google.com/open?id=1i6ZgLIqXvClnT0HBKghfBnFnpTKeGSy3&amp;usp=drive_copy" TargetMode="External"/><Relationship Id="rId194" Type="http://schemas.openxmlformats.org/officeDocument/2006/relationships/hyperlink" Target="https://drive.google.com/open?id=1YYrLMF7xTQzjcl44DEeWgYtg4rGhKgNj&amp;usp=drive_copy" TargetMode="External"/><Relationship Id="rId208" Type="http://schemas.openxmlformats.org/officeDocument/2006/relationships/hyperlink" Target="https://drive.google.com/open?id=1dIpqGoSEQ7PoxTXBDbt-BPPv_81f2_ar&amp;usp=drive_copy" TargetMode="External"/><Relationship Id="rId415" Type="http://schemas.openxmlformats.org/officeDocument/2006/relationships/hyperlink" Target="https://drive.google.com/open?id=1IvrRGypM6b1joE9U2-0wd7RzLNiQTbvD&amp;usp=drive_copy" TargetMode="External"/><Relationship Id="rId622" Type="http://schemas.openxmlformats.org/officeDocument/2006/relationships/hyperlink" Target="https://drive.google.com/open?id=1qW83WK9GNp8AdSFasYVV6F3drIJk6gy0&amp;usp=drive_copy" TargetMode="External"/><Relationship Id="rId1045" Type="http://schemas.openxmlformats.org/officeDocument/2006/relationships/hyperlink" Target="https://drive.google.com/open?id=1MUjbkcw_E5HuaDfTI0eFTKuezFGHhymo&amp;usp=drive_copy" TargetMode="External"/><Relationship Id="rId1252" Type="http://schemas.openxmlformats.org/officeDocument/2006/relationships/hyperlink" Target="https://drive.google.com/open?id=15-GfshQGjXePRvu2ZTTrjIhr9hSybxVS&amp;usp=drive_copy" TargetMode="External"/><Relationship Id="rId261" Type="http://schemas.openxmlformats.org/officeDocument/2006/relationships/hyperlink" Target="https://drive.google.com/thumbnail?id=" TargetMode="External"/><Relationship Id="rId499" Type="http://schemas.openxmlformats.org/officeDocument/2006/relationships/hyperlink" Target="https://drive.google.com/open?id=1_vsvil2I_qul5uXYvAsZjT6QR2WgfNDK&amp;usp=drive_copy" TargetMode="External"/><Relationship Id="rId927" Type="http://schemas.openxmlformats.org/officeDocument/2006/relationships/hyperlink" Target="https://drive.google.com/thumbnail?id=" TargetMode="External"/><Relationship Id="rId1112" Type="http://schemas.openxmlformats.org/officeDocument/2006/relationships/hyperlink" Target="https://drive.google.com/open?id=1d9UMW0rf1IBFoMSbYFBCQDJWfzbRy-hz&amp;usp=drive_copy" TargetMode="External"/><Relationship Id="rId56" Type="http://schemas.openxmlformats.org/officeDocument/2006/relationships/hyperlink" Target="https://drive.google.com/open?id=1MZJJCRbI_M70H6a_Zm-Dc7A8zYqdYotK&amp;usp=drive_copy" TargetMode="External"/><Relationship Id="rId359" Type="http://schemas.openxmlformats.org/officeDocument/2006/relationships/hyperlink" Target="https://drive.google.com/open?id=18NR82UTfWsnplDjvCbG93f3uQfaxzXmZ&amp;usp=drive_copy" TargetMode="External"/><Relationship Id="rId566" Type="http://schemas.openxmlformats.org/officeDocument/2006/relationships/hyperlink" Target="https://drive.google.com/open?id=1jFYIXkXYS8c7-ylIh5NNDoM_yoyn892L&amp;usp=drive_copy" TargetMode="External"/><Relationship Id="rId773" Type="http://schemas.openxmlformats.org/officeDocument/2006/relationships/hyperlink" Target="https://drive.google.com/open?id=1OGKpw_2eQQiOFcrPl-H4B6RDbYcTqUr0&amp;usp=drive_copy" TargetMode="External"/><Relationship Id="rId1196" Type="http://schemas.openxmlformats.org/officeDocument/2006/relationships/hyperlink" Target="https://drive.google.com/open?id=1rBj2sJFFfI_1HN8al1MLOke-q4glmMAJ&amp;usp=drive_copy" TargetMode="External"/><Relationship Id="rId1417" Type="http://schemas.openxmlformats.org/officeDocument/2006/relationships/hyperlink" Target="https://drive.google.com/open?id=1lkWwYJy9xClj3a3m0XOKxQIQthnur39Q&amp;usp=drive_copy" TargetMode="External"/><Relationship Id="rId121" Type="http://schemas.openxmlformats.org/officeDocument/2006/relationships/hyperlink" Target="https://drive.google.com/open?id=1J4YGXEggQtwPtkjGpqNpPL9NXvpIqn50&amp;usp=drive_copy" TargetMode="External"/><Relationship Id="rId219" Type="http://schemas.openxmlformats.org/officeDocument/2006/relationships/hyperlink" Target="https://drive.google.com/thumbnail?id=" TargetMode="External"/><Relationship Id="rId426" Type="http://schemas.openxmlformats.org/officeDocument/2006/relationships/hyperlink" Target="https://drive.google.com/thumbnail?id=" TargetMode="External"/><Relationship Id="rId633" Type="http://schemas.openxmlformats.org/officeDocument/2006/relationships/hyperlink" Target="https://drive.google.com/thumbnail?id=" TargetMode="External"/><Relationship Id="rId980" Type="http://schemas.openxmlformats.org/officeDocument/2006/relationships/hyperlink" Target="https://drive.google.com/open?id=18UxVUHJlckloK8EeKN-p8jEJGL-5P1Rg&amp;usp=drive_copy" TargetMode="External"/><Relationship Id="rId1056" Type="http://schemas.openxmlformats.org/officeDocument/2006/relationships/hyperlink" Target="https://drive.google.com/thumbnail?id=" TargetMode="External"/><Relationship Id="rId1263" Type="http://schemas.openxmlformats.org/officeDocument/2006/relationships/hyperlink" Target="https://drive.google.com/thumbnail?id=" TargetMode="External"/><Relationship Id="rId840" Type="http://schemas.openxmlformats.org/officeDocument/2006/relationships/hyperlink" Target="https://drive.google.com/thumbnail?id=" TargetMode="External"/><Relationship Id="rId938" Type="http://schemas.openxmlformats.org/officeDocument/2006/relationships/hyperlink" Target="https://drive.google.com/open?id=1xljYiPYe1HebnnVCHjGChrUbPrB_mmzq&amp;usp=drive_copy" TargetMode="External"/><Relationship Id="rId1470" Type="http://schemas.openxmlformats.org/officeDocument/2006/relationships/hyperlink" Target="https://drive.google.com/thumbnail?id=" TargetMode="External"/><Relationship Id="rId67" Type="http://schemas.openxmlformats.org/officeDocument/2006/relationships/hyperlink" Target="https://drive.google.com/open?id=11QaBIWsTqD3JvPx5W7B_k1RdfWHWjBks&amp;usp=drive_copy" TargetMode="External"/><Relationship Id="rId272" Type="http://schemas.openxmlformats.org/officeDocument/2006/relationships/hyperlink" Target="https://drive.google.com/open?id=1oZQZgTw9ou4kpg6MVZA8fwr5d69hsg8z&amp;usp=drive_copy" TargetMode="External"/><Relationship Id="rId577" Type="http://schemas.openxmlformats.org/officeDocument/2006/relationships/hyperlink" Target="https://drive.google.com/open?id=1joSip-HSzvquH3RKpFLRGa2glclAfSgf&amp;usp=drive_copy" TargetMode="External"/><Relationship Id="rId700" Type="http://schemas.openxmlformats.org/officeDocument/2006/relationships/hyperlink" Target="https://drive.google.com/open?id=18-1ENe7MqE29fwrG772T73KbPuX0RE9c&amp;usp=drive_copy" TargetMode="External"/><Relationship Id="rId1123" Type="http://schemas.openxmlformats.org/officeDocument/2006/relationships/hyperlink" Target="https://drive.google.com/open?id=1eErTtWnaqaCkESAnkm_kBodjDgPU3aLQ&amp;usp=drive_copy" TargetMode="External"/><Relationship Id="rId1330" Type="http://schemas.openxmlformats.org/officeDocument/2006/relationships/hyperlink" Target="https://drive.google.com/open?id=1K05gIEW031wvhfp9GlIKX__m8PrmB9xG&amp;usp=drive_copy" TargetMode="External"/><Relationship Id="rId1428" Type="http://schemas.openxmlformats.org/officeDocument/2006/relationships/hyperlink" Target="https://drive.google.com/thumbnail?id=" TargetMode="External"/><Relationship Id="rId132" Type="http://schemas.openxmlformats.org/officeDocument/2006/relationships/hyperlink" Target="https://drive.google.com/thumbnail?id=" TargetMode="External"/><Relationship Id="rId784" Type="http://schemas.openxmlformats.org/officeDocument/2006/relationships/hyperlink" Target="https://drive.google.com/open?id=1RP7gCzZaJxGQvVh8tmjbo7tEoxAyDQTK&amp;usp=drive_copy" TargetMode="External"/><Relationship Id="rId991" Type="http://schemas.openxmlformats.org/officeDocument/2006/relationships/hyperlink" Target="https://drive.google.com/open?id=1BA2W6X9r3ufCvYnV3RKWgfSl86I-ZFFS&amp;usp=drive_copy" TargetMode="External"/><Relationship Id="rId1067" Type="http://schemas.openxmlformats.org/officeDocument/2006/relationships/hyperlink" Target="https://drive.google.com/open?id=1S07il-8r-MCmxAXgmsTqq77LTRr7yTn5&amp;usp=drive_copy" TargetMode="External"/><Relationship Id="rId437" Type="http://schemas.openxmlformats.org/officeDocument/2006/relationships/hyperlink" Target="https://drive.google.com/open?id=1QI8I4t8rrBKOaFjdt9tERRovVSSVrkBL&amp;usp=drive_copy" TargetMode="External"/><Relationship Id="rId644" Type="http://schemas.openxmlformats.org/officeDocument/2006/relationships/hyperlink" Target="https://drive.google.com/open?id=1ugNXZnpU21a3z4WTpYr0aFqr9Ysea3vW&amp;usp=drive_copy" TargetMode="External"/><Relationship Id="rId851" Type="http://schemas.openxmlformats.org/officeDocument/2006/relationships/hyperlink" Target="https://drive.google.com/open?id=1b4kD0yjiKuA33AKJfwjAna-i51cMxXkd&amp;usp=drive_copy" TargetMode="External"/><Relationship Id="rId1274" Type="http://schemas.openxmlformats.org/officeDocument/2006/relationships/hyperlink" Target="https://drive.google.com/open?id=1CIEviSaSlM0_9ehX5KPkV37SNRc6liXV&amp;usp=drive_copy" TargetMode="External"/><Relationship Id="rId1481" Type="http://schemas.openxmlformats.org/officeDocument/2006/relationships/hyperlink" Target="https://drive.google.com/open?id=1z2GNU1d8qZFN31L5PTUcIC7H9Zo8i92H&amp;usp=drive_copy" TargetMode="External"/><Relationship Id="rId283" Type="http://schemas.openxmlformats.org/officeDocument/2006/relationships/hyperlink" Target="https://drive.google.com/open?id=1soB4Je467d8WNavP4YkTcAcJWDeAifBt&amp;usp=drive_copy" TargetMode="External"/><Relationship Id="rId490" Type="http://schemas.openxmlformats.org/officeDocument/2006/relationships/hyperlink" Target="https://drive.google.com/open?id=1_AWBfdkGkbGx6JZe3ut9DJdi2i2lmzSo&amp;usp=drive_copy" TargetMode="External"/><Relationship Id="rId504" Type="http://schemas.openxmlformats.org/officeDocument/2006/relationships/hyperlink" Target="https://drive.google.com/thumbnail?id=" TargetMode="External"/><Relationship Id="rId711" Type="http://schemas.openxmlformats.org/officeDocument/2006/relationships/hyperlink" Target="https://drive.google.com/thumbnail?id=" TargetMode="External"/><Relationship Id="rId949" Type="http://schemas.openxmlformats.org/officeDocument/2006/relationships/hyperlink" Target="https://drive.google.com/open?id=10wnI1FsWSxNYG9EcOK3NOyrvlGaEnFkt&amp;usp=drive_copy" TargetMode="External"/><Relationship Id="rId1134" Type="http://schemas.openxmlformats.org/officeDocument/2006/relationships/hyperlink" Target="https://drive.google.com/thumbnail?id=" TargetMode="External"/><Relationship Id="rId1341" Type="http://schemas.openxmlformats.org/officeDocument/2006/relationships/hyperlink" Target="https://drive.google.com/thumbnail?id=" TargetMode="External"/><Relationship Id="rId78" Type="http://schemas.openxmlformats.org/officeDocument/2006/relationships/hyperlink" Target="https://drive.google.com/thumbnail?id=" TargetMode="External"/><Relationship Id="rId143" Type="http://schemas.openxmlformats.org/officeDocument/2006/relationships/hyperlink" Target="https://drive.google.com/open?id=1PUi2_9wRckrigjzSaMbuBJbBiBzBsHBZ&amp;usp=drive_copy" TargetMode="External"/><Relationship Id="rId350" Type="http://schemas.openxmlformats.org/officeDocument/2006/relationships/hyperlink" Target="https://drive.google.com/open?id=16Onua8ZSfFR8CQkV58rvCNOGldKEsa1Y&amp;usp=drive_copy" TargetMode="External"/><Relationship Id="rId588" Type="http://schemas.openxmlformats.org/officeDocument/2006/relationships/hyperlink" Target="https://drive.google.com/thumbnail?id=" TargetMode="External"/><Relationship Id="rId795" Type="http://schemas.openxmlformats.org/officeDocument/2006/relationships/hyperlink" Target="https://drive.google.com/thumbnail?id=" TargetMode="External"/><Relationship Id="rId809" Type="http://schemas.openxmlformats.org/officeDocument/2006/relationships/hyperlink" Target="https://drive.google.com/open?id=1TeWp0BQAxo6eV4zaOhEpEm5li-m0G3J0&amp;usp=drive_copy" TargetMode="External"/><Relationship Id="rId1201" Type="http://schemas.openxmlformats.org/officeDocument/2006/relationships/hyperlink" Target="https://drive.google.com/open?id=1uBQXcYyXIDHwg1-h2VJ-1K81IJyCxuZa&amp;usp=drive_copy" TargetMode="External"/><Relationship Id="rId1439" Type="http://schemas.openxmlformats.org/officeDocument/2006/relationships/hyperlink" Target="https://drive.google.com/open?id=1nbE_MTUubtmj1MfSr8X8zVoYWnpwyL55&amp;usp=drive_copy" TargetMode="External"/><Relationship Id="rId9" Type="http://schemas.openxmlformats.org/officeDocument/2006/relationships/hyperlink" Target="https://drive.google.com/thumbnail?id=" TargetMode="External"/><Relationship Id="rId210" Type="http://schemas.openxmlformats.org/officeDocument/2006/relationships/hyperlink" Target="https://drive.google.com/thumbnail?id=" TargetMode="External"/><Relationship Id="rId448" Type="http://schemas.openxmlformats.org/officeDocument/2006/relationships/hyperlink" Target="https://drive.google.com/open?id=1SHDW6MrLu1aBIsNixpWeLPtzjw86ogWw&amp;usp=drive_copy" TargetMode="External"/><Relationship Id="rId655" Type="http://schemas.openxmlformats.org/officeDocument/2006/relationships/hyperlink" Target="https://drive.google.com/open?id=1x9lZEp1yLPSoVytsk2j8GOoN6jBX_90A&amp;usp=drive_copy" TargetMode="External"/><Relationship Id="rId862" Type="http://schemas.openxmlformats.org/officeDocument/2006/relationships/hyperlink" Target="https://drive.google.com/open?id=1gS6TkSr42Df5UILoVcZJnOG1mMp06tLO&amp;usp=drive_copy" TargetMode="External"/><Relationship Id="rId1078" Type="http://schemas.openxmlformats.org/officeDocument/2006/relationships/hyperlink" Target="https://drive.google.com/open?id=1Ut7z1r3FUggcZw1BBRR2W783_l2CZfUV&amp;usp=drive_copy" TargetMode="External"/><Relationship Id="rId1285" Type="http://schemas.openxmlformats.org/officeDocument/2006/relationships/hyperlink" Target="https://drive.google.com/open?id=1Eou40YSyEU5S3DpHZzCkQqN-nKcaYtcJ&amp;usp=drive_copy" TargetMode="External"/><Relationship Id="rId1492" Type="http://schemas.openxmlformats.org/officeDocument/2006/relationships/hyperlink" Target="https://drive.google.com/open?id=1iLjVtQsvwb6WpKHdsLarFwT1a_PoQJAm&amp;usp=drive_copy" TargetMode="External"/><Relationship Id="rId1506" Type="http://schemas.openxmlformats.org/officeDocument/2006/relationships/hyperlink" Target="https://drive.google.com/thumbnail?id=" TargetMode="External"/><Relationship Id="rId294" Type="http://schemas.openxmlformats.org/officeDocument/2006/relationships/hyperlink" Target="https://drive.google.com/thumbnail?id=" TargetMode="External"/><Relationship Id="rId308" Type="http://schemas.openxmlformats.org/officeDocument/2006/relationships/hyperlink" Target="https://drive.google.com/open?id=10-R6VLuUVNBrooRPeY29O-M_1_-XP0lT&amp;usp=drive_copy" TargetMode="External"/><Relationship Id="rId515" Type="http://schemas.openxmlformats.org/officeDocument/2006/relationships/hyperlink" Target="https://drive.google.com/open?id=1bAiyuwYrLqQb5M-ObZXWT_-N4FGa4N81&amp;usp=drive_copy" TargetMode="External"/><Relationship Id="rId722" Type="http://schemas.openxmlformats.org/officeDocument/2006/relationships/hyperlink" Target="https://drive.google.com/open?id=1CBPX2SkdgwnCnFlouOVYHPNHmwEsyxBq&amp;usp=drive_copy" TargetMode="External"/><Relationship Id="rId1145" Type="http://schemas.openxmlformats.org/officeDocument/2006/relationships/hyperlink" Target="https://drive.google.com/open?id=1gb0evkUQUIIbQlJb9Au-rlCLJQfI5SMC&amp;usp=drive_copy" TargetMode="External"/><Relationship Id="rId1352" Type="http://schemas.openxmlformats.org/officeDocument/2006/relationships/hyperlink" Target="https://drive.google.com/open?id=1R0a1m1x6Bzo2XY5XMAQ7floX1g8BbXGL&amp;usp=drive_copy" TargetMode="External"/><Relationship Id="rId89" Type="http://schemas.openxmlformats.org/officeDocument/2006/relationships/hyperlink" Target="https://drive.google.com/open?id=19pTyKF5AX4DWldIeup1fD3dJ6UheAqhG&amp;usp=drive_copy" TargetMode="External"/><Relationship Id="rId154" Type="http://schemas.openxmlformats.org/officeDocument/2006/relationships/hyperlink" Target="https://drive.google.com/open?id=1QrIUHHL_SZ3uNQYkveSZHmc1aO3wLXX8&amp;usp=drive_copy" TargetMode="External"/><Relationship Id="rId361" Type="http://schemas.openxmlformats.org/officeDocument/2006/relationships/hyperlink" Target="https://drive.google.com/open?id=19AD2dJaqdroptd58CMXA0yAnYLhsJ-LN&amp;usp=drive_copy" TargetMode="External"/><Relationship Id="rId599" Type="http://schemas.openxmlformats.org/officeDocument/2006/relationships/hyperlink" Target="https://drive.google.com/open?id=1o_m6UQYN3Nuf4NbDqsG_UYm6jErAE5NR&amp;usp=drive_copy" TargetMode="External"/><Relationship Id="rId1005" Type="http://schemas.openxmlformats.org/officeDocument/2006/relationships/hyperlink" Target="https://drive.google.com/thumbnail?id=" TargetMode="External"/><Relationship Id="rId1212" Type="http://schemas.openxmlformats.org/officeDocument/2006/relationships/hyperlink" Target="https://drive.google.com/thumbnail?id=" TargetMode="External"/><Relationship Id="rId459" Type="http://schemas.openxmlformats.org/officeDocument/2006/relationships/hyperlink" Target="https://drive.google.com/thumbnail?id=" TargetMode="External"/><Relationship Id="rId666" Type="http://schemas.openxmlformats.org/officeDocument/2006/relationships/hyperlink" Target="https://drive.google.com/thumbnail?id=" TargetMode="External"/><Relationship Id="rId873" Type="http://schemas.openxmlformats.org/officeDocument/2006/relationships/hyperlink" Target="https://drive.google.com/thumbnail?id=" TargetMode="External"/><Relationship Id="rId1089" Type="http://schemas.openxmlformats.org/officeDocument/2006/relationships/hyperlink" Target="https://drive.google.com/thumbnail?id=" TargetMode="External"/><Relationship Id="rId1296" Type="http://schemas.openxmlformats.org/officeDocument/2006/relationships/hyperlink" Target="https://drive.google.com/thumbnail?id=" TargetMode="External"/><Relationship Id="rId16" Type="http://schemas.openxmlformats.org/officeDocument/2006/relationships/hyperlink" Target="https://drive.google.com/open?id=16Bq1xo_vGYjvOVhp1SbJ2HooTikf7w95&amp;usp=drive_copy" TargetMode="External"/><Relationship Id="rId221" Type="http://schemas.openxmlformats.org/officeDocument/2006/relationships/hyperlink" Target="https://drive.google.com/open?id=1fN_KDlzDWJSeI-5_6zFku3Hwg_9lTGKr&amp;usp=drive_copy" TargetMode="External"/><Relationship Id="rId319" Type="http://schemas.openxmlformats.org/officeDocument/2006/relationships/hyperlink" Target="https://drive.google.com/open?id=118kfDiRu05FuiQhet1oHnCm9DMTZGTHc&amp;usp=drive_copy" TargetMode="External"/><Relationship Id="rId526" Type="http://schemas.openxmlformats.org/officeDocument/2006/relationships/hyperlink" Target="https://drive.google.com/open?id=1bgtFERbggzxbt_d6E6uMotAs7OApFsn7&amp;usp=drive_copy" TargetMode="External"/><Relationship Id="rId1156" Type="http://schemas.openxmlformats.org/officeDocument/2006/relationships/hyperlink" Target="https://drive.google.com/open?id=1kR4hvp1F5V9P50e58HU6TdZOS9xJejy2&amp;usp=drive_copy" TargetMode="External"/><Relationship Id="rId1363" Type="http://schemas.openxmlformats.org/officeDocument/2006/relationships/hyperlink" Target="https://drive.google.com/open?id=1UO2RMQS4TJzWNdPIpX8zBDPOdSji5P2T&amp;usp=drive_copy" TargetMode="External"/><Relationship Id="rId733" Type="http://schemas.openxmlformats.org/officeDocument/2006/relationships/hyperlink" Target="https://drive.google.com/open?id=1F6xQsL-ywT7dTKBKd4yOWQA455TwbO2_&amp;usp=drive_copy" TargetMode="External"/><Relationship Id="rId940" Type="http://schemas.openxmlformats.org/officeDocument/2006/relationships/hyperlink" Target="https://drive.google.com/open?id=1yOW_3G1pp6-mhRMb0ex5aKGbWi888CU7&amp;usp=drive_copy" TargetMode="External"/><Relationship Id="rId1016" Type="http://schemas.openxmlformats.org/officeDocument/2006/relationships/hyperlink" Target="https://drive.google.com/open?id=1GhyABSFq8ttGCSZJtoMBDqX9v87m6YmX&amp;usp=drive_copy" TargetMode="External"/><Relationship Id="rId165" Type="http://schemas.openxmlformats.org/officeDocument/2006/relationships/hyperlink" Target="https://drive.google.com/thumbnail?id=" TargetMode="External"/><Relationship Id="rId372" Type="http://schemas.openxmlformats.org/officeDocument/2006/relationships/hyperlink" Target="https://drive.google.com/thumbnail?id=" TargetMode="External"/><Relationship Id="rId677" Type="http://schemas.openxmlformats.org/officeDocument/2006/relationships/hyperlink" Target="https://drive.google.com/open?id=107HJczLnQNOQyfpE_EYDFVaB7iv33svs&amp;usp=drive_copy" TargetMode="External"/><Relationship Id="rId800" Type="http://schemas.openxmlformats.org/officeDocument/2006/relationships/hyperlink" Target="https://drive.google.com/open?id=1SeddOgzmq5pzQyLIza8CrTyUcB-X5FEl&amp;usp=drive_copy" TargetMode="External"/><Relationship Id="rId1223" Type="http://schemas.openxmlformats.org/officeDocument/2006/relationships/hyperlink" Target="https://drive.google.com/open?id=1yaXxcpMa0eFvTzW-DHUDWhAYw7qkR7r0&amp;usp=drive_copy" TargetMode="External"/><Relationship Id="rId1430" Type="http://schemas.openxmlformats.org/officeDocument/2006/relationships/hyperlink" Target="https://drive.google.com/open?id=1mip6mcJ0Uf2DCE5NZtUJYYwGk-p_Ie09&amp;usp=drive_copy" TargetMode="External"/><Relationship Id="rId232" Type="http://schemas.openxmlformats.org/officeDocument/2006/relationships/hyperlink" Target="https://drive.google.com/open?id=1fxsI6JhzjkJk_hAwsSqA6KrnqvGNHg4a&amp;usp=drive_copy" TargetMode="External"/><Relationship Id="rId884" Type="http://schemas.openxmlformats.org/officeDocument/2006/relationships/hyperlink" Target="https://drive.google.com/open?id=1k28fvxdUeCMP83bzVaZvhKddwe_zxMuj&amp;usp=drive_copy" TargetMode="External"/><Relationship Id="rId27" Type="http://schemas.openxmlformats.org/officeDocument/2006/relationships/hyperlink" Target="https://drive.google.com/thumbnail?id=" TargetMode="External"/><Relationship Id="rId537" Type="http://schemas.openxmlformats.org/officeDocument/2006/relationships/hyperlink" Target="https://drive.google.com/thumbnail?id=" TargetMode="External"/><Relationship Id="rId744" Type="http://schemas.openxmlformats.org/officeDocument/2006/relationships/hyperlink" Target="https://drive.google.com/thumbnail?id=" TargetMode="External"/><Relationship Id="rId951" Type="http://schemas.openxmlformats.org/officeDocument/2006/relationships/hyperlink" Target="https://drive.google.com/thumbnail?id=" TargetMode="External"/><Relationship Id="rId1167" Type="http://schemas.openxmlformats.org/officeDocument/2006/relationships/hyperlink" Target="https://drive.google.com/thumbnail?id=" TargetMode="External"/><Relationship Id="rId1374" Type="http://schemas.openxmlformats.org/officeDocument/2006/relationships/hyperlink" Target="https://drive.google.com/thumbnail?id=" TargetMode="External"/><Relationship Id="rId80" Type="http://schemas.openxmlformats.org/officeDocument/2006/relationships/hyperlink" Target="https://drive.google.com/open?id=13TCLBtj9Lri6peyVSe7dMED0FkseExLq&amp;usp=drive_copy" TargetMode="External"/><Relationship Id="rId176" Type="http://schemas.openxmlformats.org/officeDocument/2006/relationships/hyperlink" Target="https://drive.google.com/open?id=1Tr5nRdLtLQd8SslXwkJCWhfZ7qX4Sxpk&amp;usp=drive_copy" TargetMode="External"/><Relationship Id="rId383" Type="http://schemas.openxmlformats.org/officeDocument/2006/relationships/hyperlink" Target="https://drive.google.com/open?id=1DDbfj9B1LglbyjOkSbRBldXNs7JQbQyl&amp;usp=drive_copy" TargetMode="External"/><Relationship Id="rId590" Type="http://schemas.openxmlformats.org/officeDocument/2006/relationships/hyperlink" Target="https://drive.google.com/open?id=1nQ2gTIbtse66x8xU_YLzhnOQYAbMRCJs&amp;usp=drive_copy" TargetMode="External"/><Relationship Id="rId604" Type="http://schemas.openxmlformats.org/officeDocument/2006/relationships/hyperlink" Target="https://drive.google.com/open?id=1oveYMHPsT-JpXh2y68bjUXOKoxNT4nSv&amp;usp=drive_copy" TargetMode="External"/><Relationship Id="rId811" Type="http://schemas.openxmlformats.org/officeDocument/2006/relationships/hyperlink" Target="https://drive.google.com/open?id=1TfaJDHRZL7W80ELylZDPbLq9tawZ3k9Z&amp;usp=drive_copy" TargetMode="External"/><Relationship Id="rId1027" Type="http://schemas.openxmlformats.org/officeDocument/2006/relationships/hyperlink" Target="https://drive.google.com/open?id=1J9AjxVlyFvmMvfRtNEAvDTeloG3CFBkp&amp;usp=drive_copy" TargetMode="External"/><Relationship Id="rId1234" Type="http://schemas.openxmlformats.org/officeDocument/2006/relationships/hyperlink" Target="https://drive.google.com/open?id=1-rac9Isjh_PCvofIfyRpu3kADlSBkBqe&amp;usp=drive_copy" TargetMode="External"/><Relationship Id="rId1441" Type="http://schemas.openxmlformats.org/officeDocument/2006/relationships/hyperlink" Target="https://drive.google.com/open?id=1p2leonbDbe9ZhCpfO04ut_weUAUC7SWQ&amp;usp=drive_copy" TargetMode="External"/><Relationship Id="rId243" Type="http://schemas.openxmlformats.org/officeDocument/2006/relationships/hyperlink" Target="https://drive.google.com/thumbnail?id=" TargetMode="External"/><Relationship Id="rId450" Type="http://schemas.openxmlformats.org/officeDocument/2006/relationships/hyperlink" Target="https://drive.google.com/thumbnail?id=" TargetMode="External"/><Relationship Id="rId688" Type="http://schemas.openxmlformats.org/officeDocument/2006/relationships/hyperlink" Target="https://drive.google.com/open?id=12QI2jqo_3Qg54FAJlZRcraQP8tIWYHHY&amp;usp=drive_copy" TargetMode="External"/><Relationship Id="rId895" Type="http://schemas.openxmlformats.org/officeDocument/2006/relationships/hyperlink" Target="https://drive.google.com/open?id=1nfcLswTwQ1wolRHdSC7ndsaTJDfdFIcK&amp;usp=drive_copy" TargetMode="External"/><Relationship Id="rId909" Type="http://schemas.openxmlformats.org/officeDocument/2006/relationships/hyperlink" Target="https://drive.google.com/thumbnail?id=" TargetMode="External"/><Relationship Id="rId1080" Type="http://schemas.openxmlformats.org/officeDocument/2006/relationships/hyperlink" Target="https://drive.google.com/thumbnail?id=" TargetMode="External"/><Relationship Id="rId1301" Type="http://schemas.openxmlformats.org/officeDocument/2006/relationships/hyperlink" Target="https://drive.google.com/open?id=1HtyINQG0zx030temkt1YJUOq9Ng9_0Ip&amp;usp=drive_copy" TargetMode="External"/><Relationship Id="rId38" Type="http://schemas.openxmlformats.org/officeDocument/2006/relationships/hyperlink" Target="https://drive.google.com/open?id=1FmfTqFl0XyPCTcrbq9_E84n5jXNFl0z3&amp;usp=drive_copy" TargetMode="External"/><Relationship Id="rId103" Type="http://schemas.openxmlformats.org/officeDocument/2006/relationships/hyperlink" Target="https://drive.google.com/open?id=1F7sGMWW2dTRElGwUD8JDypngW3UPdZAE&amp;usp=drive_copy" TargetMode="External"/><Relationship Id="rId310" Type="http://schemas.openxmlformats.org/officeDocument/2006/relationships/hyperlink" Target="https://drive.google.com/open?id=100T8Lz-IQJdlAyXq9RHdAtVjQNy3XvJc&amp;usp=drive_copy" TargetMode="External"/><Relationship Id="rId548" Type="http://schemas.openxmlformats.org/officeDocument/2006/relationships/hyperlink" Target="https://drive.google.com/open?id=1gxjHHESIJQSm0VTwUWxfmWyMRphARV1J&amp;usp=drive_copy" TargetMode="External"/><Relationship Id="rId755" Type="http://schemas.openxmlformats.org/officeDocument/2006/relationships/hyperlink" Target="https://drive.google.com/open?id=1KjIJ27vzFDltUT1m8zNlJ77e3JHBO5SX&amp;usp=drive_copy" TargetMode="External"/><Relationship Id="rId962" Type="http://schemas.openxmlformats.org/officeDocument/2006/relationships/hyperlink" Target="https://drive.google.com/open?id=13CdBjz2cY06UsPArnaJJelBOsJta1Wcb&amp;usp=drive_copy" TargetMode="External"/><Relationship Id="rId1178" Type="http://schemas.openxmlformats.org/officeDocument/2006/relationships/hyperlink" Target="https://drive.google.com/open?id=1mO5HYwdOcscZgwmDkA75QLKh6-bxmlJb&amp;usp=drive_copy" TargetMode="External"/><Relationship Id="rId1385" Type="http://schemas.openxmlformats.org/officeDocument/2006/relationships/hyperlink" Target="https://drive.google.com/open?id=1ZtY-lzGAmJ2RS4tlxs4fCIFQJi3enXae&amp;usp=drive_copy" TargetMode="External"/><Relationship Id="rId91" Type="http://schemas.openxmlformats.org/officeDocument/2006/relationships/hyperlink" Target="https://drive.google.com/open?id=19rtSAKID8snqMlJZtbCWUm4JFS5hVtto&amp;usp=drive_copy" TargetMode="External"/><Relationship Id="rId187" Type="http://schemas.openxmlformats.org/officeDocument/2006/relationships/hyperlink" Target="https://drive.google.com/open?id=1XruO3T_s_aRo3DU3vQxOyYzA-MtYMU3-&amp;usp=drive_copy" TargetMode="External"/><Relationship Id="rId394" Type="http://schemas.openxmlformats.org/officeDocument/2006/relationships/hyperlink" Target="https://drive.google.com/open?id=1F_uudYog84IdNujWO8-oHwJu6J3sj33k&amp;usp=drive_copy" TargetMode="External"/><Relationship Id="rId408" Type="http://schemas.openxmlformats.org/officeDocument/2006/relationships/hyperlink" Target="https://drive.google.com/thumbnail?id=" TargetMode="External"/><Relationship Id="rId615" Type="http://schemas.openxmlformats.org/officeDocument/2006/relationships/hyperlink" Target="https://drive.google.com/thumbnail?id=" TargetMode="External"/><Relationship Id="rId822" Type="http://schemas.openxmlformats.org/officeDocument/2006/relationships/hyperlink" Target="https://drive.google.com/thumbnail?id=" TargetMode="External"/><Relationship Id="rId1038" Type="http://schemas.openxmlformats.org/officeDocument/2006/relationships/hyperlink" Target="https://drive.google.com/thumbnail?id=" TargetMode="External"/><Relationship Id="rId1245" Type="http://schemas.openxmlformats.org/officeDocument/2006/relationships/hyperlink" Target="https://drive.google.com/thumbnail?id=" TargetMode="External"/><Relationship Id="rId1452" Type="http://schemas.openxmlformats.org/officeDocument/2006/relationships/hyperlink" Target="https://drive.google.com/thumbnail?id=" TargetMode="External"/><Relationship Id="rId254" Type="http://schemas.openxmlformats.org/officeDocument/2006/relationships/hyperlink" Target="https://drive.google.com/open?id=1jLrARiF9X49KqJQPDH-sdcyf7VtMm0DU&amp;usp=drive_copy" TargetMode="External"/><Relationship Id="rId699" Type="http://schemas.openxmlformats.org/officeDocument/2006/relationships/hyperlink" Target="https://drive.google.com/thumbnail?id=" TargetMode="External"/><Relationship Id="rId1091" Type="http://schemas.openxmlformats.org/officeDocument/2006/relationships/hyperlink" Target="https://drive.google.com/open?id=1_Ospzi0sEIOqbTgZY2CBsdJHqAxcXrWs&amp;usp=drive_copy" TargetMode="External"/><Relationship Id="rId1105" Type="http://schemas.openxmlformats.org/officeDocument/2006/relationships/hyperlink" Target="https://drive.google.com/open?id=1b2FNkjIALuTXVYSEfkSM12BCttPKc_Ez&amp;usp=drive_copy" TargetMode="External"/><Relationship Id="rId1312" Type="http://schemas.openxmlformats.org/officeDocument/2006/relationships/hyperlink" Target="https://drive.google.com/open?id=1IhsK8piaznnX0GYxPrRDP3tffvlVf1nI&amp;usp=drive_copy" TargetMode="External"/><Relationship Id="rId49" Type="http://schemas.openxmlformats.org/officeDocument/2006/relationships/hyperlink" Target="https://drive.google.com/open?id=1M8f3_L0Inc8Y_GcDIxwCIeEtsBx3LQPn&amp;usp=drive_copy" TargetMode="External"/><Relationship Id="rId114" Type="http://schemas.openxmlformats.org/officeDocument/2006/relationships/hyperlink" Target="https://drive.google.com/thumbnail?id=" TargetMode="External"/><Relationship Id="rId461" Type="http://schemas.openxmlformats.org/officeDocument/2006/relationships/hyperlink" Target="https://drive.google.com/open?id=1UgqybeF9yg4eFmkL9qdTYqkMU9CWkhOu&amp;usp=drive_copy" TargetMode="External"/><Relationship Id="rId559" Type="http://schemas.openxmlformats.org/officeDocument/2006/relationships/hyperlink" Target="https://drive.google.com/open?id=1iHKOLe-mXkB-DxQ2YhpnZi9uNwkQn4VR&amp;usp=drive_copy" TargetMode="External"/><Relationship Id="rId766" Type="http://schemas.openxmlformats.org/officeDocument/2006/relationships/hyperlink" Target="https://drive.google.com/open?id=1Nir27iWQ6BmI3hwPc4nPR4Axbn3P-J3c&amp;usp=drive_copy" TargetMode="External"/><Relationship Id="rId1189" Type="http://schemas.openxmlformats.org/officeDocument/2006/relationships/hyperlink" Target="https://drive.google.com/open?id=1oGZtoe0hpDoxx1I7d5UTJNm5opaDIsLW&amp;usp=drive_copy" TargetMode="External"/><Relationship Id="rId1396" Type="http://schemas.openxmlformats.org/officeDocument/2006/relationships/hyperlink" Target="https://drive.google.com/open?id=1dyisdGn1jspO6iE5vtquAqWkShNnGINc&amp;usp=drive_copy" TargetMode="External"/><Relationship Id="rId198" Type="http://schemas.openxmlformats.org/officeDocument/2006/relationships/hyperlink" Target="https://drive.google.com/thumbnail?id=" TargetMode="External"/><Relationship Id="rId321" Type="http://schemas.openxmlformats.org/officeDocument/2006/relationships/hyperlink" Target="https://drive.google.com/thumbnail?id=" TargetMode="External"/><Relationship Id="rId419" Type="http://schemas.openxmlformats.org/officeDocument/2006/relationships/hyperlink" Target="https://drive.google.com/open?id=1KXQU1P6TmickbfiNgekZhVQMpn7DFhiq&amp;usp=drive_copy" TargetMode="External"/><Relationship Id="rId626" Type="http://schemas.openxmlformats.org/officeDocument/2006/relationships/hyperlink" Target="https://drive.google.com/open?id=1rOLZHJWIfVX7E5mwO7i1sDtvu_fdl70C&amp;usp=drive_copy" TargetMode="External"/><Relationship Id="rId973" Type="http://schemas.openxmlformats.org/officeDocument/2006/relationships/hyperlink" Target="https://drive.google.com/open?id=15okItZ8pl7FTKEaf1KdbbSMflHeq5YaK&amp;usp=drive_copy" TargetMode="External"/><Relationship Id="rId1049" Type="http://schemas.openxmlformats.org/officeDocument/2006/relationships/hyperlink" Target="https://drive.google.com/open?id=1NakZPKYYP31yuonwpkUIBpIUqRGJ8XMs&amp;usp=drive_copy" TargetMode="External"/><Relationship Id="rId1256" Type="http://schemas.openxmlformats.org/officeDocument/2006/relationships/hyperlink" Target="https://drive.google.com/open?id=1695ICXoeoPqgh73oNX-bAlWx2rOdw2He&amp;usp=drive_copy" TargetMode="External"/><Relationship Id="rId833" Type="http://schemas.openxmlformats.org/officeDocument/2006/relationships/hyperlink" Target="https://drive.google.com/open?id=1XkONym0_KM_GWR0kurPVOprW6iLjc-BB&amp;usp=drive_copy" TargetMode="External"/><Relationship Id="rId1116" Type="http://schemas.openxmlformats.org/officeDocument/2006/relationships/hyperlink" Target="https://drive.google.com/thumbnail?id=" TargetMode="External"/><Relationship Id="rId1463" Type="http://schemas.openxmlformats.org/officeDocument/2006/relationships/hyperlink" Target="https://drive.google.com/open?id=1vNzS9Nm7liQHN4R4XP2cJM7gUTJ2jwPM&amp;usp=drive_copy" TargetMode="External"/><Relationship Id="rId265" Type="http://schemas.openxmlformats.org/officeDocument/2006/relationships/hyperlink" Target="https://drive.google.com/open?id=1m4L3KfeEEmyiEDjV3tbIy54r_Ji1fYBt&amp;usp=drive_copy" TargetMode="External"/><Relationship Id="rId472" Type="http://schemas.openxmlformats.org/officeDocument/2006/relationships/hyperlink" Target="https://drive.google.com/open?id=1X67No_qs49pkrpo5EShpJzI0wyKDLO7W&amp;usp=drive_copy" TargetMode="External"/><Relationship Id="rId900" Type="http://schemas.openxmlformats.org/officeDocument/2006/relationships/hyperlink" Target="https://drive.google.com/thumbnail?id=" TargetMode="External"/><Relationship Id="rId1323" Type="http://schemas.openxmlformats.org/officeDocument/2006/relationships/hyperlink" Target="https://drive.google.com/thumbnail?id=" TargetMode="External"/><Relationship Id="rId125" Type="http://schemas.openxmlformats.org/officeDocument/2006/relationships/hyperlink" Target="https://drive.google.com/open?id=1JLR_n8LJxCgzUlr-8XAO08Xr61Xa52oX&amp;usp=drive_copy" TargetMode="External"/><Relationship Id="rId332" Type="http://schemas.openxmlformats.org/officeDocument/2006/relationships/hyperlink" Target="https://drive.google.com/open?id=13LaKkRyM75uhpz8pdnG1cdEti1QimxCo&amp;usp=drive_copy" TargetMode="External"/><Relationship Id="rId777" Type="http://schemas.openxmlformats.org/officeDocument/2006/relationships/hyperlink" Target="https://drive.google.com/thumbnail?id=" TargetMode="External"/><Relationship Id="rId984" Type="http://schemas.openxmlformats.org/officeDocument/2006/relationships/hyperlink" Target="https://drive.google.com/thumbnail?id=" TargetMode="External"/><Relationship Id="rId637" Type="http://schemas.openxmlformats.org/officeDocument/2006/relationships/hyperlink" Target="https://drive.google.com/open?id=1sYlM0kb8H-5auu7yd63Mk_kbZnuXS9Mr&amp;usp=drive_copy" TargetMode="External"/><Relationship Id="rId844" Type="http://schemas.openxmlformats.org/officeDocument/2006/relationships/hyperlink" Target="https://drive.google.com/open?id=1aMEZzukHsDjjgfBC227ZSRISaQF0yhPF&amp;usp=drive_copy" TargetMode="External"/><Relationship Id="rId1267" Type="http://schemas.openxmlformats.org/officeDocument/2006/relationships/hyperlink" Target="https://drive.google.com/open?id=1943jgkeDVkkTu-NKd7worT9ecrQ8IJxw&amp;usp=drive_copy" TargetMode="External"/><Relationship Id="rId1474" Type="http://schemas.openxmlformats.org/officeDocument/2006/relationships/hyperlink" Target="https://drive.google.com/open?id=1wRMqKy4khP-IOOovx--6JoTPCR4DP_aE&amp;usp=drive_copy" TargetMode="External"/><Relationship Id="rId276" Type="http://schemas.openxmlformats.org/officeDocument/2006/relationships/hyperlink" Target="https://drive.google.com/thumbnail?id=" TargetMode="External"/><Relationship Id="rId483" Type="http://schemas.openxmlformats.org/officeDocument/2006/relationships/hyperlink" Target="https://drive.google.com/thumbnail?id=" TargetMode="External"/><Relationship Id="rId690" Type="http://schemas.openxmlformats.org/officeDocument/2006/relationships/hyperlink" Target="https://drive.google.com/thumbnail?id=" TargetMode="External"/><Relationship Id="rId704" Type="http://schemas.openxmlformats.org/officeDocument/2006/relationships/hyperlink" Target="https://drive.google.com/open?id=18GPntQ3P9DbSoxyKukNXXrDELAh4rBhv&amp;usp=drive_copy" TargetMode="External"/><Relationship Id="rId911" Type="http://schemas.openxmlformats.org/officeDocument/2006/relationships/hyperlink" Target="https://drive.google.com/open?id=1pX_lKa4hvLYdFKus9tPqILRJibqQi3XQ&amp;usp=drive_copy" TargetMode="External"/><Relationship Id="rId1127" Type="http://schemas.openxmlformats.org/officeDocument/2006/relationships/hyperlink" Target="https://drive.google.com/open?id=1eRy2CSqQ8IJxweCtMF4ioZbz4Pi2ZLRi&amp;usp=drive_copy" TargetMode="External"/><Relationship Id="rId1334" Type="http://schemas.openxmlformats.org/officeDocument/2006/relationships/hyperlink" Target="https://drive.google.com/open?id=1LO0PgNHceS4lYwuTpbaTLqsNqA9KDL1a&amp;usp=drive_copy" TargetMode="External"/><Relationship Id="rId40" Type="http://schemas.openxmlformats.org/officeDocument/2006/relationships/hyperlink" Target="https://drive.google.com/open?id=1HtbFpQEpJUQ135f0Y790A3f3_CHPJyD4&amp;usp=drive_copy" TargetMode="External"/><Relationship Id="rId136" Type="http://schemas.openxmlformats.org/officeDocument/2006/relationships/hyperlink" Target="https://drive.google.com/open?id=1OI2beoA4yRsYyzjVt06wwQwthddByDNe&amp;usp=drive_copy" TargetMode="External"/><Relationship Id="rId343" Type="http://schemas.openxmlformats.org/officeDocument/2006/relationships/hyperlink" Target="https://drive.google.com/open?id=14SoBj-dgzbZ_qiyXbUeAxrm5lMYRGfP_&amp;usp=drive_copy" TargetMode="External"/><Relationship Id="rId550" Type="http://schemas.openxmlformats.org/officeDocument/2006/relationships/hyperlink" Target="https://drive.google.com/open?id=1h5Jk1alytc0T9wbVV3OiAEY9llp6Z7CZ&amp;usp=drive_copy" TargetMode="External"/><Relationship Id="rId788" Type="http://schemas.openxmlformats.org/officeDocument/2006/relationships/hyperlink" Target="https://drive.google.com/open?id=1RrdfO-rullTSL5n0cdmIdLxRae34WKiP&amp;usp=drive_copy" TargetMode="External"/><Relationship Id="rId995" Type="http://schemas.openxmlformats.org/officeDocument/2006/relationships/hyperlink" Target="https://drive.google.com/open?id=1BKRzGERqLYeSSfYfwH8Mh6xWypFGU_js&amp;usp=drive_copy" TargetMode="External"/><Relationship Id="rId1180" Type="http://schemas.openxmlformats.org/officeDocument/2006/relationships/hyperlink" Target="https://drive.google.com/open?id=1mPQU9e7OkgX9vRpRTANMkYeUuE5uGptO&amp;usp=drive_copy" TargetMode="External"/><Relationship Id="rId1401" Type="http://schemas.openxmlformats.org/officeDocument/2006/relationships/hyperlink" Target="https://drive.google.com/thumbnail?id=" TargetMode="External"/><Relationship Id="rId203" Type="http://schemas.openxmlformats.org/officeDocument/2006/relationships/hyperlink" Target="https://drive.google.com/open?id=1cop31kWiZtCk_iPNVvdhgfVVMGpuSKj2&amp;usp=drive_copy" TargetMode="External"/><Relationship Id="rId648" Type="http://schemas.openxmlformats.org/officeDocument/2006/relationships/hyperlink" Target="https://drive.google.com/thumbnail?id=" TargetMode="External"/><Relationship Id="rId855" Type="http://schemas.openxmlformats.org/officeDocument/2006/relationships/hyperlink" Target="https://drive.google.com/thumbnail?id=" TargetMode="External"/><Relationship Id="rId1040" Type="http://schemas.openxmlformats.org/officeDocument/2006/relationships/hyperlink" Target="https://drive.google.com/open?id=1Lv5q14Da8GliYE6HSaF7LvJGOJITLsSK&amp;usp=drive_copy" TargetMode="External"/><Relationship Id="rId1278" Type="http://schemas.openxmlformats.org/officeDocument/2006/relationships/hyperlink" Target="https://drive.google.com/thumbnail?id=" TargetMode="External"/><Relationship Id="rId1485" Type="http://schemas.openxmlformats.org/officeDocument/2006/relationships/hyperlink" Target="https://drive.google.com/thumbnail?id=" TargetMode="External"/><Relationship Id="rId287" Type="http://schemas.openxmlformats.org/officeDocument/2006/relationships/hyperlink" Target="https://drive.google.com/open?id=1teuKbpYF2knWu-CVWpN5G7SD1grswRmz&amp;usp=drive_copy" TargetMode="External"/><Relationship Id="rId410" Type="http://schemas.openxmlformats.org/officeDocument/2006/relationships/hyperlink" Target="https://drive.google.com/open?id=1Ihdo3xMyXcYSZyTIFtDi8PqJDNe_tkrP&amp;usp=drive_copy" TargetMode="External"/><Relationship Id="rId494" Type="http://schemas.openxmlformats.org/officeDocument/2006/relationships/hyperlink" Target="https://drive.google.com/open?id=1_Cco-avbGczsln4lVSOCFWvNvXQU9BOK&amp;usp=drive_copy" TargetMode="External"/><Relationship Id="rId508" Type="http://schemas.openxmlformats.org/officeDocument/2006/relationships/hyperlink" Target="https://drive.google.com/open?id=1b6vsO4P3AYR3Ipl-vJNBo9PuVy3QFW5Y&amp;usp=drive_copy" TargetMode="External"/><Relationship Id="rId715" Type="http://schemas.openxmlformats.org/officeDocument/2006/relationships/hyperlink" Target="https://drive.google.com/open?id=1ABBWcxsK3_ZL__nCot1JnJkUZwTXR-mg&amp;usp=drive_copy" TargetMode="External"/><Relationship Id="rId922" Type="http://schemas.openxmlformats.org/officeDocument/2006/relationships/hyperlink" Target="https://drive.google.com/open?id=1tWCc-7ZqaNBJDMM1TVbZyc6OsvQ3Q5pq&amp;usp=drive_copy" TargetMode="External"/><Relationship Id="rId1138" Type="http://schemas.openxmlformats.org/officeDocument/2006/relationships/hyperlink" Target="https://drive.google.com/open?id=1fdQjwZrPAS0spx60zXrQTzkjK4FPaHpT&amp;usp=drive_copy" TargetMode="External"/><Relationship Id="rId1345" Type="http://schemas.openxmlformats.org/officeDocument/2006/relationships/hyperlink" Target="https://drive.google.com/open?id=1O9VFTabIFkPp894G4C2XJL1AHz0xtZwh&amp;usp=drive_copy" TargetMode="External"/><Relationship Id="rId147" Type="http://schemas.openxmlformats.org/officeDocument/2006/relationships/hyperlink" Target="https://drive.google.com/thumbnail?id=" TargetMode="External"/><Relationship Id="rId354" Type="http://schemas.openxmlformats.org/officeDocument/2006/relationships/hyperlink" Target="https://drive.google.com/thumbnail?id=" TargetMode="External"/><Relationship Id="rId799" Type="http://schemas.openxmlformats.org/officeDocument/2006/relationships/hyperlink" Target="https://drive.google.com/open?id=1SeddOgzmq5pzQyLIza8CrTyUcB-X5FEl&amp;usp=drive_copy" TargetMode="External"/><Relationship Id="rId1191" Type="http://schemas.openxmlformats.org/officeDocument/2006/relationships/hyperlink" Target="https://drive.google.com/thumbnail?id=" TargetMode="External"/><Relationship Id="rId1205" Type="http://schemas.openxmlformats.org/officeDocument/2006/relationships/hyperlink" Target="https://drive.google.com/open?id=1vHSpV0S1trXYLnUz_q7KR5WGMoOzNvsU&amp;usp=drive_copy" TargetMode="External"/><Relationship Id="rId51" Type="http://schemas.openxmlformats.org/officeDocument/2006/relationships/hyperlink" Target="https://drive.google.com/thumbnail?id=" TargetMode="External"/><Relationship Id="rId561" Type="http://schemas.openxmlformats.org/officeDocument/2006/relationships/hyperlink" Target="https://drive.google.com/thumbnail?id=" TargetMode="External"/><Relationship Id="rId659" Type="http://schemas.openxmlformats.org/officeDocument/2006/relationships/hyperlink" Target="https://drive.google.com/open?id=1xB-fejT_9N-UQ6iYPIwp-RSKEj-3mLab&amp;usp=drive_copy" TargetMode="External"/><Relationship Id="rId866" Type="http://schemas.openxmlformats.org/officeDocument/2006/relationships/hyperlink" Target="https://drive.google.com/open?id=1gTMio6YNGcTzf7WbtM6VYYHaq-ksTDiN&amp;usp=drive_copy" TargetMode="External"/><Relationship Id="rId1289" Type="http://schemas.openxmlformats.org/officeDocument/2006/relationships/hyperlink" Target="https://drive.google.com/open?id=1FSEEk2hJ1moaiB2ot4DqQPWHvvqCyEyX&amp;usp=drive_copy" TargetMode="External"/><Relationship Id="rId1412" Type="http://schemas.openxmlformats.org/officeDocument/2006/relationships/hyperlink" Target="https://drive.google.com/open?id=1j2z2Pl_E883VpwTarFn-e2WczJzKGFw0&amp;usp=drive_copy" TargetMode="External"/><Relationship Id="rId1496" Type="http://schemas.openxmlformats.org/officeDocument/2006/relationships/hyperlink" Target="https://drive.google.com/open?id=1kx7cAZi_jMcu7TPF90Vxq8qCJ-iHPhg_&amp;usp=drive_copy" TargetMode="External"/><Relationship Id="rId214" Type="http://schemas.openxmlformats.org/officeDocument/2006/relationships/hyperlink" Target="https://drive.google.com/open?id=1eT0fMnVWoqJHV0xh7rXleqbSHXsWR7fJ&amp;usp=drive_copy" TargetMode="External"/><Relationship Id="rId298" Type="http://schemas.openxmlformats.org/officeDocument/2006/relationships/hyperlink" Target="https://drive.google.com/open?id=1xMjh-L9X7qlramteYmZclKoi71lw-rqu&amp;usp=drive_copy" TargetMode="External"/><Relationship Id="rId421" Type="http://schemas.openxmlformats.org/officeDocument/2006/relationships/hyperlink" Target="https://drive.google.com/open?id=1Ky4akLVyGqLYvaE0zBErh8wP0HlfUCUL&amp;usp=drive_copy" TargetMode="External"/><Relationship Id="rId519" Type="http://schemas.openxmlformats.org/officeDocument/2006/relationships/hyperlink" Target="https://drive.google.com/thumbnail?id=" TargetMode="External"/><Relationship Id="rId1051" Type="http://schemas.openxmlformats.org/officeDocument/2006/relationships/hyperlink" Target="https://drive.google.com/open?id=1NyenTEBgBI_EYPcKOn7naoFPaU-hRdgv&amp;usp=drive_copy" TargetMode="External"/><Relationship Id="rId1149" Type="http://schemas.openxmlformats.org/officeDocument/2006/relationships/hyperlink" Target="https://drive.google.com/thumbnail?id=" TargetMode="External"/><Relationship Id="rId1356" Type="http://schemas.openxmlformats.org/officeDocument/2006/relationships/hyperlink" Target="https://drive.google.com/thumbnail?id=" TargetMode="External"/><Relationship Id="rId158" Type="http://schemas.openxmlformats.org/officeDocument/2006/relationships/hyperlink" Target="https://drive.google.com/open?id=1RE8bdu251KhZyWOnD-T62vvWyH5EsRSg&amp;usp=drive_copy" TargetMode="External"/><Relationship Id="rId726" Type="http://schemas.openxmlformats.org/officeDocument/2006/relationships/hyperlink" Target="https://drive.google.com/thumbnail?id=" TargetMode="External"/><Relationship Id="rId933" Type="http://schemas.openxmlformats.org/officeDocument/2006/relationships/hyperlink" Target="https://drive.google.com/thumbnail?id=" TargetMode="External"/><Relationship Id="rId1009" Type="http://schemas.openxmlformats.org/officeDocument/2006/relationships/hyperlink" Target="https://drive.google.com/open?id=1DleMWHwBxY_f0sdoZmB2bA5PvL3wzuZt&amp;usp=drive_copy" TargetMode="External"/><Relationship Id="rId62" Type="http://schemas.openxmlformats.org/officeDocument/2006/relationships/hyperlink" Target="https://drive.google.com/open?id=1Pc1AIsgLAU1vKw1nKEZmrc1Z7iwEGvp7&amp;usp=drive_copy" TargetMode="External"/><Relationship Id="rId365" Type="http://schemas.openxmlformats.org/officeDocument/2006/relationships/hyperlink" Target="https://drive.google.com/open?id=19UmrkwAqX8n87quVCztOpB4vFT7Mc8Ml&amp;usp=drive_copy" TargetMode="External"/><Relationship Id="rId572" Type="http://schemas.openxmlformats.org/officeDocument/2006/relationships/hyperlink" Target="https://drive.google.com/open?id=1jYZJBasH6pDVQgxPXrqI63KRBwqGS2k_&amp;usp=drive_copy" TargetMode="External"/><Relationship Id="rId1216" Type="http://schemas.openxmlformats.org/officeDocument/2006/relationships/hyperlink" Target="https://drive.google.com/open?id=1xXckcMeOQ9E_pr4Znfvx377Ao3fuLvdp&amp;usp=drive_copy" TargetMode="External"/><Relationship Id="rId1423" Type="http://schemas.openxmlformats.org/officeDocument/2006/relationships/hyperlink" Target="https://drive.google.com/open?id=1mYHU7OEWlzYElCvK_VjaZcugd1kMihCx&amp;usp=drive_copy" TargetMode="External"/><Relationship Id="rId225" Type="http://schemas.openxmlformats.org/officeDocument/2006/relationships/hyperlink" Target="https://drive.google.com/thumbnail?id=" TargetMode="External"/><Relationship Id="rId432" Type="http://schemas.openxmlformats.org/officeDocument/2006/relationships/hyperlink" Target="https://drive.google.com/thumbnail?id=" TargetMode="External"/><Relationship Id="rId877" Type="http://schemas.openxmlformats.org/officeDocument/2006/relationships/hyperlink" Target="https://drive.google.com/open?id=1hdu8JcJhnCfsXxD0hp0FEivWR1dUdpoU&amp;usp=drive_copy" TargetMode="External"/><Relationship Id="rId1062" Type="http://schemas.openxmlformats.org/officeDocument/2006/relationships/hyperlink" Target="https://drive.google.com/thumbnail?id=" TargetMode="External"/><Relationship Id="rId737" Type="http://schemas.openxmlformats.org/officeDocument/2006/relationships/hyperlink" Target="https://drive.google.com/open?id=1FD6mw6DVm8R4SVDPH8_UWg10uww-wRu3&amp;usp=drive_copy" TargetMode="External"/><Relationship Id="rId944" Type="http://schemas.openxmlformats.org/officeDocument/2006/relationships/hyperlink" Target="https://drive.google.com/open?id=1zUtT3tEj0Rr-XjYysz-v0lTBqpGNxaKQ&amp;usp=drive_copy" TargetMode="External"/><Relationship Id="rId1367" Type="http://schemas.openxmlformats.org/officeDocument/2006/relationships/hyperlink" Target="https://drive.google.com/open?id=1USltRNqriPeTGEm5_Gw8tjjXk8QxJ2Ru&amp;usp=drive_copy" TargetMode="External"/><Relationship Id="rId73" Type="http://schemas.openxmlformats.org/officeDocument/2006/relationships/hyperlink" Target="https://drive.google.com/open?id=13BJbIpmtMxWNUyXnr3pyFp0nd4S0Wecu&amp;usp=drive_copy" TargetMode="External"/><Relationship Id="rId169" Type="http://schemas.openxmlformats.org/officeDocument/2006/relationships/hyperlink" Target="https://drive.google.com/open?id=1SodQsEGFq7EjNnK9vS4k_ksf0aPQDTsB&amp;usp=drive_copy" TargetMode="External"/><Relationship Id="rId376" Type="http://schemas.openxmlformats.org/officeDocument/2006/relationships/hyperlink" Target="https://drive.google.com/open?id=1By3p-ZZ8sR2Ons5btlm9nJV-YYgUYZUe&amp;usp=drive_copy" TargetMode="External"/><Relationship Id="rId583" Type="http://schemas.openxmlformats.org/officeDocument/2006/relationships/hyperlink" Target="https://drive.google.com/open?id=1mtovHE8NyMu4hzjUAjWVXpoIW9tEyotO&amp;usp=drive_copy" TargetMode="External"/><Relationship Id="rId790" Type="http://schemas.openxmlformats.org/officeDocument/2006/relationships/hyperlink" Target="https://drive.google.com/open?id=1Rtp9zHiQeQJ4nrswV9uOnlIVqDyLWWYz&amp;usp=drive_copy" TargetMode="External"/><Relationship Id="rId804" Type="http://schemas.openxmlformats.org/officeDocument/2006/relationships/hyperlink" Target="https://drive.google.com/thumbnail?id=" TargetMode="External"/><Relationship Id="rId1227" Type="http://schemas.openxmlformats.org/officeDocument/2006/relationships/hyperlink" Target="https://drive.google.com/thumbnail?id=" TargetMode="External"/><Relationship Id="rId1434" Type="http://schemas.openxmlformats.org/officeDocument/2006/relationships/hyperlink" Target="https://drive.google.com/thumbnail?id=" TargetMode="External"/><Relationship Id="rId4" Type="http://schemas.openxmlformats.org/officeDocument/2006/relationships/hyperlink" Target="https://drive.google.com/open?id=101dS08BKnvzudnNl492IUGZ3fbLOkwXv&amp;usp=drive_copy" TargetMode="External"/><Relationship Id="rId236" Type="http://schemas.openxmlformats.org/officeDocument/2006/relationships/hyperlink" Target="https://drive.google.com/open?id=1gFKuS-gsb3ZDKx-gqIBgHItgFQEHhgzu&amp;usp=drive_copy" TargetMode="External"/><Relationship Id="rId443" Type="http://schemas.openxmlformats.org/officeDocument/2006/relationships/hyperlink" Target="https://drive.google.com/open?id=1RtbEHZyUe-_2EuwUCaPan_rUHOSGS2rN&amp;usp=drive_copy" TargetMode="External"/><Relationship Id="rId650" Type="http://schemas.openxmlformats.org/officeDocument/2006/relationships/hyperlink" Target="https://drive.google.com/open?id=1wesJYRg_pHR_Tymb4hV1ALm1UKhtEH2l&amp;usp=drive_copy" TargetMode="External"/><Relationship Id="rId888" Type="http://schemas.openxmlformats.org/officeDocument/2006/relationships/hyperlink" Target="https://drive.google.com/thumbnail?id=" TargetMode="External"/><Relationship Id="rId1073" Type="http://schemas.openxmlformats.org/officeDocument/2006/relationships/hyperlink" Target="https://drive.google.com/open?id=1SYp8SbcLH_3_rLCQdkCOJt0GH-QTIhqj&amp;usp=drive_copy" TargetMode="External"/><Relationship Id="rId1280" Type="http://schemas.openxmlformats.org/officeDocument/2006/relationships/hyperlink" Target="https://drive.google.com/open?id=1C_XuAn59SBUqRrOS1a4WYUnpmr2Q1Pb3&amp;usp=drive_copy" TargetMode="External"/><Relationship Id="rId1501" Type="http://schemas.openxmlformats.org/officeDocument/2006/relationships/hyperlink" Target="https://drive.google.com/open?id=13f3beWYL0Il4BRsNSusb-KFTL7B6nvIe&amp;usp=drive_copy" TargetMode="External"/><Relationship Id="rId303" Type="http://schemas.openxmlformats.org/officeDocument/2006/relationships/hyperlink" Target="https://drive.google.com/thumbnail?id=" TargetMode="External"/><Relationship Id="rId748" Type="http://schemas.openxmlformats.org/officeDocument/2006/relationships/hyperlink" Target="https://drive.google.com/open?id=1KZmx9BFguu9P21UD7eyFdwag4N5NPLAz&amp;usp=drive_copy" TargetMode="External"/><Relationship Id="rId955" Type="http://schemas.openxmlformats.org/officeDocument/2006/relationships/hyperlink" Target="https://drive.google.com/open?id=12SbEl_LMCwjl769SAcc2L2Ch_1rAtNyP&amp;usp=drive_copy" TargetMode="External"/><Relationship Id="rId1140" Type="http://schemas.openxmlformats.org/officeDocument/2006/relationships/hyperlink" Target="https://drive.google.com/thumbnail?id=" TargetMode="External"/><Relationship Id="rId1378" Type="http://schemas.openxmlformats.org/officeDocument/2006/relationships/hyperlink" Target="https://drive.google.com/open?id=1X1zES0XLiWSoE-YXaeIzxZOYGgUGjFya&amp;usp=drive_copy" TargetMode="External"/><Relationship Id="rId84" Type="http://schemas.openxmlformats.org/officeDocument/2006/relationships/hyperlink" Target="https://drive.google.com/thumbnail?id=" TargetMode="External"/><Relationship Id="rId387" Type="http://schemas.openxmlformats.org/officeDocument/2006/relationships/hyperlink" Target="https://drive.google.com/thumbnail?id=" TargetMode="External"/><Relationship Id="rId510" Type="http://schemas.openxmlformats.org/officeDocument/2006/relationships/hyperlink" Target="https://drive.google.com/thumbnail?id=" TargetMode="External"/><Relationship Id="rId594" Type="http://schemas.openxmlformats.org/officeDocument/2006/relationships/hyperlink" Target="https://drive.google.com/thumbnail?id=" TargetMode="External"/><Relationship Id="rId608" Type="http://schemas.openxmlformats.org/officeDocument/2006/relationships/hyperlink" Target="https://drive.google.com/open?id=1p2U0V-qFa_16QytpiYo9Ncj97LAbls8z&amp;usp=drive_copy" TargetMode="External"/><Relationship Id="rId815" Type="http://schemas.openxmlformats.org/officeDocument/2006/relationships/hyperlink" Target="https://drive.google.com/open?id=1TsWXuByjjMmyqowMraXWTlG8aEx-eJEY&amp;usp=drive_copy" TargetMode="External"/><Relationship Id="rId1238" Type="http://schemas.openxmlformats.org/officeDocument/2006/relationships/hyperlink" Target="https://drive.google.com/open?id=1-useLefM11APoUoQ9d6vJ4FQw7TkkOkS&amp;usp=drive_copy" TargetMode="External"/><Relationship Id="rId1445" Type="http://schemas.openxmlformats.org/officeDocument/2006/relationships/hyperlink" Target="https://drive.google.com/open?id=1qKJQHjJ5pYCIhmDIPNB22UDsZEHriIhY&amp;usp=drive_copy" TargetMode="External"/><Relationship Id="rId247" Type="http://schemas.openxmlformats.org/officeDocument/2006/relationships/hyperlink" Target="https://drive.google.com/open?id=1jD2WS-Bv77ZK76wXbV_a3O4SRux2dcHT&amp;usp=drive_copy" TargetMode="External"/><Relationship Id="rId899" Type="http://schemas.openxmlformats.org/officeDocument/2006/relationships/hyperlink" Target="https://drive.google.com/open?id=1npumc4_q99ma2PoiErLBMXWpDfa85kRC&amp;usp=drive_copy" TargetMode="External"/><Relationship Id="rId1000" Type="http://schemas.openxmlformats.org/officeDocument/2006/relationships/hyperlink" Target="https://drive.google.com/open?id=1B_Dj-R9zuV-yEYCaVN5P5rhPiOyiZV7H&amp;usp=drive_copy" TargetMode="External"/><Relationship Id="rId1084" Type="http://schemas.openxmlformats.org/officeDocument/2006/relationships/hyperlink" Target="https://drive.google.com/open?id=1VYawxRzUsQ7J8XLMZeJ0hLcmT_JnMM2Q&amp;usp=drive_copy" TargetMode="External"/><Relationship Id="rId1305" Type="http://schemas.openxmlformats.org/officeDocument/2006/relationships/hyperlink" Target="https://drive.google.com/thumbnail?id=" TargetMode="External"/><Relationship Id="rId107" Type="http://schemas.openxmlformats.org/officeDocument/2006/relationships/hyperlink" Target="https://drive.google.com/open?id=1FAyqJYuHUWw7CkE6z51T1F7BsqqC4ni8&amp;usp=drive_copy" TargetMode="External"/><Relationship Id="rId454" Type="http://schemas.openxmlformats.org/officeDocument/2006/relationships/hyperlink" Target="https://drive.google.com/open?id=1TExIi9jIZrzulGYggftj39JtNQSues7Y&amp;usp=drive_copy" TargetMode="External"/><Relationship Id="rId661" Type="http://schemas.openxmlformats.org/officeDocument/2006/relationships/hyperlink" Target="https://drive.google.com/open?id=1xD6Wd2XsJlhBNXpC3C8a2iyr6PwWgyoQ&amp;usp=drive_copy" TargetMode="External"/><Relationship Id="rId759" Type="http://schemas.openxmlformats.org/officeDocument/2006/relationships/hyperlink" Target="https://drive.google.com/thumbnail?id=" TargetMode="External"/><Relationship Id="rId966" Type="http://schemas.openxmlformats.org/officeDocument/2006/relationships/hyperlink" Target="https://drive.google.com/thumbnail?id=" TargetMode="External"/><Relationship Id="rId1291" Type="http://schemas.openxmlformats.org/officeDocument/2006/relationships/hyperlink" Target="https://drive.google.com/open?id=1GU5vJLxSWmACkML1QLVHYj94Imu8KFFS&amp;usp=drive_copy" TargetMode="External"/><Relationship Id="rId1389" Type="http://schemas.openxmlformats.org/officeDocument/2006/relationships/hyperlink" Target="https://drive.google.com/thumbnail?id=" TargetMode="External"/><Relationship Id="rId11" Type="http://schemas.openxmlformats.org/officeDocument/2006/relationships/hyperlink" Target="https://drive.google.com/open?id=14rwzY13Be6g2Qb_HCRDjcGqVaM4YTO-Y&amp;usp=drive_copy" TargetMode="External"/><Relationship Id="rId314" Type="http://schemas.openxmlformats.org/officeDocument/2006/relationships/hyperlink" Target="https://drive.google.com/open?id=10INM-sHS2D_w_MKXXTFGvrmDxIktndSY&amp;usp=drive_copy" TargetMode="External"/><Relationship Id="rId398" Type="http://schemas.openxmlformats.org/officeDocument/2006/relationships/hyperlink" Target="https://drive.google.com/open?id=1FaIwAVsv0Mn4YXfhGUd-96_CidSVPDoB&amp;usp=drive_copy" TargetMode="External"/><Relationship Id="rId521" Type="http://schemas.openxmlformats.org/officeDocument/2006/relationships/hyperlink" Target="https://drive.google.com/open?id=1bTiBjWKrbQNNR5BqdMBrNve2-feukcAz&amp;usp=drive_copy" TargetMode="External"/><Relationship Id="rId619" Type="http://schemas.openxmlformats.org/officeDocument/2006/relationships/hyperlink" Target="https://drive.google.com/open?id=1q--siMHKmu5Cjf06cW_FU6Nm1K-HKpL0&amp;usp=drive_copy" TargetMode="External"/><Relationship Id="rId1151" Type="http://schemas.openxmlformats.org/officeDocument/2006/relationships/hyperlink" Target="https://drive.google.com/open?id=1hiCsEhEqDq8ZtxyyM1gJLg2gxrsUhwTp&amp;usp=drive_copy" TargetMode="External"/><Relationship Id="rId1249" Type="http://schemas.openxmlformats.org/officeDocument/2006/relationships/hyperlink" Target="https://drive.google.com/open?id=14UXEQtxUPqbfOvqQR80ABJNOo66emTIG&amp;usp=drive_copy" TargetMode="External"/><Relationship Id="rId95" Type="http://schemas.openxmlformats.org/officeDocument/2006/relationships/hyperlink" Target="https://drive.google.com/open?id=1AIiUTn7dDD309yLkITKn_0852GxXptO0&amp;usp=drive_copy" TargetMode="External"/><Relationship Id="rId160" Type="http://schemas.openxmlformats.org/officeDocument/2006/relationships/hyperlink" Target="https://drive.google.com/open?id=1RioJ-ISvPv_pW9K6lD57tYUbm1QjhQEl&amp;usp=drive_copy" TargetMode="External"/><Relationship Id="rId826" Type="http://schemas.openxmlformats.org/officeDocument/2006/relationships/hyperlink" Target="https://drive.google.com/open?id=1X8f8c_1pmww8X9lyOzaW3f71u__DBTO4&amp;usp=drive_copy" TargetMode="External"/><Relationship Id="rId1011" Type="http://schemas.openxmlformats.org/officeDocument/2006/relationships/hyperlink" Target="https://drive.google.com/thumbnail?id=" TargetMode="External"/><Relationship Id="rId1109" Type="http://schemas.openxmlformats.org/officeDocument/2006/relationships/hyperlink" Target="https://drive.google.com/open?id=1bC-qwTGFGicw2hsLyue4oIWyBJwZ4w1a&amp;usp=drive_copy" TargetMode="External"/><Relationship Id="rId1456" Type="http://schemas.openxmlformats.org/officeDocument/2006/relationships/hyperlink" Target="https://drive.google.com/open?id=1t4RP0Ze2__CJvK25YL3f0sonyrHh5yHr&amp;usp=drive_copy" TargetMode="External"/><Relationship Id="rId258" Type="http://schemas.openxmlformats.org/officeDocument/2006/relationships/hyperlink" Target="https://drive.google.com/thumbnail?id=" TargetMode="External"/><Relationship Id="rId465" Type="http://schemas.openxmlformats.org/officeDocument/2006/relationships/hyperlink" Target="https://drive.google.com/thumbnail?id=" TargetMode="External"/><Relationship Id="rId672" Type="http://schemas.openxmlformats.org/officeDocument/2006/relationships/hyperlink" Target="https://drive.google.com/thumbnail?id=" TargetMode="External"/><Relationship Id="rId1095" Type="http://schemas.openxmlformats.org/officeDocument/2006/relationships/hyperlink" Target="https://drive.google.com/thumbnail?id=" TargetMode="External"/><Relationship Id="rId1316" Type="http://schemas.openxmlformats.org/officeDocument/2006/relationships/hyperlink" Target="https://drive.google.com/open?id=1IilHOrJQYL4E-ioHUz2a7duoK7kxENqi&amp;usp=drive_copy" TargetMode="External"/><Relationship Id="rId22" Type="http://schemas.openxmlformats.org/officeDocument/2006/relationships/hyperlink" Target="https://drive.google.com/open?id=18poR1JmOsGWnIRvUOUZzYlPxXmH7VwNr&amp;usp=drive_copy" TargetMode="External"/><Relationship Id="rId118" Type="http://schemas.openxmlformats.org/officeDocument/2006/relationships/hyperlink" Target="https://drive.google.com/open?id=1H2ITrpqijKP9i3nbWrMoLynXzXcTUeqD&amp;usp=drive_copy" TargetMode="External"/><Relationship Id="rId325" Type="http://schemas.openxmlformats.org/officeDocument/2006/relationships/hyperlink" Target="https://drive.google.com/open?id=11ZPPEtkEbYgDfynBKYuvsCwEcePYrdMO&amp;usp=drive_copy" TargetMode="External"/><Relationship Id="rId532" Type="http://schemas.openxmlformats.org/officeDocument/2006/relationships/hyperlink" Target="https://drive.google.com/open?id=1cEiC7UPQILwENrWb95j_ky4V2pY_Z1Cd&amp;usp=drive_copy" TargetMode="External"/><Relationship Id="rId977" Type="http://schemas.openxmlformats.org/officeDocument/2006/relationships/hyperlink" Target="https://drive.google.com/open?id=16G2lLunQv19wNCLHMsY0vuWUWllNjZJE&amp;usp=drive_copy" TargetMode="External"/><Relationship Id="rId1162" Type="http://schemas.openxmlformats.org/officeDocument/2006/relationships/hyperlink" Target="https://drive.google.com/open?id=1kxrqRoMYvZXRwXcNkuuKZ9S9LAk7lXIf&amp;usp=drive_copy" TargetMode="External"/><Relationship Id="rId171" Type="http://schemas.openxmlformats.org/officeDocument/2006/relationships/hyperlink" Target="https://drive.google.com/thumbnail?id=" TargetMode="External"/><Relationship Id="rId837" Type="http://schemas.openxmlformats.org/officeDocument/2006/relationships/hyperlink" Target="https://drive.google.com/thumbnail?id=" TargetMode="External"/><Relationship Id="rId1022" Type="http://schemas.openxmlformats.org/officeDocument/2006/relationships/hyperlink" Target="https://drive.google.com/open?id=1IfOQgSNRSloz6tq5x-nRFF6rJWxVxjeP&amp;usp=drive_copy" TargetMode="External"/><Relationship Id="rId1467" Type="http://schemas.openxmlformats.org/officeDocument/2006/relationships/hyperlink" Target="https://drive.google.com/thumbnail?id=" TargetMode="External"/><Relationship Id="rId269" Type="http://schemas.openxmlformats.org/officeDocument/2006/relationships/hyperlink" Target="https://drive.google.com/open?id=1mxI7USGVvCEX6I4_SqwbuQZctPgy9tyh&amp;usp=drive_copy" TargetMode="External"/><Relationship Id="rId476" Type="http://schemas.openxmlformats.org/officeDocument/2006/relationships/hyperlink" Target="https://drive.google.com/open?id=1Y8GWSBmHuYqz_siQ0pYxQ9rPrtbm16ur&amp;usp=drive_copy" TargetMode="External"/><Relationship Id="rId683" Type="http://schemas.openxmlformats.org/officeDocument/2006/relationships/hyperlink" Target="https://drive.google.com/open?id=115VPecRXcTTo4gOb9PBKS7JUf0rL8Tsq&amp;usp=drive_copy" TargetMode="External"/><Relationship Id="rId890" Type="http://schemas.openxmlformats.org/officeDocument/2006/relationships/hyperlink" Target="https://drive.google.com/open?id=1kng42Yw_fj_mBz9fb8hZDse4P-aOuXL1&amp;usp=drive_copy" TargetMode="External"/><Relationship Id="rId904" Type="http://schemas.openxmlformats.org/officeDocument/2006/relationships/hyperlink" Target="https://drive.google.com/open?id=1oCNlN-1ts962xmtmiPFj21lQPBpnhaWb&amp;usp=drive_copy" TargetMode="External"/><Relationship Id="rId1327" Type="http://schemas.openxmlformats.org/officeDocument/2006/relationships/hyperlink" Target="https://drive.google.com/open?id=1Jnqs0DxmJAtvfx5uE8drWNdCTgti_dfu&amp;usp=drive_copy" TargetMode="External"/><Relationship Id="rId33" Type="http://schemas.openxmlformats.org/officeDocument/2006/relationships/hyperlink" Target="https://drive.google.com/thumbnail?id=" TargetMode="External"/><Relationship Id="rId129" Type="http://schemas.openxmlformats.org/officeDocument/2006/relationships/hyperlink" Target="https://drive.google.com/thumbnail?id=" TargetMode="External"/><Relationship Id="rId336" Type="http://schemas.openxmlformats.org/officeDocument/2006/relationships/hyperlink" Target="https://drive.google.com/thumbnail?id=" TargetMode="External"/><Relationship Id="rId543" Type="http://schemas.openxmlformats.org/officeDocument/2006/relationships/hyperlink" Target="https://drive.google.com/thumbnail?id=" TargetMode="External"/><Relationship Id="rId988" Type="http://schemas.openxmlformats.org/officeDocument/2006/relationships/hyperlink" Target="https://drive.google.com/open?id=1ABKKIcmZNlOrj0sv6n1_R_-wgBWFvDVZ&amp;usp=drive_copy" TargetMode="External"/><Relationship Id="rId1173" Type="http://schemas.openxmlformats.org/officeDocument/2006/relationships/hyperlink" Target="https://drive.google.com/thumbnail?id=" TargetMode="External"/><Relationship Id="rId1380" Type="http://schemas.openxmlformats.org/officeDocument/2006/relationships/hyperlink" Target="https://drive.google.com/thumbnail?id=" TargetMode="External"/><Relationship Id="rId182" Type="http://schemas.openxmlformats.org/officeDocument/2006/relationships/hyperlink" Target="https://drive.google.com/open?id=1VKXKBFrFjqYRBpjdfI1t__P9s9PBXVf2&amp;usp=drive_copy" TargetMode="External"/><Relationship Id="rId403" Type="http://schemas.openxmlformats.org/officeDocument/2006/relationships/hyperlink" Target="https://drive.google.com/open?id=1GQphO3DQrcHpeYiIL5nEwqvQALCiZ8yJ&amp;usp=drive_copy" TargetMode="External"/><Relationship Id="rId750" Type="http://schemas.openxmlformats.org/officeDocument/2006/relationships/hyperlink" Target="https://drive.google.com/thumbnail?id=" TargetMode="External"/><Relationship Id="rId848" Type="http://schemas.openxmlformats.org/officeDocument/2006/relationships/hyperlink" Target="https://drive.google.com/open?id=1aZo0I-PMU2NZrGlVsdQMMwWbiypiayu-&amp;usp=drive_copy" TargetMode="External"/><Relationship Id="rId1033" Type="http://schemas.openxmlformats.org/officeDocument/2006/relationships/hyperlink" Target="https://drive.google.com/open?id=1K1tMifXRclQnOv6_1hmeuHFOXpWJp835&amp;usp=drive_copy" TargetMode="External"/><Relationship Id="rId1478" Type="http://schemas.openxmlformats.org/officeDocument/2006/relationships/hyperlink" Target="https://drive.google.com/open?id=1xkIQ9Rxj3AMqlxBIx4UVireC0TUvtdtk&amp;usp=drive_copy" TargetMode="External"/><Relationship Id="rId487" Type="http://schemas.openxmlformats.org/officeDocument/2006/relationships/hyperlink" Target="https://drive.google.com/open?id=1ZnCdWIt1aDztu8I6lnUDzyYZ2X0i4YqM&amp;usp=drive_copy" TargetMode="External"/><Relationship Id="rId610" Type="http://schemas.openxmlformats.org/officeDocument/2006/relationships/hyperlink" Target="https://drive.google.com/open?id=1pbc5ptjJto0f4qITOfnh9CWF2HNudfMC&amp;usp=drive_copy" TargetMode="External"/><Relationship Id="rId694" Type="http://schemas.openxmlformats.org/officeDocument/2006/relationships/hyperlink" Target="https://drive.google.com/open?id=15eCgbL4ZUBrH6Vw6jGW4xd5crdQhgwln&amp;usp=drive_copy" TargetMode="External"/><Relationship Id="rId708" Type="http://schemas.openxmlformats.org/officeDocument/2006/relationships/hyperlink" Target="https://drive.google.com/thumbnail?id=" TargetMode="External"/><Relationship Id="rId915" Type="http://schemas.openxmlformats.org/officeDocument/2006/relationships/hyperlink" Target="https://drive.google.com/thumbnail?id=" TargetMode="External"/><Relationship Id="rId1240" Type="http://schemas.openxmlformats.org/officeDocument/2006/relationships/hyperlink" Target="https://drive.google.com/open?id=11UYQx0_B_SKbYQTXti1OiHH5h5cmpVhx&amp;usp=drive_copy" TargetMode="External"/><Relationship Id="rId1338" Type="http://schemas.openxmlformats.org/officeDocument/2006/relationships/hyperlink" Target="https://drive.google.com/thumbnail?id=" TargetMode="External"/><Relationship Id="rId347" Type="http://schemas.openxmlformats.org/officeDocument/2006/relationships/hyperlink" Target="https://drive.google.com/open?id=151enPwY6JWkW1zXncFjUhf6HTeHAfOC3&amp;usp=drive_copy" TargetMode="External"/><Relationship Id="rId999" Type="http://schemas.openxmlformats.org/officeDocument/2006/relationships/hyperlink" Target="https://drive.google.com/thumbnail?id=" TargetMode="External"/><Relationship Id="rId1100" Type="http://schemas.openxmlformats.org/officeDocument/2006/relationships/hyperlink" Target="https://drive.google.com/open?id=1aFdKbA3QNOfu3Bdx1qcILayZrfNcYk_1&amp;usp=drive_copy" TargetMode="External"/><Relationship Id="rId1184" Type="http://schemas.openxmlformats.org/officeDocument/2006/relationships/hyperlink" Target="https://drive.google.com/open?id=1nVvH877SXMfMIbTIaPZTSKxROQncgQA-&amp;usp=drive_copy" TargetMode="External"/><Relationship Id="rId1405" Type="http://schemas.openxmlformats.org/officeDocument/2006/relationships/hyperlink" Target="https://drive.google.com/open?id=1i6ZgLIqXvClnT0HBKghfBnFnpTKeGSy3&amp;usp=drive_copy" TargetMode="External"/><Relationship Id="rId44" Type="http://schemas.openxmlformats.org/officeDocument/2006/relationships/hyperlink" Target="https://drive.google.com/open?id=1K-49J6Q8SZwEWiFdnF5IJ1_VoWJDsPVi&amp;usp=drive_copy" TargetMode="External"/><Relationship Id="rId554" Type="http://schemas.openxmlformats.org/officeDocument/2006/relationships/hyperlink" Target="https://drive.google.com/open?id=1hXvGlSi-pqpoNRPAuy7A-6Ly2rpb6Wjq&amp;usp=drive_copy" TargetMode="External"/><Relationship Id="rId761" Type="http://schemas.openxmlformats.org/officeDocument/2006/relationships/hyperlink" Target="https://drive.google.com/open?id=1LW1YdwuW4NZzCvNoiW1CMWyXCEALuNdt&amp;usp=drive_copy" TargetMode="External"/><Relationship Id="rId859" Type="http://schemas.openxmlformats.org/officeDocument/2006/relationships/hyperlink" Target="https://drive.google.com/open?id=1fp1q24rJZ_TRfCG31iRnp4U8-7tdZNXH&amp;usp=drive_copy" TargetMode="External"/><Relationship Id="rId1391" Type="http://schemas.openxmlformats.org/officeDocument/2006/relationships/hyperlink" Target="https://drive.google.com/open?id=1aS2hVgQBD5uPYCyBqLaIvZZCQza3_KAB&amp;usp=drive_copy" TargetMode="External"/><Relationship Id="rId1489" Type="http://schemas.openxmlformats.org/officeDocument/2006/relationships/hyperlink" Target="https://drive.google.com/open?id=1lyYgBk_vDrDFS7yMqIwItTliqbHtY7IO&amp;usp=drive_copy" TargetMode="External"/><Relationship Id="rId193" Type="http://schemas.openxmlformats.org/officeDocument/2006/relationships/hyperlink" Target="https://drive.google.com/open?id=1YYrLMF7xTQzjcl44DEeWgYtg4rGhKgNj&amp;usp=drive_copy" TargetMode="External"/><Relationship Id="rId207" Type="http://schemas.openxmlformats.org/officeDocument/2006/relationships/hyperlink" Target="https://drive.google.com/thumbnail?id=" TargetMode="External"/><Relationship Id="rId414" Type="http://schemas.openxmlformats.org/officeDocument/2006/relationships/hyperlink" Target="https://drive.google.com/thumbnail?id=" TargetMode="External"/><Relationship Id="rId498" Type="http://schemas.openxmlformats.org/officeDocument/2006/relationships/hyperlink" Target="https://drive.google.com/thumbnail?id=" TargetMode="External"/><Relationship Id="rId621" Type="http://schemas.openxmlformats.org/officeDocument/2006/relationships/hyperlink" Target="https://drive.google.com/thumbnail?id=" TargetMode="External"/><Relationship Id="rId1044" Type="http://schemas.openxmlformats.org/officeDocument/2006/relationships/hyperlink" Target="https://drive.google.com/thumbnail?id=" TargetMode="External"/><Relationship Id="rId1251" Type="http://schemas.openxmlformats.org/officeDocument/2006/relationships/hyperlink" Target="https://drive.google.com/thumbnail?id=" TargetMode="External"/><Relationship Id="rId1349" Type="http://schemas.openxmlformats.org/officeDocument/2006/relationships/hyperlink" Target="https://drive.google.com/open?id=1QynADTI8mIbImTXbsj2v-0ojGaOV06p5&amp;usp=drive_copy" TargetMode="External"/><Relationship Id="rId260" Type="http://schemas.openxmlformats.org/officeDocument/2006/relationships/hyperlink" Target="https://drive.google.com/open?id=1k0v0gZV2POnFxGyydPNS4AqNKLeOHViM&amp;usp=drive_copy" TargetMode="External"/><Relationship Id="rId719" Type="http://schemas.openxmlformats.org/officeDocument/2006/relationships/hyperlink" Target="https://drive.google.com/open?id=1Ag-rjvYKc8eC4FgYwWqWHjYPY4nHQVIf&amp;usp=drive_copy" TargetMode="External"/><Relationship Id="rId926" Type="http://schemas.openxmlformats.org/officeDocument/2006/relationships/hyperlink" Target="https://drive.google.com/open?id=1uUXKpXUuum2HjZShSgNfG01qKErjrg9h&amp;usp=drive_copy" TargetMode="External"/><Relationship Id="rId1111" Type="http://schemas.openxmlformats.org/officeDocument/2006/relationships/hyperlink" Target="https://drive.google.com/open?id=1d9UMW0rf1IBFoMSbYFBCQDJWfzbRy-hz&amp;usp=drive_copy" TargetMode="External"/><Relationship Id="rId55" Type="http://schemas.openxmlformats.org/officeDocument/2006/relationships/hyperlink" Target="https://drive.google.com/open?id=1MZJJCRbI_M70H6a_Zm-Dc7A8zYqdYotK&amp;usp=drive_copy" TargetMode="External"/><Relationship Id="rId120" Type="http://schemas.openxmlformats.org/officeDocument/2006/relationships/hyperlink" Target="https://drive.google.com/thumbnail?id=" TargetMode="External"/><Relationship Id="rId358" Type="http://schemas.openxmlformats.org/officeDocument/2006/relationships/hyperlink" Target="https://drive.google.com/open?id=18NR82UTfWsnplDjvCbG93f3uQfaxzXmZ&amp;usp=drive_copy" TargetMode="External"/><Relationship Id="rId565" Type="http://schemas.openxmlformats.org/officeDocument/2006/relationships/hyperlink" Target="https://drive.google.com/open?id=1jFYIXkXYS8c7-ylIh5NNDoM_yoyn892L&amp;usp=drive_copy" TargetMode="External"/><Relationship Id="rId772" Type="http://schemas.openxmlformats.org/officeDocument/2006/relationships/hyperlink" Target="https://drive.google.com/open?id=1OGKpw_2eQQiOFcrPl-H4B6RDbYcTqUr0&amp;usp=drive_copy" TargetMode="External"/><Relationship Id="rId1195" Type="http://schemas.openxmlformats.org/officeDocument/2006/relationships/hyperlink" Target="https://drive.google.com/open?id=1rBj2sJFFfI_1HN8al1MLOke-q4glmMAJ&amp;usp=drive_copy" TargetMode="External"/><Relationship Id="rId1209" Type="http://schemas.openxmlformats.org/officeDocument/2006/relationships/hyperlink" Target="https://drive.google.com/thumbnail?id=" TargetMode="External"/><Relationship Id="rId1416" Type="http://schemas.openxmlformats.org/officeDocument/2006/relationships/hyperlink" Target="https://drive.google.com/thumbnail?id=" TargetMode="External"/><Relationship Id="rId218" Type="http://schemas.openxmlformats.org/officeDocument/2006/relationships/hyperlink" Target="https://drive.google.com/open?id=1evno0C7VC-J9LwuJqyEEJJfyt9leeWxD&amp;usp=drive_copy" TargetMode="External"/><Relationship Id="rId425" Type="http://schemas.openxmlformats.org/officeDocument/2006/relationships/hyperlink" Target="https://drive.google.com/open?id=1LwmO9-vVNKhkd1r0xpsdZ4aTfXp1Zd6k&amp;usp=drive_copy" TargetMode="External"/><Relationship Id="rId632" Type="http://schemas.openxmlformats.org/officeDocument/2006/relationships/hyperlink" Target="https://drive.google.com/open?id=1rgdnHliptgeZqi4TN4i4hHqu29QK4LC9&amp;usp=drive_copy" TargetMode="External"/><Relationship Id="rId1055" Type="http://schemas.openxmlformats.org/officeDocument/2006/relationships/hyperlink" Target="https://drive.google.com/open?id=1O7NxS1HFxuA4-P45sAUwLLuofyFcgx7A&amp;usp=drive_copy" TargetMode="External"/><Relationship Id="rId1262" Type="http://schemas.openxmlformats.org/officeDocument/2006/relationships/hyperlink" Target="https://drive.google.com/open?id=18SfzcxXk_rNJK-kSj99-saWr1skb8zPS&amp;usp=drive_copy" TargetMode="External"/><Relationship Id="rId271" Type="http://schemas.openxmlformats.org/officeDocument/2006/relationships/hyperlink" Target="https://drive.google.com/open?id=1oZQZgTw9ou4kpg6MVZA8fwr5d69hsg8z&amp;usp=drive_copy" TargetMode="External"/><Relationship Id="rId937" Type="http://schemas.openxmlformats.org/officeDocument/2006/relationships/hyperlink" Target="https://drive.google.com/open?id=1xljYiPYe1HebnnVCHjGChrUbPrB_mmzq&amp;usp=drive_copy" TargetMode="External"/><Relationship Id="rId1122" Type="http://schemas.openxmlformats.org/officeDocument/2006/relationships/hyperlink" Target="https://drive.google.com/thumbnail?id=" TargetMode="External"/><Relationship Id="rId66" Type="http://schemas.openxmlformats.org/officeDocument/2006/relationships/hyperlink" Target="https://drive.google.com/thumbnail?id=" TargetMode="External"/><Relationship Id="rId131" Type="http://schemas.openxmlformats.org/officeDocument/2006/relationships/hyperlink" Target="https://drive.google.com/open?id=1NDLpE4TEyXzAmjNMwxMN4cf-Szt3zflq&amp;usp=drive_copy" TargetMode="External"/><Relationship Id="rId369" Type="http://schemas.openxmlformats.org/officeDocument/2006/relationships/hyperlink" Target="https://drive.google.com/thumbnail?id=" TargetMode="External"/><Relationship Id="rId576" Type="http://schemas.openxmlformats.org/officeDocument/2006/relationships/hyperlink" Target="https://drive.google.com/thumbnail?id=" TargetMode="External"/><Relationship Id="rId783" Type="http://schemas.openxmlformats.org/officeDocument/2006/relationships/hyperlink" Target="https://drive.google.com/thumbnail?id=" TargetMode="External"/><Relationship Id="rId990" Type="http://schemas.openxmlformats.org/officeDocument/2006/relationships/hyperlink" Target="https://drive.google.com/thumbnail?id=" TargetMode="External"/><Relationship Id="rId1427" Type="http://schemas.openxmlformats.org/officeDocument/2006/relationships/hyperlink" Target="https://drive.google.com/open?id=1miJGm65XUzfxWRxqVbvehBGVJm7JzZUg&amp;usp=drive_copy" TargetMode="External"/><Relationship Id="rId229" Type="http://schemas.openxmlformats.org/officeDocument/2006/relationships/hyperlink" Target="https://drive.google.com/open?id=1fk2gXQWpcf1aPWntPtrrxJGGXPOZXSqf&amp;usp=drive_copy" TargetMode="External"/><Relationship Id="rId436" Type="http://schemas.openxmlformats.org/officeDocument/2006/relationships/hyperlink" Target="https://drive.google.com/open?id=1QI8I4t8rrBKOaFjdt9tERRovVSSVrkBL&amp;usp=drive_copy" TargetMode="External"/><Relationship Id="rId643" Type="http://schemas.openxmlformats.org/officeDocument/2006/relationships/hyperlink" Target="https://drive.google.com/open?id=1ugNXZnpU21a3z4WTpYr0aFqr9Ysea3vW&amp;usp=drive_copy" TargetMode="External"/><Relationship Id="rId1066" Type="http://schemas.openxmlformats.org/officeDocument/2006/relationships/hyperlink" Target="https://drive.google.com/open?id=1S07il-8r-MCmxAXgmsTqq77LTRr7yTn5&amp;usp=drive_copy" TargetMode="External"/><Relationship Id="rId1273" Type="http://schemas.openxmlformats.org/officeDocument/2006/relationships/hyperlink" Target="https://drive.google.com/open?id=1CIEviSaSlM0_9ehX5KPkV37SNRc6liXV&amp;usp=drive_copy" TargetMode="External"/><Relationship Id="rId1480" Type="http://schemas.openxmlformats.org/officeDocument/2006/relationships/hyperlink" Target="https://drive.google.com/open?id=1z2GNU1d8qZFN31L5PTUcIC7H9Zo8i92H&amp;usp=drive_copy" TargetMode="External"/><Relationship Id="rId850" Type="http://schemas.openxmlformats.org/officeDocument/2006/relationships/hyperlink" Target="https://drive.google.com/open?id=1b4kD0yjiKuA33AKJfwjAna-i51cMxXkd&amp;usp=drive_copy" TargetMode="External"/><Relationship Id="rId948" Type="http://schemas.openxmlformats.org/officeDocument/2006/relationships/hyperlink" Target="https://drive.google.com/thumbnail?id=" TargetMode="External"/><Relationship Id="rId1133" Type="http://schemas.openxmlformats.org/officeDocument/2006/relationships/hyperlink" Target="https://drive.google.com/open?id=1efeTBjEynB_Vq3I7ePP4TgsmT6n-b37G&amp;usp=drive_copy" TargetMode="External"/><Relationship Id="rId77" Type="http://schemas.openxmlformats.org/officeDocument/2006/relationships/hyperlink" Target="https://drive.google.com/open?id=13RqTvEgEisW1zTNPs4zwViXNaE0VOT38&amp;usp=drive_copy" TargetMode="External"/><Relationship Id="rId282" Type="http://schemas.openxmlformats.org/officeDocument/2006/relationships/hyperlink" Target="https://drive.google.com/thumbnail?id=" TargetMode="External"/><Relationship Id="rId503" Type="http://schemas.openxmlformats.org/officeDocument/2006/relationships/hyperlink" Target="https://drive.google.com/open?id=1aJfXH-Cmg15JOess_Tsg_15Oo9tfo8Ba&amp;usp=drive_copy" TargetMode="External"/><Relationship Id="rId587" Type="http://schemas.openxmlformats.org/officeDocument/2006/relationships/hyperlink" Target="https://drive.google.com/open?id=1nBoPmpVqirNnxTnQgSV2P1wpxP5WeKmH&amp;usp=drive_copy" TargetMode="External"/><Relationship Id="rId710" Type="http://schemas.openxmlformats.org/officeDocument/2006/relationships/hyperlink" Target="https://drive.google.com/open?id=18tfpr3JnC1Js32Yycue3ElGTzWGmM4np&amp;usp=drive_copy" TargetMode="External"/><Relationship Id="rId808" Type="http://schemas.openxmlformats.org/officeDocument/2006/relationships/hyperlink" Target="https://drive.google.com/open?id=1TeWp0BQAxo6eV4zaOhEpEm5li-m0G3J0&amp;usp=drive_copy" TargetMode="External"/><Relationship Id="rId1340" Type="http://schemas.openxmlformats.org/officeDocument/2006/relationships/hyperlink" Target="https://drive.google.com/open?id=1LvFbDzIeHxrXxZ6o7UY02iIjxlMih28t&amp;usp=drive_copy" TargetMode="External"/><Relationship Id="rId1438" Type="http://schemas.openxmlformats.org/officeDocument/2006/relationships/hyperlink" Target="https://drive.google.com/open?id=1nbE_MTUubtmj1MfSr8X8zVoYWnpwyL55&amp;usp=drive_copy" TargetMode="External"/><Relationship Id="rId8" Type="http://schemas.openxmlformats.org/officeDocument/2006/relationships/hyperlink" Target="https://drive.google.com/open?id=14m72j3uZb5-vPCvnnbwuj14BcTcy-_Rf&amp;usp=drive_copy" TargetMode="External"/><Relationship Id="rId142" Type="http://schemas.openxmlformats.org/officeDocument/2006/relationships/hyperlink" Target="https://drive.google.com/open?id=1PUi2_9wRckrigjzSaMbuBJbBiBzBsHBZ&amp;usp=drive_copy" TargetMode="External"/><Relationship Id="rId447" Type="http://schemas.openxmlformats.org/officeDocument/2006/relationships/hyperlink" Target="https://drive.google.com/thumbnail?id=" TargetMode="External"/><Relationship Id="rId794" Type="http://schemas.openxmlformats.org/officeDocument/2006/relationships/hyperlink" Target="https://drive.google.com/open?id=1RxnzUzKBOZkSysPNfgCvtttgy0P6WOP6&amp;usp=drive_copy" TargetMode="External"/><Relationship Id="rId1077" Type="http://schemas.openxmlformats.org/officeDocument/2006/relationships/hyperlink" Target="https://drive.google.com/thumbnail?id=" TargetMode="External"/><Relationship Id="rId1200" Type="http://schemas.openxmlformats.org/officeDocument/2006/relationships/hyperlink" Target="https://drive.google.com/thumbnail?id=" TargetMode="External"/><Relationship Id="rId654" Type="http://schemas.openxmlformats.org/officeDocument/2006/relationships/hyperlink" Target="https://drive.google.com/thumbnail?id=" TargetMode="External"/><Relationship Id="rId861" Type="http://schemas.openxmlformats.org/officeDocument/2006/relationships/hyperlink" Target="https://drive.google.com/thumbnail?id=" TargetMode="External"/><Relationship Id="rId959" Type="http://schemas.openxmlformats.org/officeDocument/2006/relationships/hyperlink" Target="https://drive.google.com/open?id=12Z3fSRCFuY2dhuWrrG9GtDw9KtppHMU3&amp;usp=drive_copy" TargetMode="External"/><Relationship Id="rId1284" Type="http://schemas.openxmlformats.org/officeDocument/2006/relationships/hyperlink" Target="https://drive.google.com/thumbnail?id=" TargetMode="External"/><Relationship Id="rId1491" Type="http://schemas.openxmlformats.org/officeDocument/2006/relationships/hyperlink" Target="https://drive.google.com/thumbnail?id=" TargetMode="External"/><Relationship Id="rId1505" Type="http://schemas.openxmlformats.org/officeDocument/2006/relationships/hyperlink" Target="https://drive.google.com/open?id=1fH15mTpMozUjzcqyy7Y4QKXavb9gqjEN&amp;usp=drive_copy" TargetMode="External"/><Relationship Id="rId293" Type="http://schemas.openxmlformats.org/officeDocument/2006/relationships/hyperlink" Target="https://drive.google.com/open?id=1vt8guyP4YKkM5N1KR1vxGa0z_Uhb1pxK&amp;usp=drive_copy" TargetMode="External"/><Relationship Id="rId307" Type="http://schemas.openxmlformats.org/officeDocument/2006/relationships/hyperlink" Target="https://drive.google.com/open?id=10-R6VLuUVNBrooRPeY29O-M_1_-XP0lT&amp;usp=drive_copy" TargetMode="External"/><Relationship Id="rId514" Type="http://schemas.openxmlformats.org/officeDocument/2006/relationships/hyperlink" Target="https://drive.google.com/open?id=1bAiyuwYrLqQb5M-ObZXWT_-N4FGa4N81&amp;usp=drive_copy" TargetMode="External"/><Relationship Id="rId721" Type="http://schemas.openxmlformats.org/officeDocument/2006/relationships/hyperlink" Target="https://drive.google.com/open?id=1CBPX2SkdgwnCnFlouOVYHPNHmwEsyxBq&amp;usp=drive_copy" TargetMode="External"/><Relationship Id="rId1144" Type="http://schemas.openxmlformats.org/officeDocument/2006/relationships/hyperlink" Target="https://drive.google.com/open?id=1gb0evkUQUIIbQlJb9Au-rlCLJQfI5SMC&amp;usp=drive_copy" TargetMode="External"/><Relationship Id="rId1351" Type="http://schemas.openxmlformats.org/officeDocument/2006/relationships/hyperlink" Target="https://drive.google.com/open?id=1R0a1m1x6Bzo2XY5XMAQ7floX1g8BbXGL&amp;usp=drive_copy" TargetMode="External"/><Relationship Id="rId1449" Type="http://schemas.openxmlformats.org/officeDocument/2006/relationships/hyperlink" Target="https://drive.google.com/thumbnail?id=" TargetMode="External"/><Relationship Id="rId88" Type="http://schemas.openxmlformats.org/officeDocument/2006/relationships/hyperlink" Target="https://drive.google.com/open?id=19pTyKF5AX4DWldIeup1fD3dJ6UheAqhG&amp;usp=drive_copy" TargetMode="External"/><Relationship Id="rId153" Type="http://schemas.openxmlformats.org/officeDocument/2006/relationships/hyperlink" Target="https://drive.google.com/thumbnail?id=" TargetMode="External"/><Relationship Id="rId360" Type="http://schemas.openxmlformats.org/officeDocument/2006/relationships/hyperlink" Target="https://drive.google.com/thumbnail?id=" TargetMode="External"/><Relationship Id="rId598" Type="http://schemas.openxmlformats.org/officeDocument/2006/relationships/hyperlink" Target="https://drive.google.com/open?id=1o_m6UQYN3Nuf4NbDqsG_UYm6jErAE5NR&amp;usp=drive_copy" TargetMode="External"/><Relationship Id="rId819" Type="http://schemas.openxmlformats.org/officeDocument/2006/relationships/hyperlink" Target="https://drive.google.com/thumbnail?id=" TargetMode="External"/><Relationship Id="rId1004" Type="http://schemas.openxmlformats.org/officeDocument/2006/relationships/hyperlink" Target="https://drive.google.com/open?id=1CFtdDaPsoXopWq1o7LAirOLQb93ub1a7&amp;usp=drive_copy" TargetMode="External"/><Relationship Id="rId1211" Type="http://schemas.openxmlformats.org/officeDocument/2006/relationships/hyperlink" Target="https://drive.google.com/open?id=1w0do1cOrLaQoVl48tAgRiMJ45c85XdPY&amp;usp=drive_copy" TargetMode="External"/><Relationship Id="rId220" Type="http://schemas.openxmlformats.org/officeDocument/2006/relationships/hyperlink" Target="https://drive.google.com/open?id=1fN_KDlzDWJSeI-5_6zFku3Hwg_9lTGKr&amp;usp=drive_copy" TargetMode="External"/><Relationship Id="rId458" Type="http://schemas.openxmlformats.org/officeDocument/2006/relationships/hyperlink" Target="https://drive.google.com/open?id=1USEyRAxBIRJHlAHNmhSCU6tXnzsylJrI&amp;usp=drive_copy" TargetMode="External"/><Relationship Id="rId665" Type="http://schemas.openxmlformats.org/officeDocument/2006/relationships/hyperlink" Target="https://drive.google.com/open?id=1xK2B8-kinGJd520Iu7paPFz1P5JgNOpZ&amp;usp=drive_copy" TargetMode="External"/><Relationship Id="rId872" Type="http://schemas.openxmlformats.org/officeDocument/2006/relationships/hyperlink" Target="https://drive.google.com/open?id=1gpu-9T6ipKiL9ERmNg54DGte5o9VyHZm&amp;usp=drive_copy" TargetMode="External"/><Relationship Id="rId1088" Type="http://schemas.openxmlformats.org/officeDocument/2006/relationships/hyperlink" Target="https://drive.google.com/open?id=1VndmwCxAXU8Bwxm-qfr-DRxx4HmBJIKv&amp;usp=drive_copy" TargetMode="External"/><Relationship Id="rId1295" Type="http://schemas.openxmlformats.org/officeDocument/2006/relationships/hyperlink" Target="https://drive.google.com/open?id=1GjC5dBBRkiAoesFo_QwYb3fN5OIrnAxa&amp;usp=drive_copy" TargetMode="External"/><Relationship Id="rId1309" Type="http://schemas.openxmlformats.org/officeDocument/2006/relationships/hyperlink" Target="https://drive.google.com/open?id=1IEDW0v_xreRi9eJkyP_rYciCpfAnPZjp&amp;usp=drive_copy" TargetMode="External"/><Relationship Id="rId15" Type="http://schemas.openxmlformats.org/officeDocument/2006/relationships/hyperlink" Target="https://drive.google.com/thumbnail?id=" TargetMode="External"/><Relationship Id="rId318" Type="http://schemas.openxmlformats.org/officeDocument/2006/relationships/hyperlink" Target="https://drive.google.com/thumbnail?id=" TargetMode="External"/><Relationship Id="rId525" Type="http://schemas.openxmlformats.org/officeDocument/2006/relationships/hyperlink" Target="https://drive.google.com/thumbnail?id=" TargetMode="External"/><Relationship Id="rId732" Type="http://schemas.openxmlformats.org/officeDocument/2006/relationships/hyperlink" Target="https://drive.google.com/thumbnail?id=" TargetMode="External"/><Relationship Id="rId1155" Type="http://schemas.openxmlformats.org/officeDocument/2006/relationships/hyperlink" Target="https://drive.google.com/thumbnail?id=" TargetMode="External"/><Relationship Id="rId1362" Type="http://schemas.openxmlformats.org/officeDocument/2006/relationships/hyperlink" Target="https://drive.google.com/thumbnail?id=" TargetMode="External"/><Relationship Id="rId99" Type="http://schemas.openxmlformats.org/officeDocument/2006/relationships/hyperlink" Target="https://drive.google.com/thumbnail?id=" TargetMode="External"/><Relationship Id="rId164" Type="http://schemas.openxmlformats.org/officeDocument/2006/relationships/hyperlink" Target="https://drive.google.com/open?id=1S36N_WYXASfSDd7jHWF1l8kwWe2bnDBL&amp;usp=drive_copy" TargetMode="External"/><Relationship Id="rId371" Type="http://schemas.openxmlformats.org/officeDocument/2006/relationships/hyperlink" Target="https://drive.google.com/open?id=1AW0NY7h3UtTnDE8_ljZVi8Esm0ZZbuop&amp;usp=drive_copy" TargetMode="External"/><Relationship Id="rId1015" Type="http://schemas.openxmlformats.org/officeDocument/2006/relationships/hyperlink" Target="https://drive.google.com/open?id=1GhyABSFq8ttGCSZJtoMBDqX9v87m6YmX&amp;usp=drive_copy" TargetMode="External"/><Relationship Id="rId1222" Type="http://schemas.openxmlformats.org/officeDocument/2006/relationships/hyperlink" Target="https://drive.google.com/open?id=1yaXxcpMa0eFvTzW-DHUDWhAYw7qkR7r0&amp;usp=drive_copy" TargetMode="External"/><Relationship Id="rId469" Type="http://schemas.openxmlformats.org/officeDocument/2006/relationships/hyperlink" Target="https://drive.google.com/open?id=1Ws2y9qCL927uNkDdfgh0K1x9K8AcqPSh&amp;usp=drive_copy" TargetMode="External"/><Relationship Id="rId676" Type="http://schemas.openxmlformats.org/officeDocument/2006/relationships/hyperlink" Target="https://drive.google.com/open?id=107HJczLnQNOQyfpE_EYDFVaB7iv33svs&amp;usp=drive_copy" TargetMode="External"/><Relationship Id="rId883" Type="http://schemas.openxmlformats.org/officeDocument/2006/relationships/hyperlink" Target="https://drive.google.com/open?id=1k28fvxdUeCMP83bzVaZvhKddwe_zxMuj&amp;usp=drive_copy" TargetMode="External"/><Relationship Id="rId1099" Type="http://schemas.openxmlformats.org/officeDocument/2006/relationships/hyperlink" Target="https://drive.google.com/open?id=1aFdKbA3QNOfu3Bdx1qcILayZrfNcYk_1&amp;usp=drive_copy" TargetMode="External"/><Relationship Id="rId26" Type="http://schemas.openxmlformats.org/officeDocument/2006/relationships/hyperlink" Target="https://drive.google.com/open?id=19eJP_xhgyr4_EevR4TMn-iEJ3jwHpFXM&amp;usp=drive_copy" TargetMode="External"/><Relationship Id="rId231" Type="http://schemas.openxmlformats.org/officeDocument/2006/relationships/hyperlink" Target="https://drive.google.com/thumbnail?id=" TargetMode="External"/><Relationship Id="rId329" Type="http://schemas.openxmlformats.org/officeDocument/2006/relationships/hyperlink" Target="https://drive.google.com/open?id=131XRefa5kYjFkyszs66ciP7_bYOMu6gj&amp;usp=drive_copy" TargetMode="External"/><Relationship Id="rId536" Type="http://schemas.openxmlformats.org/officeDocument/2006/relationships/hyperlink" Target="https://drive.google.com/open?id=1caR12p_TeY_U0jNWvRWY0n5OAfJNgcqe&amp;usp=drive_copy" TargetMode="External"/><Relationship Id="rId1166" Type="http://schemas.openxmlformats.org/officeDocument/2006/relationships/hyperlink" Target="https://drive.google.com/open?id=1l8vCgwAU6Bi2RYS28PVzLmvGQSS3nV8m&amp;usp=drive_copy" TargetMode="External"/><Relationship Id="rId1373" Type="http://schemas.openxmlformats.org/officeDocument/2006/relationships/hyperlink" Target="https://drive.google.com/open?id=1VfNnVtejyObsmHcU2383mW2NIsDI_zIx&amp;usp=drive_copy" TargetMode="External"/><Relationship Id="rId175" Type="http://schemas.openxmlformats.org/officeDocument/2006/relationships/hyperlink" Target="https://drive.google.com/open?id=1Tr5nRdLtLQd8SslXwkJCWhfZ7qX4Sxpk&amp;usp=drive_copy" TargetMode="External"/><Relationship Id="rId743" Type="http://schemas.openxmlformats.org/officeDocument/2006/relationships/hyperlink" Target="https://drive.google.com/open?id=1JNTfvUA9e-HUC-Dq3wWFJUP7a_o0ih7f&amp;usp=drive_copy" TargetMode="External"/><Relationship Id="rId950" Type="http://schemas.openxmlformats.org/officeDocument/2006/relationships/hyperlink" Target="https://drive.google.com/open?id=10wnI1FsWSxNYG9EcOK3NOyrvlGaEnFkt&amp;usp=drive_copy" TargetMode="External"/><Relationship Id="rId1026" Type="http://schemas.openxmlformats.org/officeDocument/2006/relationships/hyperlink" Target="https://drive.google.com/thumbnail?id=" TargetMode="External"/><Relationship Id="rId382" Type="http://schemas.openxmlformats.org/officeDocument/2006/relationships/hyperlink" Target="https://drive.google.com/open?id=1DDbfj9B1LglbyjOkSbRBldXNs7JQbQyl&amp;usp=drive_copy" TargetMode="External"/><Relationship Id="rId603" Type="http://schemas.openxmlformats.org/officeDocument/2006/relationships/hyperlink" Target="https://drive.google.com/thumbnail?id=" TargetMode="External"/><Relationship Id="rId687" Type="http://schemas.openxmlformats.org/officeDocument/2006/relationships/hyperlink" Target="https://drive.google.com/thumbnail?id=" TargetMode="External"/><Relationship Id="rId810" Type="http://schemas.openxmlformats.org/officeDocument/2006/relationships/hyperlink" Target="https://drive.google.com/thumbnail?id=" TargetMode="External"/><Relationship Id="rId908" Type="http://schemas.openxmlformats.org/officeDocument/2006/relationships/hyperlink" Target="https://drive.google.com/open?id=1oUnYJkYZf9tuEjHMM5sE5EJPIRvZEksY&amp;usp=drive_copy" TargetMode="External"/><Relationship Id="rId1233" Type="http://schemas.openxmlformats.org/officeDocument/2006/relationships/hyperlink" Target="https://drive.google.com/thumbnail?id=" TargetMode="External"/><Relationship Id="rId1440" Type="http://schemas.openxmlformats.org/officeDocument/2006/relationships/hyperlink" Target="https://drive.google.com/thumbnail?id=" TargetMode="External"/><Relationship Id="rId242" Type="http://schemas.openxmlformats.org/officeDocument/2006/relationships/hyperlink" Target="https://drive.google.com/open?id=1gPITRWZjYjtwxs88CLPTKgC-P13zDuuR&amp;usp=drive_copy" TargetMode="External"/><Relationship Id="rId894" Type="http://schemas.openxmlformats.org/officeDocument/2006/relationships/hyperlink" Target="https://drive.google.com/thumbnail?id=" TargetMode="External"/><Relationship Id="rId1177" Type="http://schemas.openxmlformats.org/officeDocument/2006/relationships/hyperlink" Target="https://drive.google.com/open?id=1mO5HYwdOcscZgwmDkA75QLKh6-bxmlJb&amp;usp=drive_copy" TargetMode="External"/><Relationship Id="rId1300" Type="http://schemas.openxmlformats.org/officeDocument/2006/relationships/hyperlink" Target="https://drive.google.com/open?id=1HtyINQG0zx030temkt1YJUOq9Ng9_0Ip&amp;usp=drive_copy" TargetMode="External"/><Relationship Id="rId37" Type="http://schemas.openxmlformats.org/officeDocument/2006/relationships/hyperlink" Target="https://drive.google.com/open?id=1FmfTqFl0XyPCTcrbq9_E84n5jXNFl0z3&amp;usp=drive_copy" TargetMode="External"/><Relationship Id="rId102" Type="http://schemas.openxmlformats.org/officeDocument/2006/relationships/hyperlink" Target="https://drive.google.com/thumbnail?id=" TargetMode="External"/><Relationship Id="rId547" Type="http://schemas.openxmlformats.org/officeDocument/2006/relationships/hyperlink" Target="https://drive.google.com/open?id=1gxjHHESIJQSm0VTwUWxfmWyMRphARV1J&amp;usp=drive_copy" TargetMode="External"/><Relationship Id="rId754" Type="http://schemas.openxmlformats.org/officeDocument/2006/relationships/hyperlink" Target="https://drive.google.com/open?id=1KjIJ27vzFDltUT1m8zNlJ77e3JHBO5SX&amp;usp=drive_copy" TargetMode="External"/><Relationship Id="rId961" Type="http://schemas.openxmlformats.org/officeDocument/2006/relationships/hyperlink" Target="https://drive.google.com/open?id=13CdBjz2cY06UsPArnaJJelBOsJta1Wcb&amp;usp=drive_copy" TargetMode="External"/><Relationship Id="rId1384" Type="http://schemas.openxmlformats.org/officeDocument/2006/relationships/hyperlink" Target="https://drive.google.com/open?id=1ZtY-lzGAmJ2RS4tlxs4fCIFQJi3enXae&amp;usp=drive_copy" TargetMode="External"/><Relationship Id="rId90" Type="http://schemas.openxmlformats.org/officeDocument/2006/relationships/hyperlink" Target="https://drive.google.com/thumbnail?id=" TargetMode="External"/><Relationship Id="rId186" Type="http://schemas.openxmlformats.org/officeDocument/2006/relationships/hyperlink" Target="https://drive.google.com/thumbnail?id=" TargetMode="External"/><Relationship Id="rId393" Type="http://schemas.openxmlformats.org/officeDocument/2006/relationships/hyperlink" Target="https://drive.google.com/thumbnail?id=" TargetMode="External"/><Relationship Id="rId407" Type="http://schemas.openxmlformats.org/officeDocument/2006/relationships/hyperlink" Target="https://drive.google.com/open?id=1Hhha8dRukg9G1Igypg_W7jXRZNGbpsOe&amp;usp=drive_copy" TargetMode="External"/><Relationship Id="rId614" Type="http://schemas.openxmlformats.org/officeDocument/2006/relationships/hyperlink" Target="https://drive.google.com/open?id=1pqJUrSQWsvSRGYs8eHiQ6hvmyegK3HAU&amp;usp=drive_copy" TargetMode="External"/><Relationship Id="rId821" Type="http://schemas.openxmlformats.org/officeDocument/2006/relationships/hyperlink" Target="https://drive.google.com/open?id=1VXyKJfhZhHsXyJIZBClfo3aR9FalGMFe&amp;usp=drive_copy" TargetMode="External"/><Relationship Id="rId1037" Type="http://schemas.openxmlformats.org/officeDocument/2006/relationships/hyperlink" Target="https://drive.google.com/open?id=1LaAaGSzoWKjjVOnfQZsx28-Sc1X32mhU&amp;usp=drive_copy" TargetMode="External"/><Relationship Id="rId1244" Type="http://schemas.openxmlformats.org/officeDocument/2006/relationships/hyperlink" Target="https://drive.google.com/open?id=13M_A4NWITfQhSyywO6512pnfs2UiemQM&amp;usp=drive_copy" TargetMode="External"/><Relationship Id="rId1451" Type="http://schemas.openxmlformats.org/officeDocument/2006/relationships/hyperlink" Target="https://drive.google.com/open?id=1s5M_stxJdXt-XxZabpuFKZiEb_pLnBqt&amp;usp=drive_copy" TargetMode="External"/><Relationship Id="rId253" Type="http://schemas.openxmlformats.org/officeDocument/2006/relationships/hyperlink" Target="https://drive.google.com/open?id=1jLrARiF9X49KqJQPDH-sdcyf7VtMm0DU&amp;usp=drive_copy" TargetMode="External"/><Relationship Id="rId460" Type="http://schemas.openxmlformats.org/officeDocument/2006/relationships/hyperlink" Target="https://drive.google.com/open?id=1UgqybeF9yg4eFmkL9qdTYqkMU9CWkhOu&amp;usp=drive_copy" TargetMode="External"/><Relationship Id="rId698" Type="http://schemas.openxmlformats.org/officeDocument/2006/relationships/hyperlink" Target="https://drive.google.com/open?id=17ntdWdwOuBT7uan8n2M-_CcPamETeZAG&amp;usp=drive_copy" TargetMode="External"/><Relationship Id="rId919" Type="http://schemas.openxmlformats.org/officeDocument/2006/relationships/hyperlink" Target="https://drive.google.com/open?id=1rAEokTUNwVPZiszK3vSdDH56A5tKKA3a&amp;usp=drive_copy" TargetMode="External"/><Relationship Id="rId1090" Type="http://schemas.openxmlformats.org/officeDocument/2006/relationships/hyperlink" Target="https://drive.google.com/open?id=1_Ospzi0sEIOqbTgZY2CBsdJHqAxcXrWs&amp;usp=drive_copy" TargetMode="External"/><Relationship Id="rId1104" Type="http://schemas.openxmlformats.org/officeDocument/2006/relationships/hyperlink" Target="https://drive.google.com/thumbnail?id=" TargetMode="External"/><Relationship Id="rId1311" Type="http://schemas.openxmlformats.org/officeDocument/2006/relationships/hyperlink" Target="https://drive.google.com/thumbnail?id=" TargetMode="External"/><Relationship Id="rId48" Type="http://schemas.openxmlformats.org/officeDocument/2006/relationships/hyperlink" Target="https://drive.google.com/thumbnail?id=" TargetMode="External"/><Relationship Id="rId113" Type="http://schemas.openxmlformats.org/officeDocument/2006/relationships/hyperlink" Target="https://drive.google.com/open?id=1GCQI_4WADQwr4-WXYH9yja49lR-v_zKM&amp;usp=drive_copy" TargetMode="External"/><Relationship Id="rId320" Type="http://schemas.openxmlformats.org/officeDocument/2006/relationships/hyperlink" Target="https://drive.google.com/open?id=118kfDiRu05FuiQhet1oHnCm9DMTZGTHc&amp;usp=drive_copy" TargetMode="External"/><Relationship Id="rId558" Type="http://schemas.openxmlformats.org/officeDocument/2006/relationships/hyperlink" Target="https://drive.google.com/thumbnail?id=" TargetMode="External"/><Relationship Id="rId765" Type="http://schemas.openxmlformats.org/officeDocument/2006/relationships/hyperlink" Target="https://drive.google.com/thumbnail?id=" TargetMode="External"/><Relationship Id="rId972" Type="http://schemas.openxmlformats.org/officeDocument/2006/relationships/hyperlink" Target="https://drive.google.com/thumbnail?id=" TargetMode="External"/><Relationship Id="rId1188" Type="http://schemas.openxmlformats.org/officeDocument/2006/relationships/hyperlink" Target="https://drive.google.com/thumbnail?id=" TargetMode="External"/><Relationship Id="rId1395" Type="http://schemas.openxmlformats.org/officeDocument/2006/relationships/hyperlink" Target="https://drive.google.com/thumbnail?id=" TargetMode="External"/><Relationship Id="rId1409" Type="http://schemas.openxmlformats.org/officeDocument/2006/relationships/hyperlink" Target="https://drive.google.com/open?id=1i9HHTJKbIlFodxJ5pJ6cPPiuupcdDWLj&amp;usp=drive_copy" TargetMode="External"/><Relationship Id="rId197" Type="http://schemas.openxmlformats.org/officeDocument/2006/relationships/hyperlink" Target="https://drive.google.com/open?id=1_cUHTLAhFipDIKj5e3J4HqOwD8OtSF-A&amp;usp=drive_copy" TargetMode="External"/><Relationship Id="rId418" Type="http://schemas.openxmlformats.org/officeDocument/2006/relationships/hyperlink" Target="https://drive.google.com/open?id=1KXQU1P6TmickbfiNgekZhVQMpn7DFhiq&amp;usp=drive_copy" TargetMode="External"/><Relationship Id="rId625" Type="http://schemas.openxmlformats.org/officeDocument/2006/relationships/hyperlink" Target="https://drive.google.com/open?id=1rOLZHJWIfVX7E5mwO7i1sDtvu_fdl70C&amp;usp=drive_copy" TargetMode="External"/><Relationship Id="rId832" Type="http://schemas.openxmlformats.org/officeDocument/2006/relationships/hyperlink" Target="https://drive.google.com/open?id=1XkONym0_KM_GWR0kurPVOprW6iLjc-BB&amp;usp=drive_copy" TargetMode="External"/><Relationship Id="rId1048" Type="http://schemas.openxmlformats.org/officeDocument/2006/relationships/hyperlink" Target="https://drive.google.com/open?id=1NakZPKYYP31yuonwpkUIBpIUqRGJ8XMs&amp;usp=drive_copy" TargetMode="External"/><Relationship Id="rId1255" Type="http://schemas.openxmlformats.org/officeDocument/2006/relationships/hyperlink" Target="https://drive.google.com/open?id=1695ICXoeoPqgh73oNX-bAlWx2rOdw2He&amp;usp=drive_copy" TargetMode="External"/><Relationship Id="rId1462" Type="http://schemas.openxmlformats.org/officeDocument/2006/relationships/hyperlink" Target="https://drive.google.com/open?id=1vNzS9Nm7liQHN4R4XP2cJM7gUTJ2jwPM&amp;usp=drive_copy" TargetMode="External"/><Relationship Id="rId264" Type="http://schemas.openxmlformats.org/officeDocument/2006/relationships/hyperlink" Target="https://drive.google.com/thumbnail?id=" TargetMode="External"/><Relationship Id="rId471" Type="http://schemas.openxmlformats.org/officeDocument/2006/relationships/hyperlink" Target="https://drive.google.com/thumbnail?id=" TargetMode="External"/><Relationship Id="rId1115" Type="http://schemas.openxmlformats.org/officeDocument/2006/relationships/hyperlink" Target="https://drive.google.com/open?id=1dK_k8OiMZQ0jzuvIGCnNWuW5BKM_-zTk&amp;usp=drive_copy" TargetMode="External"/><Relationship Id="rId1322" Type="http://schemas.openxmlformats.org/officeDocument/2006/relationships/hyperlink" Target="https://drive.google.com/open?id=1J--z886GwVJ_zgFaF61wc0uCrJ63qXw1&amp;usp=drive_copy" TargetMode="External"/><Relationship Id="rId59" Type="http://schemas.openxmlformats.org/officeDocument/2006/relationships/hyperlink" Target="https://drive.google.com/open?id=1PEkX5kK1nCveyYCRvxwQqjVYG5WLaomA&amp;usp=drive_copy" TargetMode="External"/><Relationship Id="rId124" Type="http://schemas.openxmlformats.org/officeDocument/2006/relationships/hyperlink" Target="https://drive.google.com/open?id=1JLR_n8LJxCgzUlr-8XAO08Xr61Xa52oX&amp;usp=drive_copy" TargetMode="External"/><Relationship Id="rId569" Type="http://schemas.openxmlformats.org/officeDocument/2006/relationships/hyperlink" Target="https://drive.google.com/open?id=1jN1e2Oxue7YB-iOfiovTpZvbBNDyNtnC&amp;usp=drive_copy" TargetMode="External"/><Relationship Id="rId776" Type="http://schemas.openxmlformats.org/officeDocument/2006/relationships/hyperlink" Target="https://drive.google.com/open?id=1Ply5r7m0i6ZqYNhUpk3PNSa1Oc8EJV0Y&amp;usp=drive_copy" TargetMode="External"/><Relationship Id="rId983" Type="http://schemas.openxmlformats.org/officeDocument/2006/relationships/hyperlink" Target="https://drive.google.com/open?id=19D6p6Zlf8GYdoQybHG1vNEzuoQwZio_4&amp;usp=drive_copy" TargetMode="External"/><Relationship Id="rId1199" Type="http://schemas.openxmlformats.org/officeDocument/2006/relationships/hyperlink" Target="https://drive.google.com/open?id=1tsLYsn4Ucgh8J_WY_ONl-6B6_y_6rSPh&amp;usp=drive_copy" TargetMode="External"/><Relationship Id="rId331" Type="http://schemas.openxmlformats.org/officeDocument/2006/relationships/hyperlink" Target="https://drive.google.com/open?id=13LaKkRyM75uhpz8pdnG1cdEti1QimxCo&amp;usp=drive_copy" TargetMode="External"/><Relationship Id="rId429" Type="http://schemas.openxmlformats.org/officeDocument/2006/relationships/hyperlink" Target="https://drive.google.com/thumbnail?id=" TargetMode="External"/><Relationship Id="rId636" Type="http://schemas.openxmlformats.org/officeDocument/2006/relationships/hyperlink" Target="https://drive.google.com/thumbnail?id=" TargetMode="External"/><Relationship Id="rId1059" Type="http://schemas.openxmlformats.org/officeDocument/2006/relationships/hyperlink" Target="https://drive.google.com/thumbnail?id=" TargetMode="External"/><Relationship Id="rId1266" Type="http://schemas.openxmlformats.org/officeDocument/2006/relationships/hyperlink" Target="https://drive.google.com/thumbnail?id=" TargetMode="External"/><Relationship Id="rId1473" Type="http://schemas.openxmlformats.org/officeDocument/2006/relationships/hyperlink" Target="https://drive.google.com/thumbnail?id=" TargetMode="External"/><Relationship Id="rId843" Type="http://schemas.openxmlformats.org/officeDocument/2006/relationships/hyperlink" Target="https://drive.google.com/thumbnail?id=" TargetMode="External"/><Relationship Id="rId1126" Type="http://schemas.openxmlformats.org/officeDocument/2006/relationships/hyperlink" Target="https://drive.google.com/open?id=1eRy2CSqQ8IJxweCtMF4ioZbz4Pi2ZLRi&amp;usp=drive_copy" TargetMode="External"/><Relationship Id="rId275" Type="http://schemas.openxmlformats.org/officeDocument/2006/relationships/hyperlink" Target="https://drive.google.com/open?id=1o_jdMZJBzQ9yaSRJfwc3lnc0KQM4n6CB&amp;usp=drive_copy" TargetMode="External"/><Relationship Id="rId482" Type="http://schemas.openxmlformats.org/officeDocument/2006/relationships/hyperlink" Target="https://drive.google.com/open?id=1ZGojqf1a09v2KWB1MnwOQXT6hHkG0X5h&amp;usp=drive_copy" TargetMode="External"/><Relationship Id="rId703" Type="http://schemas.openxmlformats.org/officeDocument/2006/relationships/hyperlink" Target="https://drive.google.com/open?id=18GPntQ3P9DbSoxyKukNXXrDELAh4rBhv&amp;usp=drive_copy" TargetMode="External"/><Relationship Id="rId910" Type="http://schemas.openxmlformats.org/officeDocument/2006/relationships/hyperlink" Target="https://drive.google.com/open?id=1pX_lKa4hvLYdFKus9tPqILRJibqQi3XQ&amp;usp=drive_copy" TargetMode="External"/><Relationship Id="rId1333" Type="http://schemas.openxmlformats.org/officeDocument/2006/relationships/hyperlink" Target="https://drive.google.com/open?id=1LO0PgNHceS4lYwuTpbaTLqsNqA9KDL1a&amp;usp=drive_copy" TargetMode="External"/><Relationship Id="rId135" Type="http://schemas.openxmlformats.org/officeDocument/2006/relationships/hyperlink" Target="https://drive.google.com/thumbnail?id=" TargetMode="External"/><Relationship Id="rId342" Type="http://schemas.openxmlformats.org/officeDocument/2006/relationships/hyperlink" Target="https://drive.google.com/thumbnail?id=" TargetMode="External"/><Relationship Id="rId787" Type="http://schemas.openxmlformats.org/officeDocument/2006/relationships/hyperlink" Target="https://drive.google.com/open?id=1RrdfO-rullTSL5n0cdmIdLxRae34WKiP&amp;usp=drive_copy" TargetMode="External"/><Relationship Id="rId994" Type="http://schemas.openxmlformats.org/officeDocument/2006/relationships/hyperlink" Target="https://drive.google.com/open?id=1BKRzGERqLYeSSfYfwH8Mh6xWypFGU_js&amp;usp=drive_copy" TargetMode="External"/><Relationship Id="rId1400" Type="http://schemas.openxmlformats.org/officeDocument/2006/relationships/hyperlink" Target="https://drive.google.com/open?id=1eSXHhusEBl9wA_QucpqUB9kRka_Ank--&amp;usp=drive_copy" TargetMode="External"/><Relationship Id="rId202" Type="http://schemas.openxmlformats.org/officeDocument/2006/relationships/hyperlink" Target="https://drive.google.com/open?id=1cop31kWiZtCk_iPNVvdhgfVVMGpuSKj2&amp;usp=drive_copy" TargetMode="External"/><Relationship Id="rId647" Type="http://schemas.openxmlformats.org/officeDocument/2006/relationships/hyperlink" Target="https://drive.google.com/open?id=1wE1BUDaSk5_pVKzyP_FkP4yy6nH3x251&amp;usp=drive_copy" TargetMode="External"/><Relationship Id="rId854" Type="http://schemas.openxmlformats.org/officeDocument/2006/relationships/hyperlink" Target="https://drive.google.com/open?id=1fQh1_lU85rznmneeW4iFVYb3vvZyGja5&amp;usp=drive_copy" TargetMode="External"/><Relationship Id="rId1277" Type="http://schemas.openxmlformats.org/officeDocument/2006/relationships/hyperlink" Target="https://drive.google.com/open?id=1CZK4Ygbb77IjxG4GOiQbsnyuY2Q99aLF&amp;usp=drive_copy" TargetMode="External"/><Relationship Id="rId1484" Type="http://schemas.openxmlformats.org/officeDocument/2006/relationships/hyperlink" Target="https://drive.google.com/open?id=1zoSTkgKNppjZoP3W1AZZ_rdg1ojCROg-&amp;usp=drive_copy" TargetMode="External"/><Relationship Id="rId286" Type="http://schemas.openxmlformats.org/officeDocument/2006/relationships/hyperlink" Target="https://drive.google.com/open?id=1teuKbpYF2knWu-CVWpN5G7SD1grswRmz&amp;usp=drive_copy" TargetMode="External"/><Relationship Id="rId493" Type="http://schemas.openxmlformats.org/officeDocument/2006/relationships/hyperlink" Target="https://drive.google.com/open?id=1_Cco-avbGczsln4lVSOCFWvNvXQU9BOK&amp;usp=drive_copy" TargetMode="External"/><Relationship Id="rId507" Type="http://schemas.openxmlformats.org/officeDocument/2006/relationships/hyperlink" Target="https://drive.google.com/thumbnail?id=" TargetMode="External"/><Relationship Id="rId714" Type="http://schemas.openxmlformats.org/officeDocument/2006/relationships/hyperlink" Target="https://drive.google.com/thumbnail?id=" TargetMode="External"/><Relationship Id="rId921" Type="http://schemas.openxmlformats.org/officeDocument/2006/relationships/hyperlink" Target="https://drive.google.com/thumbnail?id=" TargetMode="External"/><Relationship Id="rId1137" Type="http://schemas.openxmlformats.org/officeDocument/2006/relationships/hyperlink" Target="https://drive.google.com/thumbnail?id=" TargetMode="External"/><Relationship Id="rId1344" Type="http://schemas.openxmlformats.org/officeDocument/2006/relationships/hyperlink" Target="https://drive.google.com/thumbnail?id=" TargetMode="External"/><Relationship Id="rId50" Type="http://schemas.openxmlformats.org/officeDocument/2006/relationships/hyperlink" Target="https://drive.google.com/open?id=1M8f3_L0Inc8Y_GcDIxwCIeEtsBx3LQPn&amp;usp=drive_copy" TargetMode="External"/><Relationship Id="rId146" Type="http://schemas.openxmlformats.org/officeDocument/2006/relationships/hyperlink" Target="https://drive.google.com/open?id=1PktfxVGHxNPnElcadKWXWvIEXi9u8pP1&amp;usp=drive_copy" TargetMode="External"/><Relationship Id="rId353" Type="http://schemas.openxmlformats.org/officeDocument/2006/relationships/hyperlink" Target="https://drive.google.com/open?id=17M3l57k3NU5GjbB60yLK7QyVoYxPbjs_&amp;usp=drive_copy" TargetMode="External"/><Relationship Id="rId560" Type="http://schemas.openxmlformats.org/officeDocument/2006/relationships/hyperlink" Target="https://drive.google.com/open?id=1iHKOLe-mXkB-DxQ2YhpnZi9uNwkQn4VR&amp;usp=drive_copy" TargetMode="External"/><Relationship Id="rId798" Type="http://schemas.openxmlformats.org/officeDocument/2006/relationships/hyperlink" Target="https://drive.google.com/thumbnail?id=" TargetMode="External"/><Relationship Id="rId1190" Type="http://schemas.openxmlformats.org/officeDocument/2006/relationships/hyperlink" Target="https://drive.google.com/open?id=1oGZtoe0hpDoxx1I7d5UTJNm5opaDIsLW&amp;usp=drive_copy" TargetMode="External"/><Relationship Id="rId1204" Type="http://schemas.openxmlformats.org/officeDocument/2006/relationships/hyperlink" Target="https://drive.google.com/open?id=1vHSpV0S1trXYLnUz_q7KR5WGMoOzNvsU&amp;usp=drive_copy" TargetMode="External"/><Relationship Id="rId1411" Type="http://schemas.openxmlformats.org/officeDocument/2006/relationships/hyperlink" Target="https://drive.google.com/open?id=1j2z2Pl_E883VpwTarFn-e2WczJzKGFw0&amp;usp=drive_copy" TargetMode="External"/><Relationship Id="rId213" Type="http://schemas.openxmlformats.org/officeDocument/2006/relationships/hyperlink" Target="https://drive.google.com/thumbnail?id=" TargetMode="External"/><Relationship Id="rId420" Type="http://schemas.openxmlformats.org/officeDocument/2006/relationships/hyperlink" Target="https://drive.google.com/thumbnail?id=" TargetMode="External"/><Relationship Id="rId658" Type="http://schemas.openxmlformats.org/officeDocument/2006/relationships/hyperlink" Target="https://drive.google.com/open?id=1xB-fejT_9N-UQ6iYPIwp-RSKEj-3mLab&amp;usp=drive_copy" TargetMode="External"/><Relationship Id="rId865" Type="http://schemas.openxmlformats.org/officeDocument/2006/relationships/hyperlink" Target="https://drive.google.com/open?id=1gTMio6YNGcTzf7WbtM6VYYHaq-ksTDiN&amp;usp=drive_copy" TargetMode="External"/><Relationship Id="rId1050" Type="http://schemas.openxmlformats.org/officeDocument/2006/relationships/hyperlink" Target="https://drive.google.com/thumbnail?id=" TargetMode="External"/><Relationship Id="rId1288" Type="http://schemas.openxmlformats.org/officeDocument/2006/relationships/hyperlink" Target="https://drive.google.com/open?id=1FSEEk2hJ1moaiB2ot4DqQPWHvvqCyEyX&amp;usp=drive_copy" TargetMode="External"/><Relationship Id="rId1495" Type="http://schemas.openxmlformats.org/officeDocument/2006/relationships/hyperlink" Target="https://drive.google.com/open?id=1kx7cAZi_jMcu7TPF90Vxq8qCJ-iHPhg_&amp;usp=drive_copy" TargetMode="External"/><Relationship Id="rId1509" Type="http://schemas.openxmlformats.org/officeDocument/2006/relationships/hyperlink" Target="https://drive.google.com/thumbnail?id=" TargetMode="External"/><Relationship Id="rId297" Type="http://schemas.openxmlformats.org/officeDocument/2006/relationships/hyperlink" Target="https://drive.google.com/thumbnail?id=" TargetMode="External"/><Relationship Id="rId518" Type="http://schemas.openxmlformats.org/officeDocument/2006/relationships/hyperlink" Target="https://drive.google.com/open?id=1bMGEkqVMUGWkrgg1AIuY5FB-YNQkOCMZ&amp;usp=drive_copy" TargetMode="External"/><Relationship Id="rId725" Type="http://schemas.openxmlformats.org/officeDocument/2006/relationships/hyperlink" Target="https://drive.google.com/open?id=1DZJ1_-7n1HDWAzwjF37bBkEyL9_JW-67&amp;usp=drive_copy" TargetMode="External"/><Relationship Id="rId932" Type="http://schemas.openxmlformats.org/officeDocument/2006/relationships/hyperlink" Target="https://drive.google.com/open?id=1w5A6PX7xPxlkWG7QOLNBJ_2uBaC9I8NJ&amp;usp=drive_copy" TargetMode="External"/><Relationship Id="rId1148" Type="http://schemas.openxmlformats.org/officeDocument/2006/relationships/hyperlink" Target="https://drive.google.com/open?id=1hVht4Db44LySA5pslEpWmKYVm1qPb7DG&amp;usp=drive_copy" TargetMode="External"/><Relationship Id="rId1355" Type="http://schemas.openxmlformats.org/officeDocument/2006/relationships/hyperlink" Target="https://drive.google.com/open?id=1RE6w1-0XtHo4ZjIRr6w-YmiN7L8Cb3Bw&amp;usp=drive_copy" TargetMode="External"/><Relationship Id="rId157" Type="http://schemas.openxmlformats.org/officeDocument/2006/relationships/hyperlink" Target="https://drive.google.com/open?id=1RE8bdu251KhZyWOnD-T62vvWyH5EsRSg&amp;usp=drive_copy" TargetMode="External"/><Relationship Id="rId364" Type="http://schemas.openxmlformats.org/officeDocument/2006/relationships/hyperlink" Target="https://drive.google.com/open?id=19UmrkwAqX8n87quVCztOpB4vFT7Mc8Ml&amp;usp=drive_copy" TargetMode="External"/><Relationship Id="rId1008" Type="http://schemas.openxmlformats.org/officeDocument/2006/relationships/hyperlink" Target="https://drive.google.com/thumbnail?id=" TargetMode="External"/><Relationship Id="rId1215" Type="http://schemas.openxmlformats.org/officeDocument/2006/relationships/hyperlink" Target="https://drive.google.com/thumbnail?id=" TargetMode="External"/><Relationship Id="rId1422" Type="http://schemas.openxmlformats.org/officeDocument/2006/relationships/hyperlink" Target="https://drive.google.com/thumbnail?id=" TargetMode="External"/><Relationship Id="rId61" Type="http://schemas.openxmlformats.org/officeDocument/2006/relationships/hyperlink" Target="https://drive.google.com/open?id=1Pc1AIsgLAU1vKw1nKEZmrc1Z7iwEGvp7&amp;usp=drive_copy" TargetMode="External"/><Relationship Id="rId571" Type="http://schemas.openxmlformats.org/officeDocument/2006/relationships/hyperlink" Target="https://drive.google.com/open?id=1jYZJBasH6pDVQgxPXrqI63KRBwqGS2k_&amp;usp=drive_copy" TargetMode="External"/><Relationship Id="rId669" Type="http://schemas.openxmlformats.org/officeDocument/2006/relationships/hyperlink" Target="https://drive.google.com/thumbnail?id=" TargetMode="External"/><Relationship Id="rId876" Type="http://schemas.openxmlformats.org/officeDocument/2006/relationships/hyperlink" Target="https://drive.google.com/thumbnail?id=" TargetMode="External"/><Relationship Id="rId1299" Type="http://schemas.openxmlformats.org/officeDocument/2006/relationships/hyperlink" Target="https://drive.google.com/thumbnail?id=" TargetMode="External"/><Relationship Id="rId19" Type="http://schemas.openxmlformats.org/officeDocument/2006/relationships/hyperlink" Target="https://drive.google.com/open?id=18KIPhUzWXOf1YJs_TM2hal-6UPJI-mt6&amp;usp=drive_copy" TargetMode="External"/><Relationship Id="rId224" Type="http://schemas.openxmlformats.org/officeDocument/2006/relationships/hyperlink" Target="https://drive.google.com/open?id=1fWkAO-YAsBvlX2kHYdtCdgH1IOmWVvl_&amp;usp=drive_copy" TargetMode="External"/><Relationship Id="rId431" Type="http://schemas.openxmlformats.org/officeDocument/2006/relationships/hyperlink" Target="https://drive.google.com/open?id=1MiKZGVB5fJYFcKOtSDVx48sRYkFmImJH&amp;usp=drive_copy" TargetMode="External"/><Relationship Id="rId529" Type="http://schemas.openxmlformats.org/officeDocument/2006/relationships/hyperlink" Target="https://drive.google.com/open?id=1c6Fw9D2YJHTyCt1VJ2S-8GOwwM2B0MO9&amp;usp=drive_copy" TargetMode="External"/><Relationship Id="rId736" Type="http://schemas.openxmlformats.org/officeDocument/2006/relationships/hyperlink" Target="https://drive.google.com/open?id=1FD6mw6DVm8R4SVDPH8_UWg10uww-wRu3&amp;usp=drive_copy" TargetMode="External"/><Relationship Id="rId1061" Type="http://schemas.openxmlformats.org/officeDocument/2006/relationships/hyperlink" Target="https://drive.google.com/open?id=1PxAa11mJ0l2uWnQopZ7ZaoP5SY5FVjBE&amp;usp=drive_copy" TargetMode="External"/><Relationship Id="rId1159" Type="http://schemas.openxmlformats.org/officeDocument/2006/relationships/hyperlink" Target="https://drive.google.com/open?id=1kpVwOHdRqVZbFtP3S6bgOcRp1iJhmegl&amp;usp=drive_copy" TargetMode="External"/><Relationship Id="rId1366" Type="http://schemas.openxmlformats.org/officeDocument/2006/relationships/hyperlink" Target="https://drive.google.com/open?id=1USltRNqriPeTGEm5_Gw8tjjXk8QxJ2Ru&amp;usp=drive_copy" TargetMode="External"/><Relationship Id="rId168" Type="http://schemas.openxmlformats.org/officeDocument/2006/relationships/hyperlink" Target="https://drive.google.com/thumbnail?id=" TargetMode="External"/><Relationship Id="rId943" Type="http://schemas.openxmlformats.org/officeDocument/2006/relationships/hyperlink" Target="https://drive.google.com/open?id=1zUtT3tEj0Rr-XjYysz-v0lTBqpGNxaKQ&amp;usp=drive_copy" TargetMode="External"/><Relationship Id="rId1019" Type="http://schemas.openxmlformats.org/officeDocument/2006/relationships/hyperlink" Target="https://drive.google.com/open?id=1GtafMJWIv5HAi8FVEPMXvTh31oAkeQU5&amp;usp=drive_copy" TargetMode="External"/><Relationship Id="rId72" Type="http://schemas.openxmlformats.org/officeDocument/2006/relationships/hyperlink" Target="https://drive.google.com/thumbnail?id=" TargetMode="External"/><Relationship Id="rId375" Type="http://schemas.openxmlformats.org/officeDocument/2006/relationships/hyperlink" Target="https://drive.google.com/thumbnail?id=" TargetMode="External"/><Relationship Id="rId582" Type="http://schemas.openxmlformats.org/officeDocument/2006/relationships/hyperlink" Target="https://drive.google.com/thumbnail?id=" TargetMode="External"/><Relationship Id="rId803" Type="http://schemas.openxmlformats.org/officeDocument/2006/relationships/hyperlink" Target="https://drive.google.com/open?id=1SzDBQMRVE-Vj5jt1RnvluApJgqDPQB66&amp;usp=drive_copy" TargetMode="External"/><Relationship Id="rId1226" Type="http://schemas.openxmlformats.org/officeDocument/2006/relationships/hyperlink" Target="https://drive.google.com/open?id=1zHSsI1e2H7Vgh1q1F2EQhimmg0-hfvbw&amp;usp=drive_copy" TargetMode="External"/><Relationship Id="rId1433" Type="http://schemas.openxmlformats.org/officeDocument/2006/relationships/hyperlink" Target="https://drive.google.com/open?id=1mjSN7jmM7-rwIPcHRpxoEZLmGLDiMRfI&amp;usp=drive_copy" TargetMode="External"/><Relationship Id="rId3" Type="http://schemas.openxmlformats.org/officeDocument/2006/relationships/hyperlink" Target="https://drive.google.com/thumbnail?id=" TargetMode="External"/><Relationship Id="rId235" Type="http://schemas.openxmlformats.org/officeDocument/2006/relationships/hyperlink" Target="https://drive.google.com/open?id=1gFKuS-gsb3ZDKx-gqIBgHItgFQEHhgzu&amp;usp=drive_copy" TargetMode="External"/><Relationship Id="rId442" Type="http://schemas.openxmlformats.org/officeDocument/2006/relationships/hyperlink" Target="https://drive.google.com/open?id=1RtbEHZyUe-_2EuwUCaPan_rUHOSGS2rN&amp;usp=drive_copy" TargetMode="External"/><Relationship Id="rId887" Type="http://schemas.openxmlformats.org/officeDocument/2006/relationships/hyperlink" Target="https://drive.google.com/open?id=1kUbisHRumvlJ8llTCjGqRpUz8nLg9gBi&amp;usp=drive_copy" TargetMode="External"/><Relationship Id="rId1072" Type="http://schemas.openxmlformats.org/officeDocument/2006/relationships/hyperlink" Target="https://drive.google.com/open?id=1SYp8SbcLH_3_rLCQdkCOJt0GH-QTIhqj&amp;usp=drive_copy" TargetMode="External"/><Relationship Id="rId1500" Type="http://schemas.openxmlformats.org/officeDocument/2006/relationships/hyperlink" Target="https://drive.google.com/thumbnail?id=" TargetMode="External"/><Relationship Id="rId302" Type="http://schemas.openxmlformats.org/officeDocument/2006/relationships/hyperlink" Target="https://drive.google.com/open?id=1yTMJOYC58-xDeKjiNcTOKKnOoB1O062x&amp;usp=drive_copy" TargetMode="External"/><Relationship Id="rId747" Type="http://schemas.openxmlformats.org/officeDocument/2006/relationships/hyperlink" Target="https://drive.google.com/thumbnail?id=" TargetMode="External"/><Relationship Id="rId954" Type="http://schemas.openxmlformats.org/officeDocument/2006/relationships/hyperlink" Target="https://drive.google.com/thumbnail?id=" TargetMode="External"/><Relationship Id="rId1377" Type="http://schemas.openxmlformats.org/officeDocument/2006/relationships/hyperlink" Target="https://drive.google.com/thumbnail?id=" TargetMode="External"/><Relationship Id="rId83" Type="http://schemas.openxmlformats.org/officeDocument/2006/relationships/hyperlink" Target="https://drive.google.com/open?id=15IXDeBgIba_zHaVQQFY5F62Csx77oJuI&amp;usp=drive_copy" TargetMode="External"/><Relationship Id="rId179" Type="http://schemas.openxmlformats.org/officeDocument/2006/relationships/hyperlink" Target="https://drive.google.com/open?id=1UOGQMlAsnmJkhcJX1FyLv_Ek4KsgYd-d&amp;usp=drive_copy" TargetMode="External"/><Relationship Id="rId386" Type="http://schemas.openxmlformats.org/officeDocument/2006/relationships/hyperlink" Target="https://drive.google.com/open?id=1DK9p5EarXWQjOGNP439sn3p-6o_uhZOF&amp;usp=drive_copy" TargetMode="External"/><Relationship Id="rId593" Type="http://schemas.openxmlformats.org/officeDocument/2006/relationships/hyperlink" Target="https://drive.google.com/open?id=1o25OSZDARHoQVhFXKagNebv_tggKeNjc&amp;usp=drive_copy" TargetMode="External"/><Relationship Id="rId607" Type="http://schemas.openxmlformats.org/officeDocument/2006/relationships/hyperlink" Target="https://drive.google.com/open?id=1p2U0V-qFa_16QytpiYo9Ncj97LAbls8z&amp;usp=drive_copy" TargetMode="External"/><Relationship Id="rId814" Type="http://schemas.openxmlformats.org/officeDocument/2006/relationships/hyperlink" Target="https://drive.google.com/open?id=1TsWXuByjjMmyqowMraXWTlG8aEx-eJEY&amp;usp=drive_copy" TargetMode="External"/><Relationship Id="rId1237" Type="http://schemas.openxmlformats.org/officeDocument/2006/relationships/hyperlink" Target="https://drive.google.com/open?id=1-useLefM11APoUoQ9d6vJ4FQw7TkkOkS&amp;usp=drive_copy" TargetMode="External"/><Relationship Id="rId1444" Type="http://schemas.openxmlformats.org/officeDocument/2006/relationships/hyperlink" Target="https://drive.google.com/open?id=1qKJQHjJ5pYCIhmDIPNB22UDsZEHriIhY&amp;usp=drive_copy" TargetMode="External"/><Relationship Id="rId246" Type="http://schemas.openxmlformats.org/officeDocument/2006/relationships/hyperlink" Target="https://drive.google.com/thumbnail?id=" TargetMode="External"/><Relationship Id="rId453" Type="http://schemas.openxmlformats.org/officeDocument/2006/relationships/hyperlink" Target="https://drive.google.com/thumbnail?id=" TargetMode="External"/><Relationship Id="rId660" Type="http://schemas.openxmlformats.org/officeDocument/2006/relationships/hyperlink" Target="https://drive.google.com/thumbnail?id=" TargetMode="External"/><Relationship Id="rId898" Type="http://schemas.openxmlformats.org/officeDocument/2006/relationships/hyperlink" Target="https://drive.google.com/open?id=1npumc4_q99ma2PoiErLBMXWpDfa85kRC&amp;usp=drive_copy" TargetMode="External"/><Relationship Id="rId1083" Type="http://schemas.openxmlformats.org/officeDocument/2006/relationships/hyperlink" Target="https://drive.google.com/thumbnail?id=" TargetMode="External"/><Relationship Id="rId1290" Type="http://schemas.openxmlformats.org/officeDocument/2006/relationships/hyperlink" Target="https://drive.google.com/thumbnail?id=" TargetMode="External"/><Relationship Id="rId1304" Type="http://schemas.openxmlformats.org/officeDocument/2006/relationships/hyperlink" Target="https://drive.google.com/open?id=1I4iGXWxxNaItnmhAmi2vnsNKps3qlez-&amp;usp=drive_copy" TargetMode="External"/><Relationship Id="rId106" Type="http://schemas.openxmlformats.org/officeDocument/2006/relationships/hyperlink" Target="https://drive.google.com/open?id=1FAyqJYuHUWw7CkE6z51T1F7BsqqC4ni8&amp;usp=drive_copy" TargetMode="External"/><Relationship Id="rId313" Type="http://schemas.openxmlformats.org/officeDocument/2006/relationships/hyperlink" Target="https://drive.google.com/open?id=10INM-sHS2D_w_MKXXTFGvrmDxIktndSY&amp;usp=drive_copy" TargetMode="External"/><Relationship Id="rId758" Type="http://schemas.openxmlformats.org/officeDocument/2006/relationships/hyperlink" Target="https://drive.google.com/open?id=1KpyWpPH4vi4vWvURtZSLYzVafXONPvuG&amp;usp=drive_copy" TargetMode="External"/><Relationship Id="rId965" Type="http://schemas.openxmlformats.org/officeDocument/2006/relationships/hyperlink" Target="https://drive.google.com/open?id=13jSWMbn2kDNaaOVyPqglqiHg1L1afB4Q&amp;usp=drive_copy" TargetMode="External"/><Relationship Id="rId1150" Type="http://schemas.openxmlformats.org/officeDocument/2006/relationships/hyperlink" Target="https://drive.google.com/open?id=1hiCsEhEqDq8ZtxyyM1gJLg2gxrsUhwTp&amp;usp=drive_copy" TargetMode="External"/><Relationship Id="rId1388" Type="http://schemas.openxmlformats.org/officeDocument/2006/relationships/hyperlink" Target="https://drive.google.com/open?id=1_91NMyU_3bY9sOUphs9QwubmWgmPaU2W&amp;usp=drive_copy" TargetMode="External"/><Relationship Id="rId10" Type="http://schemas.openxmlformats.org/officeDocument/2006/relationships/hyperlink" Target="https://drive.google.com/open?id=14rwzY13Be6g2Qb_HCRDjcGqVaM4YTO-Y&amp;usp=drive_copy" TargetMode="External"/><Relationship Id="rId94" Type="http://schemas.openxmlformats.org/officeDocument/2006/relationships/hyperlink" Target="https://drive.google.com/open?id=1AIiUTn7dDD309yLkITKn_0852GxXptO0&amp;usp=drive_copy" TargetMode="External"/><Relationship Id="rId397" Type="http://schemas.openxmlformats.org/officeDocument/2006/relationships/hyperlink" Target="https://drive.google.com/open?id=1FaIwAVsv0Mn4YXfhGUd-96_CidSVPDoB&amp;usp=drive_copy" TargetMode="External"/><Relationship Id="rId520" Type="http://schemas.openxmlformats.org/officeDocument/2006/relationships/hyperlink" Target="https://drive.google.com/open?id=1bTiBjWKrbQNNR5BqdMBrNve2-feukcAz&amp;usp=drive_copy" TargetMode="External"/><Relationship Id="rId618" Type="http://schemas.openxmlformats.org/officeDocument/2006/relationships/hyperlink" Target="https://drive.google.com/thumbnail?id=" TargetMode="External"/><Relationship Id="rId825" Type="http://schemas.openxmlformats.org/officeDocument/2006/relationships/hyperlink" Target="https://drive.google.com/thumbnail?id=" TargetMode="External"/><Relationship Id="rId1248" Type="http://schemas.openxmlformats.org/officeDocument/2006/relationships/hyperlink" Target="https://drive.google.com/thumbnail?id=" TargetMode="External"/><Relationship Id="rId1455" Type="http://schemas.openxmlformats.org/officeDocument/2006/relationships/hyperlink" Target="https://drive.google.com/thumbnail?id=" TargetMode="External"/><Relationship Id="rId257" Type="http://schemas.openxmlformats.org/officeDocument/2006/relationships/hyperlink" Target="https://drive.google.com/open?id=1jwFOJLhbrNz0cbT00ZAbGoxVwN-OREjz&amp;usp=drive_copy" TargetMode="External"/><Relationship Id="rId464" Type="http://schemas.openxmlformats.org/officeDocument/2006/relationships/hyperlink" Target="https://drive.google.com/open?id=1Vk83k9iS9C8_ByIUjMBV_2RdcjrJ4MYx&amp;usp=drive_copy" TargetMode="External"/><Relationship Id="rId1010" Type="http://schemas.openxmlformats.org/officeDocument/2006/relationships/hyperlink" Target="https://drive.google.com/open?id=1DleMWHwBxY_f0sdoZmB2bA5PvL3wzuZt&amp;usp=drive_copy" TargetMode="External"/><Relationship Id="rId1094" Type="http://schemas.openxmlformats.org/officeDocument/2006/relationships/hyperlink" Target="https://drive.google.com/open?id=1_XIKDtsvDl6_wb0umFlTuFr-QvLbisJs&amp;usp=drive_copy" TargetMode="External"/><Relationship Id="rId1108" Type="http://schemas.openxmlformats.org/officeDocument/2006/relationships/hyperlink" Target="https://drive.google.com/open?id=1bC-qwTGFGicw2hsLyue4oIWyBJwZ4w1a&amp;usp=drive_copy" TargetMode="External"/><Relationship Id="rId1315" Type="http://schemas.openxmlformats.org/officeDocument/2006/relationships/hyperlink" Target="https://drive.google.com/open?id=1IilHOrJQYL4E-ioHUz2a7duoK7kxENqi&amp;usp=drive_copy" TargetMode="External"/><Relationship Id="rId117" Type="http://schemas.openxmlformats.org/officeDocument/2006/relationships/hyperlink" Target="https://drive.google.com/thumbnail?id=" TargetMode="External"/><Relationship Id="rId671" Type="http://schemas.openxmlformats.org/officeDocument/2006/relationships/hyperlink" Target="https://drive.google.com/open?id=1ygthnuaO7Y1gTpB5qQ5lkwRmyRoESQxX&amp;usp=drive_copy" TargetMode="External"/><Relationship Id="rId769" Type="http://schemas.openxmlformats.org/officeDocument/2006/relationships/hyperlink" Target="https://drive.google.com/open?id=1Nwpl8fngJ5rWnghbEsCLvlq7BWkrvGWK&amp;usp=drive_copy" TargetMode="External"/><Relationship Id="rId976" Type="http://schemas.openxmlformats.org/officeDocument/2006/relationships/hyperlink" Target="https://drive.google.com/open?id=16G2lLunQv19wNCLHMsY0vuWUWllNjZJE&amp;usp=drive_copy" TargetMode="External"/><Relationship Id="rId1399" Type="http://schemas.openxmlformats.org/officeDocument/2006/relationships/hyperlink" Target="https://drive.google.com/open?id=1eSXHhusEBl9wA_QucpqUB9kRka_Ank--&amp;usp=drive_copy" TargetMode="External"/><Relationship Id="rId324" Type="http://schemas.openxmlformats.org/officeDocument/2006/relationships/hyperlink" Target="https://drive.google.com/thumbnail?id=" TargetMode="External"/><Relationship Id="rId531" Type="http://schemas.openxmlformats.org/officeDocument/2006/relationships/hyperlink" Target="https://drive.google.com/thumbnail?id=" TargetMode="External"/><Relationship Id="rId629" Type="http://schemas.openxmlformats.org/officeDocument/2006/relationships/hyperlink" Target="https://drive.google.com/open?id=1rRjY8u16cOGClewUgduiX822fwlK0Fbu&amp;usp=drive_copy" TargetMode="External"/><Relationship Id="rId1161" Type="http://schemas.openxmlformats.org/officeDocument/2006/relationships/hyperlink" Target="https://drive.google.com/thumbnail?id=" TargetMode="External"/><Relationship Id="rId1259" Type="http://schemas.openxmlformats.org/officeDocument/2006/relationships/hyperlink" Target="https://drive.google.com/open?id=16XWcFQaOqWrkgVpphY6Yz0TzA_sTEArC&amp;usp=drive_copy" TargetMode="External"/><Relationship Id="rId1466" Type="http://schemas.openxmlformats.org/officeDocument/2006/relationships/hyperlink" Target="https://drive.google.com/open?id=1vpXAcRZ-M3gA1RpEjap9fdk0Idkw1uxW&amp;usp=drive_copy" TargetMode="External"/><Relationship Id="rId836" Type="http://schemas.openxmlformats.org/officeDocument/2006/relationships/hyperlink" Target="https://drive.google.com/open?id=1YdqBWY7AOqNLpfBXwXJmxbHHVEiCsLoP&amp;usp=drive_copy" TargetMode="External"/><Relationship Id="rId1021" Type="http://schemas.openxmlformats.org/officeDocument/2006/relationships/hyperlink" Target="https://drive.google.com/open?id=1IfOQgSNRSloz6tq5x-nRFF6rJWxVxjeP&amp;usp=drive_copy" TargetMode="External"/><Relationship Id="rId1119" Type="http://schemas.openxmlformats.org/officeDocument/2006/relationships/hyperlink" Target="https://drive.google.com/thumbnail?id=" TargetMode="External"/><Relationship Id="rId903" Type="http://schemas.openxmlformats.org/officeDocument/2006/relationships/hyperlink" Target="https://drive.google.com/thumbnail?id=" TargetMode="External"/><Relationship Id="rId1326" Type="http://schemas.openxmlformats.org/officeDocument/2006/relationships/hyperlink" Target="https://drive.google.com/thumbnail?id=" TargetMode="External"/><Relationship Id="rId32" Type="http://schemas.openxmlformats.org/officeDocument/2006/relationships/hyperlink" Target="https://drive.google.com/open?id=1EszjHYXw-iHJcaY3CHY0cWHkG3umDA12&amp;usp=drive_copy" TargetMode="External"/><Relationship Id="rId181" Type="http://schemas.openxmlformats.org/officeDocument/2006/relationships/hyperlink" Target="https://drive.google.com/open?id=1VKXKBFrFjqYRBpjdfI1t__P9s9PBXVf2&amp;usp=drive_copy" TargetMode="External"/><Relationship Id="rId279" Type="http://schemas.openxmlformats.org/officeDocument/2006/relationships/hyperlink" Target="https://drive.google.com/thumbnail?id=" TargetMode="External"/><Relationship Id="rId486" Type="http://schemas.openxmlformats.org/officeDocument/2006/relationships/hyperlink" Target="https://drive.google.com/thumbnail?id=" TargetMode="External"/><Relationship Id="rId693" Type="http://schemas.openxmlformats.org/officeDocument/2006/relationships/hyperlink" Target="https://drive.google.com/thumbnail?id=" TargetMode="External"/><Relationship Id="rId139" Type="http://schemas.openxmlformats.org/officeDocument/2006/relationships/hyperlink" Target="https://drive.google.com/open?id=1PLmXYeMssYJLzX8XAEOK6hW7UAnTeF1P&amp;usp=drive_copy" TargetMode="External"/><Relationship Id="rId346" Type="http://schemas.openxmlformats.org/officeDocument/2006/relationships/hyperlink" Target="https://drive.google.com/open?id=151enPwY6JWkW1zXncFjUhf6HTeHAfOC3&amp;usp=drive_copy" TargetMode="External"/><Relationship Id="rId553" Type="http://schemas.openxmlformats.org/officeDocument/2006/relationships/hyperlink" Target="https://drive.google.com/open?id=1hXvGlSi-pqpoNRPAuy7A-6Ly2rpb6Wjq&amp;usp=drive_copy" TargetMode="External"/><Relationship Id="rId760" Type="http://schemas.openxmlformats.org/officeDocument/2006/relationships/hyperlink" Target="https://drive.google.com/open?id=1LW1YdwuW4NZzCvNoiW1CMWyXCEALuNdt&amp;usp=drive_copy" TargetMode="External"/><Relationship Id="rId998" Type="http://schemas.openxmlformats.org/officeDocument/2006/relationships/hyperlink" Target="https://drive.google.com/open?id=1BUK3aAs_oOV1rDsVjDeMWyq-n0sSIcfy&amp;usp=drive_copy" TargetMode="External"/><Relationship Id="rId1183" Type="http://schemas.openxmlformats.org/officeDocument/2006/relationships/hyperlink" Target="https://drive.google.com/open?id=1nVvH877SXMfMIbTIaPZTSKxROQncgQA-&amp;usp=drive_copy" TargetMode="External"/><Relationship Id="rId1390" Type="http://schemas.openxmlformats.org/officeDocument/2006/relationships/hyperlink" Target="https://drive.google.com/open?id=1aS2hVgQBD5uPYCyBqLaIvZZCQza3_KAB&amp;usp=drive_copy" TargetMode="External"/><Relationship Id="rId206" Type="http://schemas.openxmlformats.org/officeDocument/2006/relationships/hyperlink" Target="https://drive.google.com/open?id=1d54uHfHcNj3tP4Jsxyun7sTeWijQFLmz&amp;usp=drive_copy" TargetMode="External"/><Relationship Id="rId413" Type="http://schemas.openxmlformats.org/officeDocument/2006/relationships/hyperlink" Target="https://drive.google.com/open?id=1IlM6yanrpJ2cqbpG58tnunL6fEcPAmOT&amp;usp=drive_copy" TargetMode="External"/><Relationship Id="rId858" Type="http://schemas.openxmlformats.org/officeDocument/2006/relationships/hyperlink" Target="https://drive.google.com/thumbnail?id=" TargetMode="External"/><Relationship Id="rId1043" Type="http://schemas.openxmlformats.org/officeDocument/2006/relationships/hyperlink" Target="https://drive.google.com/open?id=1MJRY7VsO2I61UdHJcRFtUc_i3hv0zDWo&amp;usp=drive_copy" TargetMode="External"/><Relationship Id="rId1488" Type="http://schemas.openxmlformats.org/officeDocument/2006/relationships/hyperlink" Target="https://drive.google.com/thumbnail?id=" TargetMode="External"/><Relationship Id="rId620" Type="http://schemas.openxmlformats.org/officeDocument/2006/relationships/hyperlink" Target="https://drive.google.com/open?id=1q--siMHKmu5Cjf06cW_FU6Nm1K-HKpL0&amp;usp=drive_copy" TargetMode="External"/><Relationship Id="rId718" Type="http://schemas.openxmlformats.org/officeDocument/2006/relationships/hyperlink" Target="https://drive.google.com/open?id=1Ag-rjvYKc8eC4FgYwWqWHjYPY4nHQVIf&amp;usp=drive_copy" TargetMode="External"/><Relationship Id="rId925" Type="http://schemas.openxmlformats.org/officeDocument/2006/relationships/hyperlink" Target="https://drive.google.com/open?id=1uUXKpXUuum2HjZShSgNfG01qKErjrg9h&amp;usp=drive_copy" TargetMode="External"/><Relationship Id="rId1250" Type="http://schemas.openxmlformats.org/officeDocument/2006/relationships/hyperlink" Target="https://drive.google.com/open?id=14UXEQtxUPqbfOvqQR80ABJNOo66emTIG&amp;usp=drive_copy" TargetMode="External"/><Relationship Id="rId1348" Type="http://schemas.openxmlformats.org/officeDocument/2006/relationships/hyperlink" Target="https://drive.google.com/open?id=1QynADTI8mIbImTXbsj2v-0ojGaOV06p5&amp;usp=drive_copy" TargetMode="External"/><Relationship Id="rId1110" Type="http://schemas.openxmlformats.org/officeDocument/2006/relationships/hyperlink" Target="https://drive.google.com/thumbnail?id=" TargetMode="External"/><Relationship Id="rId1208" Type="http://schemas.openxmlformats.org/officeDocument/2006/relationships/hyperlink" Target="https://drive.google.com/open?id=1vNWsNBiGi5GvRU8vidCvelHoLcq2nO0m&amp;usp=drive_copy" TargetMode="External"/><Relationship Id="rId1415" Type="http://schemas.openxmlformats.org/officeDocument/2006/relationships/hyperlink" Target="https://drive.google.com/open?id=1kN3JPA-ANATZFO0DW48QSbFJguQ3Oh2N&amp;usp=drive_copy" TargetMode="External"/><Relationship Id="rId54" Type="http://schemas.openxmlformats.org/officeDocument/2006/relationships/hyperlink" Target="https://drive.google.com/thumbnail?id=" TargetMode="External"/><Relationship Id="rId270" Type="http://schemas.openxmlformats.org/officeDocument/2006/relationships/hyperlink" Target="https://drive.google.com/thumbnail?id=" TargetMode="External"/><Relationship Id="rId130" Type="http://schemas.openxmlformats.org/officeDocument/2006/relationships/hyperlink" Target="https://drive.google.com/open?id=1NDLpE4TEyXzAmjNMwxMN4cf-Szt3zflq&amp;usp=drive_copy" TargetMode="External"/><Relationship Id="rId368" Type="http://schemas.openxmlformats.org/officeDocument/2006/relationships/hyperlink" Target="https://drive.google.com/open?id=1AHrMJykTqheCM43_CSgP-7wsTsuaj223&amp;usp=drive_copy" TargetMode="External"/><Relationship Id="rId575" Type="http://schemas.openxmlformats.org/officeDocument/2006/relationships/hyperlink" Target="https://drive.google.com/open?id=1jcY4TRcrjjKpGMYB54wbhRlxux8GqRD6&amp;usp=drive_copy" TargetMode="External"/><Relationship Id="rId782" Type="http://schemas.openxmlformats.org/officeDocument/2006/relationships/hyperlink" Target="https://drive.google.com/open?id=1QB6qW0UGKSivxX3t5xk4od42JRyXcJHo&amp;usp=drive_copy" TargetMode="External"/><Relationship Id="rId228" Type="http://schemas.openxmlformats.org/officeDocument/2006/relationships/hyperlink" Target="https://drive.google.com/thumbnail?id=" TargetMode="External"/><Relationship Id="rId435" Type="http://schemas.openxmlformats.org/officeDocument/2006/relationships/hyperlink" Target="https://drive.google.com/thumbnail?id=" TargetMode="External"/><Relationship Id="rId642" Type="http://schemas.openxmlformats.org/officeDocument/2006/relationships/hyperlink" Target="https://drive.google.com/thumbnail?id=" TargetMode="External"/><Relationship Id="rId1065" Type="http://schemas.openxmlformats.org/officeDocument/2006/relationships/hyperlink" Target="https://drive.google.com/thumbnail?id=" TargetMode="External"/><Relationship Id="rId1272" Type="http://schemas.openxmlformats.org/officeDocument/2006/relationships/hyperlink" Target="https://drive.google.com/thumbnail?id=" TargetMode="External"/><Relationship Id="rId502" Type="http://schemas.openxmlformats.org/officeDocument/2006/relationships/hyperlink" Target="https://drive.google.com/open?id=1aJfXH-Cmg15JOess_Tsg_15Oo9tfo8Ba&amp;usp=drive_copy" TargetMode="External"/><Relationship Id="rId947" Type="http://schemas.openxmlformats.org/officeDocument/2006/relationships/hyperlink" Target="https://drive.google.com/open?id=1-4T0AvbdJwG0u7A6f4AXWWKM119VMaQy&amp;usp=drive_copy" TargetMode="External"/><Relationship Id="rId1132" Type="http://schemas.openxmlformats.org/officeDocument/2006/relationships/hyperlink" Target="https://drive.google.com/open?id=1efeTBjEynB_Vq3I7ePP4TgsmT6n-b37G&amp;usp=drive_copy" TargetMode="External"/><Relationship Id="rId76" Type="http://schemas.openxmlformats.org/officeDocument/2006/relationships/hyperlink" Target="https://drive.google.com/open?id=13RqTvEgEisW1zTNPs4zwViXNaE0VOT38&amp;usp=drive_copy" TargetMode="External"/><Relationship Id="rId807" Type="http://schemas.openxmlformats.org/officeDocument/2006/relationships/hyperlink" Target="https://drive.google.com/thumbnail?id=" TargetMode="External"/><Relationship Id="rId1437" Type="http://schemas.openxmlformats.org/officeDocument/2006/relationships/hyperlink" Target="https://drive.google.com/thumbnail?id=" TargetMode="External"/><Relationship Id="rId1504" Type="http://schemas.openxmlformats.org/officeDocument/2006/relationships/hyperlink" Target="https://drive.google.com/open?id=1fH15mTpMozUjzcqyy7Y4QKXavb9gqjEN&amp;usp=drive_copy" TargetMode="External"/><Relationship Id="rId292" Type="http://schemas.openxmlformats.org/officeDocument/2006/relationships/hyperlink" Target="https://drive.google.com/open?id=1vt8guyP4YKkM5N1KR1vxGa0z_Uhb1pxK&amp;usp=drive_copy" TargetMode="External"/><Relationship Id="rId597" Type="http://schemas.openxmlformats.org/officeDocument/2006/relationships/hyperlink" Target="https://drive.google.com/thumbnail?id=" TargetMode="External"/><Relationship Id="rId152" Type="http://schemas.openxmlformats.org/officeDocument/2006/relationships/hyperlink" Target="https://drive.google.com/open?id=1QK1u21Cvlw509NRerCJKRsWK7g6v8H4y&amp;usp=drive_copy" TargetMode="External"/><Relationship Id="rId457" Type="http://schemas.openxmlformats.org/officeDocument/2006/relationships/hyperlink" Target="https://drive.google.com/open?id=1USEyRAxBIRJHlAHNmhSCU6tXnzsylJrI&amp;usp=drive_copy" TargetMode="External"/><Relationship Id="rId1087" Type="http://schemas.openxmlformats.org/officeDocument/2006/relationships/hyperlink" Target="https://drive.google.com/open?id=1VndmwCxAXU8Bwxm-qfr-DRxx4HmBJIKv&amp;usp=drive_copy" TargetMode="External"/><Relationship Id="rId1294" Type="http://schemas.openxmlformats.org/officeDocument/2006/relationships/hyperlink" Target="https://drive.google.com/open?id=1GjC5dBBRkiAoesFo_QwYb3fN5OIrnAxa&amp;usp=drive_copy" TargetMode="External"/><Relationship Id="rId664" Type="http://schemas.openxmlformats.org/officeDocument/2006/relationships/hyperlink" Target="https://drive.google.com/open?id=1xK2B8-kinGJd520Iu7paPFz1P5JgNOpZ&amp;usp=drive_copy" TargetMode="External"/><Relationship Id="rId871" Type="http://schemas.openxmlformats.org/officeDocument/2006/relationships/hyperlink" Target="https://drive.google.com/open?id=1gpu-9T6ipKiL9ERmNg54DGte5o9VyHZm&amp;usp=drive_copy" TargetMode="External"/><Relationship Id="rId969" Type="http://schemas.openxmlformats.org/officeDocument/2006/relationships/hyperlink" Target="https://drive.google.com/thumbnail?id=" TargetMode="External"/><Relationship Id="rId317" Type="http://schemas.openxmlformats.org/officeDocument/2006/relationships/hyperlink" Target="https://drive.google.com/open?id=10tFBnqP5O15HyQD6HT-31i6NwXyzKUi7&amp;usp=drive_copy" TargetMode="External"/><Relationship Id="rId524" Type="http://schemas.openxmlformats.org/officeDocument/2006/relationships/hyperlink" Target="https://drive.google.com/open?id=1bf0lcDLyenJ3wlSD7hAjVrGtHN24NdX1&amp;usp=drive_copy" TargetMode="External"/><Relationship Id="rId731" Type="http://schemas.openxmlformats.org/officeDocument/2006/relationships/hyperlink" Target="https://drive.google.com/open?id=1EL1VJgKnZbP6vtiSrQaPwTqMoMErgSRE&amp;usp=drive_copy" TargetMode="External"/><Relationship Id="rId1154" Type="http://schemas.openxmlformats.org/officeDocument/2006/relationships/hyperlink" Target="https://drive.google.com/open?id=1iP-NZo1-QHJjAeyJFKOkc3Ku_DaSk33t&amp;usp=drive_copy" TargetMode="External"/><Relationship Id="rId1361" Type="http://schemas.openxmlformats.org/officeDocument/2006/relationships/hyperlink" Target="https://drive.google.com/open?id=1RmtJWXSHawfDZsmRUM5URC_I76OW-30d&amp;usp=drive_copy" TargetMode="External"/><Relationship Id="rId1459" Type="http://schemas.openxmlformats.org/officeDocument/2006/relationships/hyperlink" Target="https://drive.google.com/open?id=1u7ZJCP2lfyGMarTSgbHLjWxTzRRNc686&amp;usp=drive_copy" TargetMode="External"/><Relationship Id="rId98" Type="http://schemas.openxmlformats.org/officeDocument/2006/relationships/hyperlink" Target="https://drive.google.com/open?id=1AvYjLblYNuPPv3fwIAi7lcN7GImcSoyR&amp;usp=drive_copy" TargetMode="External"/><Relationship Id="rId829" Type="http://schemas.openxmlformats.org/officeDocument/2006/relationships/hyperlink" Target="https://drive.google.com/open?id=1Xf1SvnXHMMkb84QG7xgQQxMY8GOdPb0g&amp;usp=drive_copy" TargetMode="External"/><Relationship Id="rId1014" Type="http://schemas.openxmlformats.org/officeDocument/2006/relationships/hyperlink" Target="https://drive.google.com/thumbnail?id=" TargetMode="External"/><Relationship Id="rId1221" Type="http://schemas.openxmlformats.org/officeDocument/2006/relationships/hyperlink" Target="https://drive.google.com/thumbnail?id=" TargetMode="External"/><Relationship Id="rId1319" Type="http://schemas.openxmlformats.org/officeDocument/2006/relationships/hyperlink" Target="https://drive.google.com/open?id=1Ij90uduT3z9B1VwiAq9MmPQ-ikxdhmm4&amp;usp=drive_copy" TargetMode="External"/><Relationship Id="rId25" Type="http://schemas.openxmlformats.org/officeDocument/2006/relationships/hyperlink" Target="https://drive.google.com/open?id=19eJP_xhgyr4_EevR4TMn-iEJ3jwHpFXM&amp;usp=drive_copy" TargetMode="External"/><Relationship Id="rId174" Type="http://schemas.openxmlformats.org/officeDocument/2006/relationships/hyperlink" Target="https://drive.google.com/thumbnail?id=" TargetMode="External"/><Relationship Id="rId381" Type="http://schemas.openxmlformats.org/officeDocument/2006/relationships/hyperlink" Target="https://drive.google.com/thumbnail?id=" TargetMode="External"/><Relationship Id="rId241" Type="http://schemas.openxmlformats.org/officeDocument/2006/relationships/hyperlink" Target="https://drive.google.com/open?id=1gPITRWZjYjtwxs88CLPTKgC-P13zDuuR&amp;usp=drive_copy" TargetMode="External"/><Relationship Id="rId479" Type="http://schemas.openxmlformats.org/officeDocument/2006/relationships/hyperlink" Target="https://drive.google.com/open?id=1YS5mwoRLPst1wESeZ_A_P13oHApCFlLJ&amp;usp=drive_copy" TargetMode="External"/><Relationship Id="rId686" Type="http://schemas.openxmlformats.org/officeDocument/2006/relationships/hyperlink" Target="https://drive.google.com/open?id=11LjI8dT24ysu__meBaYGcbljxaJygwTu&amp;usp=drive_copy" TargetMode="External"/><Relationship Id="rId893" Type="http://schemas.openxmlformats.org/officeDocument/2006/relationships/hyperlink" Target="https://drive.google.com/open?id=1lIMVbPUDEcbg3ryltn7baOfTdOyDx1Jd&amp;usp=drive_copy" TargetMode="External"/><Relationship Id="rId339" Type="http://schemas.openxmlformats.org/officeDocument/2006/relationships/hyperlink" Target="https://drive.google.com/thumbnail?id=" TargetMode="External"/><Relationship Id="rId546" Type="http://schemas.openxmlformats.org/officeDocument/2006/relationships/hyperlink" Target="https://drive.google.com/thumbnail?id=" TargetMode="External"/><Relationship Id="rId753" Type="http://schemas.openxmlformats.org/officeDocument/2006/relationships/hyperlink" Target="https://drive.google.com/thumbnail?id=" TargetMode="External"/><Relationship Id="rId1176" Type="http://schemas.openxmlformats.org/officeDocument/2006/relationships/hyperlink" Target="https://drive.google.com/thumbnail?id=" TargetMode="External"/><Relationship Id="rId1383" Type="http://schemas.openxmlformats.org/officeDocument/2006/relationships/hyperlink" Target="https://drive.google.com/thumbnail?id=" TargetMode="External"/><Relationship Id="rId101" Type="http://schemas.openxmlformats.org/officeDocument/2006/relationships/hyperlink" Target="https://drive.google.com/open?id=1BHA-DXjFO4LDqhOvNzV9vBdpHZzOasQk&amp;usp=drive_copy" TargetMode="External"/><Relationship Id="rId406" Type="http://schemas.openxmlformats.org/officeDocument/2006/relationships/hyperlink" Target="https://drive.google.com/open?id=1Hhha8dRukg9G1Igypg_W7jXRZNGbpsOe&amp;usp=drive_copy" TargetMode="External"/><Relationship Id="rId960" Type="http://schemas.openxmlformats.org/officeDocument/2006/relationships/hyperlink" Target="https://drive.google.com/thumbnail?id=" TargetMode="External"/><Relationship Id="rId1036" Type="http://schemas.openxmlformats.org/officeDocument/2006/relationships/hyperlink" Target="https://drive.google.com/open?id=1LaAaGSzoWKjjVOnfQZsx28-Sc1X32mhU&amp;usp=drive_copy" TargetMode="External"/><Relationship Id="rId1243" Type="http://schemas.openxmlformats.org/officeDocument/2006/relationships/hyperlink" Target="https://drive.google.com/open?id=13M_A4NWITfQhSyywO6512pnfs2UiemQM&amp;usp=drive_copy" TargetMode="External"/><Relationship Id="rId613" Type="http://schemas.openxmlformats.org/officeDocument/2006/relationships/hyperlink" Target="https://drive.google.com/open?id=1pqJUrSQWsvSRGYs8eHiQ6hvmyegK3HAU&amp;usp=drive_copy" TargetMode="External"/><Relationship Id="rId820" Type="http://schemas.openxmlformats.org/officeDocument/2006/relationships/hyperlink" Target="https://drive.google.com/open?id=1VXyKJfhZhHsXyJIZBClfo3aR9FalGMFe&amp;usp=drive_copy" TargetMode="External"/><Relationship Id="rId918" Type="http://schemas.openxmlformats.org/officeDocument/2006/relationships/hyperlink" Target="https://drive.google.com/thumbnail?id=" TargetMode="External"/><Relationship Id="rId1450" Type="http://schemas.openxmlformats.org/officeDocument/2006/relationships/hyperlink" Target="https://drive.google.com/open?id=1s5M_stxJdXt-XxZabpuFKZiEb_pLnBqt&amp;usp=drive_copy" TargetMode="External"/><Relationship Id="rId1103" Type="http://schemas.openxmlformats.org/officeDocument/2006/relationships/hyperlink" Target="https://drive.google.com/open?id=1b1bBYkR9Zpyr5iUJeizYAMgXoGUFXawC&amp;usp=drive_copy" TargetMode="External"/><Relationship Id="rId1310" Type="http://schemas.openxmlformats.org/officeDocument/2006/relationships/hyperlink" Target="https://drive.google.com/open?id=1IEDW0v_xreRi9eJkyP_rYciCpfAnPZjp&amp;usp=drive_copy" TargetMode="External"/><Relationship Id="rId1408" Type="http://schemas.openxmlformats.org/officeDocument/2006/relationships/hyperlink" Target="https://drive.google.com/open?id=1i9HHTJKbIlFodxJ5pJ6cPPiuupcdDWLj&amp;usp=drive_copy" TargetMode="External"/><Relationship Id="rId47" Type="http://schemas.openxmlformats.org/officeDocument/2006/relationships/hyperlink" Target="https://drive.google.com/open?id=1LX939mNz9sQOS4XOIu8GC8aCW77U01r7&amp;usp=drive_copy" TargetMode="External"/><Relationship Id="rId196" Type="http://schemas.openxmlformats.org/officeDocument/2006/relationships/hyperlink" Target="https://drive.google.com/open?id=1_cUHTLAhFipDIKj5e3J4HqOwD8OtSF-A&amp;usp=drive_copy" TargetMode="External"/><Relationship Id="rId263" Type="http://schemas.openxmlformats.org/officeDocument/2006/relationships/hyperlink" Target="https://drive.google.com/open?id=1ka4lPQLBfBLsbgLj0VOnhua20a0zVaSi&amp;usp=drive_copy" TargetMode="External"/><Relationship Id="rId470" Type="http://schemas.openxmlformats.org/officeDocument/2006/relationships/hyperlink" Target="https://drive.google.com/open?id=1Ws2y9qCL927uNkDdfgh0K1x9K8AcqPSh&amp;usp=drive_copy" TargetMode="External"/><Relationship Id="rId123" Type="http://schemas.openxmlformats.org/officeDocument/2006/relationships/hyperlink" Target="https://drive.google.com/thumbnail?id=" TargetMode="External"/><Relationship Id="rId330" Type="http://schemas.openxmlformats.org/officeDocument/2006/relationships/hyperlink" Target="https://drive.google.com/thumbnail?id=" TargetMode="External"/><Relationship Id="rId568" Type="http://schemas.openxmlformats.org/officeDocument/2006/relationships/hyperlink" Target="https://drive.google.com/open?id=1jN1e2Oxue7YB-iOfiovTpZvbBNDyNtnC&amp;usp=drive_copy" TargetMode="External"/><Relationship Id="rId775" Type="http://schemas.openxmlformats.org/officeDocument/2006/relationships/hyperlink" Target="https://drive.google.com/open?id=1Ply5r7m0i6ZqYNhUpk3PNSa1Oc8EJV0Y&amp;usp=drive_copy" TargetMode="External"/><Relationship Id="rId982" Type="http://schemas.openxmlformats.org/officeDocument/2006/relationships/hyperlink" Target="https://drive.google.com/open?id=19D6p6Zlf8GYdoQybHG1vNEzuoQwZio_4&amp;usp=drive_copy" TargetMode="External"/><Relationship Id="rId1198" Type="http://schemas.openxmlformats.org/officeDocument/2006/relationships/hyperlink" Target="https://drive.google.com/open?id=1tsLYsn4Ucgh8J_WY_ONl-6B6_y_6rSPh&amp;usp=drive_copy" TargetMode="External"/><Relationship Id="rId428" Type="http://schemas.openxmlformats.org/officeDocument/2006/relationships/hyperlink" Target="https://drive.google.com/open?id=1MJFM8r3OWb8CgSh5M3wPAawWu7zJXuwh&amp;usp=drive_copy" TargetMode="External"/><Relationship Id="rId635" Type="http://schemas.openxmlformats.org/officeDocument/2006/relationships/hyperlink" Target="https://drive.google.com/open?id=1rzQGIYWGEc_nPpJvk2uyXsimIKKCLC41&amp;usp=drive_copy" TargetMode="External"/><Relationship Id="rId842" Type="http://schemas.openxmlformats.org/officeDocument/2006/relationships/hyperlink" Target="https://drive.google.com/open?id=1_Jx2vD8SxQiIFBzVKcwIw4fb3Hnn59CE&amp;usp=drive_copy" TargetMode="External"/><Relationship Id="rId1058" Type="http://schemas.openxmlformats.org/officeDocument/2006/relationships/hyperlink" Target="https://drive.google.com/open?id=1PVGV5Qn7G_TMuKB4X8l_kJ226Qdnh3QG&amp;usp=drive_copy" TargetMode="External"/><Relationship Id="rId1265" Type="http://schemas.openxmlformats.org/officeDocument/2006/relationships/hyperlink" Target="https://drive.google.com/open?id=18SudROybyII5Vl0MY76R7ZRX6TUya_FK&amp;usp=drive_copy" TargetMode="External"/><Relationship Id="rId1472" Type="http://schemas.openxmlformats.org/officeDocument/2006/relationships/hyperlink" Target="https://drive.google.com/open?id=1wJTn6gD4hT0Zg6oyh4BMGqGUgMZPadkv&amp;usp=drive_copy" TargetMode="External"/><Relationship Id="rId702" Type="http://schemas.openxmlformats.org/officeDocument/2006/relationships/hyperlink" Target="https://drive.google.com/thumbnail?id=" TargetMode="External"/><Relationship Id="rId1125" Type="http://schemas.openxmlformats.org/officeDocument/2006/relationships/hyperlink" Target="https://drive.google.com/thumbnail?id=" TargetMode="External"/><Relationship Id="rId1332" Type="http://schemas.openxmlformats.org/officeDocument/2006/relationships/hyperlink" Target="https://drive.google.com/thumbnail?id=" TargetMode="External"/><Relationship Id="rId69" Type="http://schemas.openxmlformats.org/officeDocument/2006/relationships/hyperlink" Target="https://drive.google.com/thumbnail?id=" TargetMode="External"/><Relationship Id="rId285" Type="http://schemas.openxmlformats.org/officeDocument/2006/relationships/hyperlink" Target="https://drive.google.com/thumbnail?id=" TargetMode="External"/><Relationship Id="rId492" Type="http://schemas.openxmlformats.org/officeDocument/2006/relationships/hyperlink" Target="https://drive.google.com/thumbnail?id=" TargetMode="External"/><Relationship Id="rId797" Type="http://schemas.openxmlformats.org/officeDocument/2006/relationships/hyperlink" Target="https://drive.google.com/open?id=1S-dRPWlHQKEoBgPejeOjyCIHKl8PLJJM&amp;usp=drive_copy" TargetMode="External"/><Relationship Id="rId145" Type="http://schemas.openxmlformats.org/officeDocument/2006/relationships/hyperlink" Target="https://drive.google.com/open?id=1PktfxVGHxNPnElcadKWXWvIEXi9u8pP1&amp;usp=drive_copy" TargetMode="External"/><Relationship Id="rId352" Type="http://schemas.openxmlformats.org/officeDocument/2006/relationships/hyperlink" Target="https://drive.google.com/open?id=17M3l57k3NU5GjbB60yLK7QyVoYxPbjs_&amp;usp=drive_copy" TargetMode="External"/><Relationship Id="rId1287" Type="http://schemas.openxmlformats.org/officeDocument/2006/relationships/hyperlink" Target="https://drive.google.com/thumbnail?id=" TargetMode="External"/><Relationship Id="rId212" Type="http://schemas.openxmlformats.org/officeDocument/2006/relationships/hyperlink" Target="https://drive.google.com/open?id=1e9M7G0Ac2SWr9GfTs1uKkM0pzcFZAuj6&amp;usp=drive_copy" TargetMode="External"/><Relationship Id="rId657" Type="http://schemas.openxmlformats.org/officeDocument/2006/relationships/hyperlink" Target="https://drive.google.com/thumbnail?id=" TargetMode="External"/><Relationship Id="rId864" Type="http://schemas.openxmlformats.org/officeDocument/2006/relationships/hyperlink" Target="https://drive.google.com/thumbnail?id=" TargetMode="External"/><Relationship Id="rId1494" Type="http://schemas.openxmlformats.org/officeDocument/2006/relationships/hyperlink" Target="https://drive.google.com/thumbnail?id=" TargetMode="External"/><Relationship Id="rId517" Type="http://schemas.openxmlformats.org/officeDocument/2006/relationships/hyperlink" Target="https://drive.google.com/open?id=1bMGEkqVMUGWkrgg1AIuY5FB-YNQkOCMZ&amp;usp=drive_copy" TargetMode="External"/><Relationship Id="rId724" Type="http://schemas.openxmlformats.org/officeDocument/2006/relationships/hyperlink" Target="https://drive.google.com/open?id=1DZJ1_-7n1HDWAzwjF37bBkEyL9_JW-67&amp;usp=drive_copy" TargetMode="External"/><Relationship Id="rId931" Type="http://schemas.openxmlformats.org/officeDocument/2006/relationships/hyperlink" Target="https://drive.google.com/open?id=1w5A6PX7xPxlkWG7QOLNBJ_2uBaC9I8NJ&amp;usp=drive_copy" TargetMode="External"/><Relationship Id="rId1147" Type="http://schemas.openxmlformats.org/officeDocument/2006/relationships/hyperlink" Target="https://drive.google.com/open?id=1hVht4Db44LySA5pslEpWmKYVm1qPb7DG&amp;usp=drive_copy" TargetMode="External"/><Relationship Id="rId1354" Type="http://schemas.openxmlformats.org/officeDocument/2006/relationships/hyperlink" Target="https://drive.google.com/open?id=1RE6w1-0XtHo4ZjIRr6w-YmiN7L8Cb3Bw&amp;usp=drive_copy" TargetMode="External"/><Relationship Id="rId60" Type="http://schemas.openxmlformats.org/officeDocument/2006/relationships/hyperlink" Target="https://drive.google.com/thumbnail?id=" TargetMode="External"/><Relationship Id="rId1007" Type="http://schemas.openxmlformats.org/officeDocument/2006/relationships/hyperlink" Target="https://drive.google.com/open?id=1CLEJLDBeiRs9aAk2dqd4TKGMdK4D2VKK&amp;usp=drive_copy" TargetMode="External"/><Relationship Id="rId1214" Type="http://schemas.openxmlformats.org/officeDocument/2006/relationships/hyperlink" Target="https://drive.google.com/open?id=1x9D4uo3_dGK7z67W9aITqYVhLKK1EVCP&amp;usp=drive_copy" TargetMode="External"/><Relationship Id="rId1421" Type="http://schemas.openxmlformats.org/officeDocument/2006/relationships/hyperlink" Target="https://drive.google.com/open?id=1mJ_xFqyIj6SHNJuE6y8hFgTR0IsZdwYi&amp;usp=drive_copy" TargetMode="External"/><Relationship Id="rId18" Type="http://schemas.openxmlformats.org/officeDocument/2006/relationships/hyperlink" Target="https://drive.google.com/thumbnail?id=" TargetMode="External"/><Relationship Id="rId167" Type="http://schemas.openxmlformats.org/officeDocument/2006/relationships/hyperlink" Target="https://drive.google.com/open?id=1S_dtz_Xly4Dw9YZ1g8ETbLRs4EoyrUTr&amp;usp=drive_copy" TargetMode="External"/><Relationship Id="rId374" Type="http://schemas.openxmlformats.org/officeDocument/2006/relationships/hyperlink" Target="https://drive.google.com/open?id=1BTmeQsiy1VBiimhsi7Gh4QyvuUx2Z3LW&amp;usp=drive_copy" TargetMode="External"/><Relationship Id="rId581" Type="http://schemas.openxmlformats.org/officeDocument/2006/relationships/hyperlink" Target="https://drive.google.com/open?id=1kMuhCmuTG4KbX5OvaDL_3AFMY2lH1a7D&amp;usp=drive_copy" TargetMode="External"/><Relationship Id="rId234" Type="http://schemas.openxmlformats.org/officeDocument/2006/relationships/hyperlink" Target="https://drive.google.com/thumbnail?id=" TargetMode="External"/><Relationship Id="rId679" Type="http://schemas.openxmlformats.org/officeDocument/2006/relationships/hyperlink" Target="https://drive.google.com/open?id=10qefDEJuOAEWjlu22yL4gN_foCAwXip_&amp;usp=drive_copy" TargetMode="External"/><Relationship Id="rId886" Type="http://schemas.openxmlformats.org/officeDocument/2006/relationships/hyperlink" Target="https://drive.google.com/open?id=1kUbisHRumvlJ8llTCjGqRpUz8nLg9gBi&amp;usp=drive_copy" TargetMode="External"/><Relationship Id="rId2" Type="http://schemas.openxmlformats.org/officeDocument/2006/relationships/hyperlink" Target="https://drive.google.com/open?id=1-_TZiNAm3fq0oPTHhDpbYRzziDKyDDWl&amp;usp=drive_copy" TargetMode="External"/><Relationship Id="rId441" Type="http://schemas.openxmlformats.org/officeDocument/2006/relationships/hyperlink" Target="https://drive.google.com/thumbnail?id=" TargetMode="External"/><Relationship Id="rId539" Type="http://schemas.openxmlformats.org/officeDocument/2006/relationships/hyperlink" Target="https://drive.google.com/open?id=1eBu9pN3bZ9QWsLhWr3EWQdbSSKxO5f5y&amp;usp=drive_copy" TargetMode="External"/><Relationship Id="rId746" Type="http://schemas.openxmlformats.org/officeDocument/2006/relationships/hyperlink" Target="https://drive.google.com/open?id=1KBtk8uXVeJYMYgIm4byiZ5RnC-UOvcb3&amp;usp=drive_copy" TargetMode="External"/><Relationship Id="rId1071" Type="http://schemas.openxmlformats.org/officeDocument/2006/relationships/hyperlink" Target="https://drive.google.com/thumbnail?id=" TargetMode="External"/><Relationship Id="rId1169" Type="http://schemas.openxmlformats.org/officeDocument/2006/relationships/hyperlink" Target="https://drive.google.com/open?id=1leDw1-jtTwFoQr7A_pjv0rT3Hh1Y4O5y&amp;usp=drive_copy" TargetMode="External"/><Relationship Id="rId1376" Type="http://schemas.openxmlformats.org/officeDocument/2006/relationships/hyperlink" Target="https://drive.google.com/open?id=1WIDAEqYg29FB70-VMBykzY-P3akB1MtR&amp;usp=drive_copy" TargetMode="External"/><Relationship Id="rId301" Type="http://schemas.openxmlformats.org/officeDocument/2006/relationships/hyperlink" Target="https://drive.google.com/open?id=1yTMJOYC58-xDeKjiNcTOKKnOoB1O062x&amp;usp=drive_copy" TargetMode="External"/><Relationship Id="rId953" Type="http://schemas.openxmlformats.org/officeDocument/2006/relationships/hyperlink" Target="https://drive.google.com/open?id=120JAQ078UybFx7QZ_Ax8gV6JcySAybvQ&amp;usp=drive_copy" TargetMode="External"/><Relationship Id="rId1029" Type="http://schemas.openxmlformats.org/officeDocument/2006/relationships/hyperlink" Target="https://drive.google.com/thumbnail?id=" TargetMode="External"/><Relationship Id="rId1236" Type="http://schemas.openxmlformats.org/officeDocument/2006/relationships/hyperlink" Target="https://drive.google.com/thumbnail?id=" TargetMode="External"/><Relationship Id="rId82" Type="http://schemas.openxmlformats.org/officeDocument/2006/relationships/hyperlink" Target="https://drive.google.com/open?id=15IXDeBgIba_zHaVQQFY5F62Csx77oJuI&amp;usp=drive_copy" TargetMode="External"/><Relationship Id="rId606" Type="http://schemas.openxmlformats.org/officeDocument/2006/relationships/hyperlink" Target="https://drive.google.com/thumbnail?id=" TargetMode="External"/><Relationship Id="rId813" Type="http://schemas.openxmlformats.org/officeDocument/2006/relationships/hyperlink" Target="https://drive.google.com/thumbnail?id=" TargetMode="External"/><Relationship Id="rId1443" Type="http://schemas.openxmlformats.org/officeDocument/2006/relationships/hyperlink" Target="https://drive.google.com/thumbnail?id=" TargetMode="External"/><Relationship Id="rId1303" Type="http://schemas.openxmlformats.org/officeDocument/2006/relationships/hyperlink" Target="https://drive.google.com/open?id=1I4iGXWxxNaItnmhAmi2vnsNKps3qlez-&amp;usp=drive_copy" TargetMode="External"/><Relationship Id="rId1510" Type="http://schemas.openxmlformats.org/officeDocument/2006/relationships/table" Target="../tables/table3.xml"/><Relationship Id="rId189" Type="http://schemas.openxmlformats.org/officeDocument/2006/relationships/hyperlink" Target="https://drive.google.com/thumbnail?id=" TargetMode="External"/><Relationship Id="rId396" Type="http://schemas.openxmlformats.org/officeDocument/2006/relationships/hyperlink" Target="https://drive.google.com/thumbnail?id=" TargetMode="External"/><Relationship Id="rId256" Type="http://schemas.openxmlformats.org/officeDocument/2006/relationships/hyperlink" Target="https://drive.google.com/open?id=1jwFOJLhbrNz0cbT00ZAbGoxVwN-OREjz&amp;usp=drive_copy" TargetMode="External"/><Relationship Id="rId463" Type="http://schemas.openxmlformats.org/officeDocument/2006/relationships/hyperlink" Target="https://drive.google.com/open?id=1Vk83k9iS9C8_ByIUjMBV_2RdcjrJ4MYx&amp;usp=drive_copy" TargetMode="External"/><Relationship Id="rId670" Type="http://schemas.openxmlformats.org/officeDocument/2006/relationships/hyperlink" Target="https://drive.google.com/open?id=1ygthnuaO7Y1gTpB5qQ5lkwRmyRoESQxX&amp;usp=drive_copy" TargetMode="External"/><Relationship Id="rId1093" Type="http://schemas.openxmlformats.org/officeDocument/2006/relationships/hyperlink" Target="https://drive.google.com/open?id=1_XIKDtsvDl6_wb0umFlTuFr-QvLbisJs&amp;usp=drive_copy" TargetMode="External"/><Relationship Id="rId116" Type="http://schemas.openxmlformats.org/officeDocument/2006/relationships/hyperlink" Target="https://drive.google.com/open?id=1GGOspEJxKjDIgIBRW1Mwi8k5-EYZJvh-&amp;usp=drive_copy" TargetMode="External"/><Relationship Id="rId323" Type="http://schemas.openxmlformats.org/officeDocument/2006/relationships/hyperlink" Target="https://drive.google.com/open?id=11GmB93zVfCQzjqqL0OE3EmDn38uLM_zv&amp;usp=drive_copy" TargetMode="External"/><Relationship Id="rId530" Type="http://schemas.openxmlformats.org/officeDocument/2006/relationships/hyperlink" Target="https://drive.google.com/open?id=1c6Fw9D2YJHTyCt1VJ2S-8GOwwM2B0MO9&amp;usp=drive_copy" TargetMode="External"/><Relationship Id="rId768" Type="http://schemas.openxmlformats.org/officeDocument/2006/relationships/hyperlink" Target="https://drive.google.com/thumbnail?id=" TargetMode="External"/><Relationship Id="rId975" Type="http://schemas.openxmlformats.org/officeDocument/2006/relationships/hyperlink" Target="https://drive.google.com/thumbnail?id=" TargetMode="External"/><Relationship Id="rId1160" Type="http://schemas.openxmlformats.org/officeDocument/2006/relationships/hyperlink" Target="https://drive.google.com/open?id=1kpVwOHdRqVZbFtP3S6bgOcRp1iJhmegl&amp;usp=drive_copy" TargetMode="External"/><Relationship Id="rId1398" Type="http://schemas.openxmlformats.org/officeDocument/2006/relationships/hyperlink" Target="https://drive.google.com/thumbnail?id=" TargetMode="External"/><Relationship Id="rId628" Type="http://schemas.openxmlformats.org/officeDocument/2006/relationships/hyperlink" Target="https://drive.google.com/open?id=1rRjY8u16cOGClewUgduiX822fwlK0Fbu&amp;usp=drive_copy" TargetMode="External"/><Relationship Id="rId835" Type="http://schemas.openxmlformats.org/officeDocument/2006/relationships/hyperlink" Target="https://drive.google.com/open?id=1YdqBWY7AOqNLpfBXwXJmxbHHVEiCsLoP&amp;usp=drive_copy" TargetMode="External"/><Relationship Id="rId1258" Type="http://schemas.openxmlformats.org/officeDocument/2006/relationships/hyperlink" Target="https://drive.google.com/open?id=16XWcFQaOqWrkgVpphY6Yz0TzA_sTEArC&amp;usp=drive_copy" TargetMode="External"/><Relationship Id="rId1465" Type="http://schemas.openxmlformats.org/officeDocument/2006/relationships/hyperlink" Target="https://drive.google.com/open?id=1vpXAcRZ-M3gA1RpEjap9fdk0Idkw1uxW&amp;usp=drive_copy" TargetMode="External"/><Relationship Id="rId1020" Type="http://schemas.openxmlformats.org/officeDocument/2006/relationships/hyperlink" Target="https://drive.google.com/thumbnail?id=" TargetMode="External"/><Relationship Id="rId1118" Type="http://schemas.openxmlformats.org/officeDocument/2006/relationships/hyperlink" Target="https://drive.google.com/open?id=1dWJzrjrwldQIe0Z4DszRfISAs5t1RHUh&amp;usp=drive_copy" TargetMode="External"/><Relationship Id="rId1325" Type="http://schemas.openxmlformats.org/officeDocument/2006/relationships/hyperlink" Target="https://drive.google.com/open?id=1J6fgdqKpJpkHNFOt4cFcyQvRT4dV_os9&amp;usp=drive_copy" TargetMode="External"/><Relationship Id="rId902" Type="http://schemas.openxmlformats.org/officeDocument/2006/relationships/hyperlink" Target="https://drive.google.com/open?id=1nwxwCb0AJuOqmWS4HdW9R5DeGDJyWB0a&amp;usp=drive_copy" TargetMode="External"/><Relationship Id="rId31" Type="http://schemas.openxmlformats.org/officeDocument/2006/relationships/hyperlink" Target="https://drive.google.com/open?id=1EszjHYXw-iHJcaY3CHY0cWHkG3umDA12&amp;usp=drive_copy" TargetMode="External"/><Relationship Id="rId180" Type="http://schemas.openxmlformats.org/officeDocument/2006/relationships/hyperlink" Target="https://drive.google.com/thumbnail?id=" TargetMode="External"/><Relationship Id="rId278" Type="http://schemas.openxmlformats.org/officeDocument/2006/relationships/hyperlink" Target="https://drive.google.com/open?id=1pkgifQujE_VLL0DaBVhGr3j54Fr8fbea&amp;usp=drive_copy" TargetMode="External"/><Relationship Id="rId485" Type="http://schemas.openxmlformats.org/officeDocument/2006/relationships/hyperlink" Target="https://drive.google.com/open?id=1ZmX7deF1XUzSRWEZtEZPmc4ZwpmaDOFy&amp;usp=drive_copy" TargetMode="External"/><Relationship Id="rId692" Type="http://schemas.openxmlformats.org/officeDocument/2006/relationships/hyperlink" Target="https://drive.google.com/open?id=13JRMmjdBRWQ04ivd6cDqLZLue5ctlQji&amp;usp=drive_copy" TargetMode="External"/><Relationship Id="rId138" Type="http://schemas.openxmlformats.org/officeDocument/2006/relationships/hyperlink" Target="https://drive.google.com/thumbnail?id=" TargetMode="External"/><Relationship Id="rId345" Type="http://schemas.openxmlformats.org/officeDocument/2006/relationships/hyperlink" Target="https://drive.google.com/thumbnail?id=" TargetMode="External"/><Relationship Id="rId552" Type="http://schemas.openxmlformats.org/officeDocument/2006/relationships/hyperlink" Target="https://drive.google.com/thumbnail?id=" TargetMode="External"/><Relationship Id="rId997" Type="http://schemas.openxmlformats.org/officeDocument/2006/relationships/hyperlink" Target="https://drive.google.com/open?id=1BUK3aAs_oOV1rDsVjDeMWyq-n0sSIcfy&amp;usp=drive_copy" TargetMode="External"/><Relationship Id="rId1182" Type="http://schemas.openxmlformats.org/officeDocument/2006/relationships/hyperlink" Target="https://drive.google.com/thumbnail?id=" TargetMode="External"/><Relationship Id="rId205" Type="http://schemas.openxmlformats.org/officeDocument/2006/relationships/hyperlink" Target="https://drive.google.com/open?id=1d54uHfHcNj3tP4Jsxyun7sTeWijQFLmz&amp;usp=drive_copy" TargetMode="External"/><Relationship Id="rId412" Type="http://schemas.openxmlformats.org/officeDocument/2006/relationships/hyperlink" Target="https://drive.google.com/open?id=1IlM6yanrpJ2cqbpG58tnunL6fEcPAmOT&amp;usp=drive_copy" TargetMode="External"/><Relationship Id="rId857" Type="http://schemas.openxmlformats.org/officeDocument/2006/relationships/hyperlink" Target="https://drive.google.com/open?id=1fmQSlDTQ510UYImViIGyNJUgbHlmSiW9&amp;usp=drive_copy" TargetMode="External"/><Relationship Id="rId1042" Type="http://schemas.openxmlformats.org/officeDocument/2006/relationships/hyperlink" Target="https://drive.google.com/open?id=1MJRY7VsO2I61UdHJcRFtUc_i3hv0zDWo&amp;usp=drive_copy" TargetMode="External"/><Relationship Id="rId1487" Type="http://schemas.openxmlformats.org/officeDocument/2006/relationships/hyperlink" Target="https://drive.google.com/open?id=19ImP1xAcruOgJS7ArQBc9pVrLBtNeSUs&amp;usp=drive_copy" TargetMode="External"/><Relationship Id="rId717" Type="http://schemas.openxmlformats.org/officeDocument/2006/relationships/hyperlink" Target="https://drive.google.com/thumbnail?id=" TargetMode="External"/><Relationship Id="rId924" Type="http://schemas.openxmlformats.org/officeDocument/2006/relationships/hyperlink" Target="https://drive.google.com/thumbnail?id=" TargetMode="External"/><Relationship Id="rId1347" Type="http://schemas.openxmlformats.org/officeDocument/2006/relationships/hyperlink" Target="https://drive.google.com/thumbnail?id=" TargetMode="External"/><Relationship Id="rId53" Type="http://schemas.openxmlformats.org/officeDocument/2006/relationships/hyperlink" Target="https://drive.google.com/open?id=1MHFIFiYFLQoMFUj4EYL0gAvceOO9K6mv&amp;usp=drive_copy" TargetMode="External"/><Relationship Id="rId1207" Type="http://schemas.openxmlformats.org/officeDocument/2006/relationships/hyperlink" Target="https://drive.google.com/open?id=1vNWsNBiGi5GvRU8vidCvelHoLcq2nO0m&amp;usp=drive_copy" TargetMode="External"/><Relationship Id="rId1414" Type="http://schemas.openxmlformats.org/officeDocument/2006/relationships/hyperlink" Target="https://drive.google.com/open?id=1kN3JPA-ANATZFO0DW48QSbFJguQ3Oh2N&amp;usp=drive_copy" TargetMode="External"/><Relationship Id="rId367" Type="http://schemas.openxmlformats.org/officeDocument/2006/relationships/hyperlink" Target="https://drive.google.com/open?id=1AHrMJykTqheCM43_CSgP-7wsTsuaj223&amp;usp=drive_copy" TargetMode="External"/><Relationship Id="rId574" Type="http://schemas.openxmlformats.org/officeDocument/2006/relationships/hyperlink" Target="https://drive.google.com/open?id=1jcY4TRcrjjKpGMYB54wbhRlxux8GqRD6&amp;usp=drive_copy" TargetMode="External"/><Relationship Id="rId227" Type="http://schemas.openxmlformats.org/officeDocument/2006/relationships/hyperlink" Target="https://drive.google.com/open?id=1fh1Ed4k3O0Wnm6cyEMa4LpZmPL5-o_Nm&amp;usp=drive_copy" TargetMode="External"/><Relationship Id="rId781" Type="http://schemas.openxmlformats.org/officeDocument/2006/relationships/hyperlink" Target="https://drive.google.com/open?id=1QB6qW0UGKSivxX3t5xk4od42JRyXcJHo&amp;usp=drive_copy" TargetMode="External"/><Relationship Id="rId879" Type="http://schemas.openxmlformats.org/officeDocument/2006/relationships/hyperlink" Target="https://drive.google.com/thumbnail?id=" TargetMode="External"/><Relationship Id="rId434" Type="http://schemas.openxmlformats.org/officeDocument/2006/relationships/hyperlink" Target="https://drive.google.com/open?id=1Og91zk3y9o4Y8HdtQFcNz32TlKm48NG6&amp;usp=drive_copy" TargetMode="External"/><Relationship Id="rId641" Type="http://schemas.openxmlformats.org/officeDocument/2006/relationships/hyperlink" Target="https://drive.google.com/open?id=1sdjQJ_EVwwSemgt8NF6Tr3A5GRkwwRFN&amp;usp=drive_copy" TargetMode="External"/><Relationship Id="rId739" Type="http://schemas.openxmlformats.org/officeDocument/2006/relationships/hyperlink" Target="https://drive.google.com/open?id=1IF6fBpcrOEqDgpjJFmgZEM9U2Tz-TqMu&amp;usp=drive_copy" TargetMode="External"/><Relationship Id="rId1064" Type="http://schemas.openxmlformats.org/officeDocument/2006/relationships/hyperlink" Target="https://drive.google.com/open?id=1QJYnNPPyJ2Zrr1-secWB1bNi56L2AEYV&amp;usp=drive_copy" TargetMode="External"/><Relationship Id="rId1271" Type="http://schemas.openxmlformats.org/officeDocument/2006/relationships/hyperlink" Target="https://drive.google.com/open?id=1A52Go8-VvGZvqU4tC8cqULnCAcNYh_Dq&amp;usp=drive_copy" TargetMode="External"/><Relationship Id="rId1369" Type="http://schemas.openxmlformats.org/officeDocument/2006/relationships/hyperlink" Target="https://drive.google.com/open?id=1Uo5cwb-IobssLEWJ0crdEGdndBt9djMJ&amp;usp=drive_copy" TargetMode="External"/><Relationship Id="rId501" Type="http://schemas.openxmlformats.org/officeDocument/2006/relationships/hyperlink" Target="https://drive.google.com/thumbnail?id=" TargetMode="External"/><Relationship Id="rId946" Type="http://schemas.openxmlformats.org/officeDocument/2006/relationships/hyperlink" Target="https://drive.google.com/open?id=1-4T0AvbdJwG0u7A6f4AXWWKM119VMaQy&amp;usp=drive_copy" TargetMode="External"/><Relationship Id="rId1131" Type="http://schemas.openxmlformats.org/officeDocument/2006/relationships/hyperlink" Target="https://drive.google.com/thumbnail?id=" TargetMode="External"/><Relationship Id="rId1229" Type="http://schemas.openxmlformats.org/officeDocument/2006/relationships/hyperlink" Target="https://drive.google.com/open?id=1zeIBGzAFqTuteh2yubD8LcTRyzIDuFYR&amp;usp=drive_copy" TargetMode="External"/><Relationship Id="rId75" Type="http://schemas.openxmlformats.org/officeDocument/2006/relationships/hyperlink" Target="https://drive.google.com/thumbnail?id=" TargetMode="External"/><Relationship Id="rId806" Type="http://schemas.openxmlformats.org/officeDocument/2006/relationships/hyperlink" Target="https://drive.google.com/open?id=1T-Mw7DI5FaZUc_NvaeZwJb78s55WlKLY&amp;usp=drive_copy" TargetMode="External"/><Relationship Id="rId1436" Type="http://schemas.openxmlformats.org/officeDocument/2006/relationships/hyperlink" Target="https://drive.google.com/open?id=1nN5U9JenyQ1vE-UPiUAHinR4yr5SIjmO&amp;usp=drive_copy" TargetMode="External"/><Relationship Id="rId1503" Type="http://schemas.openxmlformats.org/officeDocument/2006/relationships/hyperlink" Target="https://drive.google.com/thumbnail?id=" TargetMode="External"/><Relationship Id="rId291" Type="http://schemas.openxmlformats.org/officeDocument/2006/relationships/hyperlink" Target="https://drive.google.com/thumbnail?id=" TargetMode="External"/><Relationship Id="rId151" Type="http://schemas.openxmlformats.org/officeDocument/2006/relationships/hyperlink" Target="https://drive.google.com/open?id=1QK1u21Cvlw509NRerCJKRsWK7g6v8H4y&amp;usp=drive_copy" TargetMode="External"/><Relationship Id="rId389" Type="http://schemas.openxmlformats.org/officeDocument/2006/relationships/hyperlink" Target="https://drive.google.com/open?id=1DQBl2dZRh1yEEM1xcM4XF2QwfKd4F74Z&amp;usp=drive_copy" TargetMode="External"/><Relationship Id="rId596" Type="http://schemas.openxmlformats.org/officeDocument/2006/relationships/hyperlink" Target="https://drive.google.com/open?id=1o61ItyOVMYoDd53TV3uFzc2dSmK2SbeL&amp;usp=drive_copy" TargetMode="External"/><Relationship Id="rId249" Type="http://schemas.openxmlformats.org/officeDocument/2006/relationships/hyperlink" Target="https://drive.google.com/thumbnail?id=" TargetMode="External"/><Relationship Id="rId456" Type="http://schemas.openxmlformats.org/officeDocument/2006/relationships/hyperlink" Target="https://drive.google.com/thumbnail?id=" TargetMode="External"/><Relationship Id="rId663" Type="http://schemas.openxmlformats.org/officeDocument/2006/relationships/hyperlink" Target="https://drive.google.com/thumbnail?id=" TargetMode="External"/><Relationship Id="rId870" Type="http://schemas.openxmlformats.org/officeDocument/2006/relationships/hyperlink" Target="https://drive.google.com/thumbnail?id=" TargetMode="External"/><Relationship Id="rId1086" Type="http://schemas.openxmlformats.org/officeDocument/2006/relationships/hyperlink" Target="https://drive.google.com/thumbnail?id=" TargetMode="External"/><Relationship Id="rId1293" Type="http://schemas.openxmlformats.org/officeDocument/2006/relationships/hyperlink" Target="https://drive.google.com/thumbnail?id=" TargetMode="External"/><Relationship Id="rId109" Type="http://schemas.openxmlformats.org/officeDocument/2006/relationships/hyperlink" Target="https://drive.google.com/open?id=1FVB35aYWoVsunTt9qluc2KPsSRn7VTyM&amp;usp=drive_copy" TargetMode="External"/><Relationship Id="rId316" Type="http://schemas.openxmlformats.org/officeDocument/2006/relationships/hyperlink" Target="https://drive.google.com/open?id=10tFBnqP5O15HyQD6HT-31i6NwXyzKUi7&amp;usp=drive_copy" TargetMode="External"/><Relationship Id="rId523" Type="http://schemas.openxmlformats.org/officeDocument/2006/relationships/hyperlink" Target="https://drive.google.com/open?id=1bf0lcDLyenJ3wlSD7hAjVrGtHN24NdX1&amp;usp=drive_copy" TargetMode="External"/><Relationship Id="rId968" Type="http://schemas.openxmlformats.org/officeDocument/2006/relationships/hyperlink" Target="https://drive.google.com/open?id=14K9Anw41svQ-yF0ovaB71TeFOXc74osh&amp;usp=drive_copy" TargetMode="External"/><Relationship Id="rId1153" Type="http://schemas.openxmlformats.org/officeDocument/2006/relationships/hyperlink" Target="https://drive.google.com/open?id=1iP-NZo1-QHJjAeyJFKOkc3Ku_DaSk33t&amp;usp=drive_copy" TargetMode="External"/><Relationship Id="rId97" Type="http://schemas.openxmlformats.org/officeDocument/2006/relationships/hyperlink" Target="https://drive.google.com/open?id=1AvYjLblYNuPPv3fwIAi7lcN7GImcSoyR&amp;usp=drive_copy" TargetMode="External"/><Relationship Id="rId730" Type="http://schemas.openxmlformats.org/officeDocument/2006/relationships/hyperlink" Target="https://drive.google.com/open?id=1EL1VJgKnZbP6vtiSrQaPwTqMoMErgSRE&amp;usp=drive_copy" TargetMode="External"/><Relationship Id="rId828" Type="http://schemas.openxmlformats.org/officeDocument/2006/relationships/hyperlink" Target="https://drive.google.com/thumbnail?id=" TargetMode="External"/><Relationship Id="rId1013" Type="http://schemas.openxmlformats.org/officeDocument/2006/relationships/hyperlink" Target="https://drive.google.com/open?id=1FuOCAO5OO3wh2bg-9G759FCa1zxh70as&amp;usp=drive_copy" TargetMode="External"/><Relationship Id="rId1360" Type="http://schemas.openxmlformats.org/officeDocument/2006/relationships/hyperlink" Target="https://drive.google.com/open?id=1RmtJWXSHawfDZsmRUM5URC_I76OW-30d&amp;usp=drive_copy" TargetMode="External"/><Relationship Id="rId1458" Type="http://schemas.openxmlformats.org/officeDocument/2006/relationships/hyperlink" Target="https://drive.google.com/thumbnail?id=" TargetMode="External"/><Relationship Id="rId1220" Type="http://schemas.openxmlformats.org/officeDocument/2006/relationships/hyperlink" Target="https://drive.google.com/open?id=1yPZMDVYtYHotjnBW-IDDCPs5OddAxJ-r&amp;usp=drive_copy" TargetMode="External"/><Relationship Id="rId1318" Type="http://schemas.openxmlformats.org/officeDocument/2006/relationships/hyperlink" Target="https://drive.google.com/open?id=1Ij90uduT3z9B1VwiAq9MmPQ-ikxdhmm4&amp;usp=drive_copy" TargetMode="External"/><Relationship Id="rId24" Type="http://schemas.openxmlformats.org/officeDocument/2006/relationships/hyperlink" Target="https://drive.google.com/thumbnail?id=" TargetMode="External"/><Relationship Id="rId173" Type="http://schemas.openxmlformats.org/officeDocument/2006/relationships/hyperlink" Target="https://drive.google.com/open?id=1Te464DxdvcaAq0qSPzCJACHvKWDPgcoh&amp;usp=drive_copy" TargetMode="External"/><Relationship Id="rId380" Type="http://schemas.openxmlformats.org/officeDocument/2006/relationships/hyperlink" Target="https://drive.google.com/open?id=1CL_UJ_Ub2eLPwFba-__pwSdFpxxKeWJz&amp;usp=drive_copy" TargetMode="External"/><Relationship Id="rId240" Type="http://schemas.openxmlformats.org/officeDocument/2006/relationships/hyperlink" Target="https://drive.google.com/thumbnail?id=" TargetMode="External"/><Relationship Id="rId478" Type="http://schemas.openxmlformats.org/officeDocument/2006/relationships/hyperlink" Target="https://drive.google.com/open?id=1YS5mwoRLPst1wESeZ_A_P13oHApCFlLJ&amp;usp=drive_copy" TargetMode="External"/><Relationship Id="rId685" Type="http://schemas.openxmlformats.org/officeDocument/2006/relationships/hyperlink" Target="https://drive.google.com/open?id=11LjI8dT24ysu__meBaYGcbljxaJygwTu&amp;usp=drive_copy" TargetMode="External"/><Relationship Id="rId892" Type="http://schemas.openxmlformats.org/officeDocument/2006/relationships/hyperlink" Target="https://drive.google.com/open?id=1lIMVbPUDEcbg3ryltn7baOfTdOyDx1Jd&amp;usp=drive_copy" TargetMode="External"/><Relationship Id="rId100" Type="http://schemas.openxmlformats.org/officeDocument/2006/relationships/hyperlink" Target="https://drive.google.com/open?id=1BHA-DXjFO4LDqhOvNzV9vBdpHZzOasQk&amp;usp=drive_copy" TargetMode="External"/><Relationship Id="rId338" Type="http://schemas.openxmlformats.org/officeDocument/2006/relationships/hyperlink" Target="https://drive.google.com/open?id=13iqHT3Ky5h-3k7JOH6sykdrz5NPzb7zk&amp;usp=drive_copy" TargetMode="External"/><Relationship Id="rId545" Type="http://schemas.openxmlformats.org/officeDocument/2006/relationships/hyperlink" Target="https://drive.google.com/open?id=1fRylZI7OlsD53CMsSNwUT4vxjgMKZI6X&amp;usp=drive_copy" TargetMode="External"/><Relationship Id="rId752" Type="http://schemas.openxmlformats.org/officeDocument/2006/relationships/hyperlink" Target="https://drive.google.com/open?id=1KipDnnL_fLi-UG8RZqHPGJvY480_LpuL&amp;usp=drive_copy" TargetMode="External"/><Relationship Id="rId1175" Type="http://schemas.openxmlformats.org/officeDocument/2006/relationships/hyperlink" Target="https://drive.google.com/open?id=1mI6nDU6j2OF1DXqknC9kEcvDflU-vhh9&amp;usp=drive_copy" TargetMode="External"/><Relationship Id="rId1382" Type="http://schemas.openxmlformats.org/officeDocument/2006/relationships/hyperlink" Target="https://drive.google.com/open?id=1YajpKD-DS-uxhhL31RExK6v5XtH4NQ2n&amp;usp=drive_copy" TargetMode="External"/><Relationship Id="rId405" Type="http://schemas.openxmlformats.org/officeDocument/2006/relationships/hyperlink" Target="https://drive.google.com/thumbnail?id=" TargetMode="External"/><Relationship Id="rId612" Type="http://schemas.openxmlformats.org/officeDocument/2006/relationships/hyperlink" Target="https://drive.google.com/thumbnail?id=" TargetMode="External"/><Relationship Id="rId1035" Type="http://schemas.openxmlformats.org/officeDocument/2006/relationships/hyperlink" Target="https://drive.google.com/thumbnail?id=" TargetMode="External"/><Relationship Id="rId1242" Type="http://schemas.openxmlformats.org/officeDocument/2006/relationships/hyperlink" Target="https://drive.google.com/thumbnail?id=" TargetMode="External"/><Relationship Id="rId917" Type="http://schemas.openxmlformats.org/officeDocument/2006/relationships/hyperlink" Target="https://drive.google.com/open?id=1r5j0ItP1WPA-PeC5oQWzlkaM00sO_J8s&amp;usp=drive_copy" TargetMode="External"/><Relationship Id="rId1102" Type="http://schemas.openxmlformats.org/officeDocument/2006/relationships/hyperlink" Target="https://drive.google.com/open?id=1b1bBYkR9Zpyr5iUJeizYAMgXoGUFXawC&amp;usp=drive_copy" TargetMode="External"/><Relationship Id="rId46" Type="http://schemas.openxmlformats.org/officeDocument/2006/relationships/hyperlink" Target="https://drive.google.com/open?id=1LX939mNz9sQOS4XOIu8GC8aCW77U01r7&amp;usp=drive_copy" TargetMode="External"/><Relationship Id="rId1407" Type="http://schemas.openxmlformats.org/officeDocument/2006/relationships/hyperlink" Target="https://drive.google.com/thumbnail?id=" TargetMode="External"/><Relationship Id="rId195" Type="http://schemas.openxmlformats.org/officeDocument/2006/relationships/hyperlink" Target="https://drive.google.com/thumbnail?id=" TargetMode="External"/><Relationship Id="rId262" Type="http://schemas.openxmlformats.org/officeDocument/2006/relationships/hyperlink" Target="https://drive.google.com/open?id=1ka4lPQLBfBLsbgLj0VOnhua20a0zVaSi&amp;usp=drive_copy" TargetMode="External"/><Relationship Id="rId567" Type="http://schemas.openxmlformats.org/officeDocument/2006/relationships/hyperlink" Target="https://drive.google.com/thumbnail?id=" TargetMode="External"/><Relationship Id="rId1197" Type="http://schemas.openxmlformats.org/officeDocument/2006/relationships/hyperlink" Target="https://drive.google.com/thumbnail?id=" TargetMode="External"/><Relationship Id="rId122" Type="http://schemas.openxmlformats.org/officeDocument/2006/relationships/hyperlink" Target="https://drive.google.com/open?id=1J4YGXEggQtwPtkjGpqNpPL9NXvpIqn50&amp;usp=drive_copy" TargetMode="External"/><Relationship Id="rId774" Type="http://schemas.openxmlformats.org/officeDocument/2006/relationships/hyperlink" Target="https://drive.google.com/thumbnail?id=" TargetMode="External"/><Relationship Id="rId981" Type="http://schemas.openxmlformats.org/officeDocument/2006/relationships/hyperlink" Target="https://drive.google.com/thumbnail?id=" TargetMode="External"/><Relationship Id="rId1057" Type="http://schemas.openxmlformats.org/officeDocument/2006/relationships/hyperlink" Target="https://drive.google.com/open?id=1PVGV5Qn7G_TMuKB4X8l_kJ226Qdnh3QG&amp;usp=drive_copy" TargetMode="External"/><Relationship Id="rId427" Type="http://schemas.openxmlformats.org/officeDocument/2006/relationships/hyperlink" Target="https://drive.google.com/open?id=1MJFM8r3OWb8CgSh5M3wPAawWu7zJXuwh&amp;usp=drive_copy" TargetMode="External"/><Relationship Id="rId634" Type="http://schemas.openxmlformats.org/officeDocument/2006/relationships/hyperlink" Target="https://drive.google.com/open?id=1rzQGIYWGEc_nPpJvk2uyXsimIKKCLC41&amp;usp=drive_copy" TargetMode="External"/><Relationship Id="rId841" Type="http://schemas.openxmlformats.org/officeDocument/2006/relationships/hyperlink" Target="https://drive.google.com/open?id=1_Jx2vD8SxQiIFBzVKcwIw4fb3Hnn59CE&amp;usp=drive_copy" TargetMode="External"/><Relationship Id="rId1264" Type="http://schemas.openxmlformats.org/officeDocument/2006/relationships/hyperlink" Target="https://drive.google.com/open?id=18SudROybyII5Vl0MY76R7ZRX6TUya_FK&amp;usp=drive_copy" TargetMode="External"/><Relationship Id="rId1471" Type="http://schemas.openxmlformats.org/officeDocument/2006/relationships/hyperlink" Target="https://drive.google.com/open?id=1wJTn6gD4hT0Zg6oyh4BMGqGUgMZPadkv&amp;usp=drive_copy" TargetMode="External"/><Relationship Id="rId701" Type="http://schemas.openxmlformats.org/officeDocument/2006/relationships/hyperlink" Target="https://drive.google.com/open?id=18-1ENe7MqE29fwrG772T73KbPuX0RE9c&amp;usp=drive_copy" TargetMode="External"/><Relationship Id="rId939" Type="http://schemas.openxmlformats.org/officeDocument/2006/relationships/hyperlink" Target="https://drive.google.com/thumbnail?id=" TargetMode="External"/><Relationship Id="rId1124" Type="http://schemas.openxmlformats.org/officeDocument/2006/relationships/hyperlink" Target="https://drive.google.com/open?id=1eErTtWnaqaCkESAnkm_kBodjDgPU3aLQ&amp;usp=drive_copy" TargetMode="External"/><Relationship Id="rId1331" Type="http://schemas.openxmlformats.org/officeDocument/2006/relationships/hyperlink" Target="https://drive.google.com/open?id=1K05gIEW031wvhfp9GlIKX__m8PrmB9xG&amp;usp=drive_copy" TargetMode="External"/><Relationship Id="rId68" Type="http://schemas.openxmlformats.org/officeDocument/2006/relationships/hyperlink" Target="https://drive.google.com/open?id=11QaBIWsTqD3JvPx5W7B_k1RdfWHWjBks&amp;usp=drive_copy" TargetMode="External"/><Relationship Id="rId1429" Type="http://schemas.openxmlformats.org/officeDocument/2006/relationships/hyperlink" Target="https://drive.google.com/open?id=1mip6mcJ0Uf2DCE5NZtUJYYwGk-p_Ie09&amp;usp=drive_copy" TargetMode="External"/><Relationship Id="rId284" Type="http://schemas.openxmlformats.org/officeDocument/2006/relationships/hyperlink" Target="https://drive.google.com/open?id=1soB4Je467d8WNavP4YkTcAcJWDeAifBt&amp;usp=drive_copy" TargetMode="External"/><Relationship Id="rId491" Type="http://schemas.openxmlformats.org/officeDocument/2006/relationships/hyperlink" Target="https://drive.google.com/open?id=1_AWBfdkGkbGx6JZe3ut9DJdi2i2lmzSo&amp;usp=drive_copy" TargetMode="External"/><Relationship Id="rId144" Type="http://schemas.openxmlformats.org/officeDocument/2006/relationships/hyperlink" Target="https://drive.google.com/thumbnail?id=" TargetMode="External"/><Relationship Id="rId589" Type="http://schemas.openxmlformats.org/officeDocument/2006/relationships/hyperlink" Target="https://drive.google.com/open?id=1nQ2gTIbtse66x8xU_YLzhnOQYAbMRCJs&amp;usp=drive_copy" TargetMode="External"/><Relationship Id="rId796" Type="http://schemas.openxmlformats.org/officeDocument/2006/relationships/hyperlink" Target="https://drive.google.com/open?id=1S-dRPWlHQKEoBgPejeOjyCIHKl8PLJJM&amp;usp=drive_copy" TargetMode="External"/><Relationship Id="rId351" Type="http://schemas.openxmlformats.org/officeDocument/2006/relationships/hyperlink" Target="https://drive.google.com/thumbnail?id=" TargetMode="External"/><Relationship Id="rId449" Type="http://schemas.openxmlformats.org/officeDocument/2006/relationships/hyperlink" Target="https://drive.google.com/open?id=1SHDW6MrLu1aBIsNixpWeLPtzjw86ogWw&amp;usp=drive_copy" TargetMode="External"/><Relationship Id="rId656" Type="http://schemas.openxmlformats.org/officeDocument/2006/relationships/hyperlink" Target="https://drive.google.com/open?id=1x9lZEp1yLPSoVytsk2j8GOoN6jBX_90A&amp;usp=drive_copy" TargetMode="External"/><Relationship Id="rId863" Type="http://schemas.openxmlformats.org/officeDocument/2006/relationships/hyperlink" Target="https://drive.google.com/open?id=1gS6TkSr42Df5UILoVcZJnOG1mMp06tLO&amp;usp=drive_copy" TargetMode="External"/><Relationship Id="rId1079" Type="http://schemas.openxmlformats.org/officeDocument/2006/relationships/hyperlink" Target="https://drive.google.com/open?id=1Ut7z1r3FUggcZw1BBRR2W783_l2CZfUV&amp;usp=drive_copy" TargetMode="External"/><Relationship Id="rId1286" Type="http://schemas.openxmlformats.org/officeDocument/2006/relationships/hyperlink" Target="https://drive.google.com/open?id=1Eou40YSyEU5S3DpHZzCkQqN-nKcaYtcJ&amp;usp=drive_copy" TargetMode="External"/><Relationship Id="rId1493" Type="http://schemas.openxmlformats.org/officeDocument/2006/relationships/hyperlink" Target="https://drive.google.com/open?id=1iLjVtQsvwb6WpKHdsLarFwT1a_PoQJAm&amp;usp=drive_copy" TargetMode="External"/><Relationship Id="rId211" Type="http://schemas.openxmlformats.org/officeDocument/2006/relationships/hyperlink" Target="https://drive.google.com/open?id=1e9M7G0Ac2SWr9GfTs1uKkM0pzcFZAuj6&amp;usp=drive_copy" TargetMode="External"/><Relationship Id="rId309" Type="http://schemas.openxmlformats.org/officeDocument/2006/relationships/hyperlink" Target="https://drive.google.com/thumbnail?id=" TargetMode="External"/><Relationship Id="rId516" Type="http://schemas.openxmlformats.org/officeDocument/2006/relationships/hyperlink" Target="https://drive.google.com/thumbnail?id=" TargetMode="External"/><Relationship Id="rId1146" Type="http://schemas.openxmlformats.org/officeDocument/2006/relationships/hyperlink" Target="https://drive.google.com/thumbnail?id=" TargetMode="External"/><Relationship Id="rId723" Type="http://schemas.openxmlformats.org/officeDocument/2006/relationships/hyperlink" Target="https://drive.google.com/thumbnail?id=" TargetMode="External"/><Relationship Id="rId930" Type="http://schemas.openxmlformats.org/officeDocument/2006/relationships/hyperlink" Target="https://drive.google.com/thumbnail?id=" TargetMode="External"/><Relationship Id="rId1006" Type="http://schemas.openxmlformats.org/officeDocument/2006/relationships/hyperlink" Target="https://drive.google.com/open?id=1CLEJLDBeiRs9aAk2dqd4TKGMdK4D2VKK&amp;usp=drive_copy" TargetMode="External"/><Relationship Id="rId1353" Type="http://schemas.openxmlformats.org/officeDocument/2006/relationships/hyperlink" Target="https://drive.google.com/thumbnail?id=" TargetMode="External"/><Relationship Id="rId1213" Type="http://schemas.openxmlformats.org/officeDocument/2006/relationships/hyperlink" Target="https://drive.google.com/open?id=1x9D4uo3_dGK7z67W9aITqYVhLKK1EVCP&amp;usp=drive_copy" TargetMode="External"/><Relationship Id="rId1420" Type="http://schemas.openxmlformats.org/officeDocument/2006/relationships/hyperlink" Target="https://drive.google.com/open?id=1mJ_xFqyIj6SHNJuE6y8hFgTR0IsZdwYi&amp;usp=drive_copy" TargetMode="External"/><Relationship Id="rId17" Type="http://schemas.openxmlformats.org/officeDocument/2006/relationships/hyperlink" Target="https://drive.google.com/open?id=16Bq1xo_vGYjvOVhp1SbJ2HooTikf7w95&amp;usp=drive_copy" TargetMode="External"/><Relationship Id="rId166" Type="http://schemas.openxmlformats.org/officeDocument/2006/relationships/hyperlink" Target="https://drive.google.com/open?id=1S_dtz_Xly4Dw9YZ1g8ETbLRs4EoyrUTr&amp;usp=drive_copy" TargetMode="External"/><Relationship Id="rId373" Type="http://schemas.openxmlformats.org/officeDocument/2006/relationships/hyperlink" Target="https://drive.google.com/open?id=1BTmeQsiy1VBiimhsi7Gh4QyvuUx2Z3LW&amp;usp=drive_copy" TargetMode="External"/><Relationship Id="rId580" Type="http://schemas.openxmlformats.org/officeDocument/2006/relationships/hyperlink" Target="https://drive.google.com/open?id=1kMuhCmuTG4KbX5OvaDL_3AFMY2lH1a7D&amp;usp=drive_copy" TargetMode="External"/><Relationship Id="rId1" Type="http://schemas.openxmlformats.org/officeDocument/2006/relationships/hyperlink" Target="https://drive.google.com/open?id=1-_TZiNAm3fq0oPTHhDpbYRzziDKyDDWl&amp;usp=drive_copy" TargetMode="External"/><Relationship Id="rId233" Type="http://schemas.openxmlformats.org/officeDocument/2006/relationships/hyperlink" Target="https://drive.google.com/open?id=1fxsI6JhzjkJk_hAwsSqA6KrnqvGNHg4a&amp;usp=drive_copy" TargetMode="External"/><Relationship Id="rId440" Type="http://schemas.openxmlformats.org/officeDocument/2006/relationships/hyperlink" Target="https://drive.google.com/open?id=1RRkvxCb3RZjwnKxGAJRA0TqkIGrqXNGc&amp;usp=drive_copy" TargetMode="External"/><Relationship Id="rId678" Type="http://schemas.openxmlformats.org/officeDocument/2006/relationships/hyperlink" Target="https://drive.google.com/thumbnail?id=" TargetMode="External"/><Relationship Id="rId885" Type="http://schemas.openxmlformats.org/officeDocument/2006/relationships/hyperlink" Target="https://drive.google.com/thumbnail?id=" TargetMode="External"/><Relationship Id="rId1070" Type="http://schemas.openxmlformats.org/officeDocument/2006/relationships/hyperlink" Target="https://drive.google.com/open?id=1SH0c9w2AIJoLQuhbZssfjuIJGgGI1ICy&amp;usp=drive_copy" TargetMode="External"/><Relationship Id="rId300" Type="http://schemas.openxmlformats.org/officeDocument/2006/relationships/hyperlink" Target="https://drive.google.com/thumbnail?id=" TargetMode="External"/><Relationship Id="rId538" Type="http://schemas.openxmlformats.org/officeDocument/2006/relationships/hyperlink" Target="https://drive.google.com/open?id=1eBu9pN3bZ9QWsLhWr3EWQdbSSKxO5f5y&amp;usp=drive_copy" TargetMode="External"/><Relationship Id="rId745" Type="http://schemas.openxmlformats.org/officeDocument/2006/relationships/hyperlink" Target="https://drive.google.com/open?id=1KBtk8uXVeJYMYgIm4byiZ5RnC-UOvcb3&amp;usp=drive_copy" TargetMode="External"/><Relationship Id="rId952" Type="http://schemas.openxmlformats.org/officeDocument/2006/relationships/hyperlink" Target="https://drive.google.com/open?id=120JAQ078UybFx7QZ_Ax8gV6JcySAybvQ&amp;usp=drive_copy" TargetMode="External"/><Relationship Id="rId1168" Type="http://schemas.openxmlformats.org/officeDocument/2006/relationships/hyperlink" Target="https://drive.google.com/open?id=1leDw1-jtTwFoQr7A_pjv0rT3Hh1Y4O5y&amp;usp=drive_copy" TargetMode="External"/><Relationship Id="rId1375" Type="http://schemas.openxmlformats.org/officeDocument/2006/relationships/hyperlink" Target="https://drive.google.com/open?id=1WIDAEqYg29FB70-VMBykzY-P3akB1MtR&amp;usp=drive_copy" TargetMode="External"/><Relationship Id="rId81" Type="http://schemas.openxmlformats.org/officeDocument/2006/relationships/hyperlink" Target="https://drive.google.com/thumbnail?id=" TargetMode="External"/><Relationship Id="rId605" Type="http://schemas.openxmlformats.org/officeDocument/2006/relationships/hyperlink" Target="https://drive.google.com/open?id=1oveYMHPsT-JpXh2y68bjUXOKoxNT4nSv&amp;usp=drive_copy" TargetMode="External"/><Relationship Id="rId812" Type="http://schemas.openxmlformats.org/officeDocument/2006/relationships/hyperlink" Target="https://drive.google.com/open?id=1TfaJDHRZL7W80ELylZDPbLq9tawZ3k9Z&amp;usp=drive_copy" TargetMode="External"/><Relationship Id="rId1028" Type="http://schemas.openxmlformats.org/officeDocument/2006/relationships/hyperlink" Target="https://drive.google.com/open?id=1J9AjxVlyFvmMvfRtNEAvDTeloG3CFBkp&amp;usp=drive_copy" TargetMode="External"/><Relationship Id="rId1235" Type="http://schemas.openxmlformats.org/officeDocument/2006/relationships/hyperlink" Target="https://drive.google.com/open?id=1-rac9Isjh_PCvofIfyRpu3kADlSBkBqe&amp;usp=drive_copy" TargetMode="External"/><Relationship Id="rId1442" Type="http://schemas.openxmlformats.org/officeDocument/2006/relationships/hyperlink" Target="https://drive.google.com/open?id=1p2leonbDbe9ZhCpfO04ut_weUAUC7SWQ&amp;usp=drive_copy" TargetMode="External"/><Relationship Id="rId1302" Type="http://schemas.openxmlformats.org/officeDocument/2006/relationships/hyperlink" Target="https://drive.google.com/thumbnail?id=" TargetMode="External"/><Relationship Id="rId39" Type="http://schemas.openxmlformats.org/officeDocument/2006/relationships/hyperlink" Target="https://drive.google.com/thumbnail?id=" TargetMode="External"/><Relationship Id="rId188" Type="http://schemas.openxmlformats.org/officeDocument/2006/relationships/hyperlink" Target="https://drive.google.com/open?id=1XruO3T_s_aRo3DU3vQxOyYzA-MtYMU3-&amp;usp=drive_copy" TargetMode="External"/><Relationship Id="rId395" Type="http://schemas.openxmlformats.org/officeDocument/2006/relationships/hyperlink" Target="https://drive.google.com/open?id=1F_uudYog84IdNujWO8-oHwJu6J3sj33k&amp;usp=drive_copy" TargetMode="External"/><Relationship Id="rId255" Type="http://schemas.openxmlformats.org/officeDocument/2006/relationships/hyperlink" Target="https://drive.google.com/thumbnail?id=" TargetMode="External"/><Relationship Id="rId462" Type="http://schemas.openxmlformats.org/officeDocument/2006/relationships/hyperlink" Target="https://drive.google.com/thumbnail?id=" TargetMode="External"/><Relationship Id="rId1092" Type="http://schemas.openxmlformats.org/officeDocument/2006/relationships/hyperlink" Target="https://drive.google.com/thumbnail?id=" TargetMode="External"/><Relationship Id="rId1397" Type="http://schemas.openxmlformats.org/officeDocument/2006/relationships/hyperlink" Target="https://drive.google.com/open?id=1dyisdGn1jspO6iE5vtquAqWkShNnGINc&amp;usp=drive_copy" TargetMode="External"/><Relationship Id="rId115" Type="http://schemas.openxmlformats.org/officeDocument/2006/relationships/hyperlink" Target="https://drive.google.com/open?id=1GGOspEJxKjDIgIBRW1Mwi8k5-EYZJvh-&amp;usp=drive_copy" TargetMode="External"/><Relationship Id="rId322" Type="http://schemas.openxmlformats.org/officeDocument/2006/relationships/hyperlink" Target="https://drive.google.com/open?id=11GmB93zVfCQzjqqL0OE3EmDn38uLM_zv&amp;usp=drive_copy" TargetMode="External"/><Relationship Id="rId767" Type="http://schemas.openxmlformats.org/officeDocument/2006/relationships/hyperlink" Target="https://drive.google.com/open?id=1Nir27iWQ6BmI3hwPc4nPR4Axbn3P-J3c&amp;usp=drive_copy" TargetMode="External"/><Relationship Id="rId974" Type="http://schemas.openxmlformats.org/officeDocument/2006/relationships/hyperlink" Target="https://drive.google.com/open?id=15okItZ8pl7FTKEaf1KdbbSMflHeq5YaK&amp;usp=drive_copy" TargetMode="External"/><Relationship Id="rId627" Type="http://schemas.openxmlformats.org/officeDocument/2006/relationships/hyperlink" Target="https://drive.google.com/thumbnail?id=" TargetMode="External"/><Relationship Id="rId834" Type="http://schemas.openxmlformats.org/officeDocument/2006/relationships/hyperlink" Target="https://drive.google.com/thumbnail?id=" TargetMode="External"/><Relationship Id="rId1257" Type="http://schemas.openxmlformats.org/officeDocument/2006/relationships/hyperlink" Target="https://drive.google.com/thumbnail?id=" TargetMode="External"/><Relationship Id="rId1464" Type="http://schemas.openxmlformats.org/officeDocument/2006/relationships/hyperlink" Target="https://drive.google.com/thumbnail?id=" TargetMode="External"/><Relationship Id="rId901" Type="http://schemas.openxmlformats.org/officeDocument/2006/relationships/hyperlink" Target="https://drive.google.com/open?id=1nwxwCb0AJuOqmWS4HdW9R5DeGDJyWB0a&amp;usp=drive_copy" TargetMode="External"/><Relationship Id="rId1117" Type="http://schemas.openxmlformats.org/officeDocument/2006/relationships/hyperlink" Target="https://drive.google.com/open?id=1dWJzrjrwldQIe0Z4DszRfISAs5t1RHUh&amp;usp=drive_copy" TargetMode="External"/><Relationship Id="rId1324" Type="http://schemas.openxmlformats.org/officeDocument/2006/relationships/hyperlink" Target="https://drive.google.com/open?id=1J6fgdqKpJpkHNFOt4cFcyQvRT4dV_os9&amp;usp=drive_copy" TargetMode="External"/><Relationship Id="rId30" Type="http://schemas.openxmlformats.org/officeDocument/2006/relationships/hyperlink" Target="https://drive.google.com/thumbnail?id=" TargetMode="External"/><Relationship Id="rId277" Type="http://schemas.openxmlformats.org/officeDocument/2006/relationships/hyperlink" Target="https://drive.google.com/open?id=1pkgifQujE_VLL0DaBVhGr3j54Fr8fbea&amp;usp=drive_copy" TargetMode="External"/><Relationship Id="rId484" Type="http://schemas.openxmlformats.org/officeDocument/2006/relationships/hyperlink" Target="https://drive.google.com/open?id=1ZmX7deF1XUzSRWEZtEZPmc4ZwpmaDOFy&amp;usp=drive_copy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504"/>
  <sheetViews>
    <sheetView topLeftCell="A305" workbookViewId="0">
      <selection activeCell="B338" sqref="B338"/>
    </sheetView>
  </sheetViews>
  <sheetFormatPr defaultColWidth="12.59765625" defaultRowHeight="15.75" customHeight="1"/>
  <cols>
    <col min="2" max="2" width="25.265625" customWidth="1"/>
    <col min="3" max="3" width="13.73046875" hidden="1" customWidth="1"/>
    <col min="4" max="4" width="17.46484375" hidden="1" customWidth="1"/>
    <col min="5" max="5" width="17.73046875" hidden="1" customWidth="1"/>
    <col min="6" max="8" width="47.1328125" hidden="1" customWidth="1"/>
    <col min="9" max="9" width="47.1328125" customWidth="1"/>
    <col min="10" max="10" width="23.265625" customWidth="1"/>
    <col min="11" max="11" width="18.59765625" customWidth="1"/>
    <col min="12" max="12" width="29.73046875" customWidth="1"/>
    <col min="13" max="13" width="23.3984375" customWidth="1"/>
    <col min="14" max="14" width="35" customWidth="1"/>
    <col min="15" max="15" width="23.265625" customWidth="1"/>
    <col min="16" max="16" width="15.265625" customWidth="1"/>
    <col min="17" max="17" width="37.86328125" customWidth="1"/>
    <col min="18" max="18" width="27.59765625" customWidth="1"/>
    <col min="19" max="19" width="169.59765625" customWidth="1"/>
    <col min="20" max="20" width="14.73046875" customWidth="1"/>
    <col min="21" max="21" width="31.1328125" customWidth="1"/>
    <col min="22" max="22" width="16.73046875" customWidth="1"/>
    <col min="23" max="23" width="35.86328125" customWidth="1"/>
  </cols>
  <sheetData>
    <row r="1" spans="1:33" ht="12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4" t="s">
        <v>24</v>
      </c>
      <c r="Z1" s="5"/>
      <c r="AA1" s="5"/>
      <c r="AB1" s="5"/>
      <c r="AC1" s="5"/>
      <c r="AD1" s="5"/>
      <c r="AE1" s="5"/>
      <c r="AF1" s="5"/>
      <c r="AG1" s="5"/>
    </row>
    <row r="2" spans="1:33" ht="12.75">
      <c r="A2" s="6">
        <v>2600054</v>
      </c>
      <c r="B2" s="7" t="s">
        <v>25</v>
      </c>
      <c r="C2" s="7" t="s">
        <v>26</v>
      </c>
      <c r="D2" s="7">
        <v>170002212863</v>
      </c>
      <c r="E2" s="7">
        <v>40</v>
      </c>
      <c r="F2" s="7" t="s">
        <v>27</v>
      </c>
      <c r="G2" s="7"/>
      <c r="H2" s="7"/>
      <c r="I2" s="7" t="s">
        <v>27</v>
      </c>
      <c r="J2" s="7" t="s">
        <v>28</v>
      </c>
      <c r="K2" s="7" t="s">
        <v>29</v>
      </c>
      <c r="L2" s="7" t="s">
        <v>30</v>
      </c>
      <c r="M2" s="8">
        <v>40589</v>
      </c>
      <c r="N2" s="9">
        <v>0.68810000000000004</v>
      </c>
      <c r="O2" s="7" t="s">
        <v>31</v>
      </c>
      <c r="P2" s="7" t="s">
        <v>32</v>
      </c>
      <c r="Q2" s="7">
        <v>40</v>
      </c>
      <c r="R2" s="7" t="s">
        <v>33</v>
      </c>
      <c r="S2" s="7" t="s">
        <v>34</v>
      </c>
      <c r="T2" s="7" t="s">
        <v>35</v>
      </c>
      <c r="U2" s="7" t="s">
        <v>36</v>
      </c>
      <c r="V2" s="7" t="s">
        <v>37</v>
      </c>
      <c r="W2" s="7" t="s">
        <v>38</v>
      </c>
      <c r="X2" s="7" t="s">
        <v>39</v>
      </c>
      <c r="Y2" s="10" t="s">
        <v>26</v>
      </c>
    </row>
    <row r="3" spans="1:33" ht="12.75">
      <c r="A3" s="11">
        <v>2600054</v>
      </c>
      <c r="B3" s="12" t="s">
        <v>25</v>
      </c>
      <c r="C3" s="12" t="s">
        <v>26</v>
      </c>
      <c r="D3" s="12">
        <v>170002008393</v>
      </c>
      <c r="E3" s="12">
        <v>33</v>
      </c>
      <c r="F3" s="12" t="s">
        <v>40</v>
      </c>
      <c r="G3" s="12"/>
      <c r="H3" s="12"/>
      <c r="I3" s="12" t="s">
        <v>41</v>
      </c>
      <c r="J3" s="12" t="s">
        <v>42</v>
      </c>
      <c r="K3" s="12" t="s">
        <v>43</v>
      </c>
      <c r="L3" s="12" t="s">
        <v>44</v>
      </c>
      <c r="M3" s="13">
        <v>594</v>
      </c>
      <c r="N3" s="14">
        <v>1.01E-2</v>
      </c>
      <c r="O3" s="12" t="s">
        <v>45</v>
      </c>
      <c r="P3" s="12" t="s">
        <v>46</v>
      </c>
      <c r="Q3" s="12">
        <v>33</v>
      </c>
      <c r="R3" s="12" t="s">
        <v>47</v>
      </c>
      <c r="S3" s="12" t="s">
        <v>48</v>
      </c>
      <c r="T3" s="12" t="s">
        <v>46</v>
      </c>
      <c r="U3" s="12" t="s">
        <v>49</v>
      </c>
      <c r="V3" s="12" t="s">
        <v>37</v>
      </c>
      <c r="W3" s="12" t="s">
        <v>50</v>
      </c>
      <c r="X3" s="12" t="s">
        <v>39</v>
      </c>
      <c r="Y3" s="15" t="s">
        <v>51</v>
      </c>
    </row>
    <row r="4" spans="1:33" ht="12.75">
      <c r="A4" s="6">
        <v>2600054</v>
      </c>
      <c r="B4" s="7" t="s">
        <v>25</v>
      </c>
      <c r="C4" s="7" t="s">
        <v>26</v>
      </c>
      <c r="D4" s="7">
        <v>170002323972</v>
      </c>
      <c r="E4" s="7">
        <v>18</v>
      </c>
      <c r="F4" s="7" t="s">
        <v>52</v>
      </c>
      <c r="G4" s="7"/>
      <c r="H4" s="7"/>
      <c r="I4" s="7" t="s">
        <v>52</v>
      </c>
      <c r="J4" s="7" t="s">
        <v>42</v>
      </c>
      <c r="K4" s="7" t="s">
        <v>43</v>
      </c>
      <c r="L4" s="7" t="s">
        <v>44</v>
      </c>
      <c r="M4" s="8">
        <v>448</v>
      </c>
      <c r="N4" s="9">
        <v>7.6E-3</v>
      </c>
      <c r="O4" s="7" t="s">
        <v>53</v>
      </c>
      <c r="P4" s="7" t="s">
        <v>54</v>
      </c>
      <c r="Q4" s="7">
        <v>18</v>
      </c>
      <c r="R4" s="7" t="s">
        <v>55</v>
      </c>
      <c r="S4" s="7" t="s">
        <v>56</v>
      </c>
      <c r="T4" s="7" t="s">
        <v>54</v>
      </c>
      <c r="U4" s="7" t="s">
        <v>57</v>
      </c>
      <c r="V4" s="7" t="s">
        <v>37</v>
      </c>
      <c r="W4" s="7" t="s">
        <v>50</v>
      </c>
      <c r="X4" s="7" t="s">
        <v>58</v>
      </c>
      <c r="Y4" s="10" t="s">
        <v>51</v>
      </c>
    </row>
    <row r="5" spans="1:33" ht="12.75">
      <c r="A5" s="11">
        <v>2600054</v>
      </c>
      <c r="B5" s="12" t="s">
        <v>25</v>
      </c>
      <c r="C5" s="12" t="s">
        <v>26</v>
      </c>
      <c r="D5" s="12">
        <v>170002107841</v>
      </c>
      <c r="E5" s="12">
        <v>45</v>
      </c>
      <c r="F5" s="12" t="s">
        <v>59</v>
      </c>
      <c r="G5" s="12"/>
      <c r="H5" s="12"/>
      <c r="I5" s="12" t="s">
        <v>59</v>
      </c>
      <c r="J5" s="12" t="s">
        <v>42</v>
      </c>
      <c r="K5" s="12" t="s">
        <v>43</v>
      </c>
      <c r="L5" s="12" t="s">
        <v>44</v>
      </c>
      <c r="M5" s="13">
        <v>17360</v>
      </c>
      <c r="N5" s="14">
        <v>0.29430000000000001</v>
      </c>
      <c r="O5" s="12" t="s">
        <v>60</v>
      </c>
      <c r="P5" s="12" t="s">
        <v>32</v>
      </c>
      <c r="Q5" s="12">
        <v>45</v>
      </c>
      <c r="R5" s="12" t="s">
        <v>61</v>
      </c>
      <c r="S5" s="12" t="s">
        <v>62</v>
      </c>
      <c r="T5" s="12" t="s">
        <v>63</v>
      </c>
      <c r="U5" s="12" t="s">
        <v>64</v>
      </c>
      <c r="V5" s="12" t="s">
        <v>37</v>
      </c>
      <c r="W5" s="12" t="s">
        <v>38</v>
      </c>
      <c r="X5" s="12" t="s">
        <v>39</v>
      </c>
      <c r="Y5" s="15" t="s">
        <v>65</v>
      </c>
    </row>
    <row r="6" spans="1:33" ht="12.75">
      <c r="A6" s="6">
        <v>2600104</v>
      </c>
      <c r="B6" s="7" t="s">
        <v>66</v>
      </c>
      <c r="C6" s="7" t="s">
        <v>26</v>
      </c>
      <c r="D6" s="7">
        <v>170002105372</v>
      </c>
      <c r="E6" s="7">
        <v>40</v>
      </c>
      <c r="F6" s="7" t="s">
        <v>67</v>
      </c>
      <c r="G6" s="7"/>
      <c r="H6" s="7"/>
      <c r="I6" s="7" t="s">
        <v>67</v>
      </c>
      <c r="J6" s="7" t="s">
        <v>28</v>
      </c>
      <c r="K6" s="7" t="s">
        <v>29</v>
      </c>
      <c r="L6" s="7" t="s">
        <v>30</v>
      </c>
      <c r="M6" s="8">
        <v>13061</v>
      </c>
      <c r="N6" s="9">
        <v>0.57609999999999995</v>
      </c>
      <c r="O6" s="7" t="s">
        <v>68</v>
      </c>
      <c r="P6" s="7" t="s">
        <v>32</v>
      </c>
      <c r="Q6" s="7">
        <v>40</v>
      </c>
      <c r="R6" s="7" t="s">
        <v>33</v>
      </c>
      <c r="S6" s="7" t="s">
        <v>34</v>
      </c>
      <c r="T6" s="7" t="s">
        <v>69</v>
      </c>
      <c r="U6" s="7" t="s">
        <v>70</v>
      </c>
      <c r="V6" s="7" t="s">
        <v>37</v>
      </c>
      <c r="W6" s="7" t="s">
        <v>38</v>
      </c>
      <c r="X6" s="7" t="s">
        <v>39</v>
      </c>
      <c r="Y6" s="10" t="s">
        <v>26</v>
      </c>
    </row>
    <row r="7" spans="1:33" ht="12.75">
      <c r="A7" s="11">
        <v>2600104</v>
      </c>
      <c r="B7" s="12" t="s">
        <v>66</v>
      </c>
      <c r="C7" s="12" t="s">
        <v>26</v>
      </c>
      <c r="D7" s="12">
        <v>170002043210</v>
      </c>
      <c r="E7" s="12">
        <v>55</v>
      </c>
      <c r="F7" s="12" t="s">
        <v>71</v>
      </c>
      <c r="G7" s="12"/>
      <c r="H7" s="12"/>
      <c r="I7" s="12" t="s">
        <v>72</v>
      </c>
      <c r="J7" s="12" t="s">
        <v>42</v>
      </c>
      <c r="K7" s="12" t="s">
        <v>43</v>
      </c>
      <c r="L7" s="12" t="s">
        <v>44</v>
      </c>
      <c r="M7" s="13">
        <v>9609</v>
      </c>
      <c r="N7" s="14">
        <v>0.4239</v>
      </c>
      <c r="O7" s="12" t="s">
        <v>73</v>
      </c>
      <c r="P7" s="12" t="s">
        <v>32</v>
      </c>
      <c r="Q7" s="12">
        <v>55</v>
      </c>
      <c r="R7" s="12" t="s">
        <v>74</v>
      </c>
      <c r="S7" s="12" t="s">
        <v>75</v>
      </c>
      <c r="T7" s="12" t="s">
        <v>76</v>
      </c>
      <c r="U7" s="12" t="s">
        <v>77</v>
      </c>
      <c r="V7" s="12" t="s">
        <v>37</v>
      </c>
      <c r="W7" s="12" t="s">
        <v>38</v>
      </c>
      <c r="X7" s="12" t="s">
        <v>39</v>
      </c>
      <c r="Y7" s="15" t="s">
        <v>78</v>
      </c>
    </row>
    <row r="8" spans="1:33" ht="12.75">
      <c r="A8" s="6">
        <v>2600203</v>
      </c>
      <c r="B8" s="7" t="s">
        <v>79</v>
      </c>
      <c r="C8" s="7" t="s">
        <v>26</v>
      </c>
      <c r="D8" s="7">
        <v>170002041088</v>
      </c>
      <c r="E8" s="7">
        <v>15</v>
      </c>
      <c r="F8" s="7" t="s">
        <v>80</v>
      </c>
      <c r="G8" s="16" t="s">
        <v>81</v>
      </c>
      <c r="H8" s="7"/>
      <c r="I8" s="7" t="s">
        <v>80</v>
      </c>
      <c r="J8" s="7" t="s">
        <v>82</v>
      </c>
      <c r="K8" s="7" t="s">
        <v>83</v>
      </c>
      <c r="L8" s="7" t="s">
        <v>30</v>
      </c>
      <c r="M8" s="8">
        <v>9871</v>
      </c>
      <c r="N8" s="9">
        <v>0.68210000000000004</v>
      </c>
      <c r="O8" s="7" t="s">
        <v>84</v>
      </c>
      <c r="P8" s="7" t="s">
        <v>32</v>
      </c>
      <c r="Q8" s="7">
        <v>15</v>
      </c>
      <c r="R8" s="7" t="s">
        <v>85</v>
      </c>
      <c r="S8" s="7" t="s">
        <v>86</v>
      </c>
      <c r="T8" s="7" t="s">
        <v>87</v>
      </c>
      <c r="U8" s="7" t="s">
        <v>88</v>
      </c>
      <c r="V8" s="7" t="s">
        <v>37</v>
      </c>
      <c r="W8" s="7" t="s">
        <v>50</v>
      </c>
      <c r="X8" s="7" t="s">
        <v>89</v>
      </c>
      <c r="Y8" s="10" t="s">
        <v>90</v>
      </c>
    </row>
    <row r="9" spans="1:33" ht="21" customHeight="1">
      <c r="A9" s="11">
        <v>2600203</v>
      </c>
      <c r="B9" s="12" t="s">
        <v>79</v>
      </c>
      <c r="C9" s="12" t="s">
        <v>26</v>
      </c>
      <c r="D9" s="12">
        <v>170002117791</v>
      </c>
      <c r="E9" s="12">
        <v>40</v>
      </c>
      <c r="F9" s="12" t="s">
        <v>91</v>
      </c>
      <c r="G9" s="12"/>
      <c r="H9" s="12"/>
      <c r="I9" s="12" t="s">
        <v>92</v>
      </c>
      <c r="J9" s="12" t="s">
        <v>42</v>
      </c>
      <c r="K9" s="12" t="s">
        <v>43</v>
      </c>
      <c r="L9" s="12" t="s">
        <v>44</v>
      </c>
      <c r="M9" s="13">
        <v>400</v>
      </c>
      <c r="N9" s="14">
        <v>2.76E-2</v>
      </c>
      <c r="O9" s="12" t="s">
        <v>93</v>
      </c>
      <c r="P9" s="12" t="s">
        <v>46</v>
      </c>
      <c r="Q9" s="12">
        <v>40</v>
      </c>
      <c r="R9" s="12" t="s">
        <v>33</v>
      </c>
      <c r="S9" s="12" t="s">
        <v>34</v>
      </c>
      <c r="T9" s="12" t="s">
        <v>46</v>
      </c>
      <c r="U9" s="12" t="s">
        <v>94</v>
      </c>
      <c r="V9" s="12" t="s">
        <v>37</v>
      </c>
      <c r="W9" s="12" t="s">
        <v>50</v>
      </c>
      <c r="X9" s="12" t="s">
        <v>39</v>
      </c>
      <c r="Y9" s="15" t="s">
        <v>95</v>
      </c>
    </row>
    <row r="10" spans="1:33" ht="12.75">
      <c r="A10" s="6">
        <v>2600203</v>
      </c>
      <c r="B10" s="7" t="s">
        <v>79</v>
      </c>
      <c r="C10" s="7" t="s">
        <v>26</v>
      </c>
      <c r="D10" s="7">
        <v>170001914508</v>
      </c>
      <c r="E10" s="7">
        <v>20</v>
      </c>
      <c r="F10" s="7" t="s">
        <v>96</v>
      </c>
      <c r="G10" s="7"/>
      <c r="H10" s="7"/>
      <c r="I10" s="7" t="s">
        <v>96</v>
      </c>
      <c r="J10" s="7" t="s">
        <v>42</v>
      </c>
      <c r="K10" s="7" t="s">
        <v>43</v>
      </c>
      <c r="L10" s="7" t="s">
        <v>44</v>
      </c>
      <c r="M10" s="8">
        <v>4201</v>
      </c>
      <c r="N10" s="9">
        <v>0.2903</v>
      </c>
      <c r="O10" s="7" t="s">
        <v>97</v>
      </c>
      <c r="P10" s="7" t="s">
        <v>32</v>
      </c>
      <c r="Q10" s="7">
        <v>20</v>
      </c>
      <c r="R10" s="7" t="s">
        <v>98</v>
      </c>
      <c r="S10" s="7" t="s">
        <v>99</v>
      </c>
      <c r="T10" s="7" t="s">
        <v>100</v>
      </c>
      <c r="U10" s="7" t="s">
        <v>101</v>
      </c>
      <c r="V10" s="7" t="s">
        <v>37</v>
      </c>
      <c r="W10" s="7" t="s">
        <v>102</v>
      </c>
      <c r="X10" s="7" t="s">
        <v>39</v>
      </c>
      <c r="Y10" s="10" t="s">
        <v>95</v>
      </c>
    </row>
    <row r="11" spans="1:33" ht="12.75">
      <c r="A11" s="11">
        <v>2600302</v>
      </c>
      <c r="B11" s="12" t="s">
        <v>103</v>
      </c>
      <c r="C11" s="12" t="s">
        <v>26</v>
      </c>
      <c r="D11" s="12">
        <v>170002025621</v>
      </c>
      <c r="E11" s="12">
        <v>40</v>
      </c>
      <c r="F11" s="12" t="s">
        <v>104</v>
      </c>
      <c r="G11" s="12"/>
      <c r="H11" s="12"/>
      <c r="I11" s="12" t="s">
        <v>105</v>
      </c>
      <c r="J11" s="12" t="s">
        <v>28</v>
      </c>
      <c r="K11" s="12" t="s">
        <v>29</v>
      </c>
      <c r="L11" s="12" t="s">
        <v>30</v>
      </c>
      <c r="M11" s="13">
        <v>10517</v>
      </c>
      <c r="N11" s="14">
        <v>0.61470000000000002</v>
      </c>
      <c r="O11" s="12" t="s">
        <v>106</v>
      </c>
      <c r="P11" s="12" t="s">
        <v>32</v>
      </c>
      <c r="Q11" s="12">
        <v>40</v>
      </c>
      <c r="R11" s="12" t="s">
        <v>33</v>
      </c>
      <c r="S11" s="12" t="s">
        <v>34</v>
      </c>
      <c r="T11" s="12" t="s">
        <v>107</v>
      </c>
      <c r="U11" s="12" t="s">
        <v>108</v>
      </c>
      <c r="V11" s="12" t="s">
        <v>37</v>
      </c>
      <c r="W11" s="12" t="s">
        <v>38</v>
      </c>
      <c r="X11" s="12" t="s">
        <v>58</v>
      </c>
      <c r="Y11" s="15" t="s">
        <v>109</v>
      </c>
    </row>
    <row r="12" spans="1:33" ht="12.75">
      <c r="A12" s="6">
        <v>2600302</v>
      </c>
      <c r="B12" s="7" t="s">
        <v>103</v>
      </c>
      <c r="C12" s="7" t="s">
        <v>26</v>
      </c>
      <c r="D12" s="7">
        <v>170002214786</v>
      </c>
      <c r="E12" s="7">
        <v>45</v>
      </c>
      <c r="F12" s="7" t="s">
        <v>110</v>
      </c>
      <c r="G12" s="7"/>
      <c r="H12" s="7"/>
      <c r="I12" s="7" t="s">
        <v>110</v>
      </c>
      <c r="J12" s="7" t="s">
        <v>42</v>
      </c>
      <c r="K12" s="7" t="s">
        <v>43</v>
      </c>
      <c r="L12" s="7" t="s">
        <v>44</v>
      </c>
      <c r="M12" s="8">
        <v>6592</v>
      </c>
      <c r="N12" s="9">
        <v>0.38529999999999998</v>
      </c>
      <c r="O12" s="7" t="s">
        <v>111</v>
      </c>
      <c r="P12" s="7" t="s">
        <v>32</v>
      </c>
      <c r="Q12" s="7">
        <v>45</v>
      </c>
      <c r="R12" s="7" t="s">
        <v>61</v>
      </c>
      <c r="S12" s="7" t="s">
        <v>62</v>
      </c>
      <c r="T12" s="7" t="s">
        <v>112</v>
      </c>
      <c r="U12" s="7" t="s">
        <v>113</v>
      </c>
      <c r="V12" s="7" t="s">
        <v>37</v>
      </c>
      <c r="W12" s="7" t="s">
        <v>114</v>
      </c>
      <c r="X12" s="7" t="s">
        <v>39</v>
      </c>
      <c r="Y12" s="10" t="s">
        <v>90</v>
      </c>
    </row>
    <row r="13" spans="1:33" ht="12.75">
      <c r="A13" s="11">
        <v>2600401</v>
      </c>
      <c r="B13" s="12" t="s">
        <v>115</v>
      </c>
      <c r="C13" s="12" t="s">
        <v>26</v>
      </c>
      <c r="D13" s="12">
        <v>170001925080</v>
      </c>
      <c r="E13" s="12">
        <v>40</v>
      </c>
      <c r="F13" s="12" t="s">
        <v>116</v>
      </c>
      <c r="G13" s="12"/>
      <c r="H13" s="12"/>
      <c r="I13" s="12" t="s">
        <v>116</v>
      </c>
      <c r="J13" s="12" t="s">
        <v>28</v>
      </c>
      <c r="K13" s="12" t="s">
        <v>29</v>
      </c>
      <c r="L13" s="12" t="s">
        <v>30</v>
      </c>
      <c r="M13" s="13">
        <v>7997</v>
      </c>
      <c r="N13" s="14">
        <v>0.502</v>
      </c>
      <c r="O13" s="12" t="s">
        <v>117</v>
      </c>
      <c r="P13" s="12" t="s">
        <v>46</v>
      </c>
      <c r="Q13" s="12">
        <v>40</v>
      </c>
      <c r="R13" s="12" t="s">
        <v>33</v>
      </c>
      <c r="S13" s="12" t="s">
        <v>34</v>
      </c>
      <c r="T13" s="12" t="s">
        <v>46</v>
      </c>
      <c r="U13" s="12" t="s">
        <v>118</v>
      </c>
      <c r="V13" s="12" t="s">
        <v>37</v>
      </c>
      <c r="W13" s="12" t="s">
        <v>50</v>
      </c>
      <c r="X13" s="12" t="s">
        <v>89</v>
      </c>
      <c r="Y13" s="15" t="s">
        <v>26</v>
      </c>
    </row>
    <row r="14" spans="1:33" ht="12.75">
      <c r="A14" s="6">
        <v>2600500</v>
      </c>
      <c r="B14" s="7" t="s">
        <v>119</v>
      </c>
      <c r="C14" s="7" t="s">
        <v>26</v>
      </c>
      <c r="D14" s="7">
        <v>170002061556</v>
      </c>
      <c r="E14" s="7">
        <v>10</v>
      </c>
      <c r="F14" s="7" t="s">
        <v>120</v>
      </c>
      <c r="G14" s="16" t="s">
        <v>121</v>
      </c>
      <c r="H14" s="7"/>
      <c r="I14" s="7" t="s">
        <v>122</v>
      </c>
      <c r="J14" s="7" t="s">
        <v>82</v>
      </c>
      <c r="K14" s="7" t="s">
        <v>43</v>
      </c>
      <c r="L14" s="7" t="s">
        <v>30</v>
      </c>
      <c r="M14" s="8">
        <v>12768</v>
      </c>
      <c r="N14" s="9">
        <v>0.51100000000000001</v>
      </c>
      <c r="O14" s="7" t="s">
        <v>123</v>
      </c>
      <c r="P14" s="7" t="s">
        <v>32</v>
      </c>
      <c r="Q14" s="7">
        <v>10</v>
      </c>
      <c r="R14" s="7" t="s">
        <v>124</v>
      </c>
      <c r="S14" s="7" t="s">
        <v>124</v>
      </c>
      <c r="T14" s="7" t="s">
        <v>125</v>
      </c>
      <c r="U14" s="7" t="s">
        <v>126</v>
      </c>
      <c r="V14" s="7" t="s">
        <v>37</v>
      </c>
      <c r="W14" s="7" t="s">
        <v>38</v>
      </c>
      <c r="X14" s="7" t="s">
        <v>39</v>
      </c>
      <c r="Y14" s="10" t="s">
        <v>127</v>
      </c>
    </row>
    <row r="15" spans="1:33" ht="12.75">
      <c r="A15" s="11">
        <v>2600500</v>
      </c>
      <c r="B15" s="12" t="s">
        <v>119</v>
      </c>
      <c r="C15" s="12" t="s">
        <v>26</v>
      </c>
      <c r="D15" s="12">
        <v>170001956368</v>
      </c>
      <c r="E15" s="12">
        <v>13</v>
      </c>
      <c r="F15" s="12" t="s">
        <v>128</v>
      </c>
      <c r="G15" s="12"/>
      <c r="H15" s="12"/>
      <c r="I15" s="12" t="s">
        <v>128</v>
      </c>
      <c r="J15" s="12" t="s">
        <v>42</v>
      </c>
      <c r="K15" s="12" t="s">
        <v>29</v>
      </c>
      <c r="L15" s="12" t="s">
        <v>44</v>
      </c>
      <c r="M15" s="13">
        <v>12218</v>
      </c>
      <c r="N15" s="14">
        <v>0.48899999999999999</v>
      </c>
      <c r="O15" s="12" t="s">
        <v>129</v>
      </c>
      <c r="P15" s="12" t="s">
        <v>32</v>
      </c>
      <c r="Q15" s="12">
        <v>13</v>
      </c>
      <c r="R15" s="12" t="s">
        <v>130</v>
      </c>
      <c r="S15" s="12" t="s">
        <v>131</v>
      </c>
      <c r="T15" s="12" t="s">
        <v>132</v>
      </c>
      <c r="U15" s="12" t="s">
        <v>133</v>
      </c>
      <c r="V15" s="12" t="s">
        <v>37</v>
      </c>
      <c r="W15" s="12" t="s">
        <v>38</v>
      </c>
      <c r="X15" s="12" t="s">
        <v>39</v>
      </c>
      <c r="Y15" s="15" t="s">
        <v>134</v>
      </c>
    </row>
    <row r="16" spans="1:33" ht="12.75">
      <c r="A16" s="6">
        <v>2600609</v>
      </c>
      <c r="B16" s="7" t="s">
        <v>135</v>
      </c>
      <c r="C16" s="7" t="s">
        <v>26</v>
      </c>
      <c r="D16" s="7">
        <v>170002333076</v>
      </c>
      <c r="E16" s="7">
        <v>12</v>
      </c>
      <c r="F16" s="7" t="s">
        <v>136</v>
      </c>
      <c r="G16" s="7"/>
      <c r="H16" s="7"/>
      <c r="I16" s="7" t="s">
        <v>136</v>
      </c>
      <c r="J16" s="7" t="s">
        <v>42</v>
      </c>
      <c r="K16" s="7" t="s">
        <v>43</v>
      </c>
      <c r="L16" s="7" t="s">
        <v>44</v>
      </c>
      <c r="M16" s="8">
        <v>210</v>
      </c>
      <c r="N16" s="9">
        <v>2.1600000000000001E-2</v>
      </c>
      <c r="O16" s="7" t="s">
        <v>137</v>
      </c>
      <c r="P16" s="7" t="s">
        <v>46</v>
      </c>
      <c r="Q16" s="7">
        <v>12</v>
      </c>
      <c r="R16" s="7" t="s">
        <v>138</v>
      </c>
      <c r="S16" s="7" t="s">
        <v>139</v>
      </c>
      <c r="T16" s="7" t="s">
        <v>46</v>
      </c>
      <c r="U16" s="7" t="s">
        <v>140</v>
      </c>
      <c r="V16" s="7" t="s">
        <v>37</v>
      </c>
      <c r="W16" s="7" t="s">
        <v>50</v>
      </c>
      <c r="X16" s="7" t="s">
        <v>58</v>
      </c>
      <c r="Y16" s="10" t="s">
        <v>109</v>
      </c>
    </row>
    <row r="17" spans="1:25" ht="12.75">
      <c r="A17" s="11">
        <v>2600609</v>
      </c>
      <c r="B17" s="12" t="s">
        <v>135</v>
      </c>
      <c r="C17" s="12" t="s">
        <v>26</v>
      </c>
      <c r="D17" s="12">
        <v>170002119155</v>
      </c>
      <c r="E17" s="12">
        <v>20</v>
      </c>
      <c r="F17" s="12" t="s">
        <v>141</v>
      </c>
      <c r="G17" s="12"/>
      <c r="H17" s="12"/>
      <c r="I17" s="12" t="s">
        <v>141</v>
      </c>
      <c r="J17" s="12" t="s">
        <v>42</v>
      </c>
      <c r="K17" s="12" t="s">
        <v>43</v>
      </c>
      <c r="L17" s="12" t="s">
        <v>44</v>
      </c>
      <c r="M17" s="13">
        <v>2578</v>
      </c>
      <c r="N17" s="14">
        <v>0.26469999999999999</v>
      </c>
      <c r="O17" s="12" t="s">
        <v>142</v>
      </c>
      <c r="P17" s="12" t="s">
        <v>32</v>
      </c>
      <c r="Q17" s="12">
        <v>20</v>
      </c>
      <c r="R17" s="12" t="s">
        <v>98</v>
      </c>
      <c r="S17" s="12" t="s">
        <v>99</v>
      </c>
      <c r="T17" s="12" t="s">
        <v>143</v>
      </c>
      <c r="U17" s="12" t="s">
        <v>144</v>
      </c>
      <c r="V17" s="12" t="s">
        <v>37</v>
      </c>
      <c r="W17" s="12" t="s">
        <v>50</v>
      </c>
      <c r="X17" s="12" t="s">
        <v>39</v>
      </c>
      <c r="Y17" s="15" t="s">
        <v>145</v>
      </c>
    </row>
    <row r="18" spans="1:25" ht="12.75">
      <c r="A18" s="6">
        <v>2600609</v>
      </c>
      <c r="B18" s="7" t="s">
        <v>135</v>
      </c>
      <c r="C18" s="7" t="s">
        <v>26</v>
      </c>
      <c r="D18" s="7">
        <v>170002332785</v>
      </c>
      <c r="E18" s="7">
        <v>45</v>
      </c>
      <c r="F18" s="7" t="s">
        <v>146</v>
      </c>
      <c r="G18" s="7"/>
      <c r="H18" s="7"/>
      <c r="I18" s="7" t="s">
        <v>146</v>
      </c>
      <c r="J18" s="7" t="s">
        <v>82</v>
      </c>
      <c r="K18" s="7" t="s">
        <v>29</v>
      </c>
      <c r="L18" s="7" t="s">
        <v>30</v>
      </c>
      <c r="M18" s="8">
        <v>6950</v>
      </c>
      <c r="N18" s="9">
        <v>0.7137</v>
      </c>
      <c r="O18" s="7" t="s">
        <v>147</v>
      </c>
      <c r="P18" s="7" t="s">
        <v>32</v>
      </c>
      <c r="Q18" s="7">
        <v>45</v>
      </c>
      <c r="R18" s="7" t="s">
        <v>61</v>
      </c>
      <c r="S18" s="7" t="s">
        <v>62</v>
      </c>
      <c r="T18" s="7" t="s">
        <v>148</v>
      </c>
      <c r="U18" s="7" t="s">
        <v>149</v>
      </c>
      <c r="V18" s="7" t="s">
        <v>37</v>
      </c>
      <c r="W18" s="7" t="s">
        <v>38</v>
      </c>
      <c r="X18" s="7" t="s">
        <v>39</v>
      </c>
      <c r="Y18" s="10" t="s">
        <v>78</v>
      </c>
    </row>
    <row r="19" spans="1:25" ht="12.75">
      <c r="A19" s="11">
        <v>2600708</v>
      </c>
      <c r="B19" s="12" t="s">
        <v>150</v>
      </c>
      <c r="C19" s="12" t="s">
        <v>26</v>
      </c>
      <c r="D19" s="12">
        <v>170002321356</v>
      </c>
      <c r="E19" s="12">
        <v>50</v>
      </c>
      <c r="F19" s="12" t="s">
        <v>151</v>
      </c>
      <c r="G19" s="12"/>
      <c r="H19" s="12"/>
      <c r="I19" s="12" t="s">
        <v>151</v>
      </c>
      <c r="J19" s="12" t="s">
        <v>42</v>
      </c>
      <c r="K19" s="12" t="s">
        <v>43</v>
      </c>
      <c r="L19" s="12" t="s">
        <v>44</v>
      </c>
      <c r="M19" s="13">
        <v>121</v>
      </c>
      <c r="N19" s="14">
        <v>5.7000000000000002E-3</v>
      </c>
      <c r="O19" s="12" t="s">
        <v>152</v>
      </c>
      <c r="P19" s="12" t="s">
        <v>54</v>
      </c>
      <c r="Q19" s="12">
        <v>50</v>
      </c>
      <c r="R19" s="12" t="s">
        <v>153</v>
      </c>
      <c r="S19" s="12" t="s">
        <v>154</v>
      </c>
      <c r="T19" s="12" t="s">
        <v>54</v>
      </c>
      <c r="U19" s="12" t="s">
        <v>155</v>
      </c>
      <c r="V19" s="12" t="s">
        <v>37</v>
      </c>
      <c r="W19" s="12" t="s">
        <v>156</v>
      </c>
      <c r="X19" s="12" t="s">
        <v>89</v>
      </c>
      <c r="Y19" s="15" t="s">
        <v>90</v>
      </c>
    </row>
    <row r="20" spans="1:25" ht="12.75">
      <c r="A20" s="6">
        <v>2600708</v>
      </c>
      <c r="B20" s="7" t="s">
        <v>150</v>
      </c>
      <c r="C20" s="7" t="s">
        <v>26</v>
      </c>
      <c r="D20" s="7">
        <v>170002323592</v>
      </c>
      <c r="E20" s="7">
        <v>20</v>
      </c>
      <c r="F20" s="7" t="s">
        <v>157</v>
      </c>
      <c r="G20" s="7"/>
      <c r="H20" s="7"/>
      <c r="I20" s="7" t="s">
        <v>157</v>
      </c>
      <c r="J20" s="7" t="s">
        <v>42</v>
      </c>
      <c r="K20" s="7" t="s">
        <v>43</v>
      </c>
      <c r="L20" s="7" t="s">
        <v>44</v>
      </c>
      <c r="M20" s="8">
        <v>735</v>
      </c>
      <c r="N20" s="9">
        <v>3.44E-2</v>
      </c>
      <c r="O20" s="7" t="s">
        <v>158</v>
      </c>
      <c r="P20" s="7" t="s">
        <v>46</v>
      </c>
      <c r="Q20" s="7">
        <v>20</v>
      </c>
      <c r="R20" s="7" t="s">
        <v>98</v>
      </c>
      <c r="S20" s="7" t="s">
        <v>99</v>
      </c>
      <c r="T20" s="7" t="s">
        <v>46</v>
      </c>
      <c r="U20" s="7" t="s">
        <v>159</v>
      </c>
      <c r="V20" s="7" t="s">
        <v>160</v>
      </c>
      <c r="W20" s="7" t="s">
        <v>38</v>
      </c>
      <c r="X20" s="7" t="s">
        <v>39</v>
      </c>
      <c r="Y20" s="10" t="s">
        <v>134</v>
      </c>
    </row>
    <row r="21" spans="1:25" ht="12.75">
      <c r="A21" s="11">
        <v>2600708</v>
      </c>
      <c r="B21" s="12" t="s">
        <v>150</v>
      </c>
      <c r="C21" s="12" t="s">
        <v>26</v>
      </c>
      <c r="D21" s="12">
        <v>170002320577</v>
      </c>
      <c r="E21" s="12">
        <v>15</v>
      </c>
      <c r="F21" s="12" t="s">
        <v>161</v>
      </c>
      <c r="G21" s="12"/>
      <c r="H21" s="12"/>
      <c r="I21" s="12" t="s">
        <v>161</v>
      </c>
      <c r="J21" s="12" t="s">
        <v>42</v>
      </c>
      <c r="K21" s="12" t="s">
        <v>43</v>
      </c>
      <c r="L21" s="12" t="s">
        <v>44</v>
      </c>
      <c r="M21" s="13">
        <v>2708</v>
      </c>
      <c r="N21" s="14">
        <v>0.12670000000000001</v>
      </c>
      <c r="O21" s="12" t="s">
        <v>162</v>
      </c>
      <c r="P21" s="12" t="s">
        <v>32</v>
      </c>
      <c r="Q21" s="12">
        <v>15</v>
      </c>
      <c r="R21" s="12" t="s">
        <v>85</v>
      </c>
      <c r="S21" s="12" t="s">
        <v>86</v>
      </c>
      <c r="T21" s="12" t="s">
        <v>163</v>
      </c>
      <c r="U21" s="12" t="s">
        <v>164</v>
      </c>
      <c r="V21" s="12" t="s">
        <v>37</v>
      </c>
      <c r="W21" s="12" t="s">
        <v>38</v>
      </c>
      <c r="X21" s="12" t="s">
        <v>58</v>
      </c>
      <c r="Y21" s="15" t="s">
        <v>165</v>
      </c>
    </row>
    <row r="22" spans="1:25" ht="12.75">
      <c r="A22" s="6">
        <v>2600708</v>
      </c>
      <c r="B22" s="7" t="s">
        <v>150</v>
      </c>
      <c r="C22" s="7" t="s">
        <v>26</v>
      </c>
      <c r="D22" s="7">
        <v>170001961728</v>
      </c>
      <c r="E22" s="7">
        <v>11</v>
      </c>
      <c r="F22" s="7" t="s">
        <v>166</v>
      </c>
      <c r="G22" s="7"/>
      <c r="H22" s="7"/>
      <c r="I22" s="7" t="s">
        <v>166</v>
      </c>
      <c r="J22" s="7" t="s">
        <v>82</v>
      </c>
      <c r="K22" s="7" t="s">
        <v>29</v>
      </c>
      <c r="L22" s="7" t="s">
        <v>30</v>
      </c>
      <c r="M22" s="8">
        <v>17802</v>
      </c>
      <c r="N22" s="9">
        <v>0.83320000000000005</v>
      </c>
      <c r="O22" s="7" t="s">
        <v>167</v>
      </c>
      <c r="P22" s="7" t="s">
        <v>32</v>
      </c>
      <c r="Q22" s="7">
        <v>11</v>
      </c>
      <c r="R22" s="7" t="s">
        <v>168</v>
      </c>
      <c r="S22" s="7" t="s">
        <v>169</v>
      </c>
      <c r="T22" s="7" t="s">
        <v>170</v>
      </c>
      <c r="U22" s="7" t="s">
        <v>171</v>
      </c>
      <c r="V22" s="7" t="s">
        <v>37</v>
      </c>
      <c r="W22" s="7" t="s">
        <v>38</v>
      </c>
      <c r="X22" s="7" t="s">
        <v>39</v>
      </c>
      <c r="Y22" s="10" t="s">
        <v>172</v>
      </c>
    </row>
    <row r="23" spans="1:25" ht="12.75">
      <c r="A23" s="11">
        <v>2600807</v>
      </c>
      <c r="B23" s="12" t="s">
        <v>173</v>
      </c>
      <c r="C23" s="12" t="s">
        <v>26</v>
      </c>
      <c r="D23" s="12">
        <v>170002193879</v>
      </c>
      <c r="E23" s="12">
        <v>70</v>
      </c>
      <c r="F23" s="12" t="s">
        <v>174</v>
      </c>
      <c r="G23" s="12"/>
      <c r="H23" s="12"/>
      <c r="I23" s="12" t="s">
        <v>175</v>
      </c>
      <c r="J23" s="12" t="s">
        <v>42</v>
      </c>
      <c r="K23" s="12" t="s">
        <v>43</v>
      </c>
      <c r="L23" s="12" t="s">
        <v>44</v>
      </c>
      <c r="M23" s="13">
        <v>902</v>
      </c>
      <c r="N23" s="14">
        <v>6.4500000000000002E-2</v>
      </c>
      <c r="O23" s="12" t="s">
        <v>176</v>
      </c>
      <c r="P23" s="12" t="s">
        <v>32</v>
      </c>
      <c r="Q23" s="12">
        <v>70</v>
      </c>
      <c r="R23" s="12" t="s">
        <v>177</v>
      </c>
      <c r="S23" s="12" t="s">
        <v>177</v>
      </c>
      <c r="T23" s="12" t="s">
        <v>178</v>
      </c>
      <c r="U23" s="12" t="s">
        <v>179</v>
      </c>
      <c r="V23" s="12" t="s">
        <v>37</v>
      </c>
      <c r="W23" s="12" t="s">
        <v>50</v>
      </c>
      <c r="X23" s="12" t="s">
        <v>39</v>
      </c>
      <c r="Y23" s="15" t="s">
        <v>165</v>
      </c>
    </row>
    <row r="24" spans="1:25" ht="12.75">
      <c r="A24" s="6">
        <v>2600807</v>
      </c>
      <c r="B24" s="7" t="s">
        <v>173</v>
      </c>
      <c r="C24" s="7" t="s">
        <v>26</v>
      </c>
      <c r="D24" s="7">
        <v>170002332858</v>
      </c>
      <c r="E24" s="7">
        <v>45</v>
      </c>
      <c r="F24" s="7" t="s">
        <v>180</v>
      </c>
      <c r="G24" s="7"/>
      <c r="H24" s="7"/>
      <c r="I24" s="7" t="s">
        <v>180</v>
      </c>
      <c r="J24" s="7" t="s">
        <v>42</v>
      </c>
      <c r="K24" s="7" t="s">
        <v>43</v>
      </c>
      <c r="L24" s="7" t="s">
        <v>44</v>
      </c>
      <c r="M24" s="8">
        <v>6223</v>
      </c>
      <c r="N24" s="9">
        <v>0.44500000000000001</v>
      </c>
      <c r="O24" s="7" t="s">
        <v>181</v>
      </c>
      <c r="P24" s="7" t="s">
        <v>32</v>
      </c>
      <c r="Q24" s="7">
        <v>45</v>
      </c>
      <c r="R24" s="7" t="s">
        <v>61</v>
      </c>
      <c r="S24" s="7" t="s">
        <v>62</v>
      </c>
      <c r="T24" s="7" t="s">
        <v>182</v>
      </c>
      <c r="U24" s="7" t="s">
        <v>183</v>
      </c>
      <c r="V24" s="7" t="s">
        <v>37</v>
      </c>
      <c r="W24" s="7" t="s">
        <v>50</v>
      </c>
      <c r="X24" s="7" t="s">
        <v>89</v>
      </c>
      <c r="Y24" s="10" t="s">
        <v>109</v>
      </c>
    </row>
    <row r="25" spans="1:25" ht="12.75">
      <c r="A25" s="11">
        <v>2600807</v>
      </c>
      <c r="B25" s="12" t="s">
        <v>173</v>
      </c>
      <c r="C25" s="12" t="s">
        <v>26</v>
      </c>
      <c r="D25" s="12">
        <v>170002329999</v>
      </c>
      <c r="E25" s="12">
        <v>40</v>
      </c>
      <c r="F25" s="12" t="s">
        <v>184</v>
      </c>
      <c r="G25" s="12"/>
      <c r="H25" s="12"/>
      <c r="I25" s="12" t="s">
        <v>184</v>
      </c>
      <c r="J25" s="12" t="s">
        <v>82</v>
      </c>
      <c r="K25" s="12" t="s">
        <v>29</v>
      </c>
      <c r="L25" s="12" t="s">
        <v>30</v>
      </c>
      <c r="M25" s="13">
        <v>6860</v>
      </c>
      <c r="N25" s="14">
        <v>0.49049999999999999</v>
      </c>
      <c r="O25" s="12" t="s">
        <v>184</v>
      </c>
      <c r="P25" s="12" t="s">
        <v>32</v>
      </c>
      <c r="Q25" s="12">
        <v>40</v>
      </c>
      <c r="R25" s="12" t="s">
        <v>33</v>
      </c>
      <c r="S25" s="12" t="s">
        <v>34</v>
      </c>
      <c r="T25" s="12" t="s">
        <v>185</v>
      </c>
      <c r="U25" s="12" t="s">
        <v>186</v>
      </c>
      <c r="V25" s="12" t="s">
        <v>37</v>
      </c>
      <c r="W25" s="12" t="s">
        <v>114</v>
      </c>
      <c r="X25" s="12" t="s">
        <v>89</v>
      </c>
      <c r="Y25" s="15" t="s">
        <v>134</v>
      </c>
    </row>
    <row r="26" spans="1:25" ht="12.75">
      <c r="A26" s="6">
        <v>2600906</v>
      </c>
      <c r="B26" s="7" t="s">
        <v>187</v>
      </c>
      <c r="C26" s="7" t="s">
        <v>26</v>
      </c>
      <c r="D26" s="7">
        <v>170002279555</v>
      </c>
      <c r="E26" s="7">
        <v>40</v>
      </c>
      <c r="F26" s="7" t="s">
        <v>188</v>
      </c>
      <c r="G26" s="7"/>
      <c r="H26" s="7"/>
      <c r="I26" s="7" t="s">
        <v>188</v>
      </c>
      <c r="J26" s="7" t="s">
        <v>189</v>
      </c>
      <c r="K26" s="7" t="s">
        <v>29</v>
      </c>
      <c r="L26" s="7" t="s">
        <v>44</v>
      </c>
      <c r="M26" s="8">
        <v>6865</v>
      </c>
      <c r="N26" s="9">
        <v>0.48570000000000002</v>
      </c>
      <c r="O26" s="7" t="s">
        <v>190</v>
      </c>
      <c r="P26" s="7" t="s">
        <v>32</v>
      </c>
      <c r="Q26" s="7">
        <v>40</v>
      </c>
      <c r="R26" s="7" t="s">
        <v>33</v>
      </c>
      <c r="S26" s="7" t="s">
        <v>34</v>
      </c>
      <c r="T26" s="7" t="s">
        <v>191</v>
      </c>
      <c r="U26" s="7" t="s">
        <v>192</v>
      </c>
      <c r="V26" s="7" t="s">
        <v>160</v>
      </c>
      <c r="W26" s="7" t="s">
        <v>38</v>
      </c>
      <c r="X26" s="7" t="s">
        <v>39</v>
      </c>
      <c r="Y26" s="10" t="s">
        <v>26</v>
      </c>
    </row>
    <row r="27" spans="1:25" ht="12.75">
      <c r="A27" s="11">
        <v>2600906</v>
      </c>
      <c r="B27" s="12" t="s">
        <v>187</v>
      </c>
      <c r="C27" s="12" t="s">
        <v>26</v>
      </c>
      <c r="D27" s="12">
        <v>170002279667</v>
      </c>
      <c r="E27" s="12">
        <v>36</v>
      </c>
      <c r="F27" s="12" t="s">
        <v>193</v>
      </c>
      <c r="G27" s="12"/>
      <c r="H27" s="12"/>
      <c r="I27" s="12" t="s">
        <v>193</v>
      </c>
      <c r="J27" s="12" t="s">
        <v>42</v>
      </c>
      <c r="K27" s="12" t="s">
        <v>43</v>
      </c>
      <c r="L27" s="12" t="s">
        <v>44</v>
      </c>
      <c r="M27" s="13">
        <v>134</v>
      </c>
      <c r="N27" s="14">
        <v>9.4999999999999998E-3</v>
      </c>
      <c r="O27" s="12" t="s">
        <v>194</v>
      </c>
      <c r="P27" s="12" t="s">
        <v>46</v>
      </c>
      <c r="Q27" s="12">
        <v>36</v>
      </c>
      <c r="R27" s="12" t="s">
        <v>195</v>
      </c>
      <c r="S27" s="12" t="s">
        <v>195</v>
      </c>
      <c r="T27" s="12" t="s">
        <v>46</v>
      </c>
      <c r="U27" s="12" t="s">
        <v>196</v>
      </c>
      <c r="V27" s="12" t="s">
        <v>37</v>
      </c>
      <c r="W27" s="12" t="s">
        <v>50</v>
      </c>
      <c r="X27" s="12" t="s">
        <v>39</v>
      </c>
      <c r="Y27" s="15" t="s">
        <v>95</v>
      </c>
    </row>
    <row r="28" spans="1:25" ht="12.75">
      <c r="A28" s="6">
        <v>2600906</v>
      </c>
      <c r="B28" s="7" t="s">
        <v>187</v>
      </c>
      <c r="C28" s="7" t="s">
        <v>26</v>
      </c>
      <c r="D28" s="7">
        <v>170002162335</v>
      </c>
      <c r="E28" s="7">
        <v>70</v>
      </c>
      <c r="F28" s="7" t="s">
        <v>197</v>
      </c>
      <c r="G28" s="16" t="s">
        <v>198</v>
      </c>
      <c r="H28" s="7"/>
      <c r="I28" s="7" t="s">
        <v>199</v>
      </c>
      <c r="J28" s="7" t="s">
        <v>82</v>
      </c>
      <c r="K28" s="7" t="s">
        <v>43</v>
      </c>
      <c r="L28" s="7" t="s">
        <v>30</v>
      </c>
      <c r="M28" s="8">
        <v>7136</v>
      </c>
      <c r="N28" s="9">
        <v>0.50480000000000003</v>
      </c>
      <c r="O28" s="7" t="s">
        <v>200</v>
      </c>
      <c r="P28" s="7" t="s">
        <v>32</v>
      </c>
      <c r="Q28" s="7">
        <v>70</v>
      </c>
      <c r="R28" s="7" t="s">
        <v>177</v>
      </c>
      <c r="S28" s="7" t="s">
        <v>177</v>
      </c>
      <c r="T28" s="7" t="s">
        <v>201</v>
      </c>
      <c r="U28" s="7" t="s">
        <v>202</v>
      </c>
      <c r="V28" s="7" t="s">
        <v>37</v>
      </c>
      <c r="W28" s="7" t="s">
        <v>50</v>
      </c>
      <c r="X28" s="7" t="s">
        <v>39</v>
      </c>
      <c r="Y28" s="10" t="s">
        <v>90</v>
      </c>
    </row>
    <row r="29" spans="1:25" ht="12.75">
      <c r="A29" s="11">
        <v>2601003</v>
      </c>
      <c r="B29" s="12" t="s">
        <v>203</v>
      </c>
      <c r="C29" s="12" t="s">
        <v>26</v>
      </c>
      <c r="D29" s="12">
        <v>170002145356</v>
      </c>
      <c r="E29" s="12">
        <v>40</v>
      </c>
      <c r="F29" s="12" t="s">
        <v>204</v>
      </c>
      <c r="G29" s="12"/>
      <c r="H29" s="12"/>
      <c r="I29" s="12" t="s">
        <v>204</v>
      </c>
      <c r="J29" s="12" t="s">
        <v>82</v>
      </c>
      <c r="K29" s="12" t="s">
        <v>29</v>
      </c>
      <c r="L29" s="12" t="s">
        <v>30</v>
      </c>
      <c r="M29" s="13">
        <v>4156</v>
      </c>
      <c r="N29" s="14">
        <v>0.5363</v>
      </c>
      <c r="O29" s="12" t="s">
        <v>205</v>
      </c>
      <c r="P29" s="12" t="s">
        <v>32</v>
      </c>
      <c r="Q29" s="12">
        <v>40</v>
      </c>
      <c r="R29" s="12" t="s">
        <v>33</v>
      </c>
      <c r="S29" s="12" t="s">
        <v>34</v>
      </c>
      <c r="T29" s="12" t="s">
        <v>206</v>
      </c>
      <c r="U29" s="12" t="s">
        <v>207</v>
      </c>
      <c r="V29" s="12" t="s">
        <v>37</v>
      </c>
      <c r="W29" s="12" t="s">
        <v>38</v>
      </c>
      <c r="X29" s="12" t="s">
        <v>39</v>
      </c>
      <c r="Y29" s="15" t="s">
        <v>90</v>
      </c>
    </row>
    <row r="30" spans="1:25" ht="12.75">
      <c r="A30" s="6">
        <v>2601003</v>
      </c>
      <c r="B30" s="7" t="s">
        <v>203</v>
      </c>
      <c r="C30" s="7" t="s">
        <v>26</v>
      </c>
      <c r="D30" s="7">
        <v>170002144589</v>
      </c>
      <c r="E30" s="7">
        <v>10</v>
      </c>
      <c r="F30" s="7" t="s">
        <v>208</v>
      </c>
      <c r="G30" s="7"/>
      <c r="H30" s="7"/>
      <c r="I30" s="7" t="s">
        <v>209</v>
      </c>
      <c r="J30" s="7" t="s">
        <v>42</v>
      </c>
      <c r="K30" s="7" t="s">
        <v>43</v>
      </c>
      <c r="L30" s="7" t="s">
        <v>44</v>
      </c>
      <c r="M30" s="8">
        <v>3593</v>
      </c>
      <c r="N30" s="9">
        <v>0.4637</v>
      </c>
      <c r="O30" s="7" t="s">
        <v>210</v>
      </c>
      <c r="P30" s="7" t="s">
        <v>32</v>
      </c>
      <c r="Q30" s="7">
        <v>10</v>
      </c>
      <c r="R30" s="7" t="s">
        <v>124</v>
      </c>
      <c r="S30" s="7" t="s">
        <v>124</v>
      </c>
      <c r="T30" s="7" t="s">
        <v>211</v>
      </c>
      <c r="U30" s="7" t="s">
        <v>212</v>
      </c>
      <c r="V30" s="7" t="s">
        <v>37</v>
      </c>
      <c r="W30" s="7" t="s">
        <v>38</v>
      </c>
      <c r="X30" s="7" t="s">
        <v>39</v>
      </c>
      <c r="Y30" s="10" t="s">
        <v>134</v>
      </c>
    </row>
    <row r="31" spans="1:25" ht="12.75">
      <c r="A31" s="11">
        <v>2601052</v>
      </c>
      <c r="B31" s="12" t="s">
        <v>213</v>
      </c>
      <c r="C31" s="12" t="s">
        <v>26</v>
      </c>
      <c r="D31" s="12">
        <v>170001989220</v>
      </c>
      <c r="E31" s="12">
        <v>55</v>
      </c>
      <c r="F31" s="12" t="s">
        <v>214</v>
      </c>
      <c r="G31" s="12"/>
      <c r="H31" s="12"/>
      <c r="I31" s="12" t="s">
        <v>215</v>
      </c>
      <c r="J31" s="12" t="s">
        <v>28</v>
      </c>
      <c r="K31" s="12" t="s">
        <v>29</v>
      </c>
      <c r="L31" s="12" t="s">
        <v>30</v>
      </c>
      <c r="M31" s="13">
        <v>9958</v>
      </c>
      <c r="N31" s="14">
        <v>0.66149999999999998</v>
      </c>
      <c r="O31" s="12" t="s">
        <v>216</v>
      </c>
      <c r="P31" s="12" t="s">
        <v>32</v>
      </c>
      <c r="Q31" s="12">
        <v>55</v>
      </c>
      <c r="R31" s="12" t="s">
        <v>74</v>
      </c>
      <c r="S31" s="12" t="s">
        <v>75</v>
      </c>
      <c r="T31" s="12" t="s">
        <v>217</v>
      </c>
      <c r="U31" s="12" t="s">
        <v>218</v>
      </c>
      <c r="V31" s="12" t="s">
        <v>37</v>
      </c>
      <c r="W31" s="12" t="s">
        <v>38</v>
      </c>
      <c r="X31" s="12" t="s">
        <v>58</v>
      </c>
      <c r="Y31" s="15" t="s">
        <v>26</v>
      </c>
    </row>
    <row r="32" spans="1:25" ht="12.75">
      <c r="A32" s="6">
        <v>2601052</v>
      </c>
      <c r="B32" s="7" t="s">
        <v>213</v>
      </c>
      <c r="C32" s="7" t="s">
        <v>26</v>
      </c>
      <c r="D32" s="7">
        <v>170002006089</v>
      </c>
      <c r="E32" s="7">
        <v>12</v>
      </c>
      <c r="F32" s="7" t="s">
        <v>219</v>
      </c>
      <c r="G32" s="7"/>
      <c r="H32" s="7"/>
      <c r="I32" s="7" t="s">
        <v>219</v>
      </c>
      <c r="J32" s="7" t="s">
        <v>42</v>
      </c>
      <c r="K32" s="7" t="s">
        <v>43</v>
      </c>
      <c r="L32" s="7" t="s">
        <v>44</v>
      </c>
      <c r="M32" s="8">
        <v>5096</v>
      </c>
      <c r="N32" s="9">
        <v>0.33850000000000002</v>
      </c>
      <c r="O32" s="7" t="s">
        <v>220</v>
      </c>
      <c r="P32" s="7" t="s">
        <v>32</v>
      </c>
      <c r="Q32" s="7">
        <v>12</v>
      </c>
      <c r="R32" s="7" t="s">
        <v>138</v>
      </c>
      <c r="S32" s="7" t="s">
        <v>139</v>
      </c>
      <c r="T32" s="7" t="s">
        <v>221</v>
      </c>
      <c r="U32" s="7" t="s">
        <v>222</v>
      </c>
      <c r="V32" s="7" t="s">
        <v>37</v>
      </c>
      <c r="W32" s="7" t="s">
        <v>38</v>
      </c>
      <c r="X32" s="7" t="s">
        <v>39</v>
      </c>
      <c r="Y32" s="10" t="s">
        <v>90</v>
      </c>
    </row>
    <row r="33" spans="1:25" ht="12.75">
      <c r="A33" s="11">
        <v>2601102</v>
      </c>
      <c r="B33" s="12" t="s">
        <v>223</v>
      </c>
      <c r="C33" s="12" t="s">
        <v>26</v>
      </c>
      <c r="D33" s="12">
        <v>170002148499</v>
      </c>
      <c r="E33" s="12">
        <v>50</v>
      </c>
      <c r="F33" s="12" t="s">
        <v>224</v>
      </c>
      <c r="G33" s="12"/>
      <c r="H33" s="12"/>
      <c r="I33" s="12" t="s">
        <v>224</v>
      </c>
      <c r="J33" s="12" t="s">
        <v>42</v>
      </c>
      <c r="K33" s="12" t="s">
        <v>43</v>
      </c>
      <c r="L33" s="12" t="s">
        <v>44</v>
      </c>
      <c r="M33" s="13">
        <v>431</v>
      </c>
      <c r="N33" s="14">
        <v>9.1999999999999998E-3</v>
      </c>
      <c r="O33" s="12" t="s">
        <v>225</v>
      </c>
      <c r="P33" s="12" t="s">
        <v>54</v>
      </c>
      <c r="Q33" s="12">
        <v>50</v>
      </c>
      <c r="R33" s="12" t="s">
        <v>153</v>
      </c>
      <c r="S33" s="12" t="s">
        <v>154</v>
      </c>
      <c r="T33" s="12" t="s">
        <v>54</v>
      </c>
      <c r="U33" s="12" t="s">
        <v>226</v>
      </c>
      <c r="V33" s="12" t="s">
        <v>37</v>
      </c>
      <c r="W33" s="12" t="s">
        <v>156</v>
      </c>
      <c r="X33" s="12" t="s">
        <v>39</v>
      </c>
      <c r="Y33" s="15" t="s">
        <v>95</v>
      </c>
    </row>
    <row r="34" spans="1:25" ht="12.75">
      <c r="A34" s="6">
        <v>2601102</v>
      </c>
      <c r="B34" s="7" t="s">
        <v>223</v>
      </c>
      <c r="C34" s="7" t="s">
        <v>26</v>
      </c>
      <c r="D34" s="7">
        <v>170001932452</v>
      </c>
      <c r="E34" s="7">
        <v>20</v>
      </c>
      <c r="F34" s="7" t="s">
        <v>227</v>
      </c>
      <c r="G34" s="7"/>
      <c r="H34" s="7"/>
      <c r="I34" s="7" t="s">
        <v>228</v>
      </c>
      <c r="J34" s="7" t="s">
        <v>42</v>
      </c>
      <c r="K34" s="7" t="s">
        <v>29</v>
      </c>
      <c r="L34" s="7" t="s">
        <v>44</v>
      </c>
      <c r="M34" s="8">
        <v>19181</v>
      </c>
      <c r="N34" s="9">
        <v>0.41060000000000002</v>
      </c>
      <c r="O34" s="7" t="s">
        <v>229</v>
      </c>
      <c r="P34" s="7" t="s">
        <v>32</v>
      </c>
      <c r="Q34" s="7">
        <v>20</v>
      </c>
      <c r="R34" s="7" t="s">
        <v>98</v>
      </c>
      <c r="S34" s="7" t="s">
        <v>99</v>
      </c>
      <c r="T34" s="7" t="s">
        <v>230</v>
      </c>
      <c r="U34" s="7" t="s">
        <v>231</v>
      </c>
      <c r="V34" s="7" t="s">
        <v>160</v>
      </c>
      <c r="W34" s="7" t="s">
        <v>38</v>
      </c>
      <c r="X34" s="7" t="s">
        <v>39</v>
      </c>
      <c r="Y34" s="10" t="s">
        <v>165</v>
      </c>
    </row>
    <row r="35" spans="1:25" ht="12.75">
      <c r="A35" s="11">
        <v>2601102</v>
      </c>
      <c r="B35" s="12" t="s">
        <v>223</v>
      </c>
      <c r="C35" s="12" t="s">
        <v>26</v>
      </c>
      <c r="D35" s="12">
        <v>170002121571</v>
      </c>
      <c r="E35" s="12">
        <v>12</v>
      </c>
      <c r="F35" s="12" t="s">
        <v>232</v>
      </c>
      <c r="G35" s="17" t="s">
        <v>233</v>
      </c>
      <c r="H35" s="12"/>
      <c r="I35" s="12" t="s">
        <v>234</v>
      </c>
      <c r="J35" s="12" t="s">
        <v>82</v>
      </c>
      <c r="K35" s="12" t="s">
        <v>43</v>
      </c>
      <c r="L35" s="12" t="s">
        <v>30</v>
      </c>
      <c r="M35" s="13">
        <v>27099</v>
      </c>
      <c r="N35" s="14">
        <v>0.58009999999999995</v>
      </c>
      <c r="O35" s="12" t="s">
        <v>235</v>
      </c>
      <c r="P35" s="12" t="s">
        <v>32</v>
      </c>
      <c r="Q35" s="12">
        <v>12</v>
      </c>
      <c r="R35" s="12" t="s">
        <v>138</v>
      </c>
      <c r="S35" s="12" t="s">
        <v>139</v>
      </c>
      <c r="T35" s="12" t="s">
        <v>236</v>
      </c>
      <c r="U35" s="12" t="s">
        <v>237</v>
      </c>
      <c r="V35" s="12" t="s">
        <v>37</v>
      </c>
      <c r="W35" s="12" t="s">
        <v>38</v>
      </c>
      <c r="X35" s="12" t="s">
        <v>58</v>
      </c>
      <c r="Y35" s="15" t="s">
        <v>109</v>
      </c>
    </row>
    <row r="36" spans="1:25" ht="12.75">
      <c r="A36" s="6">
        <v>2601201</v>
      </c>
      <c r="B36" s="7" t="s">
        <v>238</v>
      </c>
      <c r="C36" s="7" t="s">
        <v>26</v>
      </c>
      <c r="D36" s="7">
        <v>170002042879</v>
      </c>
      <c r="E36" s="7">
        <v>27</v>
      </c>
      <c r="F36" s="7" t="s">
        <v>239</v>
      </c>
      <c r="G36" s="7"/>
      <c r="H36" s="7"/>
      <c r="I36" s="7" t="s">
        <v>240</v>
      </c>
      <c r="J36" s="7" t="s">
        <v>42</v>
      </c>
      <c r="K36" s="7" t="s">
        <v>43</v>
      </c>
      <c r="L36" s="7" t="s">
        <v>44</v>
      </c>
      <c r="M36" s="8">
        <v>420</v>
      </c>
      <c r="N36" s="9">
        <v>1.0800000000000001E-2</v>
      </c>
      <c r="O36" s="7" t="s">
        <v>241</v>
      </c>
      <c r="P36" s="7" t="s">
        <v>32</v>
      </c>
      <c r="Q36" s="7">
        <v>27</v>
      </c>
      <c r="R36" s="7" t="s">
        <v>242</v>
      </c>
      <c r="S36" s="7" t="s">
        <v>243</v>
      </c>
      <c r="T36" s="7" t="s">
        <v>244</v>
      </c>
      <c r="U36" s="7" t="s">
        <v>245</v>
      </c>
      <c r="V36" s="7" t="s">
        <v>37</v>
      </c>
      <c r="W36" s="7" t="s">
        <v>38</v>
      </c>
      <c r="X36" s="7" t="s">
        <v>58</v>
      </c>
      <c r="Y36" s="10" t="s">
        <v>246</v>
      </c>
    </row>
    <row r="37" spans="1:25" ht="12.75">
      <c r="A37" s="11">
        <v>2601201</v>
      </c>
      <c r="B37" s="12" t="s">
        <v>238</v>
      </c>
      <c r="C37" s="12" t="s">
        <v>26</v>
      </c>
      <c r="D37" s="12">
        <v>170002024464</v>
      </c>
      <c r="E37" s="12">
        <v>20</v>
      </c>
      <c r="F37" s="12" t="s">
        <v>247</v>
      </c>
      <c r="G37" s="17" t="s">
        <v>248</v>
      </c>
      <c r="H37" s="12"/>
      <c r="I37" s="12" t="s">
        <v>249</v>
      </c>
      <c r="J37" s="12" t="s">
        <v>82</v>
      </c>
      <c r="K37" s="12" t="s">
        <v>43</v>
      </c>
      <c r="L37" s="12" t="s">
        <v>30</v>
      </c>
      <c r="M37" s="13">
        <v>23091</v>
      </c>
      <c r="N37" s="14">
        <v>0.5917</v>
      </c>
      <c r="O37" s="12" t="s">
        <v>250</v>
      </c>
      <c r="P37" s="12" t="s">
        <v>32</v>
      </c>
      <c r="Q37" s="12">
        <v>20</v>
      </c>
      <c r="R37" s="12" t="s">
        <v>98</v>
      </c>
      <c r="S37" s="12" t="s">
        <v>99</v>
      </c>
      <c r="T37" s="12" t="s">
        <v>251</v>
      </c>
      <c r="U37" s="12" t="s">
        <v>252</v>
      </c>
      <c r="V37" s="12" t="s">
        <v>37</v>
      </c>
      <c r="W37" s="12" t="s">
        <v>38</v>
      </c>
      <c r="X37" s="12" t="s">
        <v>39</v>
      </c>
      <c r="Y37" s="15" t="s">
        <v>65</v>
      </c>
    </row>
    <row r="38" spans="1:25" ht="12.75">
      <c r="A38" s="6">
        <v>2601201</v>
      </c>
      <c r="B38" s="7" t="s">
        <v>238</v>
      </c>
      <c r="C38" s="7" t="s">
        <v>26</v>
      </c>
      <c r="D38" s="7">
        <v>170002112661</v>
      </c>
      <c r="E38" s="7">
        <v>40</v>
      </c>
      <c r="F38" s="7" t="s">
        <v>253</v>
      </c>
      <c r="G38" s="7"/>
      <c r="H38" s="7"/>
      <c r="I38" s="7" t="s">
        <v>253</v>
      </c>
      <c r="J38" s="7" t="s">
        <v>42</v>
      </c>
      <c r="K38" s="7" t="s">
        <v>29</v>
      </c>
      <c r="L38" s="7" t="s">
        <v>44</v>
      </c>
      <c r="M38" s="8">
        <v>15513</v>
      </c>
      <c r="N38" s="9">
        <v>0.39750000000000002</v>
      </c>
      <c r="O38" s="7" t="s">
        <v>254</v>
      </c>
      <c r="P38" s="7" t="s">
        <v>32</v>
      </c>
      <c r="Q38" s="7">
        <v>40</v>
      </c>
      <c r="R38" s="7" t="s">
        <v>33</v>
      </c>
      <c r="S38" s="7" t="s">
        <v>34</v>
      </c>
      <c r="T38" s="7" t="s">
        <v>255</v>
      </c>
      <c r="U38" s="7" t="s">
        <v>256</v>
      </c>
      <c r="V38" s="7" t="s">
        <v>160</v>
      </c>
      <c r="W38" s="7" t="s">
        <v>38</v>
      </c>
      <c r="X38" s="7" t="s">
        <v>58</v>
      </c>
      <c r="Y38" s="10" t="s">
        <v>257</v>
      </c>
    </row>
    <row r="39" spans="1:25" ht="12.75">
      <c r="A39" s="11">
        <v>2601300</v>
      </c>
      <c r="B39" s="12" t="s">
        <v>258</v>
      </c>
      <c r="C39" s="12" t="s">
        <v>26</v>
      </c>
      <c r="D39" s="12">
        <v>170002006148</v>
      </c>
      <c r="E39" s="12">
        <v>45</v>
      </c>
      <c r="F39" s="12" t="s">
        <v>259</v>
      </c>
      <c r="G39" s="12"/>
      <c r="H39" s="12"/>
      <c r="I39" s="12" t="s">
        <v>260</v>
      </c>
      <c r="J39" s="12" t="s">
        <v>28</v>
      </c>
      <c r="K39" s="12" t="s">
        <v>29</v>
      </c>
      <c r="L39" s="12" t="s">
        <v>30</v>
      </c>
      <c r="M39" s="13">
        <v>5504</v>
      </c>
      <c r="N39" s="14">
        <v>0.66110000000000002</v>
      </c>
      <c r="O39" s="12" t="s">
        <v>261</v>
      </c>
      <c r="P39" s="12" t="s">
        <v>32</v>
      </c>
      <c r="Q39" s="12">
        <v>45</v>
      </c>
      <c r="R39" s="12" t="s">
        <v>61</v>
      </c>
      <c r="S39" s="12" t="s">
        <v>62</v>
      </c>
      <c r="T39" s="12" t="s">
        <v>262</v>
      </c>
      <c r="U39" s="12" t="s">
        <v>263</v>
      </c>
      <c r="V39" s="12" t="s">
        <v>37</v>
      </c>
      <c r="W39" s="12" t="s">
        <v>38</v>
      </c>
      <c r="X39" s="12" t="s">
        <v>39</v>
      </c>
      <c r="Y39" s="15" t="s">
        <v>109</v>
      </c>
    </row>
    <row r="40" spans="1:25" ht="12.75">
      <c r="A40" s="6">
        <v>2601300</v>
      </c>
      <c r="B40" s="7" t="s">
        <v>258</v>
      </c>
      <c r="C40" s="7" t="s">
        <v>26</v>
      </c>
      <c r="D40" s="7">
        <v>170002320981</v>
      </c>
      <c r="E40" s="7">
        <v>11</v>
      </c>
      <c r="F40" s="7" t="s">
        <v>264</v>
      </c>
      <c r="G40" s="7"/>
      <c r="H40" s="7"/>
      <c r="I40" s="7" t="s">
        <v>264</v>
      </c>
      <c r="J40" s="7" t="s">
        <v>42</v>
      </c>
      <c r="K40" s="7" t="s">
        <v>43</v>
      </c>
      <c r="L40" s="7" t="s">
        <v>44</v>
      </c>
      <c r="M40" s="8">
        <v>2822</v>
      </c>
      <c r="N40" s="9">
        <v>0.33889999999999998</v>
      </c>
      <c r="O40" s="7" t="s">
        <v>265</v>
      </c>
      <c r="P40" s="7" t="s">
        <v>46</v>
      </c>
      <c r="Q40" s="7">
        <v>11</v>
      </c>
      <c r="R40" s="7" t="s">
        <v>168</v>
      </c>
      <c r="S40" s="7" t="s">
        <v>169</v>
      </c>
      <c r="T40" s="7" t="s">
        <v>46</v>
      </c>
      <c r="U40" s="7" t="s">
        <v>266</v>
      </c>
      <c r="V40" s="7" t="s">
        <v>37</v>
      </c>
      <c r="W40" s="7" t="s">
        <v>50</v>
      </c>
      <c r="X40" s="7" t="s">
        <v>39</v>
      </c>
      <c r="Y40" s="10" t="s">
        <v>165</v>
      </c>
    </row>
    <row r="41" spans="1:25" ht="12.75">
      <c r="A41" s="11">
        <v>2601409</v>
      </c>
      <c r="B41" s="12" t="s">
        <v>267</v>
      </c>
      <c r="C41" s="12" t="s">
        <v>26</v>
      </c>
      <c r="D41" s="12">
        <v>170001939288</v>
      </c>
      <c r="E41" s="12">
        <v>20</v>
      </c>
      <c r="F41" s="12" t="s">
        <v>268</v>
      </c>
      <c r="G41" s="12"/>
      <c r="H41" s="12"/>
      <c r="I41" s="12" t="s">
        <v>268</v>
      </c>
      <c r="J41" s="12" t="s">
        <v>42</v>
      </c>
      <c r="K41" s="12" t="s">
        <v>43</v>
      </c>
      <c r="L41" s="12" t="s">
        <v>44</v>
      </c>
      <c r="M41" s="13">
        <v>5378</v>
      </c>
      <c r="N41" s="14">
        <v>0.23810000000000001</v>
      </c>
      <c r="O41" s="12" t="s">
        <v>269</v>
      </c>
      <c r="P41" s="12" t="s">
        <v>32</v>
      </c>
      <c r="Q41" s="12">
        <v>20</v>
      </c>
      <c r="R41" s="12" t="s">
        <v>98</v>
      </c>
      <c r="S41" s="12" t="s">
        <v>99</v>
      </c>
      <c r="T41" s="12" t="s">
        <v>270</v>
      </c>
      <c r="U41" s="12" t="s">
        <v>271</v>
      </c>
      <c r="V41" s="12" t="s">
        <v>160</v>
      </c>
      <c r="W41" s="12" t="s">
        <v>38</v>
      </c>
      <c r="X41" s="12" t="s">
        <v>58</v>
      </c>
      <c r="Y41" s="15" t="s">
        <v>272</v>
      </c>
    </row>
    <row r="42" spans="1:25" ht="12.75">
      <c r="A42" s="6">
        <v>2601409</v>
      </c>
      <c r="B42" s="7" t="s">
        <v>267</v>
      </c>
      <c r="C42" s="7" t="s">
        <v>26</v>
      </c>
      <c r="D42" s="7">
        <v>170002183861</v>
      </c>
      <c r="E42" s="7">
        <v>11</v>
      </c>
      <c r="F42" s="7" t="s">
        <v>273</v>
      </c>
      <c r="G42" s="7"/>
      <c r="H42" s="7"/>
      <c r="I42" s="7" t="s">
        <v>273</v>
      </c>
      <c r="J42" s="7" t="s">
        <v>28</v>
      </c>
      <c r="K42" s="7" t="s">
        <v>29</v>
      </c>
      <c r="L42" s="7" t="s">
        <v>30</v>
      </c>
      <c r="M42" s="8">
        <v>15899</v>
      </c>
      <c r="N42" s="9">
        <v>0.70389999999999997</v>
      </c>
      <c r="O42" s="7" t="s">
        <v>274</v>
      </c>
      <c r="P42" s="7" t="s">
        <v>46</v>
      </c>
      <c r="Q42" s="7">
        <v>11</v>
      </c>
      <c r="R42" s="7" t="s">
        <v>168</v>
      </c>
      <c r="S42" s="7" t="s">
        <v>169</v>
      </c>
      <c r="T42" s="7" t="s">
        <v>46</v>
      </c>
      <c r="U42" s="7" t="s">
        <v>275</v>
      </c>
      <c r="V42" s="7" t="s">
        <v>37</v>
      </c>
      <c r="W42" s="7" t="s">
        <v>50</v>
      </c>
      <c r="X42" s="7" t="s">
        <v>39</v>
      </c>
      <c r="Y42" s="10" t="s">
        <v>90</v>
      </c>
    </row>
    <row r="43" spans="1:25" ht="12.75">
      <c r="A43" s="11">
        <v>2601409</v>
      </c>
      <c r="B43" s="12" t="s">
        <v>267</v>
      </c>
      <c r="C43" s="12" t="s">
        <v>26</v>
      </c>
      <c r="D43" s="12">
        <v>170002311499</v>
      </c>
      <c r="E43" s="12">
        <v>50</v>
      </c>
      <c r="F43" s="12" t="s">
        <v>276</v>
      </c>
      <c r="G43" s="12"/>
      <c r="H43" s="12"/>
      <c r="I43" s="12" t="s">
        <v>277</v>
      </c>
      <c r="J43" s="12" t="s">
        <v>42</v>
      </c>
      <c r="K43" s="12" t="s">
        <v>43</v>
      </c>
      <c r="L43" s="12" t="s">
        <v>44</v>
      </c>
      <c r="M43" s="13">
        <v>222</v>
      </c>
      <c r="N43" s="14">
        <v>9.7999999999999997E-3</v>
      </c>
      <c r="O43" s="12" t="s">
        <v>278</v>
      </c>
      <c r="P43" s="12" t="s">
        <v>54</v>
      </c>
      <c r="Q43" s="12">
        <v>50</v>
      </c>
      <c r="R43" s="12" t="s">
        <v>153</v>
      </c>
      <c r="S43" s="12" t="s">
        <v>154</v>
      </c>
      <c r="T43" s="12" t="s">
        <v>54</v>
      </c>
      <c r="U43" s="12" t="s">
        <v>279</v>
      </c>
      <c r="V43" s="12" t="s">
        <v>37</v>
      </c>
      <c r="W43" s="12" t="s">
        <v>38</v>
      </c>
      <c r="X43" s="12" t="s">
        <v>39</v>
      </c>
      <c r="Y43" s="15" t="s">
        <v>280</v>
      </c>
    </row>
    <row r="44" spans="1:25" ht="12.75">
      <c r="A44" s="6">
        <v>2601409</v>
      </c>
      <c r="B44" s="7" t="s">
        <v>267</v>
      </c>
      <c r="C44" s="7" t="s">
        <v>26</v>
      </c>
      <c r="D44" s="7">
        <v>170002088549</v>
      </c>
      <c r="E44" s="7">
        <v>12</v>
      </c>
      <c r="F44" s="7" t="s">
        <v>281</v>
      </c>
      <c r="G44" s="7"/>
      <c r="H44" s="7"/>
      <c r="I44" s="7" t="s">
        <v>281</v>
      </c>
      <c r="J44" s="7" t="s">
        <v>42</v>
      </c>
      <c r="K44" s="7" t="s">
        <v>43</v>
      </c>
      <c r="L44" s="7" t="s">
        <v>44</v>
      </c>
      <c r="M44" s="8">
        <v>715</v>
      </c>
      <c r="N44" s="9">
        <v>3.1699999999999999E-2</v>
      </c>
      <c r="O44" s="7" t="s">
        <v>282</v>
      </c>
      <c r="P44" s="7" t="s">
        <v>32</v>
      </c>
      <c r="Q44" s="7">
        <v>12</v>
      </c>
      <c r="R44" s="7" t="s">
        <v>138</v>
      </c>
      <c r="S44" s="7" t="s">
        <v>139</v>
      </c>
      <c r="T44" s="7" t="s">
        <v>283</v>
      </c>
      <c r="U44" s="7" t="s">
        <v>284</v>
      </c>
      <c r="V44" s="7" t="s">
        <v>37</v>
      </c>
      <c r="W44" s="7" t="s">
        <v>38</v>
      </c>
      <c r="X44" s="7" t="s">
        <v>58</v>
      </c>
      <c r="Y44" s="10" t="s">
        <v>90</v>
      </c>
    </row>
    <row r="45" spans="1:25" ht="12.75">
      <c r="A45" s="11">
        <v>2601409</v>
      </c>
      <c r="B45" s="12" t="s">
        <v>267</v>
      </c>
      <c r="C45" s="12" t="s">
        <v>26</v>
      </c>
      <c r="D45" s="12">
        <v>170001883334</v>
      </c>
      <c r="E45" s="12">
        <v>77</v>
      </c>
      <c r="F45" s="12" t="s">
        <v>285</v>
      </c>
      <c r="G45" s="12"/>
      <c r="H45" s="12"/>
      <c r="I45" s="12" t="s">
        <v>285</v>
      </c>
      <c r="J45" s="12" t="s">
        <v>42</v>
      </c>
      <c r="K45" s="12" t="s">
        <v>43</v>
      </c>
      <c r="L45" s="12" t="s">
        <v>44</v>
      </c>
      <c r="M45" s="13">
        <v>372</v>
      </c>
      <c r="N45" s="14">
        <v>1.6500000000000001E-2</v>
      </c>
      <c r="O45" s="12" t="s">
        <v>286</v>
      </c>
      <c r="P45" s="12" t="s">
        <v>32</v>
      </c>
      <c r="Q45" s="12">
        <v>77</v>
      </c>
      <c r="R45" s="12" t="s">
        <v>287</v>
      </c>
      <c r="S45" s="12" t="s">
        <v>287</v>
      </c>
      <c r="T45" s="12" t="s">
        <v>288</v>
      </c>
      <c r="U45" s="12" t="s">
        <v>289</v>
      </c>
      <c r="V45" s="12" t="s">
        <v>37</v>
      </c>
      <c r="W45" s="12" t="s">
        <v>50</v>
      </c>
      <c r="X45" s="12" t="s">
        <v>89</v>
      </c>
      <c r="Y45" s="15" t="s">
        <v>90</v>
      </c>
    </row>
    <row r="46" spans="1:25" ht="12.75">
      <c r="A46" s="6">
        <v>2601508</v>
      </c>
      <c r="B46" s="7" t="s">
        <v>290</v>
      </c>
      <c r="C46" s="7" t="s">
        <v>26</v>
      </c>
      <c r="D46" s="7">
        <v>170002255771</v>
      </c>
      <c r="E46" s="7">
        <v>11</v>
      </c>
      <c r="F46" s="7" t="s">
        <v>291</v>
      </c>
      <c r="G46" s="7"/>
      <c r="H46" s="7"/>
      <c r="I46" s="7" t="s">
        <v>291</v>
      </c>
      <c r="J46" s="7" t="s">
        <v>42</v>
      </c>
      <c r="K46" s="7" t="s">
        <v>43</v>
      </c>
      <c r="L46" s="7" t="s">
        <v>44</v>
      </c>
      <c r="M46" s="8">
        <v>3912</v>
      </c>
      <c r="N46" s="9">
        <v>0.48720000000000002</v>
      </c>
      <c r="O46" s="7" t="s">
        <v>292</v>
      </c>
      <c r="P46" s="7" t="s">
        <v>32</v>
      </c>
      <c r="Q46" s="7">
        <v>11</v>
      </c>
      <c r="R46" s="7" t="s">
        <v>168</v>
      </c>
      <c r="S46" s="7" t="s">
        <v>169</v>
      </c>
      <c r="T46" s="7" t="s">
        <v>293</v>
      </c>
      <c r="U46" s="7" t="s">
        <v>294</v>
      </c>
      <c r="V46" s="7" t="s">
        <v>37</v>
      </c>
      <c r="W46" s="7" t="s">
        <v>38</v>
      </c>
      <c r="X46" s="7" t="s">
        <v>58</v>
      </c>
      <c r="Y46" s="10" t="s">
        <v>165</v>
      </c>
    </row>
    <row r="47" spans="1:25" ht="12.75">
      <c r="A47" s="11">
        <v>2601508</v>
      </c>
      <c r="B47" s="12" t="s">
        <v>290</v>
      </c>
      <c r="C47" s="12" t="s">
        <v>26</v>
      </c>
      <c r="D47" s="12">
        <v>170001940161</v>
      </c>
      <c r="E47" s="12">
        <v>45</v>
      </c>
      <c r="F47" s="12" t="s">
        <v>295</v>
      </c>
      <c r="G47" s="17" t="s">
        <v>296</v>
      </c>
      <c r="H47" s="12"/>
      <c r="I47" s="12" t="s">
        <v>295</v>
      </c>
      <c r="J47" s="12" t="s">
        <v>82</v>
      </c>
      <c r="K47" s="12" t="s">
        <v>29</v>
      </c>
      <c r="L47" s="12" t="s">
        <v>30</v>
      </c>
      <c r="M47" s="13">
        <v>4117</v>
      </c>
      <c r="N47" s="14">
        <v>0.51280000000000003</v>
      </c>
      <c r="O47" s="12" t="s">
        <v>297</v>
      </c>
      <c r="P47" s="12" t="s">
        <v>32</v>
      </c>
      <c r="Q47" s="12">
        <v>45</v>
      </c>
      <c r="R47" s="12" t="s">
        <v>61</v>
      </c>
      <c r="S47" s="12" t="s">
        <v>62</v>
      </c>
      <c r="T47" s="12" t="s">
        <v>298</v>
      </c>
      <c r="U47" s="12" t="s">
        <v>299</v>
      </c>
      <c r="V47" s="12" t="s">
        <v>37</v>
      </c>
      <c r="W47" s="12" t="s">
        <v>114</v>
      </c>
      <c r="X47" s="12" t="s">
        <v>58</v>
      </c>
      <c r="Y47" s="15" t="s">
        <v>51</v>
      </c>
    </row>
    <row r="48" spans="1:25" ht="12.75">
      <c r="A48" s="6">
        <v>2601607</v>
      </c>
      <c r="B48" s="7" t="s">
        <v>300</v>
      </c>
      <c r="C48" s="7" t="s">
        <v>26</v>
      </c>
      <c r="D48" s="7">
        <v>170001970081</v>
      </c>
      <c r="E48" s="7">
        <v>10</v>
      </c>
      <c r="F48" s="7" t="s">
        <v>301</v>
      </c>
      <c r="G48" s="16" t="s">
        <v>302</v>
      </c>
      <c r="H48" s="7"/>
      <c r="I48" s="7" t="s">
        <v>301</v>
      </c>
      <c r="J48" s="7" t="s">
        <v>82</v>
      </c>
      <c r="K48" s="7" t="s">
        <v>43</v>
      </c>
      <c r="L48" s="7" t="s">
        <v>30</v>
      </c>
      <c r="M48" s="8">
        <v>6741</v>
      </c>
      <c r="N48" s="9">
        <v>0.52149999999999996</v>
      </c>
      <c r="O48" s="7" t="s">
        <v>303</v>
      </c>
      <c r="P48" s="7" t="s">
        <v>32</v>
      </c>
      <c r="Q48" s="7">
        <v>10</v>
      </c>
      <c r="R48" s="7" t="s">
        <v>124</v>
      </c>
      <c r="S48" s="7" t="s">
        <v>124</v>
      </c>
      <c r="T48" s="7" t="s">
        <v>304</v>
      </c>
      <c r="U48" s="7" t="s">
        <v>305</v>
      </c>
      <c r="V48" s="7" t="s">
        <v>37</v>
      </c>
      <c r="W48" s="7" t="s">
        <v>114</v>
      </c>
      <c r="X48" s="7" t="s">
        <v>39</v>
      </c>
      <c r="Y48" s="10" t="s">
        <v>90</v>
      </c>
    </row>
    <row r="49" spans="1:25" ht="12.75">
      <c r="A49" s="11">
        <v>2601607</v>
      </c>
      <c r="B49" s="12" t="s">
        <v>300</v>
      </c>
      <c r="C49" s="12" t="s">
        <v>26</v>
      </c>
      <c r="D49" s="12">
        <v>170002148376</v>
      </c>
      <c r="E49" s="12">
        <v>15</v>
      </c>
      <c r="F49" s="12" t="s">
        <v>306</v>
      </c>
      <c r="G49" s="12"/>
      <c r="H49" s="12"/>
      <c r="I49" s="12" t="s">
        <v>307</v>
      </c>
      <c r="J49" s="12" t="s">
        <v>189</v>
      </c>
      <c r="K49" s="12" t="s">
        <v>29</v>
      </c>
      <c r="L49" s="12" t="s">
        <v>44</v>
      </c>
      <c r="M49" s="13">
        <v>6184</v>
      </c>
      <c r="N49" s="14">
        <v>0.47849999999999998</v>
      </c>
      <c r="O49" s="12" t="s">
        <v>308</v>
      </c>
      <c r="P49" s="12" t="s">
        <v>32</v>
      </c>
      <c r="Q49" s="12">
        <v>15</v>
      </c>
      <c r="R49" s="12" t="s">
        <v>85</v>
      </c>
      <c r="S49" s="12" t="s">
        <v>86</v>
      </c>
      <c r="T49" s="12" t="s">
        <v>309</v>
      </c>
      <c r="U49" s="12" t="s">
        <v>310</v>
      </c>
      <c r="V49" s="12" t="s">
        <v>37</v>
      </c>
      <c r="W49" s="12" t="s">
        <v>38</v>
      </c>
      <c r="X49" s="12" t="s">
        <v>39</v>
      </c>
      <c r="Y49" s="15" t="s">
        <v>127</v>
      </c>
    </row>
    <row r="50" spans="1:25" ht="12.75">
      <c r="A50" s="6">
        <v>2601706</v>
      </c>
      <c r="B50" s="7" t="s">
        <v>311</v>
      </c>
      <c r="C50" s="7" t="s">
        <v>26</v>
      </c>
      <c r="D50" s="7">
        <v>170002188250</v>
      </c>
      <c r="E50" s="7">
        <v>44</v>
      </c>
      <c r="F50" s="7" t="s">
        <v>312</v>
      </c>
      <c r="G50" s="7"/>
      <c r="H50" s="7"/>
      <c r="I50" s="7" t="s">
        <v>312</v>
      </c>
      <c r="J50" s="7" t="s">
        <v>28</v>
      </c>
      <c r="K50" s="7" t="s">
        <v>29</v>
      </c>
      <c r="L50" s="7" t="s">
        <v>30</v>
      </c>
      <c r="M50" s="8">
        <v>33126</v>
      </c>
      <c r="N50" s="9">
        <v>0.72689999999999999</v>
      </c>
      <c r="O50" s="7" t="s">
        <v>313</v>
      </c>
      <c r="P50" s="7" t="s">
        <v>32</v>
      </c>
      <c r="Q50" s="7">
        <v>44</v>
      </c>
      <c r="R50" s="7" t="s">
        <v>314</v>
      </c>
      <c r="S50" s="7" t="s">
        <v>315</v>
      </c>
      <c r="T50" s="7" t="s">
        <v>316</v>
      </c>
      <c r="U50" s="7" t="s">
        <v>317</v>
      </c>
      <c r="V50" s="7" t="s">
        <v>37</v>
      </c>
      <c r="W50" s="7" t="s">
        <v>38</v>
      </c>
      <c r="X50" s="7" t="s">
        <v>39</v>
      </c>
      <c r="Y50" s="10" t="s">
        <v>26</v>
      </c>
    </row>
    <row r="51" spans="1:25" ht="12.75">
      <c r="A51" s="11">
        <v>2601706</v>
      </c>
      <c r="B51" s="12" t="s">
        <v>311</v>
      </c>
      <c r="C51" s="12" t="s">
        <v>26</v>
      </c>
      <c r="D51" s="12">
        <v>170002349125</v>
      </c>
      <c r="E51" s="12">
        <v>22</v>
      </c>
      <c r="F51" s="12" t="s">
        <v>318</v>
      </c>
      <c r="G51" s="12"/>
      <c r="H51" s="12"/>
      <c r="I51" s="12" t="s">
        <v>319</v>
      </c>
      <c r="J51" s="12" t="s">
        <v>42</v>
      </c>
      <c r="K51" s="12" t="s">
        <v>43</v>
      </c>
      <c r="L51" s="12" t="s">
        <v>44</v>
      </c>
      <c r="M51" s="13">
        <v>1587</v>
      </c>
      <c r="N51" s="18">
        <v>3.4799999999999998E-2</v>
      </c>
      <c r="O51" s="12" t="s">
        <v>320</v>
      </c>
      <c r="P51" s="12" t="s">
        <v>46</v>
      </c>
      <c r="Q51" s="12">
        <v>22</v>
      </c>
      <c r="R51" s="12" t="s">
        <v>321</v>
      </c>
      <c r="S51" s="12" t="s">
        <v>322</v>
      </c>
      <c r="T51" s="12" t="s">
        <v>46</v>
      </c>
      <c r="U51" s="12" t="s">
        <v>323</v>
      </c>
      <c r="V51" s="12" t="s">
        <v>37</v>
      </c>
      <c r="W51" s="12" t="s">
        <v>38</v>
      </c>
      <c r="X51" s="12" t="s">
        <v>58</v>
      </c>
      <c r="Y51" s="15" t="s">
        <v>90</v>
      </c>
    </row>
    <row r="52" spans="1:25" ht="12.75">
      <c r="A52" s="6">
        <v>2601706</v>
      </c>
      <c r="B52" s="7" t="s">
        <v>311</v>
      </c>
      <c r="C52" s="7" t="s">
        <v>26</v>
      </c>
      <c r="D52" s="7">
        <v>170002212286</v>
      </c>
      <c r="E52" s="7">
        <v>10</v>
      </c>
      <c r="F52" s="7" t="s">
        <v>324</v>
      </c>
      <c r="G52" s="7"/>
      <c r="H52" s="7"/>
      <c r="I52" s="7" t="s">
        <v>324</v>
      </c>
      <c r="J52" s="7" t="s">
        <v>42</v>
      </c>
      <c r="K52" s="7" t="s">
        <v>43</v>
      </c>
      <c r="L52" s="7" t="s">
        <v>44</v>
      </c>
      <c r="M52" s="8">
        <v>10857</v>
      </c>
      <c r="N52" s="9">
        <v>0.2382</v>
      </c>
      <c r="O52" s="7" t="s">
        <v>325</v>
      </c>
      <c r="P52" s="7" t="s">
        <v>32</v>
      </c>
      <c r="Q52" s="7">
        <v>10</v>
      </c>
      <c r="R52" s="7" t="s">
        <v>124</v>
      </c>
      <c r="S52" s="7" t="s">
        <v>124</v>
      </c>
      <c r="T52" s="7" t="s">
        <v>326</v>
      </c>
      <c r="U52" s="7" t="s">
        <v>327</v>
      </c>
      <c r="V52" s="7" t="s">
        <v>37</v>
      </c>
      <c r="W52" s="7" t="s">
        <v>38</v>
      </c>
      <c r="X52" s="7" t="s">
        <v>39</v>
      </c>
      <c r="Y52" s="10" t="s">
        <v>328</v>
      </c>
    </row>
    <row r="53" spans="1:25" ht="12.75">
      <c r="A53" s="11">
        <v>2601805</v>
      </c>
      <c r="B53" s="12" t="s">
        <v>329</v>
      </c>
      <c r="C53" s="12" t="s">
        <v>26</v>
      </c>
      <c r="D53" s="12">
        <v>170001923837</v>
      </c>
      <c r="E53" s="12">
        <v>10</v>
      </c>
      <c r="F53" s="12" t="s">
        <v>330</v>
      </c>
      <c r="G53" s="12"/>
      <c r="H53" s="12"/>
      <c r="I53" s="12" t="s">
        <v>330</v>
      </c>
      <c r="J53" s="12" t="s">
        <v>42</v>
      </c>
      <c r="K53" s="12" t="s">
        <v>29</v>
      </c>
      <c r="L53" s="12" t="s">
        <v>44</v>
      </c>
      <c r="M53" s="13">
        <v>3986</v>
      </c>
      <c r="N53" s="14">
        <v>0.48430000000000001</v>
      </c>
      <c r="O53" s="12" t="s">
        <v>331</v>
      </c>
      <c r="P53" s="12" t="s">
        <v>32</v>
      </c>
      <c r="Q53" s="12">
        <v>10</v>
      </c>
      <c r="R53" s="12" t="s">
        <v>124</v>
      </c>
      <c r="S53" s="12" t="s">
        <v>124</v>
      </c>
      <c r="T53" s="12" t="s">
        <v>332</v>
      </c>
      <c r="U53" s="12" t="s">
        <v>333</v>
      </c>
      <c r="V53" s="12" t="s">
        <v>160</v>
      </c>
      <c r="W53" s="12" t="s">
        <v>38</v>
      </c>
      <c r="X53" s="12" t="s">
        <v>39</v>
      </c>
      <c r="Y53" s="15" t="s">
        <v>334</v>
      </c>
    </row>
    <row r="54" spans="1:25" ht="12.75">
      <c r="A54" s="6">
        <v>2601805</v>
      </c>
      <c r="B54" s="7" t="s">
        <v>329</v>
      </c>
      <c r="C54" s="7" t="s">
        <v>26</v>
      </c>
      <c r="D54" s="7">
        <v>170002198527</v>
      </c>
      <c r="E54" s="7">
        <v>40</v>
      </c>
      <c r="F54" s="7" t="s">
        <v>335</v>
      </c>
      <c r="G54" s="16" t="s">
        <v>336</v>
      </c>
      <c r="H54" s="7"/>
      <c r="I54" s="7" t="s">
        <v>335</v>
      </c>
      <c r="J54" s="7" t="s">
        <v>82</v>
      </c>
      <c r="K54" s="7" t="s">
        <v>43</v>
      </c>
      <c r="L54" s="7" t="s">
        <v>30</v>
      </c>
      <c r="M54" s="8">
        <v>4191</v>
      </c>
      <c r="N54" s="9">
        <v>0.50919999999999999</v>
      </c>
      <c r="O54" s="7" t="s">
        <v>337</v>
      </c>
      <c r="P54" s="7" t="s">
        <v>32</v>
      </c>
      <c r="Q54" s="7">
        <v>40</v>
      </c>
      <c r="R54" s="7" t="s">
        <v>33</v>
      </c>
      <c r="S54" s="7" t="s">
        <v>34</v>
      </c>
      <c r="T54" s="7" t="s">
        <v>338</v>
      </c>
      <c r="U54" s="7" t="s">
        <v>339</v>
      </c>
      <c r="V54" s="7" t="s">
        <v>37</v>
      </c>
      <c r="W54" s="7" t="s">
        <v>50</v>
      </c>
      <c r="X54" s="7" t="s">
        <v>89</v>
      </c>
      <c r="Y54" s="10" t="s">
        <v>90</v>
      </c>
    </row>
    <row r="55" spans="1:25" ht="12.75">
      <c r="A55" s="11">
        <v>2601805</v>
      </c>
      <c r="B55" s="12" t="s">
        <v>329</v>
      </c>
      <c r="C55" s="12" t="s">
        <v>26</v>
      </c>
      <c r="D55" s="12">
        <v>170002354458</v>
      </c>
      <c r="E55" s="12">
        <v>13</v>
      </c>
      <c r="F55" s="12" t="s">
        <v>340</v>
      </c>
      <c r="G55" s="12"/>
      <c r="H55" s="12"/>
      <c r="I55" s="12" t="s">
        <v>341</v>
      </c>
      <c r="J55" s="12" t="s">
        <v>42</v>
      </c>
      <c r="K55" s="12" t="s">
        <v>43</v>
      </c>
      <c r="L55" s="12" t="s">
        <v>44</v>
      </c>
      <c r="M55" s="13">
        <v>54</v>
      </c>
      <c r="N55" s="14">
        <v>6.6E-3</v>
      </c>
      <c r="O55" s="12" t="s">
        <v>342</v>
      </c>
      <c r="P55" s="12" t="s">
        <v>54</v>
      </c>
      <c r="Q55" s="12">
        <v>13</v>
      </c>
      <c r="R55" s="12" t="s">
        <v>130</v>
      </c>
      <c r="S55" s="12" t="s">
        <v>131</v>
      </c>
      <c r="T55" s="12" t="s">
        <v>54</v>
      </c>
      <c r="U55" s="12" t="s">
        <v>343</v>
      </c>
      <c r="V55" s="12" t="s">
        <v>37</v>
      </c>
      <c r="W55" s="12" t="s">
        <v>50</v>
      </c>
      <c r="X55" s="12" t="s">
        <v>58</v>
      </c>
      <c r="Y55" s="15" t="s">
        <v>90</v>
      </c>
    </row>
    <row r="56" spans="1:25" ht="12.75">
      <c r="A56" s="6">
        <v>2601904</v>
      </c>
      <c r="B56" s="7" t="s">
        <v>344</v>
      </c>
      <c r="C56" s="7" t="s">
        <v>26</v>
      </c>
      <c r="D56" s="7">
        <v>170002311085</v>
      </c>
      <c r="E56" s="7">
        <v>40</v>
      </c>
      <c r="F56" s="7" t="s">
        <v>345</v>
      </c>
      <c r="G56" s="7"/>
      <c r="H56" s="7"/>
      <c r="I56" s="7" t="s">
        <v>345</v>
      </c>
      <c r="J56" s="7" t="s">
        <v>42</v>
      </c>
      <c r="K56" s="7" t="s">
        <v>43</v>
      </c>
      <c r="L56" s="7" t="s">
        <v>44</v>
      </c>
      <c r="M56" s="8">
        <v>9422</v>
      </c>
      <c r="N56" s="9">
        <v>0.24859999999999999</v>
      </c>
      <c r="O56" s="7" t="s">
        <v>346</v>
      </c>
      <c r="P56" s="7" t="s">
        <v>32</v>
      </c>
      <c r="Q56" s="7">
        <v>40</v>
      </c>
      <c r="R56" s="7" t="s">
        <v>33</v>
      </c>
      <c r="S56" s="7" t="s">
        <v>34</v>
      </c>
      <c r="T56" s="7" t="s">
        <v>347</v>
      </c>
      <c r="U56" s="7" t="s">
        <v>348</v>
      </c>
      <c r="V56" s="7" t="s">
        <v>37</v>
      </c>
      <c r="W56" s="7" t="s">
        <v>50</v>
      </c>
      <c r="X56" s="7" t="s">
        <v>39</v>
      </c>
      <c r="Y56" s="10" t="s">
        <v>90</v>
      </c>
    </row>
    <row r="57" spans="1:25" ht="12.75">
      <c r="A57" s="11">
        <v>2601904</v>
      </c>
      <c r="B57" s="12" t="s">
        <v>344</v>
      </c>
      <c r="C57" s="12" t="s">
        <v>26</v>
      </c>
      <c r="D57" s="12">
        <v>170002196438</v>
      </c>
      <c r="E57" s="12">
        <v>11</v>
      </c>
      <c r="F57" s="12" t="s">
        <v>349</v>
      </c>
      <c r="G57" s="12"/>
      <c r="H57" s="12"/>
      <c r="I57" s="12" t="s">
        <v>350</v>
      </c>
      <c r="J57" s="12" t="s">
        <v>42</v>
      </c>
      <c r="K57" s="12" t="s">
        <v>43</v>
      </c>
      <c r="L57" s="12" t="s">
        <v>44</v>
      </c>
      <c r="M57" s="13">
        <v>517</v>
      </c>
      <c r="N57" s="14">
        <v>1.3599999999999999E-2</v>
      </c>
      <c r="O57" s="12" t="s">
        <v>351</v>
      </c>
      <c r="P57" s="12" t="s">
        <v>46</v>
      </c>
      <c r="Q57" s="12">
        <v>11</v>
      </c>
      <c r="R57" s="12" t="s">
        <v>168</v>
      </c>
      <c r="S57" s="12" t="s">
        <v>169</v>
      </c>
      <c r="T57" s="12" t="s">
        <v>46</v>
      </c>
      <c r="U57" s="12" t="s">
        <v>352</v>
      </c>
      <c r="V57" s="12" t="s">
        <v>37</v>
      </c>
      <c r="W57" s="12" t="s">
        <v>50</v>
      </c>
      <c r="X57" s="12" t="s">
        <v>39</v>
      </c>
      <c r="Y57" s="15" t="s">
        <v>90</v>
      </c>
    </row>
    <row r="58" spans="1:25" ht="12.75">
      <c r="A58" s="6">
        <v>2605152</v>
      </c>
      <c r="B58" s="7" t="s">
        <v>353</v>
      </c>
      <c r="C58" s="7" t="s">
        <v>26</v>
      </c>
      <c r="D58" s="7">
        <v>170002058428</v>
      </c>
      <c r="E58" s="7">
        <v>40</v>
      </c>
      <c r="F58" s="7" t="s">
        <v>354</v>
      </c>
      <c r="G58" s="7"/>
      <c r="H58" s="7"/>
      <c r="I58" s="7" t="s">
        <v>354</v>
      </c>
      <c r="J58" s="7" t="s">
        <v>82</v>
      </c>
      <c r="K58" s="7" t="s">
        <v>29</v>
      </c>
      <c r="L58" s="7" t="s">
        <v>30</v>
      </c>
      <c r="M58" s="8">
        <v>11727</v>
      </c>
      <c r="N58" s="9">
        <v>1</v>
      </c>
      <c r="O58" s="7" t="s">
        <v>355</v>
      </c>
      <c r="P58" s="7" t="s">
        <v>32</v>
      </c>
      <c r="Q58" s="7">
        <v>40</v>
      </c>
      <c r="R58" s="7" t="s">
        <v>33</v>
      </c>
      <c r="S58" s="7" t="s">
        <v>34</v>
      </c>
      <c r="T58" s="7" t="s">
        <v>356</v>
      </c>
      <c r="U58" s="7" t="s">
        <v>357</v>
      </c>
      <c r="V58" s="7" t="s">
        <v>160</v>
      </c>
      <c r="W58" s="7" t="s">
        <v>38</v>
      </c>
      <c r="X58" s="7" t="s">
        <v>39</v>
      </c>
      <c r="Y58" s="10" t="s">
        <v>165</v>
      </c>
    </row>
    <row r="59" spans="1:25" ht="12.75">
      <c r="A59" s="11">
        <v>2602001</v>
      </c>
      <c r="B59" s="12" t="s">
        <v>358</v>
      </c>
      <c r="C59" s="12" t="s">
        <v>26</v>
      </c>
      <c r="D59" s="12">
        <v>170001951716</v>
      </c>
      <c r="E59" s="12">
        <v>15</v>
      </c>
      <c r="F59" s="12" t="s">
        <v>359</v>
      </c>
      <c r="G59" s="12"/>
      <c r="H59" s="12"/>
      <c r="I59" s="12" t="s">
        <v>360</v>
      </c>
      <c r="J59" s="12" t="s">
        <v>28</v>
      </c>
      <c r="K59" s="12" t="s">
        <v>29</v>
      </c>
      <c r="L59" s="12" t="s">
        <v>30</v>
      </c>
      <c r="M59" s="13">
        <v>13974</v>
      </c>
      <c r="N59" s="14">
        <v>0.59899999999999998</v>
      </c>
      <c r="O59" s="12" t="s">
        <v>361</v>
      </c>
      <c r="P59" s="12" t="s">
        <v>32</v>
      </c>
      <c r="Q59" s="12">
        <v>15</v>
      </c>
      <c r="R59" s="12" t="s">
        <v>85</v>
      </c>
      <c r="S59" s="12" t="s">
        <v>86</v>
      </c>
      <c r="T59" s="12" t="s">
        <v>362</v>
      </c>
      <c r="U59" s="12" t="s">
        <v>363</v>
      </c>
      <c r="V59" s="12" t="s">
        <v>37</v>
      </c>
      <c r="W59" s="12" t="s">
        <v>38</v>
      </c>
      <c r="X59" s="12" t="s">
        <v>39</v>
      </c>
      <c r="Y59" s="15" t="s">
        <v>65</v>
      </c>
    </row>
    <row r="60" spans="1:25" ht="12.75">
      <c r="A60" s="6">
        <v>2602001</v>
      </c>
      <c r="B60" s="7" t="s">
        <v>358</v>
      </c>
      <c r="C60" s="7" t="s">
        <v>26</v>
      </c>
      <c r="D60" s="7">
        <v>170002005490</v>
      </c>
      <c r="E60" s="7">
        <v>25</v>
      </c>
      <c r="F60" s="7" t="s">
        <v>364</v>
      </c>
      <c r="G60" s="7"/>
      <c r="H60" s="7"/>
      <c r="I60" s="7" t="s">
        <v>364</v>
      </c>
      <c r="J60" s="7" t="s">
        <v>42</v>
      </c>
      <c r="K60" s="7" t="s">
        <v>43</v>
      </c>
      <c r="L60" s="7" t="s">
        <v>44</v>
      </c>
      <c r="M60" s="8">
        <v>9353</v>
      </c>
      <c r="N60" s="9">
        <v>0.40100000000000002</v>
      </c>
      <c r="O60" s="7" t="s">
        <v>365</v>
      </c>
      <c r="P60" s="7" t="s">
        <v>32</v>
      </c>
      <c r="Q60" s="7">
        <v>25</v>
      </c>
      <c r="R60" s="7" t="s">
        <v>366</v>
      </c>
      <c r="S60" s="7" t="s">
        <v>367</v>
      </c>
      <c r="T60" s="7" t="s">
        <v>368</v>
      </c>
      <c r="U60" s="7" t="s">
        <v>369</v>
      </c>
      <c r="V60" s="7" t="s">
        <v>37</v>
      </c>
      <c r="W60" s="7" t="s">
        <v>38</v>
      </c>
      <c r="X60" s="7" t="s">
        <v>39</v>
      </c>
      <c r="Y60" s="10" t="s">
        <v>370</v>
      </c>
    </row>
    <row r="61" spans="1:25" ht="12.75">
      <c r="A61" s="11">
        <v>2602100</v>
      </c>
      <c r="B61" s="12" t="s">
        <v>371</v>
      </c>
      <c r="C61" s="12" t="s">
        <v>26</v>
      </c>
      <c r="D61" s="12">
        <v>170002110869</v>
      </c>
      <c r="E61" s="12">
        <v>12</v>
      </c>
      <c r="F61" s="12" t="s">
        <v>372</v>
      </c>
      <c r="G61" s="12"/>
      <c r="H61" s="12"/>
      <c r="I61" s="12" t="s">
        <v>372</v>
      </c>
      <c r="J61" s="12" t="s">
        <v>42</v>
      </c>
      <c r="K61" s="12" t="s">
        <v>43</v>
      </c>
      <c r="L61" s="12" t="s">
        <v>44</v>
      </c>
      <c r="M61" s="13">
        <v>267</v>
      </c>
      <c r="N61" s="14">
        <v>1.0200000000000001E-2</v>
      </c>
      <c r="O61" s="12" t="s">
        <v>373</v>
      </c>
      <c r="P61" s="12" t="s">
        <v>46</v>
      </c>
      <c r="Q61" s="12">
        <v>12</v>
      </c>
      <c r="R61" s="12" t="s">
        <v>138</v>
      </c>
      <c r="S61" s="12" t="s">
        <v>139</v>
      </c>
      <c r="T61" s="12" t="s">
        <v>46</v>
      </c>
      <c r="U61" s="12" t="s">
        <v>374</v>
      </c>
      <c r="V61" s="12" t="s">
        <v>37</v>
      </c>
      <c r="W61" s="12" t="s">
        <v>38</v>
      </c>
      <c r="X61" s="12" t="s">
        <v>39</v>
      </c>
      <c r="Y61" s="15" t="s">
        <v>375</v>
      </c>
    </row>
    <row r="62" spans="1:25" ht="12.75">
      <c r="A62" s="6">
        <v>2602100</v>
      </c>
      <c r="B62" s="7" t="s">
        <v>371</v>
      </c>
      <c r="C62" s="7" t="s">
        <v>26</v>
      </c>
      <c r="D62" s="7">
        <v>170001963700</v>
      </c>
      <c r="E62" s="7">
        <v>11</v>
      </c>
      <c r="F62" s="7" t="s">
        <v>376</v>
      </c>
      <c r="G62" s="7"/>
      <c r="H62" s="7"/>
      <c r="I62" s="7" t="s">
        <v>376</v>
      </c>
      <c r="J62" s="7" t="s">
        <v>42</v>
      </c>
      <c r="K62" s="7" t="s">
        <v>29</v>
      </c>
      <c r="L62" s="7" t="s">
        <v>44</v>
      </c>
      <c r="M62" s="8">
        <v>12545</v>
      </c>
      <c r="N62" s="9">
        <v>0.48110000000000003</v>
      </c>
      <c r="O62" s="7" t="s">
        <v>377</v>
      </c>
      <c r="P62" s="7" t="s">
        <v>32</v>
      </c>
      <c r="Q62" s="7">
        <v>11</v>
      </c>
      <c r="R62" s="7" t="s">
        <v>168</v>
      </c>
      <c r="S62" s="7" t="s">
        <v>169</v>
      </c>
      <c r="T62" s="7" t="s">
        <v>378</v>
      </c>
      <c r="U62" s="7" t="s">
        <v>379</v>
      </c>
      <c r="V62" s="7" t="s">
        <v>37</v>
      </c>
      <c r="W62" s="7" t="s">
        <v>114</v>
      </c>
      <c r="X62" s="7" t="s">
        <v>58</v>
      </c>
      <c r="Y62" s="10" t="s">
        <v>334</v>
      </c>
    </row>
    <row r="63" spans="1:25" ht="12.75">
      <c r="A63" s="11">
        <v>2602100</v>
      </c>
      <c r="B63" s="12" t="s">
        <v>371</v>
      </c>
      <c r="C63" s="12" t="s">
        <v>26</v>
      </c>
      <c r="D63" s="12">
        <v>170002110211</v>
      </c>
      <c r="E63" s="12">
        <v>43</v>
      </c>
      <c r="F63" s="12" t="s">
        <v>380</v>
      </c>
      <c r="G63" s="17" t="s">
        <v>381</v>
      </c>
      <c r="H63" s="12"/>
      <c r="I63" s="12" t="s">
        <v>380</v>
      </c>
      <c r="J63" s="12" t="s">
        <v>82</v>
      </c>
      <c r="K63" s="12" t="s">
        <v>43</v>
      </c>
      <c r="L63" s="12" t="s">
        <v>30</v>
      </c>
      <c r="M63" s="13">
        <v>13258</v>
      </c>
      <c r="N63" s="14">
        <v>0.50839999999999996</v>
      </c>
      <c r="O63" s="12" t="s">
        <v>382</v>
      </c>
      <c r="P63" s="12" t="s">
        <v>32</v>
      </c>
      <c r="Q63" s="12">
        <v>43</v>
      </c>
      <c r="R63" s="12" t="s">
        <v>383</v>
      </c>
      <c r="S63" s="12" t="s">
        <v>384</v>
      </c>
      <c r="T63" s="12" t="s">
        <v>385</v>
      </c>
      <c r="U63" s="12" t="s">
        <v>386</v>
      </c>
      <c r="V63" s="12" t="s">
        <v>37</v>
      </c>
      <c r="W63" s="12" t="s">
        <v>38</v>
      </c>
      <c r="X63" s="12" t="s">
        <v>58</v>
      </c>
      <c r="Y63" s="15" t="s">
        <v>328</v>
      </c>
    </row>
    <row r="64" spans="1:25" ht="12.75">
      <c r="A64" s="6">
        <v>2602100</v>
      </c>
      <c r="B64" s="7" t="s">
        <v>371</v>
      </c>
      <c r="C64" s="7" t="s">
        <v>26</v>
      </c>
      <c r="D64" s="7">
        <v>170002041733</v>
      </c>
      <c r="E64" s="7">
        <v>36</v>
      </c>
      <c r="F64" s="7" t="s">
        <v>387</v>
      </c>
      <c r="G64" s="7"/>
      <c r="H64" s="7"/>
      <c r="I64" s="7" t="s">
        <v>388</v>
      </c>
      <c r="J64" s="7" t="s">
        <v>42</v>
      </c>
      <c r="K64" s="7" t="s">
        <v>43</v>
      </c>
      <c r="L64" s="7" t="s">
        <v>44</v>
      </c>
      <c r="M64" s="8">
        <v>6</v>
      </c>
      <c r="N64" s="9">
        <v>2.0000000000000001E-4</v>
      </c>
      <c r="O64" s="7" t="s">
        <v>389</v>
      </c>
      <c r="P64" s="7" t="s">
        <v>46</v>
      </c>
      <c r="Q64" s="7">
        <v>36</v>
      </c>
      <c r="R64" s="7" t="s">
        <v>195</v>
      </c>
      <c r="S64" s="7" t="s">
        <v>195</v>
      </c>
      <c r="T64" s="7" t="s">
        <v>46</v>
      </c>
      <c r="U64" s="7" t="s">
        <v>390</v>
      </c>
      <c r="V64" s="7" t="s">
        <v>37</v>
      </c>
      <c r="W64" s="7" t="s">
        <v>114</v>
      </c>
      <c r="X64" s="7" t="s">
        <v>39</v>
      </c>
      <c r="Y64" s="10" t="s">
        <v>51</v>
      </c>
    </row>
    <row r="65" spans="1:25" ht="12.75">
      <c r="A65" s="11">
        <v>2602209</v>
      </c>
      <c r="B65" s="12" t="s">
        <v>391</v>
      </c>
      <c r="C65" s="12" t="s">
        <v>26</v>
      </c>
      <c r="D65" s="12">
        <v>170002113931</v>
      </c>
      <c r="E65" s="12">
        <v>11</v>
      </c>
      <c r="F65" s="12" t="s">
        <v>392</v>
      </c>
      <c r="G65" s="12"/>
      <c r="H65" s="12"/>
      <c r="I65" s="12" t="s">
        <v>393</v>
      </c>
      <c r="J65" s="12" t="s">
        <v>42</v>
      </c>
      <c r="K65" s="12" t="s">
        <v>43</v>
      </c>
      <c r="L65" s="12" t="s">
        <v>44</v>
      </c>
      <c r="M65" s="13">
        <v>9949</v>
      </c>
      <c r="N65" s="14">
        <v>0.4214</v>
      </c>
      <c r="O65" s="12" t="s">
        <v>394</v>
      </c>
      <c r="P65" s="12" t="s">
        <v>32</v>
      </c>
      <c r="Q65" s="12">
        <v>11</v>
      </c>
      <c r="R65" s="12" t="s">
        <v>168</v>
      </c>
      <c r="S65" s="12" t="s">
        <v>169</v>
      </c>
      <c r="T65" s="12" t="s">
        <v>395</v>
      </c>
      <c r="U65" s="12" t="s">
        <v>396</v>
      </c>
      <c r="V65" s="12" t="s">
        <v>160</v>
      </c>
      <c r="W65" s="12" t="s">
        <v>50</v>
      </c>
      <c r="X65" s="12" t="s">
        <v>58</v>
      </c>
      <c r="Y65" s="15" t="s">
        <v>51</v>
      </c>
    </row>
    <row r="66" spans="1:25" ht="12.75">
      <c r="A66" s="6">
        <v>2602209</v>
      </c>
      <c r="B66" s="7" t="s">
        <v>391</v>
      </c>
      <c r="C66" s="7" t="s">
        <v>26</v>
      </c>
      <c r="D66" s="7">
        <v>170001993468</v>
      </c>
      <c r="E66" s="7">
        <v>44</v>
      </c>
      <c r="F66" s="7" t="s">
        <v>397</v>
      </c>
      <c r="G66" s="7"/>
      <c r="H66" s="7"/>
      <c r="I66" s="7" t="s">
        <v>397</v>
      </c>
      <c r="J66" s="7" t="s">
        <v>28</v>
      </c>
      <c r="K66" s="7" t="s">
        <v>29</v>
      </c>
      <c r="L66" s="7" t="s">
        <v>30</v>
      </c>
      <c r="M66" s="8">
        <v>13659</v>
      </c>
      <c r="N66" s="9">
        <v>0.5786</v>
      </c>
      <c r="O66" s="7" t="s">
        <v>398</v>
      </c>
      <c r="P66" s="7" t="s">
        <v>32</v>
      </c>
      <c r="Q66" s="7">
        <v>44</v>
      </c>
      <c r="R66" s="7" t="s">
        <v>314</v>
      </c>
      <c r="S66" s="7" t="s">
        <v>315</v>
      </c>
      <c r="T66" s="7" t="s">
        <v>399</v>
      </c>
      <c r="U66" s="7" t="s">
        <v>400</v>
      </c>
      <c r="V66" s="7" t="s">
        <v>37</v>
      </c>
      <c r="W66" s="7" t="s">
        <v>38</v>
      </c>
      <c r="X66" s="7" t="s">
        <v>89</v>
      </c>
      <c r="Y66" s="10" t="s">
        <v>401</v>
      </c>
    </row>
    <row r="67" spans="1:25" ht="12.75">
      <c r="A67" s="11">
        <v>2602308</v>
      </c>
      <c r="B67" s="12" t="s">
        <v>402</v>
      </c>
      <c r="C67" s="12" t="s">
        <v>26</v>
      </c>
      <c r="D67" s="12">
        <v>170002008170</v>
      </c>
      <c r="E67" s="12">
        <v>15</v>
      </c>
      <c r="F67" s="12" t="s">
        <v>403</v>
      </c>
      <c r="G67" s="12"/>
      <c r="H67" s="12"/>
      <c r="I67" s="12" t="s">
        <v>404</v>
      </c>
      <c r="J67" s="12" t="s">
        <v>42</v>
      </c>
      <c r="K67" s="12" t="s">
        <v>43</v>
      </c>
      <c r="L67" s="12" t="s">
        <v>44</v>
      </c>
      <c r="M67" s="13">
        <v>2202</v>
      </c>
      <c r="N67" s="14">
        <v>8.9599999999999999E-2</v>
      </c>
      <c r="O67" s="12" t="s">
        <v>405</v>
      </c>
      <c r="P67" s="12" t="s">
        <v>32</v>
      </c>
      <c r="Q67" s="12">
        <v>15</v>
      </c>
      <c r="R67" s="12" t="s">
        <v>85</v>
      </c>
      <c r="S67" s="12" t="s">
        <v>86</v>
      </c>
      <c r="T67" s="12" t="s">
        <v>406</v>
      </c>
      <c r="U67" s="12" t="s">
        <v>407</v>
      </c>
      <c r="V67" s="12" t="s">
        <v>37</v>
      </c>
      <c r="W67" s="12" t="s">
        <v>38</v>
      </c>
      <c r="X67" s="12" t="s">
        <v>89</v>
      </c>
      <c r="Y67" s="15" t="s">
        <v>127</v>
      </c>
    </row>
    <row r="68" spans="1:25" ht="12.75">
      <c r="A68" s="6">
        <v>2602308</v>
      </c>
      <c r="B68" s="7" t="s">
        <v>402</v>
      </c>
      <c r="C68" s="7" t="s">
        <v>26</v>
      </c>
      <c r="D68" s="7">
        <v>170002277807</v>
      </c>
      <c r="E68" s="7">
        <v>55</v>
      </c>
      <c r="F68" s="7" t="s">
        <v>408</v>
      </c>
      <c r="G68" s="7"/>
      <c r="H68" s="7"/>
      <c r="I68" s="7" t="s">
        <v>408</v>
      </c>
      <c r="J68" s="7" t="s">
        <v>42</v>
      </c>
      <c r="K68" s="7" t="s">
        <v>43</v>
      </c>
      <c r="L68" s="7" t="s">
        <v>44</v>
      </c>
      <c r="M68" s="8">
        <v>10048</v>
      </c>
      <c r="N68" s="9">
        <v>0.4088</v>
      </c>
      <c r="O68" s="7" t="s">
        <v>409</v>
      </c>
      <c r="P68" s="7" t="s">
        <v>32</v>
      </c>
      <c r="Q68" s="7">
        <v>55</v>
      </c>
      <c r="R68" s="7" t="s">
        <v>74</v>
      </c>
      <c r="S68" s="7" t="s">
        <v>75</v>
      </c>
      <c r="T68" s="7" t="s">
        <v>410</v>
      </c>
      <c r="U68" s="7" t="s">
        <v>411</v>
      </c>
      <c r="V68" s="7" t="s">
        <v>37</v>
      </c>
      <c r="W68" s="7" t="s">
        <v>114</v>
      </c>
      <c r="X68" s="7" t="s">
        <v>58</v>
      </c>
      <c r="Y68" s="10" t="s">
        <v>51</v>
      </c>
    </row>
    <row r="69" spans="1:25" ht="12.75">
      <c r="A69" s="11">
        <v>2602308</v>
      </c>
      <c r="B69" s="12" t="s">
        <v>402</v>
      </c>
      <c r="C69" s="12" t="s">
        <v>26</v>
      </c>
      <c r="D69" s="12">
        <v>170002132261</v>
      </c>
      <c r="E69" s="12">
        <v>40</v>
      </c>
      <c r="F69" s="12" t="s">
        <v>412</v>
      </c>
      <c r="G69" s="12"/>
      <c r="H69" s="12"/>
      <c r="I69" s="12" t="s">
        <v>412</v>
      </c>
      <c r="J69" s="12" t="s">
        <v>82</v>
      </c>
      <c r="K69" s="12" t="s">
        <v>29</v>
      </c>
      <c r="L69" s="12" t="s">
        <v>30</v>
      </c>
      <c r="M69" s="13">
        <v>12332</v>
      </c>
      <c r="N69" s="14">
        <v>0.50170000000000003</v>
      </c>
      <c r="O69" s="12" t="s">
        <v>413</v>
      </c>
      <c r="P69" s="12" t="s">
        <v>32</v>
      </c>
      <c r="Q69" s="12">
        <v>40</v>
      </c>
      <c r="R69" s="12" t="s">
        <v>33</v>
      </c>
      <c r="S69" s="12" t="s">
        <v>34</v>
      </c>
      <c r="T69" s="12" t="s">
        <v>414</v>
      </c>
      <c r="U69" s="12" t="s">
        <v>415</v>
      </c>
      <c r="V69" s="12" t="s">
        <v>37</v>
      </c>
      <c r="W69" s="12" t="s">
        <v>38</v>
      </c>
      <c r="X69" s="12" t="s">
        <v>39</v>
      </c>
      <c r="Y69" s="15" t="s">
        <v>90</v>
      </c>
    </row>
    <row r="70" spans="1:25" ht="12.75">
      <c r="A70" s="6">
        <v>2602407</v>
      </c>
      <c r="B70" s="7" t="s">
        <v>416</v>
      </c>
      <c r="C70" s="7" t="s">
        <v>26</v>
      </c>
      <c r="D70" s="7">
        <v>170001957299</v>
      </c>
      <c r="E70" s="7">
        <v>44</v>
      </c>
      <c r="F70" s="7" t="s">
        <v>417</v>
      </c>
      <c r="G70" s="7"/>
      <c r="H70" s="7"/>
      <c r="I70" s="7" t="s">
        <v>417</v>
      </c>
      <c r="J70" s="7" t="s">
        <v>42</v>
      </c>
      <c r="K70" s="7" t="s">
        <v>43</v>
      </c>
      <c r="L70" s="7" t="s">
        <v>44</v>
      </c>
      <c r="M70" s="8">
        <v>71</v>
      </c>
      <c r="N70" s="9">
        <v>8.6E-3</v>
      </c>
      <c r="O70" s="7" t="s">
        <v>418</v>
      </c>
      <c r="P70" s="7" t="s">
        <v>46</v>
      </c>
      <c r="Q70" s="7">
        <v>44</v>
      </c>
      <c r="R70" s="7" t="s">
        <v>314</v>
      </c>
      <c r="S70" s="7" t="s">
        <v>315</v>
      </c>
      <c r="T70" s="7" t="s">
        <v>46</v>
      </c>
      <c r="U70" s="7" t="s">
        <v>419</v>
      </c>
      <c r="V70" s="7" t="s">
        <v>37</v>
      </c>
      <c r="W70" s="7" t="s">
        <v>50</v>
      </c>
      <c r="X70" s="7" t="s">
        <v>58</v>
      </c>
      <c r="Y70" s="10" t="s">
        <v>95</v>
      </c>
    </row>
    <row r="71" spans="1:25" ht="12.75">
      <c r="A71" s="11">
        <v>2602407</v>
      </c>
      <c r="B71" s="12" t="s">
        <v>416</v>
      </c>
      <c r="C71" s="12" t="s">
        <v>26</v>
      </c>
      <c r="D71" s="12">
        <v>170001917212</v>
      </c>
      <c r="E71" s="12">
        <v>40</v>
      </c>
      <c r="F71" s="12" t="s">
        <v>420</v>
      </c>
      <c r="G71" s="12"/>
      <c r="H71" s="12"/>
      <c r="I71" s="12" t="s">
        <v>420</v>
      </c>
      <c r="J71" s="12" t="s">
        <v>42</v>
      </c>
      <c r="K71" s="12" t="s">
        <v>29</v>
      </c>
      <c r="L71" s="12" t="s">
        <v>44</v>
      </c>
      <c r="M71" s="13">
        <v>3940</v>
      </c>
      <c r="N71" s="14">
        <v>0.47549999999999998</v>
      </c>
      <c r="O71" s="12" t="s">
        <v>421</v>
      </c>
      <c r="P71" s="12" t="s">
        <v>32</v>
      </c>
      <c r="Q71" s="12">
        <v>40</v>
      </c>
      <c r="R71" s="12" t="s">
        <v>33</v>
      </c>
      <c r="S71" s="12" t="s">
        <v>34</v>
      </c>
      <c r="T71" s="12" t="s">
        <v>422</v>
      </c>
      <c r="U71" s="12" t="s">
        <v>423</v>
      </c>
      <c r="V71" s="12" t="s">
        <v>160</v>
      </c>
      <c r="W71" s="12" t="s">
        <v>38</v>
      </c>
      <c r="X71" s="12" t="s">
        <v>58</v>
      </c>
      <c r="Y71" s="15" t="s">
        <v>424</v>
      </c>
    </row>
    <row r="72" spans="1:25" ht="12.75">
      <c r="A72" s="6">
        <v>2602407</v>
      </c>
      <c r="B72" s="7" t="s">
        <v>416</v>
      </c>
      <c r="C72" s="7" t="s">
        <v>26</v>
      </c>
      <c r="D72" s="7">
        <v>170002050326</v>
      </c>
      <c r="E72" s="7">
        <v>11</v>
      </c>
      <c r="F72" s="7" t="s">
        <v>425</v>
      </c>
      <c r="G72" s="16" t="s">
        <v>426</v>
      </c>
      <c r="H72" s="7"/>
      <c r="I72" s="7" t="s">
        <v>425</v>
      </c>
      <c r="J72" s="7" t="s">
        <v>82</v>
      </c>
      <c r="K72" s="7" t="s">
        <v>43</v>
      </c>
      <c r="L72" s="7" t="s">
        <v>30</v>
      </c>
      <c r="M72" s="8">
        <v>4275</v>
      </c>
      <c r="N72" s="9">
        <v>0.51590000000000003</v>
      </c>
      <c r="O72" s="7" t="s">
        <v>427</v>
      </c>
      <c r="P72" s="7" t="s">
        <v>32</v>
      </c>
      <c r="Q72" s="7">
        <v>11</v>
      </c>
      <c r="R72" s="7" t="s">
        <v>168</v>
      </c>
      <c r="S72" s="7" t="s">
        <v>169</v>
      </c>
      <c r="T72" s="7" t="s">
        <v>428</v>
      </c>
      <c r="U72" s="7" t="s">
        <v>429</v>
      </c>
      <c r="V72" s="7" t="s">
        <v>37</v>
      </c>
      <c r="W72" s="7" t="s">
        <v>50</v>
      </c>
      <c r="X72" s="7" t="s">
        <v>58</v>
      </c>
      <c r="Y72" s="10" t="s">
        <v>51</v>
      </c>
    </row>
    <row r="73" spans="1:25" ht="12.75">
      <c r="A73" s="11">
        <v>2602506</v>
      </c>
      <c r="B73" s="12" t="s">
        <v>430</v>
      </c>
      <c r="C73" s="12" t="s">
        <v>26</v>
      </c>
      <c r="D73" s="12">
        <v>170002006596</v>
      </c>
      <c r="E73" s="12">
        <v>10</v>
      </c>
      <c r="F73" s="12" t="s">
        <v>431</v>
      </c>
      <c r="G73" s="12"/>
      <c r="H73" s="12"/>
      <c r="I73" s="12" t="s">
        <v>431</v>
      </c>
      <c r="J73" s="12" t="s">
        <v>28</v>
      </c>
      <c r="K73" s="12" t="s">
        <v>29</v>
      </c>
      <c r="L73" s="12" t="s">
        <v>30</v>
      </c>
      <c r="M73" s="13">
        <v>4589</v>
      </c>
      <c r="N73" s="14">
        <v>0.72230000000000005</v>
      </c>
      <c r="O73" s="12" t="s">
        <v>432</v>
      </c>
      <c r="P73" s="12" t="s">
        <v>32</v>
      </c>
      <c r="Q73" s="12">
        <v>10</v>
      </c>
      <c r="R73" s="12" t="s">
        <v>124</v>
      </c>
      <c r="S73" s="12" t="s">
        <v>124</v>
      </c>
      <c r="T73" s="12" t="s">
        <v>433</v>
      </c>
      <c r="U73" s="12" t="s">
        <v>434</v>
      </c>
      <c r="V73" s="12" t="s">
        <v>37</v>
      </c>
      <c r="W73" s="12" t="s">
        <v>50</v>
      </c>
      <c r="X73" s="12" t="s">
        <v>58</v>
      </c>
      <c r="Y73" s="15" t="s">
        <v>26</v>
      </c>
    </row>
    <row r="74" spans="1:25" ht="12.75">
      <c r="A74" s="6">
        <v>2602506</v>
      </c>
      <c r="B74" s="7" t="s">
        <v>430</v>
      </c>
      <c r="C74" s="7" t="s">
        <v>26</v>
      </c>
      <c r="D74" s="7">
        <v>170002339322</v>
      </c>
      <c r="E74" s="7">
        <v>40</v>
      </c>
      <c r="F74" s="7" t="s">
        <v>435</v>
      </c>
      <c r="G74" s="7"/>
      <c r="H74" s="7"/>
      <c r="I74" s="7" t="s">
        <v>435</v>
      </c>
      <c r="J74" s="7" t="s">
        <v>42</v>
      </c>
      <c r="K74" s="7" t="s">
        <v>43</v>
      </c>
      <c r="L74" s="7" t="s">
        <v>44</v>
      </c>
      <c r="M74" s="8">
        <v>1764</v>
      </c>
      <c r="N74" s="9">
        <v>0.2777</v>
      </c>
      <c r="O74" s="7" t="s">
        <v>436</v>
      </c>
      <c r="P74" s="7" t="s">
        <v>32</v>
      </c>
      <c r="Q74" s="7">
        <v>40</v>
      </c>
      <c r="R74" s="7" t="s">
        <v>33</v>
      </c>
      <c r="S74" s="7" t="s">
        <v>34</v>
      </c>
      <c r="T74" s="7" t="s">
        <v>69</v>
      </c>
      <c r="U74" s="7" t="s">
        <v>437</v>
      </c>
      <c r="V74" s="7" t="s">
        <v>37</v>
      </c>
      <c r="W74" s="7" t="s">
        <v>38</v>
      </c>
      <c r="X74" s="7" t="s">
        <v>39</v>
      </c>
      <c r="Y74" s="10" t="s">
        <v>65</v>
      </c>
    </row>
    <row r="75" spans="1:25" ht="12.75">
      <c r="A75" s="11">
        <v>2602605</v>
      </c>
      <c r="B75" s="12" t="s">
        <v>438</v>
      </c>
      <c r="C75" s="12" t="s">
        <v>26</v>
      </c>
      <c r="D75" s="12">
        <v>170002361109</v>
      </c>
      <c r="E75" s="12">
        <v>20</v>
      </c>
      <c r="F75" s="12" t="s">
        <v>439</v>
      </c>
      <c r="G75" s="12"/>
      <c r="H75" s="12"/>
      <c r="I75" s="12" t="s">
        <v>440</v>
      </c>
      <c r="J75" s="12" t="s">
        <v>42</v>
      </c>
      <c r="K75" s="12" t="s">
        <v>43</v>
      </c>
      <c r="L75" s="12" t="s">
        <v>44</v>
      </c>
      <c r="M75" s="13">
        <v>217</v>
      </c>
      <c r="N75" s="14">
        <v>8.0999999999999996E-3</v>
      </c>
      <c r="O75" s="12" t="s">
        <v>441</v>
      </c>
      <c r="P75" s="12" t="s">
        <v>46</v>
      </c>
      <c r="Q75" s="12">
        <v>20</v>
      </c>
      <c r="R75" s="12" t="s">
        <v>98</v>
      </c>
      <c r="S75" s="12" t="s">
        <v>99</v>
      </c>
      <c r="T75" s="12" t="s">
        <v>46</v>
      </c>
      <c r="U75" s="12" t="s">
        <v>442</v>
      </c>
      <c r="V75" s="12" t="s">
        <v>37</v>
      </c>
      <c r="W75" s="12" t="s">
        <v>50</v>
      </c>
      <c r="X75" s="12" t="s">
        <v>39</v>
      </c>
      <c r="Y75" s="15" t="s">
        <v>95</v>
      </c>
    </row>
    <row r="76" spans="1:25" ht="12.75">
      <c r="A76" s="6">
        <v>2602605</v>
      </c>
      <c r="B76" s="7" t="s">
        <v>438</v>
      </c>
      <c r="C76" s="7" t="s">
        <v>26</v>
      </c>
      <c r="D76" s="7">
        <v>170002206468</v>
      </c>
      <c r="E76" s="7">
        <v>77</v>
      </c>
      <c r="F76" s="7" t="s">
        <v>443</v>
      </c>
      <c r="G76" s="7"/>
      <c r="H76" s="7"/>
      <c r="I76" s="7" t="s">
        <v>444</v>
      </c>
      <c r="J76" s="7" t="s">
        <v>42</v>
      </c>
      <c r="K76" s="7" t="s">
        <v>43</v>
      </c>
      <c r="L76" s="7" t="s">
        <v>44</v>
      </c>
      <c r="M76" s="8">
        <v>131</v>
      </c>
      <c r="N76" s="9">
        <v>4.8999999999999998E-3</v>
      </c>
      <c r="O76" s="7" t="s">
        <v>445</v>
      </c>
      <c r="P76" s="7" t="s">
        <v>46</v>
      </c>
      <c r="Q76" s="7">
        <v>77</v>
      </c>
      <c r="R76" s="7" t="s">
        <v>287</v>
      </c>
      <c r="S76" s="7" t="s">
        <v>287</v>
      </c>
      <c r="T76" s="7" t="s">
        <v>46</v>
      </c>
      <c r="U76" s="7" t="s">
        <v>446</v>
      </c>
      <c r="V76" s="7" t="s">
        <v>37</v>
      </c>
      <c r="W76" s="7" t="s">
        <v>50</v>
      </c>
      <c r="X76" s="7" t="s">
        <v>58</v>
      </c>
      <c r="Y76" s="10" t="s">
        <v>95</v>
      </c>
    </row>
    <row r="77" spans="1:25" ht="12.75">
      <c r="A77" s="11">
        <v>2602605</v>
      </c>
      <c r="B77" s="12" t="s">
        <v>438</v>
      </c>
      <c r="C77" s="12" t="s">
        <v>26</v>
      </c>
      <c r="D77" s="12">
        <v>170002119872</v>
      </c>
      <c r="E77" s="12">
        <v>10</v>
      </c>
      <c r="F77" s="12" t="s">
        <v>447</v>
      </c>
      <c r="G77" s="12"/>
      <c r="H77" s="12"/>
      <c r="I77" s="12" t="s">
        <v>447</v>
      </c>
      <c r="J77" s="12" t="s">
        <v>42</v>
      </c>
      <c r="K77" s="12" t="s">
        <v>43</v>
      </c>
      <c r="L77" s="12" t="s">
        <v>44</v>
      </c>
      <c r="M77" s="13">
        <v>11220</v>
      </c>
      <c r="N77" s="14">
        <v>0.41870000000000002</v>
      </c>
      <c r="O77" s="12" t="s">
        <v>448</v>
      </c>
      <c r="P77" s="12" t="s">
        <v>32</v>
      </c>
      <c r="Q77" s="12">
        <v>10</v>
      </c>
      <c r="R77" s="12" t="s">
        <v>124</v>
      </c>
      <c r="S77" s="12" t="s">
        <v>124</v>
      </c>
      <c r="T77" s="12" t="s">
        <v>449</v>
      </c>
      <c r="U77" s="12" t="s">
        <v>450</v>
      </c>
      <c r="V77" s="12" t="s">
        <v>37</v>
      </c>
      <c r="W77" s="12" t="s">
        <v>102</v>
      </c>
      <c r="X77" s="12" t="s">
        <v>39</v>
      </c>
      <c r="Y77" s="15" t="s">
        <v>246</v>
      </c>
    </row>
    <row r="78" spans="1:25" ht="12.75">
      <c r="A78" s="6">
        <v>2602605</v>
      </c>
      <c r="B78" s="7" t="s">
        <v>438</v>
      </c>
      <c r="C78" s="7" t="s">
        <v>26</v>
      </c>
      <c r="D78" s="7">
        <v>170002201194</v>
      </c>
      <c r="E78" s="7">
        <v>33</v>
      </c>
      <c r="F78" s="7" t="s">
        <v>451</v>
      </c>
      <c r="G78" s="7"/>
      <c r="H78" s="7"/>
      <c r="I78" s="7" t="s">
        <v>451</v>
      </c>
      <c r="J78" s="7" t="s">
        <v>42</v>
      </c>
      <c r="K78" s="7" t="s">
        <v>43</v>
      </c>
      <c r="L78" s="7" t="s">
        <v>44</v>
      </c>
      <c r="M78" s="8">
        <v>263</v>
      </c>
      <c r="N78" s="9">
        <v>9.7999999999999997E-3</v>
      </c>
      <c r="O78" s="7" t="s">
        <v>452</v>
      </c>
      <c r="P78" s="7" t="s">
        <v>46</v>
      </c>
      <c r="Q78" s="7">
        <v>33</v>
      </c>
      <c r="R78" s="7" t="s">
        <v>47</v>
      </c>
      <c r="S78" s="7" t="s">
        <v>48</v>
      </c>
      <c r="T78" s="7" t="s">
        <v>46</v>
      </c>
      <c r="U78" s="7" t="s">
        <v>453</v>
      </c>
      <c r="V78" s="7" t="s">
        <v>160</v>
      </c>
      <c r="W78" s="7" t="s">
        <v>38</v>
      </c>
      <c r="X78" s="7" t="s">
        <v>58</v>
      </c>
      <c r="Y78" s="10" t="s">
        <v>454</v>
      </c>
    </row>
    <row r="79" spans="1:25" ht="12.75">
      <c r="A79" s="11">
        <v>2602605</v>
      </c>
      <c r="B79" s="12" t="s">
        <v>438</v>
      </c>
      <c r="C79" s="12" t="s">
        <v>26</v>
      </c>
      <c r="D79" s="12">
        <v>170002206125</v>
      </c>
      <c r="E79" s="12">
        <v>11</v>
      </c>
      <c r="F79" s="12" t="s">
        <v>455</v>
      </c>
      <c r="G79" s="12"/>
      <c r="H79" s="12"/>
      <c r="I79" s="12" t="s">
        <v>455</v>
      </c>
      <c r="J79" s="12" t="s">
        <v>28</v>
      </c>
      <c r="K79" s="12" t="s">
        <v>29</v>
      </c>
      <c r="L79" s="12" t="s">
        <v>30</v>
      </c>
      <c r="M79" s="13">
        <v>14964</v>
      </c>
      <c r="N79" s="14">
        <v>0.5585</v>
      </c>
      <c r="O79" s="12" t="s">
        <v>456</v>
      </c>
      <c r="P79" s="12" t="s">
        <v>32</v>
      </c>
      <c r="Q79" s="12">
        <v>11</v>
      </c>
      <c r="R79" s="12" t="s">
        <v>168</v>
      </c>
      <c r="S79" s="12" t="s">
        <v>169</v>
      </c>
      <c r="T79" s="12" t="s">
        <v>457</v>
      </c>
      <c r="U79" s="12" t="s">
        <v>458</v>
      </c>
      <c r="V79" s="12" t="s">
        <v>37</v>
      </c>
      <c r="W79" s="12" t="s">
        <v>114</v>
      </c>
      <c r="X79" s="12" t="s">
        <v>39</v>
      </c>
      <c r="Y79" s="15" t="s">
        <v>26</v>
      </c>
    </row>
    <row r="80" spans="1:25" ht="12.75">
      <c r="A80" s="6">
        <v>2602704</v>
      </c>
      <c r="B80" s="7" t="s">
        <v>459</v>
      </c>
      <c r="C80" s="7" t="s">
        <v>26</v>
      </c>
      <c r="D80" s="7">
        <v>170001898062</v>
      </c>
      <c r="E80" s="7">
        <v>20</v>
      </c>
      <c r="F80" s="7" t="s">
        <v>460</v>
      </c>
      <c r="G80" s="7"/>
      <c r="H80" s="7"/>
      <c r="I80" s="7" t="s">
        <v>461</v>
      </c>
      <c r="J80" s="7" t="s">
        <v>42</v>
      </c>
      <c r="K80" s="7" t="s">
        <v>43</v>
      </c>
      <c r="L80" s="7" t="s">
        <v>44</v>
      </c>
      <c r="M80" s="8">
        <v>4694</v>
      </c>
      <c r="N80" s="9">
        <v>0.4541</v>
      </c>
      <c r="O80" s="7" t="s">
        <v>462</v>
      </c>
      <c r="P80" s="7" t="s">
        <v>32</v>
      </c>
      <c r="Q80" s="7">
        <v>20</v>
      </c>
      <c r="R80" s="7" t="s">
        <v>98</v>
      </c>
      <c r="S80" s="7" t="s">
        <v>99</v>
      </c>
      <c r="T80" s="7" t="s">
        <v>463</v>
      </c>
      <c r="U80" s="7" t="s">
        <v>464</v>
      </c>
      <c r="V80" s="7" t="s">
        <v>37</v>
      </c>
      <c r="W80" s="7" t="s">
        <v>38</v>
      </c>
      <c r="X80" s="7" t="s">
        <v>58</v>
      </c>
      <c r="Y80" s="10" t="s">
        <v>165</v>
      </c>
    </row>
    <row r="81" spans="1:25" ht="12.75">
      <c r="A81" s="11">
        <v>2602704</v>
      </c>
      <c r="B81" s="12" t="s">
        <v>459</v>
      </c>
      <c r="C81" s="12" t="s">
        <v>26</v>
      </c>
      <c r="D81" s="12">
        <v>170001915078</v>
      </c>
      <c r="E81" s="12">
        <v>11</v>
      </c>
      <c r="F81" s="12" t="s">
        <v>465</v>
      </c>
      <c r="G81" s="12"/>
      <c r="H81" s="12"/>
      <c r="I81" s="12" t="s">
        <v>465</v>
      </c>
      <c r="J81" s="12" t="s">
        <v>82</v>
      </c>
      <c r="K81" s="12" t="s">
        <v>29</v>
      </c>
      <c r="L81" s="12" t="s">
        <v>30</v>
      </c>
      <c r="M81" s="13">
        <v>5642</v>
      </c>
      <c r="N81" s="14">
        <v>0.54590000000000005</v>
      </c>
      <c r="O81" s="12" t="s">
        <v>466</v>
      </c>
      <c r="P81" s="12" t="s">
        <v>32</v>
      </c>
      <c r="Q81" s="12">
        <v>11</v>
      </c>
      <c r="R81" s="12" t="s">
        <v>168</v>
      </c>
      <c r="S81" s="12" t="s">
        <v>169</v>
      </c>
      <c r="T81" s="12" t="s">
        <v>467</v>
      </c>
      <c r="U81" s="12" t="s">
        <v>468</v>
      </c>
      <c r="V81" s="12" t="s">
        <v>37</v>
      </c>
      <c r="W81" s="12" t="s">
        <v>38</v>
      </c>
      <c r="X81" s="12" t="s">
        <v>39</v>
      </c>
      <c r="Y81" s="15" t="s">
        <v>127</v>
      </c>
    </row>
    <row r="82" spans="1:25" ht="12.75">
      <c r="A82" s="6">
        <v>2602803</v>
      </c>
      <c r="B82" s="7" t="s">
        <v>469</v>
      </c>
      <c r="C82" s="7" t="s">
        <v>26</v>
      </c>
      <c r="D82" s="7">
        <v>170001988981</v>
      </c>
      <c r="E82" s="7">
        <v>10</v>
      </c>
      <c r="F82" s="7" t="s">
        <v>470</v>
      </c>
      <c r="G82" s="7"/>
      <c r="H82" s="7"/>
      <c r="I82" s="7" t="s">
        <v>470</v>
      </c>
      <c r="J82" s="7" t="s">
        <v>42</v>
      </c>
      <c r="K82" s="7" t="s">
        <v>43</v>
      </c>
      <c r="L82" s="7" t="s">
        <v>44</v>
      </c>
      <c r="M82" s="8">
        <v>13062</v>
      </c>
      <c r="N82" s="9">
        <v>0.44879999999999998</v>
      </c>
      <c r="O82" s="7" t="s">
        <v>471</v>
      </c>
      <c r="P82" s="7" t="s">
        <v>32</v>
      </c>
      <c r="Q82" s="7">
        <v>10</v>
      </c>
      <c r="R82" s="7" t="s">
        <v>124</v>
      </c>
      <c r="S82" s="7" t="s">
        <v>124</v>
      </c>
      <c r="T82" s="7" t="s">
        <v>472</v>
      </c>
      <c r="U82" s="7" t="s">
        <v>473</v>
      </c>
      <c r="V82" s="7" t="s">
        <v>37</v>
      </c>
      <c r="W82" s="7" t="s">
        <v>38</v>
      </c>
      <c r="X82" s="7" t="s">
        <v>39</v>
      </c>
      <c r="Y82" s="10" t="s">
        <v>78</v>
      </c>
    </row>
    <row r="83" spans="1:25" ht="12.75">
      <c r="A83" s="11">
        <v>2602803</v>
      </c>
      <c r="B83" s="12" t="s">
        <v>469</v>
      </c>
      <c r="C83" s="12" t="s">
        <v>26</v>
      </c>
      <c r="D83" s="12">
        <v>170002058900</v>
      </c>
      <c r="E83" s="12">
        <v>15</v>
      </c>
      <c r="F83" s="12" t="s">
        <v>474</v>
      </c>
      <c r="G83" s="12"/>
      <c r="H83" s="12"/>
      <c r="I83" s="12" t="s">
        <v>475</v>
      </c>
      <c r="J83" s="12" t="s">
        <v>82</v>
      </c>
      <c r="K83" s="12" t="s">
        <v>29</v>
      </c>
      <c r="L83" s="12" t="s">
        <v>30</v>
      </c>
      <c r="M83" s="13">
        <v>16044</v>
      </c>
      <c r="N83" s="14">
        <v>0.55120000000000002</v>
      </c>
      <c r="O83" s="12" t="s">
        <v>476</v>
      </c>
      <c r="P83" s="12" t="s">
        <v>32</v>
      </c>
      <c r="Q83" s="12">
        <v>15</v>
      </c>
      <c r="R83" s="12" t="s">
        <v>85</v>
      </c>
      <c r="S83" s="12" t="s">
        <v>86</v>
      </c>
      <c r="T83" s="12" t="s">
        <v>477</v>
      </c>
      <c r="U83" s="12" t="s">
        <v>478</v>
      </c>
      <c r="V83" s="12" t="s">
        <v>37</v>
      </c>
      <c r="W83" s="12" t="s">
        <v>50</v>
      </c>
      <c r="X83" s="12" t="s">
        <v>39</v>
      </c>
      <c r="Y83" s="15" t="s">
        <v>109</v>
      </c>
    </row>
    <row r="84" spans="1:25" ht="12.75">
      <c r="A84" s="6">
        <v>2602902</v>
      </c>
      <c r="B84" s="7" t="s">
        <v>479</v>
      </c>
      <c r="C84" s="7" t="s">
        <v>26</v>
      </c>
      <c r="D84" s="7">
        <v>170001980291</v>
      </c>
      <c r="E84" s="7">
        <v>12</v>
      </c>
      <c r="F84" s="7" t="s">
        <v>480</v>
      </c>
      <c r="G84" s="7"/>
      <c r="H84" s="7"/>
      <c r="I84" s="7" t="s">
        <v>480</v>
      </c>
      <c r="J84" s="7" t="s">
        <v>42</v>
      </c>
      <c r="K84" s="7" t="s">
        <v>43</v>
      </c>
      <c r="L84" s="7" t="s">
        <v>44</v>
      </c>
      <c r="M84" s="8">
        <v>13118</v>
      </c>
      <c r="N84" s="9">
        <v>0.1018</v>
      </c>
      <c r="O84" s="7" t="s">
        <v>481</v>
      </c>
      <c r="P84" s="7" t="s">
        <v>46</v>
      </c>
      <c r="Q84" s="7">
        <v>12</v>
      </c>
      <c r="R84" s="7" t="s">
        <v>138</v>
      </c>
      <c r="S84" s="7" t="s">
        <v>139</v>
      </c>
      <c r="T84" s="7" t="s">
        <v>46</v>
      </c>
      <c r="U84" s="7" t="s">
        <v>482</v>
      </c>
      <c r="V84" s="7" t="s">
        <v>37</v>
      </c>
      <c r="W84" s="7" t="s">
        <v>38</v>
      </c>
      <c r="X84" s="7" t="s">
        <v>58</v>
      </c>
      <c r="Y84" s="10" t="s">
        <v>127</v>
      </c>
    </row>
    <row r="85" spans="1:25" ht="12.75">
      <c r="A85" s="11">
        <v>2602902</v>
      </c>
      <c r="B85" s="12" t="s">
        <v>479</v>
      </c>
      <c r="C85" s="12" t="s">
        <v>26</v>
      </c>
      <c r="D85" s="12">
        <v>170002035899</v>
      </c>
      <c r="E85" s="12">
        <v>11</v>
      </c>
      <c r="F85" s="12" t="s">
        <v>483</v>
      </c>
      <c r="G85" s="12"/>
      <c r="H85" s="12"/>
      <c r="I85" s="12" t="s">
        <v>483</v>
      </c>
      <c r="J85" s="12" t="s">
        <v>189</v>
      </c>
      <c r="K85" s="12" t="s">
        <v>29</v>
      </c>
      <c r="L85" s="12" t="s">
        <v>44</v>
      </c>
      <c r="M85" s="13">
        <v>53794</v>
      </c>
      <c r="N85" s="14">
        <v>0.41739999999999999</v>
      </c>
      <c r="O85" s="12" t="s">
        <v>484</v>
      </c>
      <c r="P85" s="12" t="s">
        <v>32</v>
      </c>
      <c r="Q85" s="12">
        <v>11</v>
      </c>
      <c r="R85" s="12" t="s">
        <v>168</v>
      </c>
      <c r="S85" s="12" t="s">
        <v>169</v>
      </c>
      <c r="T85" s="12" t="s">
        <v>485</v>
      </c>
      <c r="U85" s="12" t="s">
        <v>486</v>
      </c>
      <c r="V85" s="12" t="s">
        <v>37</v>
      </c>
      <c r="W85" s="12" t="s">
        <v>38</v>
      </c>
      <c r="X85" s="12" t="s">
        <v>58</v>
      </c>
      <c r="Y85" s="15" t="s">
        <v>26</v>
      </c>
    </row>
    <row r="86" spans="1:25" ht="12.75">
      <c r="A86" s="6">
        <v>2602902</v>
      </c>
      <c r="B86" s="7" t="s">
        <v>479</v>
      </c>
      <c r="C86" s="7" t="s">
        <v>26</v>
      </c>
      <c r="D86" s="7">
        <v>170002262237</v>
      </c>
      <c r="E86" s="7">
        <v>21</v>
      </c>
      <c r="F86" s="7" t="s">
        <v>487</v>
      </c>
      <c r="G86" s="7"/>
      <c r="H86" s="7"/>
      <c r="I86" s="7" t="s">
        <v>488</v>
      </c>
      <c r="J86" s="7" t="s">
        <v>42</v>
      </c>
      <c r="K86" s="7" t="s">
        <v>43</v>
      </c>
      <c r="L86" s="7" t="s">
        <v>44</v>
      </c>
      <c r="M86" s="8">
        <v>492</v>
      </c>
      <c r="N86" s="9">
        <v>3.8E-3</v>
      </c>
      <c r="O86" s="7" t="s">
        <v>489</v>
      </c>
      <c r="P86" s="7" t="s">
        <v>46</v>
      </c>
      <c r="Q86" s="7">
        <v>21</v>
      </c>
      <c r="R86" s="7" t="s">
        <v>490</v>
      </c>
      <c r="S86" s="7" t="s">
        <v>491</v>
      </c>
      <c r="T86" s="7" t="s">
        <v>46</v>
      </c>
      <c r="U86" s="7" t="s">
        <v>492</v>
      </c>
      <c r="V86" s="7" t="s">
        <v>37</v>
      </c>
      <c r="W86" s="7" t="s">
        <v>38</v>
      </c>
      <c r="X86" s="7" t="s">
        <v>39</v>
      </c>
      <c r="Y86" s="10" t="s">
        <v>493</v>
      </c>
    </row>
    <row r="87" spans="1:25" ht="12.75">
      <c r="A87" s="11">
        <v>2602902</v>
      </c>
      <c r="B87" s="12" t="s">
        <v>479</v>
      </c>
      <c r="C87" s="12" t="s">
        <v>26</v>
      </c>
      <c r="D87" s="12">
        <v>170002263930</v>
      </c>
      <c r="E87" s="12">
        <v>25</v>
      </c>
      <c r="F87" s="12" t="s">
        <v>494</v>
      </c>
      <c r="G87" s="12"/>
      <c r="H87" s="12"/>
      <c r="I87" s="12" t="s">
        <v>494</v>
      </c>
      <c r="J87" s="12" t="s">
        <v>42</v>
      </c>
      <c r="K87" s="12" t="s">
        <v>43</v>
      </c>
      <c r="L87" s="12" t="s">
        <v>44</v>
      </c>
      <c r="M87" s="13">
        <v>1372</v>
      </c>
      <c r="N87" s="14">
        <v>1.06E-2</v>
      </c>
      <c r="O87" s="12" t="s">
        <v>495</v>
      </c>
      <c r="P87" s="12" t="s">
        <v>46</v>
      </c>
      <c r="Q87" s="12">
        <v>25</v>
      </c>
      <c r="R87" s="12" t="s">
        <v>366</v>
      </c>
      <c r="S87" s="12" t="s">
        <v>367</v>
      </c>
      <c r="T87" s="12" t="s">
        <v>46</v>
      </c>
      <c r="U87" s="12" t="s">
        <v>496</v>
      </c>
      <c r="V87" s="12" t="s">
        <v>37</v>
      </c>
      <c r="W87" s="12" t="s">
        <v>50</v>
      </c>
      <c r="X87" s="12" t="s">
        <v>89</v>
      </c>
      <c r="Y87" s="15" t="s">
        <v>90</v>
      </c>
    </row>
    <row r="88" spans="1:25" ht="12.75">
      <c r="A88" s="6">
        <v>2602902</v>
      </c>
      <c r="B88" s="7" t="s">
        <v>479</v>
      </c>
      <c r="C88" s="7" t="s">
        <v>26</v>
      </c>
      <c r="D88" s="7">
        <v>170001935054</v>
      </c>
      <c r="E88" s="7">
        <v>77</v>
      </c>
      <c r="F88" s="7" t="s">
        <v>497</v>
      </c>
      <c r="G88" s="7"/>
      <c r="H88" s="7"/>
      <c r="I88" s="7" t="s">
        <v>497</v>
      </c>
      <c r="J88" s="7" t="s">
        <v>82</v>
      </c>
      <c r="K88" s="7" t="s">
        <v>43</v>
      </c>
      <c r="L88" s="7" t="s">
        <v>30</v>
      </c>
      <c r="M88" s="8">
        <v>60103</v>
      </c>
      <c r="N88" s="9">
        <v>0.46639999999999998</v>
      </c>
      <c r="O88" s="7" t="s">
        <v>498</v>
      </c>
      <c r="P88" s="7" t="s">
        <v>32</v>
      </c>
      <c r="Q88" s="7">
        <v>77</v>
      </c>
      <c r="R88" s="7" t="s">
        <v>287</v>
      </c>
      <c r="S88" s="7" t="s">
        <v>287</v>
      </c>
      <c r="T88" s="7" t="s">
        <v>499</v>
      </c>
      <c r="U88" s="7" t="s">
        <v>500</v>
      </c>
      <c r="V88" s="7" t="s">
        <v>37</v>
      </c>
      <c r="W88" s="7" t="s">
        <v>38</v>
      </c>
      <c r="X88" s="7" t="s">
        <v>39</v>
      </c>
      <c r="Y88" s="10" t="s">
        <v>90</v>
      </c>
    </row>
    <row r="89" spans="1:25" ht="12.75">
      <c r="A89" s="11">
        <v>2603009</v>
      </c>
      <c r="B89" s="12" t="s">
        <v>501</v>
      </c>
      <c r="C89" s="12" t="s">
        <v>26</v>
      </c>
      <c r="D89" s="12">
        <v>170002120541</v>
      </c>
      <c r="E89" s="12">
        <v>70</v>
      </c>
      <c r="F89" s="12" t="s">
        <v>502</v>
      </c>
      <c r="G89" s="12"/>
      <c r="H89" s="12"/>
      <c r="I89" s="12" t="s">
        <v>502</v>
      </c>
      <c r="J89" s="12" t="s">
        <v>28</v>
      </c>
      <c r="K89" s="12" t="s">
        <v>29</v>
      </c>
      <c r="L89" s="12" t="s">
        <v>30</v>
      </c>
      <c r="M89" s="13">
        <v>14317</v>
      </c>
      <c r="N89" s="14">
        <v>0.68469999999999998</v>
      </c>
      <c r="O89" s="12" t="s">
        <v>503</v>
      </c>
      <c r="P89" s="12" t="s">
        <v>32</v>
      </c>
      <c r="Q89" s="12">
        <v>70</v>
      </c>
      <c r="R89" s="12" t="s">
        <v>177</v>
      </c>
      <c r="S89" s="12" t="s">
        <v>177</v>
      </c>
      <c r="T89" s="12" t="s">
        <v>504</v>
      </c>
      <c r="U89" s="12" t="s">
        <v>505</v>
      </c>
      <c r="V89" s="12" t="s">
        <v>37</v>
      </c>
      <c r="W89" s="12" t="s">
        <v>38</v>
      </c>
      <c r="X89" s="12" t="s">
        <v>58</v>
      </c>
      <c r="Y89" s="15" t="s">
        <v>26</v>
      </c>
    </row>
    <row r="90" spans="1:25" ht="12.75">
      <c r="A90" s="6">
        <v>2603009</v>
      </c>
      <c r="B90" s="7" t="s">
        <v>501</v>
      </c>
      <c r="C90" s="7" t="s">
        <v>26</v>
      </c>
      <c r="D90" s="7">
        <v>170002016727</v>
      </c>
      <c r="E90" s="7">
        <v>44</v>
      </c>
      <c r="F90" s="7" t="s">
        <v>506</v>
      </c>
      <c r="G90" s="7"/>
      <c r="H90" s="7"/>
      <c r="I90" s="7" t="s">
        <v>506</v>
      </c>
      <c r="J90" s="7" t="s">
        <v>42</v>
      </c>
      <c r="K90" s="7" t="s">
        <v>43</v>
      </c>
      <c r="L90" s="7" t="s">
        <v>44</v>
      </c>
      <c r="M90" s="8">
        <v>6442</v>
      </c>
      <c r="N90" s="9">
        <v>0.30809999999999998</v>
      </c>
      <c r="O90" s="7" t="s">
        <v>507</v>
      </c>
      <c r="P90" s="7" t="s">
        <v>46</v>
      </c>
      <c r="Q90" s="7">
        <v>44</v>
      </c>
      <c r="R90" s="7" t="s">
        <v>314</v>
      </c>
      <c r="S90" s="7" t="s">
        <v>315</v>
      </c>
      <c r="T90" s="7" t="s">
        <v>46</v>
      </c>
      <c r="U90" s="7" t="s">
        <v>508</v>
      </c>
      <c r="V90" s="7" t="s">
        <v>37</v>
      </c>
      <c r="W90" s="7" t="s">
        <v>38</v>
      </c>
      <c r="X90" s="7" t="s">
        <v>39</v>
      </c>
      <c r="Y90" s="10" t="s">
        <v>65</v>
      </c>
    </row>
    <row r="91" spans="1:25" ht="12.75">
      <c r="A91" s="11">
        <v>2603009</v>
      </c>
      <c r="B91" s="12" t="s">
        <v>501</v>
      </c>
      <c r="C91" s="12" t="s">
        <v>26</v>
      </c>
      <c r="D91" s="12">
        <v>170002032806</v>
      </c>
      <c r="E91" s="12">
        <v>50</v>
      </c>
      <c r="F91" s="12" t="s">
        <v>509</v>
      </c>
      <c r="G91" s="12"/>
      <c r="H91" s="12"/>
      <c r="I91" s="12" t="s">
        <v>510</v>
      </c>
      <c r="J91" s="12" t="s">
        <v>42</v>
      </c>
      <c r="K91" s="12" t="s">
        <v>43</v>
      </c>
      <c r="L91" s="12" t="s">
        <v>44</v>
      </c>
      <c r="M91" s="13">
        <v>150</v>
      </c>
      <c r="N91" s="14">
        <v>7.1999999999999998E-3</v>
      </c>
      <c r="O91" s="12" t="s">
        <v>511</v>
      </c>
      <c r="P91" s="12" t="s">
        <v>54</v>
      </c>
      <c r="Q91" s="12">
        <v>50</v>
      </c>
      <c r="R91" s="12" t="s">
        <v>153</v>
      </c>
      <c r="S91" s="12" t="s">
        <v>154</v>
      </c>
      <c r="T91" s="12" t="s">
        <v>54</v>
      </c>
      <c r="U91" s="12" t="s">
        <v>512</v>
      </c>
      <c r="V91" s="12" t="s">
        <v>37</v>
      </c>
      <c r="W91" s="12" t="s">
        <v>156</v>
      </c>
      <c r="X91" s="12" t="s">
        <v>39</v>
      </c>
      <c r="Y91" s="15" t="s">
        <v>95</v>
      </c>
    </row>
    <row r="92" spans="1:25" ht="12.75">
      <c r="A92" s="6">
        <v>2603108</v>
      </c>
      <c r="B92" s="7" t="s">
        <v>513</v>
      </c>
      <c r="C92" s="7" t="s">
        <v>26</v>
      </c>
      <c r="D92" s="7">
        <v>170002005234</v>
      </c>
      <c r="E92" s="7">
        <v>45</v>
      </c>
      <c r="F92" s="7" t="s">
        <v>514</v>
      </c>
      <c r="G92" s="16" t="s">
        <v>515</v>
      </c>
      <c r="H92" s="7"/>
      <c r="I92" s="7" t="s">
        <v>516</v>
      </c>
      <c r="J92" s="7" t="s">
        <v>82</v>
      </c>
      <c r="K92" s="7" t="s">
        <v>43</v>
      </c>
      <c r="L92" s="7" t="s">
        <v>30</v>
      </c>
      <c r="M92" s="8">
        <v>8016</v>
      </c>
      <c r="N92" s="9">
        <v>0.6048</v>
      </c>
      <c r="O92" s="7" t="s">
        <v>517</v>
      </c>
      <c r="P92" s="7" t="s">
        <v>32</v>
      </c>
      <c r="Q92" s="7">
        <v>45</v>
      </c>
      <c r="R92" s="7" t="s">
        <v>61</v>
      </c>
      <c r="S92" s="7" t="s">
        <v>62</v>
      </c>
      <c r="T92" s="7" t="s">
        <v>518</v>
      </c>
      <c r="U92" s="7" t="s">
        <v>519</v>
      </c>
      <c r="V92" s="7" t="s">
        <v>37</v>
      </c>
      <c r="W92" s="7" t="s">
        <v>38</v>
      </c>
      <c r="X92" s="7" t="s">
        <v>39</v>
      </c>
      <c r="Y92" s="10" t="s">
        <v>127</v>
      </c>
    </row>
    <row r="93" spans="1:25" ht="12.75">
      <c r="A93" s="11">
        <v>2603108</v>
      </c>
      <c r="B93" s="12" t="s">
        <v>513</v>
      </c>
      <c r="C93" s="12" t="s">
        <v>26</v>
      </c>
      <c r="D93" s="12">
        <v>170002081741</v>
      </c>
      <c r="E93" s="12">
        <v>10</v>
      </c>
      <c r="F93" s="12" t="s">
        <v>520</v>
      </c>
      <c r="G93" s="12"/>
      <c r="H93" s="12"/>
      <c r="I93" s="12" t="s">
        <v>521</v>
      </c>
      <c r="J93" s="12" t="s">
        <v>42</v>
      </c>
      <c r="K93" s="12" t="s">
        <v>29</v>
      </c>
      <c r="L93" s="12" t="s">
        <v>44</v>
      </c>
      <c r="M93" s="13">
        <v>5237</v>
      </c>
      <c r="N93" s="14">
        <v>0.3952</v>
      </c>
      <c r="O93" s="12" t="s">
        <v>522</v>
      </c>
      <c r="P93" s="12" t="s">
        <v>32</v>
      </c>
      <c r="Q93" s="12">
        <v>10</v>
      </c>
      <c r="R93" s="12" t="s">
        <v>124</v>
      </c>
      <c r="S93" s="12" t="s">
        <v>124</v>
      </c>
      <c r="T93" s="12" t="s">
        <v>523</v>
      </c>
      <c r="U93" s="12" t="s">
        <v>524</v>
      </c>
      <c r="V93" s="12" t="s">
        <v>37</v>
      </c>
      <c r="W93" s="12" t="s">
        <v>50</v>
      </c>
      <c r="X93" s="12" t="s">
        <v>58</v>
      </c>
      <c r="Y93" s="15" t="s">
        <v>246</v>
      </c>
    </row>
    <row r="94" spans="1:25" ht="12.75">
      <c r="A94" s="6">
        <v>2603207</v>
      </c>
      <c r="B94" s="7" t="s">
        <v>525</v>
      </c>
      <c r="C94" s="7" t="s">
        <v>26</v>
      </c>
      <c r="D94" s="7">
        <v>170002375538</v>
      </c>
      <c r="E94" s="7">
        <v>12</v>
      </c>
      <c r="F94" s="7" t="s">
        <v>526</v>
      </c>
      <c r="G94" s="7"/>
      <c r="H94" s="7"/>
      <c r="I94" s="7" t="s">
        <v>526</v>
      </c>
      <c r="J94" s="7" t="s">
        <v>42</v>
      </c>
      <c r="K94" s="7" t="s">
        <v>43</v>
      </c>
      <c r="L94" s="7" t="s">
        <v>44</v>
      </c>
      <c r="M94" s="8">
        <v>4579</v>
      </c>
      <c r="N94" s="9">
        <v>0.31900000000000001</v>
      </c>
      <c r="O94" s="7" t="s">
        <v>527</v>
      </c>
      <c r="P94" s="7" t="s">
        <v>46</v>
      </c>
      <c r="Q94" s="7">
        <v>12</v>
      </c>
      <c r="R94" s="7" t="s">
        <v>138</v>
      </c>
      <c r="S94" s="7" t="s">
        <v>139</v>
      </c>
      <c r="T94" s="7" t="s">
        <v>46</v>
      </c>
      <c r="U94" s="7" t="s">
        <v>528</v>
      </c>
      <c r="V94" s="7" t="s">
        <v>37</v>
      </c>
      <c r="W94" s="7" t="s">
        <v>114</v>
      </c>
      <c r="X94" s="7" t="s">
        <v>58</v>
      </c>
      <c r="Y94" s="10" t="s">
        <v>51</v>
      </c>
    </row>
    <row r="95" spans="1:25" ht="12.75">
      <c r="A95" s="11">
        <v>2603207</v>
      </c>
      <c r="B95" s="12" t="s">
        <v>525</v>
      </c>
      <c r="C95" s="12" t="s">
        <v>26</v>
      </c>
      <c r="D95" s="12">
        <v>170002243476</v>
      </c>
      <c r="E95" s="12">
        <v>10</v>
      </c>
      <c r="F95" s="12" t="s">
        <v>529</v>
      </c>
      <c r="G95" s="12"/>
      <c r="H95" s="12"/>
      <c r="I95" s="12" t="s">
        <v>529</v>
      </c>
      <c r="J95" s="12" t="s">
        <v>28</v>
      </c>
      <c r="K95" s="12" t="s">
        <v>29</v>
      </c>
      <c r="L95" s="12" t="s">
        <v>30</v>
      </c>
      <c r="M95" s="13">
        <v>9777</v>
      </c>
      <c r="N95" s="14">
        <v>0.68100000000000005</v>
      </c>
      <c r="O95" s="12" t="s">
        <v>530</v>
      </c>
      <c r="P95" s="12" t="s">
        <v>32</v>
      </c>
      <c r="Q95" s="12">
        <v>10</v>
      </c>
      <c r="R95" s="12" t="s">
        <v>124</v>
      </c>
      <c r="S95" s="12" t="s">
        <v>124</v>
      </c>
      <c r="T95" s="12" t="s">
        <v>531</v>
      </c>
      <c r="U95" s="12" t="s">
        <v>532</v>
      </c>
      <c r="V95" s="12" t="s">
        <v>37</v>
      </c>
      <c r="W95" s="12" t="s">
        <v>38</v>
      </c>
      <c r="X95" s="12" t="s">
        <v>39</v>
      </c>
      <c r="Y95" s="15" t="s">
        <v>51</v>
      </c>
    </row>
    <row r="96" spans="1:25" ht="12.75">
      <c r="A96" s="6">
        <v>2603306</v>
      </c>
      <c r="B96" s="7" t="s">
        <v>533</v>
      </c>
      <c r="C96" s="7" t="s">
        <v>26</v>
      </c>
      <c r="D96" s="7">
        <v>170002035841</v>
      </c>
      <c r="E96" s="7">
        <v>11</v>
      </c>
      <c r="F96" s="7" t="s">
        <v>534</v>
      </c>
      <c r="G96" s="7"/>
      <c r="H96" s="7"/>
      <c r="I96" s="7" t="s">
        <v>535</v>
      </c>
      <c r="J96" s="7" t="s">
        <v>82</v>
      </c>
      <c r="K96" s="7" t="s">
        <v>29</v>
      </c>
      <c r="L96" s="7" t="s">
        <v>30</v>
      </c>
      <c r="M96" s="8">
        <v>4244</v>
      </c>
      <c r="N96" s="9">
        <v>0.63139999999999996</v>
      </c>
      <c r="O96" s="7" t="s">
        <v>536</v>
      </c>
      <c r="P96" s="7" t="s">
        <v>46</v>
      </c>
      <c r="Q96" s="7">
        <v>11</v>
      </c>
      <c r="R96" s="7" t="s">
        <v>168</v>
      </c>
      <c r="S96" s="7" t="s">
        <v>169</v>
      </c>
      <c r="T96" s="7" t="s">
        <v>46</v>
      </c>
      <c r="U96" s="7" t="s">
        <v>537</v>
      </c>
      <c r="V96" s="7" t="s">
        <v>37</v>
      </c>
      <c r="W96" s="7" t="s">
        <v>114</v>
      </c>
      <c r="X96" s="7" t="s">
        <v>58</v>
      </c>
      <c r="Y96" s="10" t="s">
        <v>95</v>
      </c>
    </row>
    <row r="97" spans="1:25" ht="12.75">
      <c r="A97" s="11">
        <v>2603306</v>
      </c>
      <c r="B97" s="12" t="s">
        <v>533</v>
      </c>
      <c r="C97" s="12" t="s">
        <v>26</v>
      </c>
      <c r="D97" s="12">
        <v>170002181013</v>
      </c>
      <c r="E97" s="12">
        <v>70</v>
      </c>
      <c r="F97" s="12" t="s">
        <v>538</v>
      </c>
      <c r="G97" s="12"/>
      <c r="H97" s="12"/>
      <c r="I97" s="12" t="s">
        <v>538</v>
      </c>
      <c r="J97" s="12" t="s">
        <v>42</v>
      </c>
      <c r="K97" s="12" t="s">
        <v>43</v>
      </c>
      <c r="L97" s="12" t="s">
        <v>44</v>
      </c>
      <c r="M97" s="13">
        <v>2478</v>
      </c>
      <c r="N97" s="14">
        <v>0.36859999999999998</v>
      </c>
      <c r="O97" s="12" t="s">
        <v>539</v>
      </c>
      <c r="P97" s="12" t="s">
        <v>46</v>
      </c>
      <c r="Q97" s="12">
        <v>70</v>
      </c>
      <c r="R97" s="12" t="s">
        <v>177</v>
      </c>
      <c r="S97" s="12" t="s">
        <v>177</v>
      </c>
      <c r="T97" s="12" t="s">
        <v>46</v>
      </c>
      <c r="U97" s="12" t="s">
        <v>540</v>
      </c>
      <c r="V97" s="12" t="s">
        <v>37</v>
      </c>
      <c r="W97" s="12" t="s">
        <v>38</v>
      </c>
      <c r="X97" s="12" t="s">
        <v>58</v>
      </c>
      <c r="Y97" s="15" t="s">
        <v>78</v>
      </c>
    </row>
    <row r="98" spans="1:25" ht="12.75">
      <c r="A98" s="6">
        <v>2603405</v>
      </c>
      <c r="B98" s="7" t="s">
        <v>541</v>
      </c>
      <c r="C98" s="7" t="s">
        <v>26</v>
      </c>
      <c r="D98" s="7">
        <v>170002260141</v>
      </c>
      <c r="E98" s="7">
        <v>13</v>
      </c>
      <c r="F98" s="7" t="s">
        <v>542</v>
      </c>
      <c r="G98" s="7"/>
      <c r="H98" s="7"/>
      <c r="I98" s="7" t="s">
        <v>543</v>
      </c>
      <c r="J98" s="7" t="s">
        <v>42</v>
      </c>
      <c r="K98" s="7" t="s">
        <v>43</v>
      </c>
      <c r="L98" s="7" t="s">
        <v>44</v>
      </c>
      <c r="M98" s="8">
        <v>1576</v>
      </c>
      <c r="N98" s="9">
        <v>0.25530000000000003</v>
      </c>
      <c r="O98" s="7" t="s">
        <v>544</v>
      </c>
      <c r="P98" s="7" t="s">
        <v>54</v>
      </c>
      <c r="Q98" s="7">
        <v>13</v>
      </c>
      <c r="R98" s="7" t="s">
        <v>130</v>
      </c>
      <c r="S98" s="7" t="s">
        <v>131</v>
      </c>
      <c r="T98" s="7" t="s">
        <v>54</v>
      </c>
      <c r="U98" s="7" t="s">
        <v>545</v>
      </c>
      <c r="V98" s="7" t="s">
        <v>37</v>
      </c>
      <c r="W98" s="7" t="s">
        <v>38</v>
      </c>
      <c r="X98" s="7" t="s">
        <v>39</v>
      </c>
      <c r="Y98" s="10" t="s">
        <v>65</v>
      </c>
    </row>
    <row r="99" spans="1:25" ht="12.75">
      <c r="A99" s="11">
        <v>2603405</v>
      </c>
      <c r="B99" s="12" t="s">
        <v>541</v>
      </c>
      <c r="C99" s="12" t="s">
        <v>26</v>
      </c>
      <c r="D99" s="12">
        <v>170002356962</v>
      </c>
      <c r="E99" s="12">
        <v>70</v>
      </c>
      <c r="F99" s="12" t="s">
        <v>440</v>
      </c>
      <c r="G99" s="12"/>
      <c r="H99" s="12"/>
      <c r="I99" s="12" t="s">
        <v>440</v>
      </c>
      <c r="J99" s="12" t="s">
        <v>28</v>
      </c>
      <c r="K99" s="12" t="s">
        <v>29</v>
      </c>
      <c r="L99" s="12" t="s">
        <v>30</v>
      </c>
      <c r="M99" s="13">
        <v>4598</v>
      </c>
      <c r="N99" s="14">
        <v>0.74470000000000003</v>
      </c>
      <c r="O99" s="12" t="s">
        <v>546</v>
      </c>
      <c r="P99" s="12" t="s">
        <v>32</v>
      </c>
      <c r="Q99" s="12">
        <v>70</v>
      </c>
      <c r="R99" s="12" t="s">
        <v>177</v>
      </c>
      <c r="S99" s="12" t="s">
        <v>177</v>
      </c>
      <c r="T99" s="12" t="s">
        <v>547</v>
      </c>
      <c r="U99" s="12" t="s">
        <v>548</v>
      </c>
      <c r="V99" s="12" t="s">
        <v>37</v>
      </c>
      <c r="W99" s="12" t="s">
        <v>50</v>
      </c>
      <c r="X99" s="12" t="s">
        <v>58</v>
      </c>
      <c r="Y99" s="15" t="s">
        <v>90</v>
      </c>
    </row>
    <row r="100" spans="1:25" ht="12.75">
      <c r="A100" s="6">
        <v>2603454</v>
      </c>
      <c r="B100" s="7" t="s">
        <v>549</v>
      </c>
      <c r="C100" s="7" t="s">
        <v>26</v>
      </c>
      <c r="D100" s="7">
        <v>170002085455</v>
      </c>
      <c r="E100" s="7">
        <v>22</v>
      </c>
      <c r="F100" s="7" t="s">
        <v>550</v>
      </c>
      <c r="G100" s="7"/>
      <c r="H100" s="7"/>
      <c r="I100" s="7" t="s">
        <v>550</v>
      </c>
      <c r="J100" s="7" t="s">
        <v>42</v>
      </c>
      <c r="K100" s="7" t="s">
        <v>43</v>
      </c>
      <c r="L100" s="7" t="s">
        <v>44</v>
      </c>
      <c r="M100" s="8">
        <v>9626</v>
      </c>
      <c r="N100" s="9">
        <v>0.1041</v>
      </c>
      <c r="O100" s="7" t="s">
        <v>551</v>
      </c>
      <c r="P100" s="7" t="s">
        <v>46</v>
      </c>
      <c r="Q100" s="7">
        <v>22</v>
      </c>
      <c r="R100" s="7" t="s">
        <v>321</v>
      </c>
      <c r="S100" s="7" t="s">
        <v>322</v>
      </c>
      <c r="T100" s="7" t="s">
        <v>46</v>
      </c>
      <c r="U100" s="7" t="s">
        <v>552</v>
      </c>
      <c r="V100" s="7" t="s">
        <v>37</v>
      </c>
      <c r="W100" s="7" t="s">
        <v>38</v>
      </c>
      <c r="X100" s="7" t="s">
        <v>39</v>
      </c>
      <c r="Y100" s="10" t="s">
        <v>127</v>
      </c>
    </row>
    <row r="101" spans="1:25" ht="12.75">
      <c r="A101" s="11">
        <v>2603454</v>
      </c>
      <c r="B101" s="12" t="s">
        <v>549</v>
      </c>
      <c r="C101" s="12" t="s">
        <v>26</v>
      </c>
      <c r="D101" s="12">
        <v>170001915525</v>
      </c>
      <c r="E101" s="12">
        <v>10</v>
      </c>
      <c r="F101" s="12" t="s">
        <v>553</v>
      </c>
      <c r="G101" s="12"/>
      <c r="H101" s="12"/>
      <c r="I101" s="12" t="s">
        <v>553</v>
      </c>
      <c r="J101" s="12" t="s">
        <v>82</v>
      </c>
      <c r="K101" s="12" t="s">
        <v>29</v>
      </c>
      <c r="L101" s="12" t="s">
        <v>30</v>
      </c>
      <c r="M101" s="13">
        <v>41968</v>
      </c>
      <c r="N101" s="14">
        <v>0.45390000000000003</v>
      </c>
      <c r="O101" s="12" t="s">
        <v>554</v>
      </c>
      <c r="P101" s="12" t="s">
        <v>32</v>
      </c>
      <c r="Q101" s="12">
        <v>10</v>
      </c>
      <c r="R101" s="12" t="s">
        <v>124</v>
      </c>
      <c r="S101" s="12" t="s">
        <v>124</v>
      </c>
      <c r="T101" s="12" t="s">
        <v>555</v>
      </c>
      <c r="U101" s="12" t="s">
        <v>556</v>
      </c>
      <c r="V101" s="12" t="s">
        <v>37</v>
      </c>
      <c r="W101" s="12" t="s">
        <v>557</v>
      </c>
      <c r="X101" s="12" t="s">
        <v>39</v>
      </c>
      <c r="Y101" s="15" t="s">
        <v>109</v>
      </c>
    </row>
    <row r="102" spans="1:25" ht="12.75">
      <c r="A102" s="6">
        <v>2603454</v>
      </c>
      <c r="B102" s="7" t="s">
        <v>549</v>
      </c>
      <c r="C102" s="7" t="s">
        <v>26</v>
      </c>
      <c r="D102" s="7">
        <v>170002124703</v>
      </c>
      <c r="E102" s="7">
        <v>11</v>
      </c>
      <c r="F102" s="7" t="s">
        <v>558</v>
      </c>
      <c r="G102" s="7"/>
      <c r="H102" s="7"/>
      <c r="I102" s="7" t="s">
        <v>559</v>
      </c>
      <c r="J102" s="7" t="s">
        <v>42</v>
      </c>
      <c r="K102" s="7" t="s">
        <v>43</v>
      </c>
      <c r="L102" s="7" t="s">
        <v>44</v>
      </c>
      <c r="M102" s="8">
        <v>6436</v>
      </c>
      <c r="N102" s="9">
        <v>6.9599999999999995E-2</v>
      </c>
      <c r="O102" s="7" t="s">
        <v>560</v>
      </c>
      <c r="P102" s="7" t="s">
        <v>46</v>
      </c>
      <c r="Q102" s="7">
        <v>11</v>
      </c>
      <c r="R102" s="7" t="s">
        <v>168</v>
      </c>
      <c r="S102" s="7" t="s">
        <v>169</v>
      </c>
      <c r="T102" s="7" t="s">
        <v>46</v>
      </c>
      <c r="U102" s="7" t="s">
        <v>561</v>
      </c>
      <c r="V102" s="7" t="s">
        <v>37</v>
      </c>
      <c r="W102" s="7" t="s">
        <v>38</v>
      </c>
      <c r="X102" s="7" t="s">
        <v>58</v>
      </c>
      <c r="Y102" s="10" t="s">
        <v>257</v>
      </c>
    </row>
    <row r="103" spans="1:25" ht="12.75">
      <c r="A103" s="11">
        <v>2603454</v>
      </c>
      <c r="B103" s="12" t="s">
        <v>549</v>
      </c>
      <c r="C103" s="12" t="s">
        <v>26</v>
      </c>
      <c r="D103" s="12">
        <v>170001898275</v>
      </c>
      <c r="E103" s="12">
        <v>20</v>
      </c>
      <c r="F103" s="12" t="s">
        <v>562</v>
      </c>
      <c r="G103" s="12"/>
      <c r="H103" s="12"/>
      <c r="I103" s="12" t="s">
        <v>562</v>
      </c>
      <c r="J103" s="12" t="s">
        <v>42</v>
      </c>
      <c r="K103" s="12" t="s">
        <v>43</v>
      </c>
      <c r="L103" s="12" t="s">
        <v>44</v>
      </c>
      <c r="M103" s="13">
        <v>33372</v>
      </c>
      <c r="N103" s="14">
        <v>0.3609</v>
      </c>
      <c r="O103" s="12" t="s">
        <v>563</v>
      </c>
      <c r="P103" s="12" t="s">
        <v>32</v>
      </c>
      <c r="Q103" s="12">
        <v>20</v>
      </c>
      <c r="R103" s="12" t="s">
        <v>98</v>
      </c>
      <c r="S103" s="12" t="s">
        <v>99</v>
      </c>
      <c r="T103" s="12" t="s">
        <v>362</v>
      </c>
      <c r="U103" s="12" t="s">
        <v>564</v>
      </c>
      <c r="V103" s="12" t="s">
        <v>37</v>
      </c>
      <c r="W103" s="12" t="s">
        <v>114</v>
      </c>
      <c r="X103" s="12" t="s">
        <v>58</v>
      </c>
      <c r="Y103" s="15" t="s">
        <v>90</v>
      </c>
    </row>
    <row r="104" spans="1:25" ht="12.75">
      <c r="A104" s="6">
        <v>2603454</v>
      </c>
      <c r="B104" s="7" t="s">
        <v>549</v>
      </c>
      <c r="C104" s="7" t="s">
        <v>26</v>
      </c>
      <c r="D104" s="7">
        <v>170001944672</v>
      </c>
      <c r="E104" s="7">
        <v>27</v>
      </c>
      <c r="F104" s="7" t="s">
        <v>565</v>
      </c>
      <c r="G104" s="7"/>
      <c r="H104" s="7"/>
      <c r="I104" s="7" t="s">
        <v>565</v>
      </c>
      <c r="J104" s="7" t="s">
        <v>42</v>
      </c>
      <c r="K104" s="7" t="s">
        <v>43</v>
      </c>
      <c r="L104" s="7" t="s">
        <v>44</v>
      </c>
      <c r="M104" s="8">
        <v>1061</v>
      </c>
      <c r="N104" s="9">
        <v>1.15E-2</v>
      </c>
      <c r="O104" s="7" t="s">
        <v>566</v>
      </c>
      <c r="P104" s="7" t="s">
        <v>46</v>
      </c>
      <c r="Q104" s="7">
        <v>27</v>
      </c>
      <c r="R104" s="7" t="s">
        <v>242</v>
      </c>
      <c r="S104" s="7" t="s">
        <v>243</v>
      </c>
      <c r="T104" s="7" t="s">
        <v>46</v>
      </c>
      <c r="U104" s="7" t="s">
        <v>567</v>
      </c>
      <c r="V104" s="7" t="s">
        <v>37</v>
      </c>
      <c r="W104" s="7" t="s">
        <v>38</v>
      </c>
      <c r="X104" s="7" t="s">
        <v>89</v>
      </c>
      <c r="Y104" s="10" t="s">
        <v>127</v>
      </c>
    </row>
    <row r="105" spans="1:25" ht="12.75">
      <c r="A105" s="11">
        <v>2603504</v>
      </c>
      <c r="B105" s="12" t="s">
        <v>568</v>
      </c>
      <c r="C105" s="12" t="s">
        <v>26</v>
      </c>
      <c r="D105" s="12">
        <v>170002054153</v>
      </c>
      <c r="E105" s="12">
        <v>10</v>
      </c>
      <c r="F105" s="12" t="s">
        <v>569</v>
      </c>
      <c r="G105" s="12"/>
      <c r="H105" s="12"/>
      <c r="I105" s="12" t="s">
        <v>570</v>
      </c>
      <c r="J105" s="12" t="s">
        <v>42</v>
      </c>
      <c r="K105" s="12" t="s">
        <v>43</v>
      </c>
      <c r="L105" s="12" t="s">
        <v>44</v>
      </c>
      <c r="M105" s="13">
        <v>4397</v>
      </c>
      <c r="N105" s="14">
        <v>0.35610000000000003</v>
      </c>
      <c r="O105" s="12" t="s">
        <v>571</v>
      </c>
      <c r="P105" s="12" t="s">
        <v>32</v>
      </c>
      <c r="Q105" s="12">
        <v>10</v>
      </c>
      <c r="R105" s="12" t="s">
        <v>124</v>
      </c>
      <c r="S105" s="12" t="s">
        <v>124</v>
      </c>
      <c r="T105" s="12" t="s">
        <v>572</v>
      </c>
      <c r="U105" s="12" t="s">
        <v>573</v>
      </c>
      <c r="V105" s="12" t="s">
        <v>160</v>
      </c>
      <c r="W105" s="12" t="s">
        <v>114</v>
      </c>
      <c r="X105" s="12" t="s">
        <v>58</v>
      </c>
      <c r="Y105" s="15" t="s">
        <v>95</v>
      </c>
    </row>
    <row r="106" spans="1:25" ht="12.75">
      <c r="A106" s="6">
        <v>2603504</v>
      </c>
      <c r="B106" s="7" t="s">
        <v>568</v>
      </c>
      <c r="C106" s="7" t="s">
        <v>26</v>
      </c>
      <c r="D106" s="7">
        <v>170001967667</v>
      </c>
      <c r="E106" s="7">
        <v>55</v>
      </c>
      <c r="F106" s="7" t="s">
        <v>574</v>
      </c>
      <c r="G106" s="7"/>
      <c r="H106" s="7"/>
      <c r="I106" s="7" t="s">
        <v>574</v>
      </c>
      <c r="J106" s="7" t="s">
        <v>82</v>
      </c>
      <c r="K106" s="7" t="s">
        <v>29</v>
      </c>
      <c r="L106" s="7" t="s">
        <v>30</v>
      </c>
      <c r="M106" s="8">
        <v>7949</v>
      </c>
      <c r="N106" s="9">
        <v>0.64390000000000003</v>
      </c>
      <c r="O106" s="7" t="s">
        <v>575</v>
      </c>
      <c r="P106" s="7" t="s">
        <v>32</v>
      </c>
      <c r="Q106" s="7">
        <v>55</v>
      </c>
      <c r="R106" s="7" t="s">
        <v>74</v>
      </c>
      <c r="S106" s="7" t="s">
        <v>75</v>
      </c>
      <c r="T106" s="7" t="s">
        <v>576</v>
      </c>
      <c r="U106" s="7" t="s">
        <v>577</v>
      </c>
      <c r="V106" s="7" t="s">
        <v>37</v>
      </c>
      <c r="W106" s="7" t="s">
        <v>50</v>
      </c>
      <c r="X106" s="7" t="s">
        <v>39</v>
      </c>
      <c r="Y106" s="10" t="s">
        <v>90</v>
      </c>
    </row>
    <row r="107" spans="1:25" ht="12.75">
      <c r="A107" s="11">
        <v>2603603</v>
      </c>
      <c r="B107" s="12" t="s">
        <v>578</v>
      </c>
      <c r="C107" s="12" t="s">
        <v>26</v>
      </c>
      <c r="D107" s="12">
        <v>170002004926</v>
      </c>
      <c r="E107" s="12">
        <v>45</v>
      </c>
      <c r="F107" s="12" t="s">
        <v>579</v>
      </c>
      <c r="G107" s="12"/>
      <c r="H107" s="12"/>
      <c r="I107" s="12" t="s">
        <v>579</v>
      </c>
      <c r="J107" s="12" t="s">
        <v>42</v>
      </c>
      <c r="K107" s="12" t="s">
        <v>43</v>
      </c>
      <c r="L107" s="12" t="s">
        <v>44</v>
      </c>
      <c r="M107" s="13">
        <v>2638</v>
      </c>
      <c r="N107" s="14">
        <v>0.43559999999999999</v>
      </c>
      <c r="O107" s="12" t="s">
        <v>580</v>
      </c>
      <c r="P107" s="12" t="s">
        <v>54</v>
      </c>
      <c r="Q107" s="12">
        <v>45</v>
      </c>
      <c r="R107" s="12" t="s">
        <v>61</v>
      </c>
      <c r="S107" s="12" t="s">
        <v>62</v>
      </c>
      <c r="T107" s="12" t="s">
        <v>54</v>
      </c>
      <c r="U107" s="12" t="s">
        <v>581</v>
      </c>
      <c r="V107" s="12" t="s">
        <v>37</v>
      </c>
      <c r="W107" s="12" t="s">
        <v>50</v>
      </c>
      <c r="X107" s="12" t="s">
        <v>39</v>
      </c>
      <c r="Y107" s="15" t="s">
        <v>90</v>
      </c>
    </row>
    <row r="108" spans="1:25" ht="12.75">
      <c r="A108" s="6">
        <v>2607950</v>
      </c>
      <c r="B108" s="7" t="s">
        <v>582</v>
      </c>
      <c r="C108" s="7" t="s">
        <v>26</v>
      </c>
      <c r="D108" s="7">
        <v>170001962171</v>
      </c>
      <c r="E108" s="7">
        <v>55</v>
      </c>
      <c r="F108" s="7" t="s">
        <v>583</v>
      </c>
      <c r="G108" s="7"/>
      <c r="H108" s="7"/>
      <c r="I108" s="7" t="s">
        <v>583</v>
      </c>
      <c r="J108" s="7" t="s">
        <v>28</v>
      </c>
      <c r="K108" s="7" t="s">
        <v>29</v>
      </c>
      <c r="L108" s="7" t="s">
        <v>30</v>
      </c>
      <c r="M108" s="8">
        <v>6470</v>
      </c>
      <c r="N108" s="9">
        <v>0.87080000000000002</v>
      </c>
      <c r="O108" s="7" t="s">
        <v>584</v>
      </c>
      <c r="P108" s="7" t="s">
        <v>32</v>
      </c>
      <c r="Q108" s="7">
        <v>55</v>
      </c>
      <c r="R108" s="7" t="s">
        <v>74</v>
      </c>
      <c r="S108" s="7" t="s">
        <v>75</v>
      </c>
      <c r="T108" s="7" t="s">
        <v>585</v>
      </c>
      <c r="U108" s="7" t="s">
        <v>586</v>
      </c>
      <c r="V108" s="7" t="s">
        <v>160</v>
      </c>
      <c r="W108" s="7" t="s">
        <v>38</v>
      </c>
      <c r="X108" s="7" t="s">
        <v>39</v>
      </c>
      <c r="Y108" s="10" t="s">
        <v>26</v>
      </c>
    </row>
    <row r="109" spans="1:25" ht="12.75">
      <c r="A109" s="11">
        <v>2603702</v>
      </c>
      <c r="B109" s="12" t="s">
        <v>587</v>
      </c>
      <c r="C109" s="12" t="s">
        <v>26</v>
      </c>
      <c r="D109" s="12">
        <v>170002148419</v>
      </c>
      <c r="E109" s="12">
        <v>11</v>
      </c>
      <c r="F109" s="12" t="s">
        <v>588</v>
      </c>
      <c r="G109" s="12"/>
      <c r="H109" s="12"/>
      <c r="I109" s="12" t="s">
        <v>589</v>
      </c>
      <c r="J109" s="12" t="s">
        <v>42</v>
      </c>
      <c r="K109" s="12" t="s">
        <v>43</v>
      </c>
      <c r="L109" s="12" t="s">
        <v>44</v>
      </c>
      <c r="M109" s="13">
        <v>2225</v>
      </c>
      <c r="N109" s="14">
        <v>0.17419999999999999</v>
      </c>
      <c r="O109" s="12" t="s">
        <v>590</v>
      </c>
      <c r="P109" s="12" t="s">
        <v>46</v>
      </c>
      <c r="Q109" s="12">
        <v>11</v>
      </c>
      <c r="R109" s="12" t="s">
        <v>168</v>
      </c>
      <c r="S109" s="12" t="s">
        <v>169</v>
      </c>
      <c r="T109" s="12" t="s">
        <v>46</v>
      </c>
      <c r="U109" s="12" t="s">
        <v>591</v>
      </c>
      <c r="V109" s="12" t="s">
        <v>37</v>
      </c>
      <c r="W109" s="12" t="s">
        <v>38</v>
      </c>
      <c r="X109" s="12" t="s">
        <v>58</v>
      </c>
      <c r="Y109" s="15" t="s">
        <v>127</v>
      </c>
    </row>
    <row r="110" spans="1:25" ht="12.75">
      <c r="A110" s="6">
        <v>2603702</v>
      </c>
      <c r="B110" s="7" t="s">
        <v>587</v>
      </c>
      <c r="C110" s="7" t="s">
        <v>26</v>
      </c>
      <c r="D110" s="7">
        <v>170001950360</v>
      </c>
      <c r="E110" s="7">
        <v>10</v>
      </c>
      <c r="F110" s="7" t="s">
        <v>592</v>
      </c>
      <c r="G110" s="7"/>
      <c r="H110" s="7"/>
      <c r="I110" s="7" t="s">
        <v>592</v>
      </c>
      <c r="J110" s="7" t="s">
        <v>28</v>
      </c>
      <c r="K110" s="7" t="s">
        <v>29</v>
      </c>
      <c r="L110" s="7" t="s">
        <v>30</v>
      </c>
      <c r="M110" s="8">
        <v>10548</v>
      </c>
      <c r="N110" s="9">
        <v>0.82579999999999998</v>
      </c>
      <c r="O110" s="7" t="s">
        <v>593</v>
      </c>
      <c r="P110" s="7" t="s">
        <v>32</v>
      </c>
      <c r="Q110" s="7">
        <v>10</v>
      </c>
      <c r="R110" s="7" t="s">
        <v>124</v>
      </c>
      <c r="S110" s="7" t="s">
        <v>124</v>
      </c>
      <c r="T110" s="7" t="s">
        <v>594</v>
      </c>
      <c r="U110" s="7" t="s">
        <v>595</v>
      </c>
      <c r="V110" s="7" t="s">
        <v>160</v>
      </c>
      <c r="W110" s="7" t="s">
        <v>38</v>
      </c>
      <c r="X110" s="7" t="s">
        <v>39</v>
      </c>
      <c r="Y110" s="10" t="s">
        <v>26</v>
      </c>
    </row>
    <row r="111" spans="1:25" ht="12.75">
      <c r="A111" s="11">
        <v>2603801</v>
      </c>
      <c r="B111" s="12" t="s">
        <v>596</v>
      </c>
      <c r="C111" s="12" t="s">
        <v>26</v>
      </c>
      <c r="D111" s="12">
        <v>170001964114</v>
      </c>
      <c r="E111" s="12">
        <v>40</v>
      </c>
      <c r="F111" s="12" t="s">
        <v>597</v>
      </c>
      <c r="G111" s="12"/>
      <c r="H111" s="12"/>
      <c r="I111" s="12" t="s">
        <v>597</v>
      </c>
      <c r="J111" s="12" t="s">
        <v>28</v>
      </c>
      <c r="K111" s="12" t="s">
        <v>29</v>
      </c>
      <c r="L111" s="12" t="s">
        <v>30</v>
      </c>
      <c r="M111" s="13">
        <v>9233</v>
      </c>
      <c r="N111" s="14">
        <v>0.77149999999999996</v>
      </c>
      <c r="O111" s="12" t="s">
        <v>598</v>
      </c>
      <c r="P111" s="12" t="s">
        <v>32</v>
      </c>
      <c r="Q111" s="12">
        <v>40</v>
      </c>
      <c r="R111" s="12" t="s">
        <v>33</v>
      </c>
      <c r="S111" s="12" t="s">
        <v>34</v>
      </c>
      <c r="T111" s="12" t="s">
        <v>599</v>
      </c>
      <c r="U111" s="12" t="s">
        <v>600</v>
      </c>
      <c r="V111" s="12" t="s">
        <v>37</v>
      </c>
      <c r="W111" s="12" t="s">
        <v>50</v>
      </c>
      <c r="X111" s="12" t="s">
        <v>58</v>
      </c>
      <c r="Y111" s="15" t="s">
        <v>90</v>
      </c>
    </row>
    <row r="112" spans="1:25" ht="12.75">
      <c r="A112" s="6">
        <v>2603801</v>
      </c>
      <c r="B112" s="7" t="s">
        <v>596</v>
      </c>
      <c r="C112" s="7" t="s">
        <v>26</v>
      </c>
      <c r="D112" s="7">
        <v>170002317617</v>
      </c>
      <c r="E112" s="7">
        <v>13</v>
      </c>
      <c r="F112" s="7" t="s">
        <v>601</v>
      </c>
      <c r="G112" s="7"/>
      <c r="H112" s="7"/>
      <c r="I112" s="7" t="s">
        <v>602</v>
      </c>
      <c r="J112" s="7" t="s">
        <v>42</v>
      </c>
      <c r="K112" s="7" t="s">
        <v>43</v>
      </c>
      <c r="L112" s="7" t="s">
        <v>44</v>
      </c>
      <c r="M112" s="8">
        <v>2734</v>
      </c>
      <c r="N112" s="9">
        <v>0.22850000000000001</v>
      </c>
      <c r="O112" s="7" t="s">
        <v>603</v>
      </c>
      <c r="P112" s="7" t="s">
        <v>32</v>
      </c>
      <c r="Q112" s="7">
        <v>13</v>
      </c>
      <c r="R112" s="7" t="s">
        <v>130</v>
      </c>
      <c r="S112" s="7" t="s">
        <v>131</v>
      </c>
      <c r="T112" s="7" t="s">
        <v>604</v>
      </c>
      <c r="U112" s="7" t="s">
        <v>605</v>
      </c>
      <c r="V112" s="7" t="s">
        <v>160</v>
      </c>
      <c r="W112" s="7" t="s">
        <v>38</v>
      </c>
      <c r="X112" s="7" t="s">
        <v>39</v>
      </c>
      <c r="Y112" s="10" t="s">
        <v>606</v>
      </c>
    </row>
    <row r="113" spans="1:25" ht="12.75">
      <c r="A113" s="11">
        <v>2603900</v>
      </c>
      <c r="B113" s="12" t="s">
        <v>607</v>
      </c>
      <c r="C113" s="12" t="s">
        <v>26</v>
      </c>
      <c r="D113" s="12">
        <v>170002215943</v>
      </c>
      <c r="E113" s="12">
        <v>10</v>
      </c>
      <c r="F113" s="12" t="s">
        <v>608</v>
      </c>
      <c r="G113" s="12"/>
      <c r="H113" s="12"/>
      <c r="I113" s="12" t="s">
        <v>608</v>
      </c>
      <c r="J113" s="12" t="s">
        <v>42</v>
      </c>
      <c r="K113" s="12" t="s">
        <v>43</v>
      </c>
      <c r="L113" s="12" t="s">
        <v>44</v>
      </c>
      <c r="M113" s="13">
        <v>5924</v>
      </c>
      <c r="N113" s="14">
        <v>0.43070000000000003</v>
      </c>
      <c r="O113" s="12" t="s">
        <v>609</v>
      </c>
      <c r="P113" s="12" t="s">
        <v>32</v>
      </c>
      <c r="Q113" s="12">
        <v>10</v>
      </c>
      <c r="R113" s="12" t="s">
        <v>124</v>
      </c>
      <c r="S113" s="12" t="s">
        <v>124</v>
      </c>
      <c r="T113" s="12" t="s">
        <v>610</v>
      </c>
      <c r="U113" s="12" t="s">
        <v>611</v>
      </c>
      <c r="V113" s="12" t="s">
        <v>160</v>
      </c>
      <c r="W113" s="12" t="s">
        <v>38</v>
      </c>
      <c r="X113" s="12" t="s">
        <v>58</v>
      </c>
      <c r="Y113" s="15" t="s">
        <v>90</v>
      </c>
    </row>
    <row r="114" spans="1:25" ht="12.75">
      <c r="A114" s="6">
        <v>2603900</v>
      </c>
      <c r="B114" s="7" t="s">
        <v>607</v>
      </c>
      <c r="C114" s="7" t="s">
        <v>26</v>
      </c>
      <c r="D114" s="7">
        <v>170002154954</v>
      </c>
      <c r="E114" s="7">
        <v>40</v>
      </c>
      <c r="F114" s="7" t="s">
        <v>612</v>
      </c>
      <c r="G114" s="7"/>
      <c r="H114" s="7"/>
      <c r="I114" s="7" t="s">
        <v>612</v>
      </c>
      <c r="J114" s="7" t="s">
        <v>82</v>
      </c>
      <c r="K114" s="7" t="s">
        <v>29</v>
      </c>
      <c r="L114" s="7" t="s">
        <v>30</v>
      </c>
      <c r="M114" s="8">
        <v>7831</v>
      </c>
      <c r="N114" s="9">
        <v>0.56930000000000003</v>
      </c>
      <c r="O114" s="7" t="s">
        <v>613</v>
      </c>
      <c r="P114" s="7" t="s">
        <v>32</v>
      </c>
      <c r="Q114" s="7">
        <v>40</v>
      </c>
      <c r="R114" s="7" t="s">
        <v>33</v>
      </c>
      <c r="S114" s="7" t="s">
        <v>34</v>
      </c>
      <c r="T114" s="7" t="s">
        <v>614</v>
      </c>
      <c r="U114" s="7" t="s">
        <v>615</v>
      </c>
      <c r="V114" s="7" t="s">
        <v>37</v>
      </c>
      <c r="W114" s="7" t="s">
        <v>38</v>
      </c>
      <c r="X114" s="7" t="s">
        <v>58</v>
      </c>
      <c r="Y114" s="10" t="s">
        <v>109</v>
      </c>
    </row>
    <row r="115" spans="1:25" ht="12.75">
      <c r="A115" s="11">
        <v>2603926</v>
      </c>
      <c r="B115" s="12" t="s">
        <v>616</v>
      </c>
      <c r="C115" s="12" t="s">
        <v>26</v>
      </c>
      <c r="D115" s="12">
        <v>170002024403</v>
      </c>
      <c r="E115" s="12">
        <v>45</v>
      </c>
      <c r="F115" s="12" t="s">
        <v>617</v>
      </c>
      <c r="G115" s="12"/>
      <c r="H115" s="12"/>
      <c r="I115" s="12" t="s">
        <v>617</v>
      </c>
      <c r="J115" s="12" t="s">
        <v>28</v>
      </c>
      <c r="K115" s="12" t="s">
        <v>29</v>
      </c>
      <c r="L115" s="12" t="s">
        <v>30</v>
      </c>
      <c r="M115" s="13">
        <v>5978</v>
      </c>
      <c r="N115" s="14">
        <v>0.54759999999999998</v>
      </c>
      <c r="O115" s="12" t="s">
        <v>618</v>
      </c>
      <c r="P115" s="12" t="s">
        <v>32</v>
      </c>
      <c r="Q115" s="12">
        <v>45</v>
      </c>
      <c r="R115" s="12" t="s">
        <v>61</v>
      </c>
      <c r="S115" s="12" t="s">
        <v>62</v>
      </c>
      <c r="T115" s="12" t="s">
        <v>619</v>
      </c>
      <c r="U115" s="12" t="s">
        <v>620</v>
      </c>
      <c r="V115" s="12" t="s">
        <v>37</v>
      </c>
      <c r="W115" s="12" t="s">
        <v>38</v>
      </c>
      <c r="X115" s="12" t="s">
        <v>621</v>
      </c>
      <c r="Y115" s="15" t="s">
        <v>127</v>
      </c>
    </row>
    <row r="116" spans="1:25" ht="12.75">
      <c r="A116" s="6">
        <v>2603926</v>
      </c>
      <c r="B116" s="7" t="s">
        <v>616</v>
      </c>
      <c r="C116" s="7" t="s">
        <v>26</v>
      </c>
      <c r="D116" s="7">
        <v>170002008806</v>
      </c>
      <c r="E116" s="7">
        <v>40</v>
      </c>
      <c r="F116" s="7" t="s">
        <v>622</v>
      </c>
      <c r="G116" s="7"/>
      <c r="H116" s="7"/>
      <c r="I116" s="7" t="s">
        <v>622</v>
      </c>
      <c r="J116" s="7" t="s">
        <v>42</v>
      </c>
      <c r="K116" s="7" t="s">
        <v>43</v>
      </c>
      <c r="L116" s="7" t="s">
        <v>44</v>
      </c>
      <c r="M116" s="8">
        <v>4938</v>
      </c>
      <c r="N116" s="9">
        <v>0.45240000000000002</v>
      </c>
      <c r="O116" s="7" t="s">
        <v>623</v>
      </c>
      <c r="P116" s="7" t="s">
        <v>32</v>
      </c>
      <c r="Q116" s="7">
        <v>40</v>
      </c>
      <c r="R116" s="7" t="s">
        <v>33</v>
      </c>
      <c r="S116" s="7" t="s">
        <v>34</v>
      </c>
      <c r="T116" s="7" t="s">
        <v>624</v>
      </c>
      <c r="U116" s="7" t="s">
        <v>625</v>
      </c>
      <c r="V116" s="7" t="s">
        <v>37</v>
      </c>
      <c r="W116" s="7" t="s">
        <v>38</v>
      </c>
      <c r="X116" s="7" t="s">
        <v>621</v>
      </c>
      <c r="Y116" s="10" t="s">
        <v>65</v>
      </c>
    </row>
    <row r="117" spans="1:25" ht="12.75">
      <c r="A117" s="11">
        <v>2604007</v>
      </c>
      <c r="B117" s="12" t="s">
        <v>626</v>
      </c>
      <c r="C117" s="12" t="s">
        <v>26</v>
      </c>
      <c r="D117" s="12">
        <v>170001983397</v>
      </c>
      <c r="E117" s="12">
        <v>22</v>
      </c>
      <c r="F117" s="12" t="s">
        <v>627</v>
      </c>
      <c r="G117" s="12"/>
      <c r="H117" s="12"/>
      <c r="I117" s="12" t="s">
        <v>627</v>
      </c>
      <c r="J117" s="12" t="s">
        <v>42</v>
      </c>
      <c r="K117" s="12" t="s">
        <v>43</v>
      </c>
      <c r="L117" s="12" t="s">
        <v>44</v>
      </c>
      <c r="M117" s="13">
        <v>9136</v>
      </c>
      <c r="N117" s="14">
        <v>0.18840000000000001</v>
      </c>
      <c r="O117" s="12" t="s">
        <v>628</v>
      </c>
      <c r="P117" s="12" t="s">
        <v>32</v>
      </c>
      <c r="Q117" s="12">
        <v>22</v>
      </c>
      <c r="R117" s="12" t="s">
        <v>321</v>
      </c>
      <c r="S117" s="12" t="s">
        <v>322</v>
      </c>
      <c r="T117" s="12" t="s">
        <v>629</v>
      </c>
      <c r="U117" s="12" t="s">
        <v>630</v>
      </c>
      <c r="V117" s="12" t="s">
        <v>37</v>
      </c>
      <c r="W117" s="12" t="s">
        <v>50</v>
      </c>
      <c r="X117" s="12" t="s">
        <v>39</v>
      </c>
      <c r="Y117" s="15" t="s">
        <v>90</v>
      </c>
    </row>
    <row r="118" spans="1:25" ht="12.75">
      <c r="A118" s="6">
        <v>2604007</v>
      </c>
      <c r="B118" s="7" t="s">
        <v>626</v>
      </c>
      <c r="C118" s="7" t="s">
        <v>26</v>
      </c>
      <c r="D118" s="7">
        <v>170002084202</v>
      </c>
      <c r="E118" s="7">
        <v>77</v>
      </c>
      <c r="F118" s="7" t="s">
        <v>631</v>
      </c>
      <c r="G118" s="7"/>
      <c r="H118" s="7"/>
      <c r="I118" s="7" t="s">
        <v>631</v>
      </c>
      <c r="J118" s="7" t="s">
        <v>42</v>
      </c>
      <c r="K118" s="7" t="s">
        <v>29</v>
      </c>
      <c r="L118" s="7" t="s">
        <v>44</v>
      </c>
      <c r="M118" s="8">
        <v>9283</v>
      </c>
      <c r="N118" s="9">
        <v>0.19139999999999999</v>
      </c>
      <c r="O118" s="7" t="s">
        <v>632</v>
      </c>
      <c r="P118" s="7" t="s">
        <v>32</v>
      </c>
      <c r="Q118" s="7">
        <v>77</v>
      </c>
      <c r="R118" s="7" t="s">
        <v>287</v>
      </c>
      <c r="S118" s="7" t="s">
        <v>287</v>
      </c>
      <c r="T118" s="7" t="s">
        <v>633</v>
      </c>
      <c r="U118" s="7" t="s">
        <v>634</v>
      </c>
      <c r="V118" s="7" t="s">
        <v>37</v>
      </c>
      <c r="W118" s="7" t="s">
        <v>635</v>
      </c>
      <c r="X118" s="7" t="s">
        <v>58</v>
      </c>
      <c r="Y118" s="10" t="s">
        <v>165</v>
      </c>
    </row>
    <row r="119" spans="1:25" ht="12.75">
      <c r="A119" s="11">
        <v>2604007</v>
      </c>
      <c r="B119" s="12" t="s">
        <v>626</v>
      </c>
      <c r="C119" s="12" t="s">
        <v>26</v>
      </c>
      <c r="D119" s="12">
        <v>170002026111</v>
      </c>
      <c r="E119" s="12">
        <v>40</v>
      </c>
      <c r="F119" s="12" t="s">
        <v>636</v>
      </c>
      <c r="G119" s="12"/>
      <c r="H119" s="12"/>
      <c r="I119" s="12" t="s">
        <v>636</v>
      </c>
      <c r="J119" s="12" t="s">
        <v>42</v>
      </c>
      <c r="K119" s="12" t="s">
        <v>43</v>
      </c>
      <c r="L119" s="12" t="s">
        <v>44</v>
      </c>
      <c r="M119" s="13">
        <v>14190</v>
      </c>
      <c r="N119" s="14">
        <v>0.29260000000000003</v>
      </c>
      <c r="O119" s="12" t="s">
        <v>637</v>
      </c>
      <c r="P119" s="12" t="s">
        <v>32</v>
      </c>
      <c r="Q119" s="12">
        <v>40</v>
      </c>
      <c r="R119" s="12" t="s">
        <v>33</v>
      </c>
      <c r="S119" s="12" t="s">
        <v>34</v>
      </c>
      <c r="T119" s="12" t="s">
        <v>638</v>
      </c>
      <c r="U119" s="12" t="s">
        <v>639</v>
      </c>
      <c r="V119" s="12" t="s">
        <v>37</v>
      </c>
      <c r="W119" s="12" t="s">
        <v>38</v>
      </c>
      <c r="X119" s="12" t="s">
        <v>58</v>
      </c>
      <c r="Y119" s="15" t="s">
        <v>127</v>
      </c>
    </row>
    <row r="120" spans="1:25" ht="12.75">
      <c r="A120" s="6">
        <v>2601904</v>
      </c>
      <c r="B120" s="7" t="s">
        <v>344</v>
      </c>
      <c r="C120" s="7" t="s">
        <v>26</v>
      </c>
      <c r="D120" s="7">
        <v>170002171744</v>
      </c>
      <c r="E120" s="7">
        <v>44</v>
      </c>
      <c r="F120" s="7" t="s">
        <v>640</v>
      </c>
      <c r="G120" s="7"/>
      <c r="H120" s="7"/>
      <c r="I120" s="7" t="s">
        <v>640</v>
      </c>
      <c r="J120" s="7" t="s">
        <v>28</v>
      </c>
      <c r="K120" s="7" t="s">
        <v>29</v>
      </c>
      <c r="L120" s="7" t="s">
        <v>30</v>
      </c>
      <c r="M120" s="8">
        <v>27959</v>
      </c>
      <c r="N120" s="9">
        <v>0.73770000000000002</v>
      </c>
      <c r="O120" s="7" t="s">
        <v>641</v>
      </c>
      <c r="P120" s="7" t="s">
        <v>32</v>
      </c>
      <c r="Q120" s="7">
        <v>44</v>
      </c>
      <c r="R120" s="7" t="s">
        <v>314</v>
      </c>
      <c r="S120" s="7" t="s">
        <v>315</v>
      </c>
      <c r="T120" s="7" t="s">
        <v>642</v>
      </c>
      <c r="U120" s="7" t="s">
        <v>643</v>
      </c>
      <c r="V120" s="7" t="s">
        <v>160</v>
      </c>
      <c r="W120" s="7" t="s">
        <v>38</v>
      </c>
      <c r="X120" s="7" t="s">
        <v>58</v>
      </c>
      <c r="Y120" s="10" t="s">
        <v>26</v>
      </c>
    </row>
    <row r="121" spans="1:25" ht="12.75">
      <c r="A121" s="11">
        <v>2604007</v>
      </c>
      <c r="B121" s="12" t="s">
        <v>626</v>
      </c>
      <c r="C121" s="12" t="s">
        <v>26</v>
      </c>
      <c r="D121" s="12">
        <v>170002084016</v>
      </c>
      <c r="E121" s="12">
        <v>80</v>
      </c>
      <c r="F121" s="12" t="s">
        <v>644</v>
      </c>
      <c r="G121" s="12"/>
      <c r="H121" s="12"/>
      <c r="I121" s="12" t="s">
        <v>645</v>
      </c>
      <c r="J121" s="12" t="s">
        <v>42</v>
      </c>
      <c r="K121" s="12" t="s">
        <v>43</v>
      </c>
      <c r="L121" s="12" t="s">
        <v>44</v>
      </c>
      <c r="M121" s="13">
        <v>122</v>
      </c>
      <c r="N121" s="14">
        <v>2.5000000000000001E-3</v>
      </c>
      <c r="O121" s="12" t="s">
        <v>646</v>
      </c>
      <c r="P121" s="12" t="s">
        <v>46</v>
      </c>
      <c r="Q121" s="12">
        <v>80</v>
      </c>
      <c r="R121" s="12" t="s">
        <v>647</v>
      </c>
      <c r="S121" s="12" t="s">
        <v>648</v>
      </c>
      <c r="T121" s="12" t="s">
        <v>46</v>
      </c>
      <c r="U121" s="12" t="s">
        <v>649</v>
      </c>
      <c r="V121" s="12" t="s">
        <v>160</v>
      </c>
      <c r="W121" s="12" t="s">
        <v>114</v>
      </c>
      <c r="X121" s="12" t="s">
        <v>58</v>
      </c>
      <c r="Y121" s="15" t="s">
        <v>650</v>
      </c>
    </row>
    <row r="122" spans="1:25" ht="12.75">
      <c r="A122" s="6">
        <v>2604106</v>
      </c>
      <c r="B122" s="7" t="s">
        <v>651</v>
      </c>
      <c r="C122" s="7" t="s">
        <v>26</v>
      </c>
      <c r="D122" s="7">
        <v>170002216092</v>
      </c>
      <c r="E122" s="7">
        <v>77</v>
      </c>
      <c r="F122" s="7" t="s">
        <v>652</v>
      </c>
      <c r="G122" s="7"/>
      <c r="H122" s="7"/>
      <c r="I122" s="7" t="s">
        <v>652</v>
      </c>
      <c r="J122" s="7" t="s">
        <v>42</v>
      </c>
      <c r="K122" s="7" t="s">
        <v>43</v>
      </c>
      <c r="L122" s="7" t="s">
        <v>44</v>
      </c>
      <c r="M122" s="8">
        <v>4499</v>
      </c>
      <c r="N122" s="9">
        <v>2.3199999999999998E-2</v>
      </c>
      <c r="O122" s="7" t="s">
        <v>653</v>
      </c>
      <c r="P122" s="7" t="s">
        <v>32</v>
      </c>
      <c r="Q122" s="7">
        <v>77</v>
      </c>
      <c r="R122" s="7" t="s">
        <v>287</v>
      </c>
      <c r="S122" s="7" t="s">
        <v>287</v>
      </c>
      <c r="T122" s="7" t="s">
        <v>654</v>
      </c>
      <c r="U122" s="7" t="s">
        <v>655</v>
      </c>
      <c r="V122" s="7" t="s">
        <v>37</v>
      </c>
      <c r="W122" s="7" t="s">
        <v>38</v>
      </c>
      <c r="X122" s="7" t="s">
        <v>39</v>
      </c>
      <c r="Y122" s="10" t="s">
        <v>656</v>
      </c>
    </row>
    <row r="123" spans="1:25" ht="12.75">
      <c r="A123" s="11">
        <v>2604106</v>
      </c>
      <c r="B123" s="12" t="s">
        <v>651</v>
      </c>
      <c r="C123" s="12" t="s">
        <v>26</v>
      </c>
      <c r="D123" s="12">
        <v>170002008292</v>
      </c>
      <c r="E123" s="12">
        <v>22</v>
      </c>
      <c r="F123" s="12" t="s">
        <v>657</v>
      </c>
      <c r="G123" s="12"/>
      <c r="H123" s="12"/>
      <c r="I123" s="12" t="s">
        <v>657</v>
      </c>
      <c r="J123" s="12" t="s">
        <v>42</v>
      </c>
      <c r="K123" s="12" t="s">
        <v>43</v>
      </c>
      <c r="L123" s="12" t="s">
        <v>44</v>
      </c>
      <c r="M123" s="13">
        <v>17326</v>
      </c>
      <c r="N123" s="14">
        <v>8.9300000000000004E-2</v>
      </c>
      <c r="O123" s="12" t="s">
        <v>658</v>
      </c>
      <c r="P123" s="12" t="s">
        <v>46</v>
      </c>
      <c r="Q123" s="12">
        <v>22</v>
      </c>
      <c r="R123" s="12" t="s">
        <v>321</v>
      </c>
      <c r="S123" s="12" t="s">
        <v>322</v>
      </c>
      <c r="T123" s="12" t="s">
        <v>46</v>
      </c>
      <c r="U123" s="12" t="s">
        <v>659</v>
      </c>
      <c r="V123" s="12" t="s">
        <v>37</v>
      </c>
      <c r="W123" s="12" t="s">
        <v>38</v>
      </c>
      <c r="X123" s="12" t="s">
        <v>58</v>
      </c>
      <c r="Y123" s="15" t="s">
        <v>660</v>
      </c>
    </row>
    <row r="124" spans="1:25" ht="12.75">
      <c r="A124" s="6">
        <v>2604106</v>
      </c>
      <c r="B124" s="7" t="s">
        <v>651</v>
      </c>
      <c r="C124" s="7" t="s">
        <v>26</v>
      </c>
      <c r="D124" s="7">
        <v>170002097895</v>
      </c>
      <c r="E124" s="7">
        <v>12</v>
      </c>
      <c r="F124" s="7" t="s">
        <v>661</v>
      </c>
      <c r="G124" s="7"/>
      <c r="H124" s="7"/>
      <c r="I124" s="7" t="s">
        <v>662</v>
      </c>
      <c r="J124" s="7" t="s">
        <v>42</v>
      </c>
      <c r="K124" s="7" t="s">
        <v>43</v>
      </c>
      <c r="L124" s="7" t="s">
        <v>44</v>
      </c>
      <c r="M124" s="8">
        <v>66253</v>
      </c>
      <c r="N124" s="9">
        <v>0.34150000000000003</v>
      </c>
      <c r="O124" s="7" t="s">
        <v>663</v>
      </c>
      <c r="P124" s="7" t="s">
        <v>32</v>
      </c>
      <c r="Q124" s="7">
        <v>12</v>
      </c>
      <c r="R124" s="7" t="s">
        <v>138</v>
      </c>
      <c r="S124" s="7" t="s">
        <v>139</v>
      </c>
      <c r="T124" s="7" t="s">
        <v>664</v>
      </c>
      <c r="U124" s="7" t="s">
        <v>665</v>
      </c>
      <c r="V124" s="7" t="s">
        <v>37</v>
      </c>
      <c r="W124" s="7" t="s">
        <v>38</v>
      </c>
      <c r="X124" s="7" t="s">
        <v>39</v>
      </c>
      <c r="Y124" s="10" t="s">
        <v>51</v>
      </c>
    </row>
    <row r="125" spans="1:25" ht="12.75">
      <c r="A125" s="11">
        <v>2604106</v>
      </c>
      <c r="B125" s="12" t="s">
        <v>651</v>
      </c>
      <c r="C125" s="12" t="s">
        <v>26</v>
      </c>
      <c r="D125" s="12">
        <v>170002099062</v>
      </c>
      <c r="E125" s="12">
        <v>80</v>
      </c>
      <c r="F125" s="12" t="s">
        <v>666</v>
      </c>
      <c r="G125" s="12"/>
      <c r="H125" s="12"/>
      <c r="I125" s="12" t="s">
        <v>667</v>
      </c>
      <c r="J125" s="12" t="s">
        <v>42</v>
      </c>
      <c r="K125" s="12" t="s">
        <v>43</v>
      </c>
      <c r="L125" s="12" t="s">
        <v>44</v>
      </c>
      <c r="M125" s="13">
        <v>270</v>
      </c>
      <c r="N125" s="14">
        <v>1.4E-3</v>
      </c>
      <c r="O125" s="12" t="s">
        <v>668</v>
      </c>
      <c r="P125" s="12" t="s">
        <v>46</v>
      </c>
      <c r="Q125" s="12">
        <v>80</v>
      </c>
      <c r="R125" s="12" t="s">
        <v>647</v>
      </c>
      <c r="S125" s="12" t="s">
        <v>648</v>
      </c>
      <c r="T125" s="12" t="s">
        <v>46</v>
      </c>
      <c r="U125" s="12" t="s">
        <v>669</v>
      </c>
      <c r="V125" s="12" t="s">
        <v>160</v>
      </c>
      <c r="W125" s="12" t="s">
        <v>114</v>
      </c>
      <c r="X125" s="12" t="s">
        <v>89</v>
      </c>
      <c r="Y125" s="15" t="s">
        <v>370</v>
      </c>
    </row>
    <row r="126" spans="1:25" ht="12.75">
      <c r="A126" s="6">
        <v>2604106</v>
      </c>
      <c r="B126" s="7" t="s">
        <v>651</v>
      </c>
      <c r="C126" s="7" t="s">
        <v>26</v>
      </c>
      <c r="D126" s="7">
        <v>170002149746</v>
      </c>
      <c r="E126" s="7">
        <v>50</v>
      </c>
      <c r="F126" s="7" t="s">
        <v>670</v>
      </c>
      <c r="G126" s="7"/>
      <c r="H126" s="7"/>
      <c r="I126" s="7" t="s">
        <v>670</v>
      </c>
      <c r="J126" s="7" t="s">
        <v>42</v>
      </c>
      <c r="K126" s="7" t="s">
        <v>43</v>
      </c>
      <c r="L126" s="7" t="s">
        <v>44</v>
      </c>
      <c r="M126" s="8">
        <v>3443</v>
      </c>
      <c r="N126" s="9">
        <v>1.77E-2</v>
      </c>
      <c r="O126" s="7" t="s">
        <v>671</v>
      </c>
      <c r="P126" s="7" t="s">
        <v>54</v>
      </c>
      <c r="Q126" s="7">
        <v>50</v>
      </c>
      <c r="R126" s="7" t="s">
        <v>153</v>
      </c>
      <c r="S126" s="7" t="s">
        <v>154</v>
      </c>
      <c r="T126" s="7" t="s">
        <v>54</v>
      </c>
      <c r="U126" s="7" t="s">
        <v>672</v>
      </c>
      <c r="V126" s="7" t="s">
        <v>160</v>
      </c>
      <c r="W126" s="7" t="s">
        <v>38</v>
      </c>
      <c r="X126" s="7" t="s">
        <v>39</v>
      </c>
      <c r="Y126" s="10" t="s">
        <v>127</v>
      </c>
    </row>
    <row r="127" spans="1:25" ht="12.75">
      <c r="A127" s="11">
        <v>2604106</v>
      </c>
      <c r="B127" s="12" t="s">
        <v>651</v>
      </c>
      <c r="C127" s="12" t="s">
        <v>26</v>
      </c>
      <c r="D127" s="12">
        <v>170002217637</v>
      </c>
      <c r="E127" s="12">
        <v>45</v>
      </c>
      <c r="F127" s="12" t="s">
        <v>673</v>
      </c>
      <c r="G127" s="12"/>
      <c r="H127" s="12"/>
      <c r="I127" s="12" t="s">
        <v>673</v>
      </c>
      <c r="J127" s="12" t="s">
        <v>28</v>
      </c>
      <c r="K127" s="12" t="s">
        <v>29</v>
      </c>
      <c r="L127" s="12" t="s">
        <v>30</v>
      </c>
      <c r="M127" s="13">
        <v>102198</v>
      </c>
      <c r="N127" s="14">
        <v>0.52680000000000005</v>
      </c>
      <c r="O127" s="12" t="s">
        <v>674</v>
      </c>
      <c r="P127" s="12" t="s">
        <v>32</v>
      </c>
      <c r="Q127" s="12">
        <v>45</v>
      </c>
      <c r="R127" s="12" t="s">
        <v>61</v>
      </c>
      <c r="S127" s="12" t="s">
        <v>62</v>
      </c>
      <c r="T127" s="12" t="s">
        <v>675</v>
      </c>
      <c r="U127" s="12" t="s">
        <v>676</v>
      </c>
      <c r="V127" s="12" t="s">
        <v>37</v>
      </c>
      <c r="W127" s="12" t="s">
        <v>38</v>
      </c>
      <c r="X127" s="12" t="s">
        <v>58</v>
      </c>
      <c r="Y127" s="15" t="s">
        <v>26</v>
      </c>
    </row>
    <row r="128" spans="1:25" ht="12.75">
      <c r="A128" s="6">
        <v>2608750</v>
      </c>
      <c r="B128" s="7" t="s">
        <v>677</v>
      </c>
      <c r="C128" s="7" t="s">
        <v>26</v>
      </c>
      <c r="D128" s="7">
        <v>170002377472</v>
      </c>
      <c r="E128" s="7">
        <v>40</v>
      </c>
      <c r="F128" s="7" t="s">
        <v>678</v>
      </c>
      <c r="G128" s="7"/>
      <c r="H128" s="7"/>
      <c r="I128" s="7" t="s">
        <v>679</v>
      </c>
      <c r="J128" s="7" t="s">
        <v>82</v>
      </c>
      <c r="K128" s="7" t="s">
        <v>29</v>
      </c>
      <c r="L128" s="7" t="s">
        <v>30</v>
      </c>
      <c r="M128" s="8">
        <v>11491</v>
      </c>
      <c r="N128" s="9">
        <v>0.72140000000000004</v>
      </c>
      <c r="O128" s="7" t="s">
        <v>680</v>
      </c>
      <c r="P128" s="7" t="s">
        <v>32</v>
      </c>
      <c r="Q128" s="7">
        <v>40</v>
      </c>
      <c r="R128" s="7" t="s">
        <v>33</v>
      </c>
      <c r="S128" s="7" t="s">
        <v>34</v>
      </c>
      <c r="T128" s="7" t="s">
        <v>681</v>
      </c>
      <c r="U128" s="7" t="s">
        <v>682</v>
      </c>
      <c r="V128" s="7" t="s">
        <v>160</v>
      </c>
      <c r="W128" s="7" t="s">
        <v>38</v>
      </c>
      <c r="X128" s="7" t="s">
        <v>58</v>
      </c>
      <c r="Y128" s="10" t="s">
        <v>109</v>
      </c>
    </row>
    <row r="129" spans="1:25" ht="12.75">
      <c r="A129" s="11">
        <v>2604205</v>
      </c>
      <c r="B129" s="12" t="s">
        <v>683</v>
      </c>
      <c r="C129" s="12" t="s">
        <v>26</v>
      </c>
      <c r="D129" s="12">
        <v>170002053401</v>
      </c>
      <c r="E129" s="12">
        <v>70</v>
      </c>
      <c r="F129" s="12" t="s">
        <v>684</v>
      </c>
      <c r="G129" s="12"/>
      <c r="H129" s="12"/>
      <c r="I129" s="12" t="s">
        <v>685</v>
      </c>
      <c r="J129" s="12" t="s">
        <v>42</v>
      </c>
      <c r="K129" s="12" t="s">
        <v>43</v>
      </c>
      <c r="L129" s="12" t="s">
        <v>44</v>
      </c>
      <c r="M129" s="13">
        <v>10517</v>
      </c>
      <c r="N129" s="14">
        <v>0.49669999999999997</v>
      </c>
      <c r="O129" s="12" t="s">
        <v>686</v>
      </c>
      <c r="P129" s="12" t="s">
        <v>32</v>
      </c>
      <c r="Q129" s="12">
        <v>70</v>
      </c>
      <c r="R129" s="12" t="s">
        <v>177</v>
      </c>
      <c r="S129" s="12" t="s">
        <v>177</v>
      </c>
      <c r="T129" s="12" t="s">
        <v>687</v>
      </c>
      <c r="U129" s="12" t="s">
        <v>688</v>
      </c>
      <c r="V129" s="12" t="s">
        <v>37</v>
      </c>
      <c r="W129" s="12" t="s">
        <v>38</v>
      </c>
      <c r="X129" s="12" t="s">
        <v>58</v>
      </c>
      <c r="Y129" s="15" t="s">
        <v>328</v>
      </c>
    </row>
    <row r="130" spans="1:25" ht="12.75">
      <c r="A130" s="6">
        <v>2604205</v>
      </c>
      <c r="B130" s="7" t="s">
        <v>683</v>
      </c>
      <c r="C130" s="7" t="s">
        <v>26</v>
      </c>
      <c r="D130" s="7">
        <v>170002322957</v>
      </c>
      <c r="E130" s="7">
        <v>77</v>
      </c>
      <c r="F130" s="7" t="s">
        <v>689</v>
      </c>
      <c r="G130" s="7"/>
      <c r="H130" s="7"/>
      <c r="I130" s="7" t="s">
        <v>689</v>
      </c>
      <c r="J130" s="7" t="s">
        <v>42</v>
      </c>
      <c r="K130" s="7" t="s">
        <v>43</v>
      </c>
      <c r="L130" s="7" t="s">
        <v>44</v>
      </c>
      <c r="M130" s="8">
        <v>47</v>
      </c>
      <c r="N130" s="9">
        <v>2.2000000000000001E-3</v>
      </c>
      <c r="O130" s="7" t="s">
        <v>690</v>
      </c>
      <c r="P130" s="7" t="s">
        <v>32</v>
      </c>
      <c r="Q130" s="7">
        <v>77</v>
      </c>
      <c r="R130" s="7" t="s">
        <v>287</v>
      </c>
      <c r="S130" s="7" t="s">
        <v>287</v>
      </c>
      <c r="T130" s="7" t="s">
        <v>691</v>
      </c>
      <c r="U130" s="7" t="s">
        <v>692</v>
      </c>
      <c r="V130" s="7" t="s">
        <v>37</v>
      </c>
      <c r="W130" s="7" t="s">
        <v>50</v>
      </c>
      <c r="X130" s="7" t="s">
        <v>58</v>
      </c>
      <c r="Y130" s="10" t="s">
        <v>90</v>
      </c>
    </row>
    <row r="131" spans="1:25" ht="12.75">
      <c r="A131" s="11">
        <v>2610608</v>
      </c>
      <c r="B131" s="12" t="s">
        <v>693</v>
      </c>
      <c r="C131" s="12" t="s">
        <v>26</v>
      </c>
      <c r="D131" s="12">
        <v>170001967091</v>
      </c>
      <c r="E131" s="12">
        <v>20</v>
      </c>
      <c r="F131" s="12" t="s">
        <v>694</v>
      </c>
      <c r="G131" s="12"/>
      <c r="H131" s="12"/>
      <c r="I131" s="12" t="s">
        <v>694</v>
      </c>
      <c r="J131" s="12" t="s">
        <v>82</v>
      </c>
      <c r="K131" s="12" t="s">
        <v>29</v>
      </c>
      <c r="L131" s="12" t="s">
        <v>30</v>
      </c>
      <c r="M131" s="13">
        <v>24394</v>
      </c>
      <c r="N131" s="14">
        <v>0.69120000000000004</v>
      </c>
      <c r="O131" s="12" t="s">
        <v>695</v>
      </c>
      <c r="P131" s="12" t="s">
        <v>32</v>
      </c>
      <c r="Q131" s="12">
        <v>20</v>
      </c>
      <c r="R131" s="12" t="s">
        <v>98</v>
      </c>
      <c r="S131" s="12" t="s">
        <v>99</v>
      </c>
      <c r="T131" s="12" t="s">
        <v>696</v>
      </c>
      <c r="U131" s="12" t="s">
        <v>697</v>
      </c>
      <c r="V131" s="12" t="s">
        <v>160</v>
      </c>
      <c r="W131" s="12" t="s">
        <v>38</v>
      </c>
      <c r="X131" s="12" t="s">
        <v>39</v>
      </c>
      <c r="Y131" s="15" t="s">
        <v>656</v>
      </c>
    </row>
    <row r="132" spans="1:25" ht="12.75">
      <c r="A132" s="6">
        <v>2604205</v>
      </c>
      <c r="B132" s="7" t="s">
        <v>683</v>
      </c>
      <c r="C132" s="7" t="s">
        <v>26</v>
      </c>
      <c r="D132" s="7">
        <v>170001915530</v>
      </c>
      <c r="E132" s="7">
        <v>33</v>
      </c>
      <c r="F132" s="7" t="s">
        <v>698</v>
      </c>
      <c r="G132" s="7"/>
      <c r="H132" s="7"/>
      <c r="I132" s="7" t="s">
        <v>699</v>
      </c>
      <c r="J132" s="7" t="s">
        <v>42</v>
      </c>
      <c r="K132" s="7" t="s">
        <v>43</v>
      </c>
      <c r="L132" s="7" t="s">
        <v>44</v>
      </c>
      <c r="M132" s="8">
        <v>25</v>
      </c>
      <c r="N132" s="9">
        <v>1.1999999999999999E-3</v>
      </c>
      <c r="O132" s="7" t="s">
        <v>700</v>
      </c>
      <c r="P132" s="7" t="s">
        <v>32</v>
      </c>
      <c r="Q132" s="7">
        <v>33</v>
      </c>
      <c r="R132" s="7" t="s">
        <v>47</v>
      </c>
      <c r="S132" s="7" t="s">
        <v>48</v>
      </c>
      <c r="T132" s="7" t="s">
        <v>701</v>
      </c>
      <c r="U132" s="7" t="s">
        <v>702</v>
      </c>
      <c r="V132" s="7" t="s">
        <v>37</v>
      </c>
      <c r="W132" s="7" t="s">
        <v>50</v>
      </c>
      <c r="X132" s="7" t="s">
        <v>58</v>
      </c>
      <c r="Y132" s="10" t="s">
        <v>703</v>
      </c>
    </row>
    <row r="133" spans="1:25" ht="12.75">
      <c r="A133" s="11">
        <v>2604205</v>
      </c>
      <c r="B133" s="12" t="s">
        <v>683</v>
      </c>
      <c r="C133" s="12" t="s">
        <v>26</v>
      </c>
      <c r="D133" s="12">
        <v>170001938678</v>
      </c>
      <c r="E133" s="12">
        <v>36</v>
      </c>
      <c r="F133" s="12" t="s">
        <v>704</v>
      </c>
      <c r="G133" s="12"/>
      <c r="H133" s="12"/>
      <c r="I133" s="12" t="s">
        <v>704</v>
      </c>
      <c r="J133" s="12" t="s">
        <v>42</v>
      </c>
      <c r="K133" s="12" t="s">
        <v>43</v>
      </c>
      <c r="L133" s="12" t="s">
        <v>44</v>
      </c>
      <c r="M133" s="13">
        <v>54</v>
      </c>
      <c r="N133" s="14">
        <v>2.5999999999999999E-3</v>
      </c>
      <c r="O133" s="12" t="s">
        <v>705</v>
      </c>
      <c r="P133" s="12" t="s">
        <v>46</v>
      </c>
      <c r="Q133" s="12">
        <v>36</v>
      </c>
      <c r="R133" s="12" t="s">
        <v>195</v>
      </c>
      <c r="S133" s="12" t="s">
        <v>195</v>
      </c>
      <c r="T133" s="12" t="s">
        <v>46</v>
      </c>
      <c r="U133" s="12" t="s">
        <v>706</v>
      </c>
      <c r="V133" s="12" t="s">
        <v>37</v>
      </c>
      <c r="W133" s="12" t="s">
        <v>38</v>
      </c>
      <c r="X133" s="12" t="s">
        <v>39</v>
      </c>
      <c r="Y133" s="15" t="s">
        <v>90</v>
      </c>
    </row>
    <row r="134" spans="1:25" ht="12.75">
      <c r="A134" s="6">
        <v>2604155</v>
      </c>
      <c r="B134" s="7" t="s">
        <v>707</v>
      </c>
      <c r="C134" s="7" t="s">
        <v>26</v>
      </c>
      <c r="D134" s="7">
        <v>170002014473</v>
      </c>
      <c r="E134" s="7">
        <v>44</v>
      </c>
      <c r="F134" s="7" t="s">
        <v>708</v>
      </c>
      <c r="G134" s="7"/>
      <c r="H134" s="7"/>
      <c r="I134" s="7" t="s">
        <v>708</v>
      </c>
      <c r="J134" s="7" t="s">
        <v>28</v>
      </c>
      <c r="K134" s="7" t="s">
        <v>29</v>
      </c>
      <c r="L134" s="7" t="s">
        <v>30</v>
      </c>
      <c r="M134" s="8">
        <v>6364</v>
      </c>
      <c r="N134" s="9">
        <v>0.67469999999999997</v>
      </c>
      <c r="O134" s="7" t="s">
        <v>709</v>
      </c>
      <c r="P134" s="7" t="s">
        <v>32</v>
      </c>
      <c r="Q134" s="7">
        <v>44</v>
      </c>
      <c r="R134" s="7" t="s">
        <v>314</v>
      </c>
      <c r="S134" s="7" t="s">
        <v>315</v>
      </c>
      <c r="T134" s="7" t="s">
        <v>710</v>
      </c>
      <c r="U134" s="7" t="s">
        <v>711</v>
      </c>
      <c r="V134" s="7" t="s">
        <v>160</v>
      </c>
      <c r="W134" s="7" t="s">
        <v>38</v>
      </c>
      <c r="X134" s="7" t="s">
        <v>39</v>
      </c>
      <c r="Y134" s="10" t="s">
        <v>26</v>
      </c>
    </row>
    <row r="135" spans="1:25" ht="12.75">
      <c r="A135" s="11">
        <v>2604304</v>
      </c>
      <c r="B135" s="12" t="s">
        <v>712</v>
      </c>
      <c r="C135" s="12" t="s">
        <v>26</v>
      </c>
      <c r="D135" s="12">
        <v>170002023288</v>
      </c>
      <c r="E135" s="12">
        <v>15</v>
      </c>
      <c r="F135" s="12" t="s">
        <v>713</v>
      </c>
      <c r="G135" s="12"/>
      <c r="H135" s="12"/>
      <c r="I135" s="12" t="s">
        <v>713</v>
      </c>
      <c r="J135" s="12" t="s">
        <v>189</v>
      </c>
      <c r="K135" s="12" t="s">
        <v>29</v>
      </c>
      <c r="L135" s="12" t="s">
        <v>44</v>
      </c>
      <c r="M135" s="13">
        <v>3882</v>
      </c>
      <c r="N135" s="14">
        <v>0.49509999999999998</v>
      </c>
      <c r="O135" s="12" t="s">
        <v>714</v>
      </c>
      <c r="P135" s="12" t="s">
        <v>32</v>
      </c>
      <c r="Q135" s="12">
        <v>15</v>
      </c>
      <c r="R135" s="12" t="s">
        <v>85</v>
      </c>
      <c r="S135" s="12" t="s">
        <v>86</v>
      </c>
      <c r="T135" s="12" t="s">
        <v>715</v>
      </c>
      <c r="U135" s="12" t="s">
        <v>716</v>
      </c>
      <c r="V135" s="12" t="s">
        <v>160</v>
      </c>
      <c r="W135" s="12" t="s">
        <v>50</v>
      </c>
      <c r="X135" s="12" t="s">
        <v>58</v>
      </c>
      <c r="Y135" s="15" t="s">
        <v>26</v>
      </c>
    </row>
    <row r="136" spans="1:25" ht="12.75">
      <c r="A136" s="6">
        <v>2604403</v>
      </c>
      <c r="B136" s="7" t="s">
        <v>717</v>
      </c>
      <c r="C136" s="7" t="s">
        <v>26</v>
      </c>
      <c r="D136" s="7">
        <v>170002043965</v>
      </c>
      <c r="E136" s="7">
        <v>10</v>
      </c>
      <c r="F136" s="7" t="s">
        <v>718</v>
      </c>
      <c r="G136" s="7"/>
      <c r="H136" s="7"/>
      <c r="I136" s="7" t="s">
        <v>718</v>
      </c>
      <c r="J136" s="7" t="s">
        <v>82</v>
      </c>
      <c r="K136" s="7" t="s">
        <v>29</v>
      </c>
      <c r="L136" s="7" t="s">
        <v>30</v>
      </c>
      <c r="M136" s="8">
        <v>5258</v>
      </c>
      <c r="N136" s="9">
        <v>0.53690000000000004</v>
      </c>
      <c r="O136" s="7" t="s">
        <v>719</v>
      </c>
      <c r="P136" s="7" t="s">
        <v>32</v>
      </c>
      <c r="Q136" s="7">
        <v>10</v>
      </c>
      <c r="R136" s="7" t="s">
        <v>124</v>
      </c>
      <c r="S136" s="7" t="s">
        <v>124</v>
      </c>
      <c r="T136" s="7" t="s">
        <v>720</v>
      </c>
      <c r="U136" s="7" t="s">
        <v>721</v>
      </c>
      <c r="V136" s="7" t="s">
        <v>37</v>
      </c>
      <c r="W136" s="7" t="s">
        <v>50</v>
      </c>
      <c r="X136" s="7" t="s">
        <v>58</v>
      </c>
      <c r="Y136" s="10" t="s">
        <v>246</v>
      </c>
    </row>
    <row r="137" spans="1:25" ht="12.75">
      <c r="A137" s="11">
        <v>2604403</v>
      </c>
      <c r="B137" s="12" t="s">
        <v>717</v>
      </c>
      <c r="C137" s="12" t="s">
        <v>26</v>
      </c>
      <c r="D137" s="12">
        <v>170002118093</v>
      </c>
      <c r="E137" s="12">
        <v>15</v>
      </c>
      <c r="F137" s="12" t="s">
        <v>722</v>
      </c>
      <c r="G137" s="12"/>
      <c r="H137" s="12"/>
      <c r="I137" s="12" t="s">
        <v>723</v>
      </c>
      <c r="J137" s="12" t="s">
        <v>42</v>
      </c>
      <c r="K137" s="12" t="s">
        <v>43</v>
      </c>
      <c r="L137" s="12" t="s">
        <v>44</v>
      </c>
      <c r="M137" s="13">
        <v>4535</v>
      </c>
      <c r="N137" s="14">
        <v>0.46310000000000001</v>
      </c>
      <c r="O137" s="12" t="s">
        <v>724</v>
      </c>
      <c r="P137" s="12" t="s">
        <v>32</v>
      </c>
      <c r="Q137" s="12">
        <v>15</v>
      </c>
      <c r="R137" s="12" t="s">
        <v>85</v>
      </c>
      <c r="S137" s="12" t="s">
        <v>86</v>
      </c>
      <c r="T137" s="12" t="s">
        <v>725</v>
      </c>
      <c r="U137" s="12" t="s">
        <v>726</v>
      </c>
      <c r="V137" s="12" t="s">
        <v>160</v>
      </c>
      <c r="W137" s="12" t="s">
        <v>156</v>
      </c>
      <c r="X137" s="12" t="s">
        <v>39</v>
      </c>
      <c r="Y137" s="15" t="s">
        <v>650</v>
      </c>
    </row>
    <row r="138" spans="1:25" ht="12.75">
      <c r="A138" s="6">
        <v>2604502</v>
      </c>
      <c r="B138" s="7" t="s">
        <v>727</v>
      </c>
      <c r="C138" s="7" t="s">
        <v>26</v>
      </c>
      <c r="D138" s="7">
        <v>170001990352</v>
      </c>
      <c r="E138" s="7">
        <v>40</v>
      </c>
      <c r="F138" s="7" t="s">
        <v>728</v>
      </c>
      <c r="G138" s="7"/>
      <c r="H138" s="7"/>
      <c r="I138" s="7" t="s">
        <v>728</v>
      </c>
      <c r="J138" s="7" t="s">
        <v>42</v>
      </c>
      <c r="K138" s="7" t="s">
        <v>43</v>
      </c>
      <c r="L138" s="7" t="s">
        <v>44</v>
      </c>
      <c r="M138" s="8">
        <v>5915</v>
      </c>
      <c r="N138" s="9">
        <v>0.38030000000000003</v>
      </c>
      <c r="O138" s="7" t="s">
        <v>729</v>
      </c>
      <c r="P138" s="7" t="s">
        <v>32</v>
      </c>
      <c r="Q138" s="7">
        <v>40</v>
      </c>
      <c r="R138" s="7" t="s">
        <v>33</v>
      </c>
      <c r="S138" s="7" t="s">
        <v>34</v>
      </c>
      <c r="T138" s="7" t="s">
        <v>730</v>
      </c>
      <c r="U138" s="7" t="s">
        <v>731</v>
      </c>
      <c r="V138" s="7" t="s">
        <v>37</v>
      </c>
      <c r="W138" s="7" t="s">
        <v>38</v>
      </c>
      <c r="X138" s="7" t="s">
        <v>58</v>
      </c>
      <c r="Y138" s="10" t="s">
        <v>732</v>
      </c>
    </row>
    <row r="139" spans="1:25" ht="12.75">
      <c r="A139" s="11">
        <v>2604502</v>
      </c>
      <c r="B139" s="12" t="s">
        <v>727</v>
      </c>
      <c r="C139" s="12" t="s">
        <v>26</v>
      </c>
      <c r="D139" s="12">
        <v>170002058442</v>
      </c>
      <c r="E139" s="12">
        <v>70</v>
      </c>
      <c r="F139" s="12" t="s">
        <v>733</v>
      </c>
      <c r="G139" s="12"/>
      <c r="H139" s="12"/>
      <c r="I139" s="12" t="s">
        <v>733</v>
      </c>
      <c r="J139" s="12" t="s">
        <v>82</v>
      </c>
      <c r="K139" s="12" t="s">
        <v>29</v>
      </c>
      <c r="L139" s="12" t="s">
        <v>30</v>
      </c>
      <c r="M139" s="13">
        <v>9640</v>
      </c>
      <c r="N139" s="14">
        <v>0.61970000000000003</v>
      </c>
      <c r="O139" s="12" t="s">
        <v>734</v>
      </c>
      <c r="P139" s="12" t="s">
        <v>32</v>
      </c>
      <c r="Q139" s="12">
        <v>70</v>
      </c>
      <c r="R139" s="12" t="s">
        <v>177</v>
      </c>
      <c r="S139" s="12" t="s">
        <v>177</v>
      </c>
      <c r="T139" s="12" t="s">
        <v>735</v>
      </c>
      <c r="U139" s="12" t="s">
        <v>736</v>
      </c>
      <c r="V139" s="12" t="s">
        <v>37</v>
      </c>
      <c r="W139" s="12" t="s">
        <v>38</v>
      </c>
      <c r="X139" s="12" t="s">
        <v>39</v>
      </c>
      <c r="Y139" s="15" t="s">
        <v>127</v>
      </c>
    </row>
    <row r="140" spans="1:25" ht="12.75">
      <c r="A140" s="6">
        <v>2604601</v>
      </c>
      <c r="B140" s="7" t="s">
        <v>737</v>
      </c>
      <c r="C140" s="7" t="s">
        <v>26</v>
      </c>
      <c r="D140" s="7">
        <v>170001991395</v>
      </c>
      <c r="E140" s="7">
        <v>50</v>
      </c>
      <c r="F140" s="7" t="s">
        <v>738</v>
      </c>
      <c r="G140" s="7"/>
      <c r="H140" s="7"/>
      <c r="I140" s="7" t="s">
        <v>738</v>
      </c>
      <c r="J140" s="7" t="s">
        <v>42</v>
      </c>
      <c r="K140" s="7" t="s">
        <v>43</v>
      </c>
      <c r="L140" s="7" t="s">
        <v>44</v>
      </c>
      <c r="M140" s="8">
        <v>255</v>
      </c>
      <c r="N140" s="9">
        <v>1.5699999999999999E-2</v>
      </c>
      <c r="O140" s="7" t="s">
        <v>739</v>
      </c>
      <c r="P140" s="7" t="s">
        <v>54</v>
      </c>
      <c r="Q140" s="7">
        <v>50</v>
      </c>
      <c r="R140" s="7" t="s">
        <v>153</v>
      </c>
      <c r="S140" s="7" t="s">
        <v>154</v>
      </c>
      <c r="T140" s="7" t="s">
        <v>54</v>
      </c>
      <c r="U140" s="7" t="s">
        <v>740</v>
      </c>
      <c r="V140" s="7" t="s">
        <v>37</v>
      </c>
      <c r="W140" s="7" t="s">
        <v>114</v>
      </c>
      <c r="X140" s="7" t="s">
        <v>39</v>
      </c>
      <c r="Y140" s="10" t="s">
        <v>95</v>
      </c>
    </row>
    <row r="141" spans="1:25" ht="12.75">
      <c r="A141" s="11">
        <v>2604601</v>
      </c>
      <c r="B141" s="12" t="s">
        <v>737</v>
      </c>
      <c r="C141" s="12" t="s">
        <v>26</v>
      </c>
      <c r="D141" s="12">
        <v>170002319080</v>
      </c>
      <c r="E141" s="12">
        <v>10</v>
      </c>
      <c r="F141" s="12" t="s">
        <v>741</v>
      </c>
      <c r="G141" s="12"/>
      <c r="H141" s="12"/>
      <c r="I141" s="12" t="s">
        <v>741</v>
      </c>
      <c r="J141" s="12" t="s">
        <v>42</v>
      </c>
      <c r="K141" s="12" t="s">
        <v>29</v>
      </c>
      <c r="L141" s="12" t="s">
        <v>44</v>
      </c>
      <c r="M141" s="13">
        <v>6814</v>
      </c>
      <c r="N141" s="14">
        <v>0.41949999999999998</v>
      </c>
      <c r="O141" s="12" t="s">
        <v>742</v>
      </c>
      <c r="P141" s="12" t="s">
        <v>32</v>
      </c>
      <c r="Q141" s="12">
        <v>10</v>
      </c>
      <c r="R141" s="12" t="s">
        <v>124</v>
      </c>
      <c r="S141" s="12" t="s">
        <v>124</v>
      </c>
      <c r="T141" s="12" t="s">
        <v>743</v>
      </c>
      <c r="U141" s="12" t="s">
        <v>744</v>
      </c>
      <c r="V141" s="12" t="s">
        <v>37</v>
      </c>
      <c r="W141" s="12" t="s">
        <v>38</v>
      </c>
      <c r="X141" s="12" t="s">
        <v>39</v>
      </c>
      <c r="Y141" s="15" t="s">
        <v>65</v>
      </c>
    </row>
    <row r="142" spans="1:25" ht="12.75">
      <c r="A142" s="6">
        <v>2604601</v>
      </c>
      <c r="B142" s="7" t="s">
        <v>737</v>
      </c>
      <c r="C142" s="7" t="s">
        <v>26</v>
      </c>
      <c r="D142" s="7">
        <v>170002248243</v>
      </c>
      <c r="E142" s="7">
        <v>11</v>
      </c>
      <c r="F142" s="7" t="s">
        <v>745</v>
      </c>
      <c r="G142" s="16" t="s">
        <v>746</v>
      </c>
      <c r="H142" s="7"/>
      <c r="I142" s="7" t="s">
        <v>745</v>
      </c>
      <c r="J142" s="7" t="s">
        <v>82</v>
      </c>
      <c r="K142" s="7" t="s">
        <v>43</v>
      </c>
      <c r="L142" s="7" t="s">
        <v>30</v>
      </c>
      <c r="M142" s="8">
        <v>9173</v>
      </c>
      <c r="N142" s="9">
        <v>0.56479999999999997</v>
      </c>
      <c r="O142" s="7" t="s">
        <v>747</v>
      </c>
      <c r="P142" s="7" t="s">
        <v>32</v>
      </c>
      <c r="Q142" s="7">
        <v>11</v>
      </c>
      <c r="R142" s="7" t="s">
        <v>168</v>
      </c>
      <c r="S142" s="7" t="s">
        <v>169</v>
      </c>
      <c r="T142" s="7" t="s">
        <v>748</v>
      </c>
      <c r="U142" s="7" t="s">
        <v>749</v>
      </c>
      <c r="V142" s="7" t="s">
        <v>37</v>
      </c>
      <c r="W142" s="7" t="s">
        <v>38</v>
      </c>
      <c r="X142" s="7" t="s">
        <v>89</v>
      </c>
      <c r="Y142" s="10" t="s">
        <v>90</v>
      </c>
    </row>
    <row r="143" spans="1:25" ht="12.75">
      <c r="A143" s="11">
        <v>2604700</v>
      </c>
      <c r="B143" s="12" t="s">
        <v>750</v>
      </c>
      <c r="C143" s="12" t="s">
        <v>26</v>
      </c>
      <c r="D143" s="12">
        <v>170002036477</v>
      </c>
      <c r="E143" s="12">
        <v>45</v>
      </c>
      <c r="F143" s="12" t="s">
        <v>751</v>
      </c>
      <c r="G143" s="12"/>
      <c r="H143" s="12"/>
      <c r="I143" s="12" t="s">
        <v>751</v>
      </c>
      <c r="J143" s="12" t="s">
        <v>42</v>
      </c>
      <c r="K143" s="12" t="s">
        <v>43</v>
      </c>
      <c r="L143" s="12" t="s">
        <v>44</v>
      </c>
      <c r="M143" s="13">
        <v>5484</v>
      </c>
      <c r="N143" s="14">
        <v>0.4894</v>
      </c>
      <c r="O143" s="12" t="s">
        <v>752</v>
      </c>
      <c r="P143" s="12" t="s">
        <v>32</v>
      </c>
      <c r="Q143" s="12">
        <v>45</v>
      </c>
      <c r="R143" s="12" t="s">
        <v>61</v>
      </c>
      <c r="S143" s="12" t="s">
        <v>62</v>
      </c>
      <c r="T143" s="12" t="s">
        <v>753</v>
      </c>
      <c r="U143" s="12" t="s">
        <v>754</v>
      </c>
      <c r="V143" s="12" t="s">
        <v>37</v>
      </c>
      <c r="W143" s="12" t="s">
        <v>38</v>
      </c>
      <c r="X143" s="12" t="s">
        <v>39</v>
      </c>
      <c r="Y143" s="15" t="s">
        <v>65</v>
      </c>
    </row>
    <row r="144" spans="1:25" ht="12.75">
      <c r="A144" s="6">
        <v>2604700</v>
      </c>
      <c r="B144" s="7" t="s">
        <v>750</v>
      </c>
      <c r="C144" s="7" t="s">
        <v>26</v>
      </c>
      <c r="D144" s="7">
        <v>170002323444</v>
      </c>
      <c r="E144" s="7">
        <v>13</v>
      </c>
      <c r="F144" s="7" t="s">
        <v>755</v>
      </c>
      <c r="G144" s="7"/>
      <c r="H144" s="7"/>
      <c r="I144" s="7" t="s">
        <v>755</v>
      </c>
      <c r="J144" s="7" t="s">
        <v>82</v>
      </c>
      <c r="K144" s="7" t="s">
        <v>29</v>
      </c>
      <c r="L144" s="7" t="s">
        <v>30</v>
      </c>
      <c r="M144" s="8">
        <v>5722</v>
      </c>
      <c r="N144" s="9">
        <v>0.51060000000000005</v>
      </c>
      <c r="O144" s="7" t="s">
        <v>756</v>
      </c>
      <c r="P144" s="7" t="s">
        <v>32</v>
      </c>
      <c r="Q144" s="7">
        <v>13</v>
      </c>
      <c r="R144" s="7" t="s">
        <v>130</v>
      </c>
      <c r="S144" s="7" t="s">
        <v>131</v>
      </c>
      <c r="T144" s="7" t="s">
        <v>757</v>
      </c>
      <c r="U144" s="7" t="s">
        <v>758</v>
      </c>
      <c r="V144" s="7" t="s">
        <v>37</v>
      </c>
      <c r="W144" s="7" t="s">
        <v>114</v>
      </c>
      <c r="X144" s="7" t="s">
        <v>39</v>
      </c>
      <c r="Y144" s="10" t="s">
        <v>95</v>
      </c>
    </row>
    <row r="145" spans="1:25" ht="12.75">
      <c r="A145" s="11">
        <v>2604809</v>
      </c>
      <c r="B145" s="12" t="s">
        <v>759</v>
      </c>
      <c r="C145" s="12" t="s">
        <v>26</v>
      </c>
      <c r="D145" s="12">
        <v>170002280213</v>
      </c>
      <c r="E145" s="12">
        <v>77</v>
      </c>
      <c r="F145" s="12" t="s">
        <v>760</v>
      </c>
      <c r="G145" s="12"/>
      <c r="H145" s="12"/>
      <c r="I145" s="12" t="s">
        <v>760</v>
      </c>
      <c r="J145" s="12" t="s">
        <v>42</v>
      </c>
      <c r="K145" s="12" t="s">
        <v>43</v>
      </c>
      <c r="L145" s="12" t="s">
        <v>44</v>
      </c>
      <c r="M145" s="13">
        <v>2493</v>
      </c>
      <c r="N145" s="14">
        <v>0.27300000000000002</v>
      </c>
      <c r="O145" s="12" t="s">
        <v>761</v>
      </c>
      <c r="P145" s="12" t="s">
        <v>32</v>
      </c>
      <c r="Q145" s="12">
        <v>77</v>
      </c>
      <c r="R145" s="12" t="s">
        <v>287</v>
      </c>
      <c r="S145" s="12" t="s">
        <v>287</v>
      </c>
      <c r="T145" s="12" t="s">
        <v>762</v>
      </c>
      <c r="U145" s="12" t="s">
        <v>763</v>
      </c>
      <c r="V145" s="12" t="s">
        <v>37</v>
      </c>
      <c r="W145" s="12" t="s">
        <v>38</v>
      </c>
      <c r="X145" s="12" t="s">
        <v>58</v>
      </c>
      <c r="Y145" s="15" t="s">
        <v>134</v>
      </c>
    </row>
    <row r="146" spans="1:25" ht="12.75">
      <c r="A146" s="6">
        <v>2604809</v>
      </c>
      <c r="B146" s="7" t="s">
        <v>759</v>
      </c>
      <c r="C146" s="7" t="s">
        <v>26</v>
      </c>
      <c r="D146" s="7">
        <v>170002048554</v>
      </c>
      <c r="E146" s="7">
        <v>40</v>
      </c>
      <c r="F146" s="7" t="s">
        <v>764</v>
      </c>
      <c r="G146" s="7"/>
      <c r="H146" s="7"/>
      <c r="I146" s="7" t="s">
        <v>765</v>
      </c>
      <c r="J146" s="7" t="s">
        <v>42</v>
      </c>
      <c r="K146" s="7" t="s">
        <v>43</v>
      </c>
      <c r="L146" s="7" t="s">
        <v>44</v>
      </c>
      <c r="M146" s="8">
        <v>2729</v>
      </c>
      <c r="N146" s="9">
        <v>0.29880000000000001</v>
      </c>
      <c r="O146" s="7" t="s">
        <v>766</v>
      </c>
      <c r="P146" s="7" t="s">
        <v>32</v>
      </c>
      <c r="Q146" s="7">
        <v>40</v>
      </c>
      <c r="R146" s="7" t="s">
        <v>33</v>
      </c>
      <c r="S146" s="7" t="s">
        <v>34</v>
      </c>
      <c r="T146" s="7" t="s">
        <v>767</v>
      </c>
      <c r="U146" s="7" t="s">
        <v>768</v>
      </c>
      <c r="V146" s="7" t="s">
        <v>37</v>
      </c>
      <c r="W146" s="7" t="s">
        <v>38</v>
      </c>
      <c r="X146" s="7" t="s">
        <v>39</v>
      </c>
      <c r="Y146" s="10" t="s">
        <v>656</v>
      </c>
    </row>
    <row r="147" spans="1:25" ht="12.75">
      <c r="A147" s="11">
        <v>2615607</v>
      </c>
      <c r="B147" s="12" t="s">
        <v>769</v>
      </c>
      <c r="C147" s="12" t="s">
        <v>26</v>
      </c>
      <c r="D147" s="12">
        <v>170002256494</v>
      </c>
      <c r="E147" s="12">
        <v>44</v>
      </c>
      <c r="F147" s="12" t="s">
        <v>770</v>
      </c>
      <c r="G147" s="12"/>
      <c r="H147" s="12"/>
      <c r="I147" s="12" t="s">
        <v>770</v>
      </c>
      <c r="J147" s="12" t="s">
        <v>28</v>
      </c>
      <c r="K147" s="12" t="s">
        <v>29</v>
      </c>
      <c r="L147" s="12" t="s">
        <v>30</v>
      </c>
      <c r="M147" s="13">
        <v>12341</v>
      </c>
      <c r="N147" s="14">
        <v>0.65529999999999999</v>
      </c>
      <c r="O147" s="12" t="s">
        <v>771</v>
      </c>
      <c r="P147" s="12" t="s">
        <v>32</v>
      </c>
      <c r="Q147" s="12">
        <v>44</v>
      </c>
      <c r="R147" s="12" t="s">
        <v>314</v>
      </c>
      <c r="S147" s="12" t="s">
        <v>315</v>
      </c>
      <c r="T147" s="12" t="s">
        <v>772</v>
      </c>
      <c r="U147" s="12" t="s">
        <v>773</v>
      </c>
      <c r="V147" s="12" t="s">
        <v>160</v>
      </c>
      <c r="W147" s="12" t="s">
        <v>38</v>
      </c>
      <c r="X147" s="12" t="s">
        <v>58</v>
      </c>
      <c r="Y147" s="15" t="s">
        <v>401</v>
      </c>
    </row>
    <row r="148" spans="1:25" ht="12.75">
      <c r="A148" s="6">
        <v>2608305</v>
      </c>
      <c r="B148" s="7" t="s">
        <v>774</v>
      </c>
      <c r="C148" s="7" t="s">
        <v>26</v>
      </c>
      <c r="D148" s="7">
        <v>170002201856</v>
      </c>
      <c r="E148" s="7">
        <v>55</v>
      </c>
      <c r="F148" s="7" t="s">
        <v>775</v>
      </c>
      <c r="G148" s="7"/>
      <c r="H148" s="7"/>
      <c r="I148" s="7" t="s">
        <v>775</v>
      </c>
      <c r="J148" s="7" t="s">
        <v>82</v>
      </c>
      <c r="K148" s="7" t="s">
        <v>29</v>
      </c>
      <c r="L148" s="7" t="s">
        <v>30</v>
      </c>
      <c r="M148" s="8">
        <v>6589</v>
      </c>
      <c r="N148" s="9">
        <v>0.627</v>
      </c>
      <c r="O148" s="7" t="s">
        <v>776</v>
      </c>
      <c r="P148" s="7" t="s">
        <v>32</v>
      </c>
      <c r="Q148" s="7">
        <v>55</v>
      </c>
      <c r="R148" s="7" t="s">
        <v>74</v>
      </c>
      <c r="S148" s="7" t="s">
        <v>75</v>
      </c>
      <c r="T148" s="7" t="s">
        <v>777</v>
      </c>
      <c r="U148" s="7" t="s">
        <v>778</v>
      </c>
      <c r="V148" s="7" t="s">
        <v>160</v>
      </c>
      <c r="W148" s="7" t="s">
        <v>38</v>
      </c>
      <c r="X148" s="7" t="s">
        <v>58</v>
      </c>
      <c r="Y148" s="10" t="s">
        <v>779</v>
      </c>
    </row>
    <row r="149" spans="1:25" ht="12.75">
      <c r="A149" s="11">
        <v>2604908</v>
      </c>
      <c r="B149" s="12" t="s">
        <v>780</v>
      </c>
      <c r="C149" s="12" t="s">
        <v>26</v>
      </c>
      <c r="D149" s="12">
        <v>170002114410</v>
      </c>
      <c r="E149" s="12">
        <v>11</v>
      </c>
      <c r="F149" s="12" t="s">
        <v>781</v>
      </c>
      <c r="G149" s="12"/>
      <c r="H149" s="12"/>
      <c r="I149" s="12" t="s">
        <v>781</v>
      </c>
      <c r="J149" s="12" t="s">
        <v>42</v>
      </c>
      <c r="K149" s="12" t="s">
        <v>43</v>
      </c>
      <c r="L149" s="12" t="s">
        <v>44</v>
      </c>
      <c r="M149" s="13">
        <v>5183</v>
      </c>
      <c r="N149" s="14">
        <v>0.43819999999999998</v>
      </c>
      <c r="O149" s="12" t="s">
        <v>782</v>
      </c>
      <c r="P149" s="12" t="s">
        <v>32</v>
      </c>
      <c r="Q149" s="12">
        <v>11</v>
      </c>
      <c r="R149" s="12" t="s">
        <v>168</v>
      </c>
      <c r="S149" s="12" t="s">
        <v>169</v>
      </c>
      <c r="T149" s="12" t="s">
        <v>783</v>
      </c>
      <c r="U149" s="12" t="s">
        <v>784</v>
      </c>
      <c r="V149" s="12" t="s">
        <v>160</v>
      </c>
      <c r="W149" s="12" t="s">
        <v>50</v>
      </c>
      <c r="X149" s="12" t="s">
        <v>58</v>
      </c>
      <c r="Y149" s="15" t="s">
        <v>95</v>
      </c>
    </row>
    <row r="150" spans="1:25" ht="12.75">
      <c r="A150" s="6">
        <v>2605004</v>
      </c>
      <c r="B150" s="7" t="s">
        <v>785</v>
      </c>
      <c r="C150" s="7" t="s">
        <v>26</v>
      </c>
      <c r="D150" s="7">
        <v>170002039386</v>
      </c>
      <c r="E150" s="7">
        <v>44</v>
      </c>
      <c r="F150" s="7" t="s">
        <v>786</v>
      </c>
      <c r="G150" s="7"/>
      <c r="H150" s="7"/>
      <c r="I150" s="7" t="s">
        <v>786</v>
      </c>
      <c r="J150" s="7" t="s">
        <v>82</v>
      </c>
      <c r="K150" s="7" t="s">
        <v>29</v>
      </c>
      <c r="L150" s="7" t="s">
        <v>30</v>
      </c>
      <c r="M150" s="8">
        <v>9185</v>
      </c>
      <c r="N150" s="9">
        <v>0.61450000000000005</v>
      </c>
      <c r="O150" s="7" t="s">
        <v>787</v>
      </c>
      <c r="P150" s="7" t="s">
        <v>32</v>
      </c>
      <c r="Q150" s="7">
        <v>44</v>
      </c>
      <c r="R150" s="7" t="s">
        <v>314</v>
      </c>
      <c r="S150" s="7" t="s">
        <v>315</v>
      </c>
      <c r="T150" s="7" t="s">
        <v>788</v>
      </c>
      <c r="U150" s="7" t="s">
        <v>789</v>
      </c>
      <c r="V150" s="7" t="s">
        <v>37</v>
      </c>
      <c r="W150" s="7" t="s">
        <v>38</v>
      </c>
      <c r="X150" s="7" t="s">
        <v>39</v>
      </c>
      <c r="Y150" s="10" t="s">
        <v>172</v>
      </c>
    </row>
    <row r="151" spans="1:25" ht="12.75">
      <c r="A151" s="11">
        <v>2605004</v>
      </c>
      <c r="B151" s="12" t="s">
        <v>785</v>
      </c>
      <c r="C151" s="12" t="s">
        <v>26</v>
      </c>
      <c r="D151" s="12">
        <v>170002283980</v>
      </c>
      <c r="E151" s="12">
        <v>77</v>
      </c>
      <c r="F151" s="12" t="s">
        <v>790</v>
      </c>
      <c r="G151" s="12"/>
      <c r="H151" s="12"/>
      <c r="I151" s="12" t="s">
        <v>790</v>
      </c>
      <c r="J151" s="12" t="s">
        <v>42</v>
      </c>
      <c r="K151" s="12" t="s">
        <v>43</v>
      </c>
      <c r="L151" s="12" t="s">
        <v>44</v>
      </c>
      <c r="M151" s="13">
        <v>206</v>
      </c>
      <c r="N151" s="14">
        <v>1.38E-2</v>
      </c>
      <c r="O151" s="12" t="s">
        <v>791</v>
      </c>
      <c r="P151" s="12" t="s">
        <v>32</v>
      </c>
      <c r="Q151" s="12">
        <v>77</v>
      </c>
      <c r="R151" s="12" t="s">
        <v>287</v>
      </c>
      <c r="S151" s="12" t="s">
        <v>287</v>
      </c>
      <c r="T151" s="12" t="s">
        <v>792</v>
      </c>
      <c r="U151" s="12" t="s">
        <v>793</v>
      </c>
      <c r="V151" s="12" t="s">
        <v>37</v>
      </c>
      <c r="W151" s="12" t="s">
        <v>50</v>
      </c>
      <c r="X151" s="12" t="s">
        <v>58</v>
      </c>
      <c r="Y151" s="15" t="s">
        <v>134</v>
      </c>
    </row>
    <row r="152" spans="1:25" ht="12.75">
      <c r="A152" s="6">
        <v>2605004</v>
      </c>
      <c r="B152" s="7" t="s">
        <v>785</v>
      </c>
      <c r="C152" s="7" t="s">
        <v>26</v>
      </c>
      <c r="D152" s="7">
        <v>170002105166</v>
      </c>
      <c r="E152" s="7">
        <v>40</v>
      </c>
      <c r="F152" s="7" t="s">
        <v>794</v>
      </c>
      <c r="G152" s="7"/>
      <c r="H152" s="7"/>
      <c r="I152" s="7" t="s">
        <v>794</v>
      </c>
      <c r="J152" s="7" t="s">
        <v>42</v>
      </c>
      <c r="K152" s="7" t="s">
        <v>43</v>
      </c>
      <c r="L152" s="7" t="s">
        <v>44</v>
      </c>
      <c r="M152" s="8">
        <v>5555</v>
      </c>
      <c r="N152" s="9">
        <v>0.37169999999999997</v>
      </c>
      <c r="O152" s="7" t="s">
        <v>795</v>
      </c>
      <c r="P152" s="7" t="s">
        <v>32</v>
      </c>
      <c r="Q152" s="7">
        <v>40</v>
      </c>
      <c r="R152" s="7" t="s">
        <v>33</v>
      </c>
      <c r="S152" s="7" t="s">
        <v>34</v>
      </c>
      <c r="T152" s="7" t="s">
        <v>796</v>
      </c>
      <c r="U152" s="7" t="s">
        <v>797</v>
      </c>
      <c r="V152" s="7" t="s">
        <v>37</v>
      </c>
      <c r="W152" s="7" t="s">
        <v>635</v>
      </c>
      <c r="X152" s="7" t="s">
        <v>58</v>
      </c>
      <c r="Y152" s="10" t="s">
        <v>90</v>
      </c>
    </row>
    <row r="153" spans="1:25" ht="12.75">
      <c r="A153" s="11">
        <v>2605103</v>
      </c>
      <c r="B153" s="12" t="s">
        <v>798</v>
      </c>
      <c r="C153" s="12" t="s">
        <v>26</v>
      </c>
      <c r="D153" s="12">
        <v>170002282263</v>
      </c>
      <c r="E153" s="12">
        <v>40</v>
      </c>
      <c r="F153" s="12" t="s">
        <v>799</v>
      </c>
      <c r="G153" s="12"/>
      <c r="H153" s="12"/>
      <c r="I153" s="12" t="s">
        <v>800</v>
      </c>
      <c r="J153" s="12" t="s">
        <v>42</v>
      </c>
      <c r="K153" s="12" t="s">
        <v>43</v>
      </c>
      <c r="L153" s="12" t="s">
        <v>44</v>
      </c>
      <c r="M153" s="13">
        <v>9095</v>
      </c>
      <c r="N153" s="14">
        <v>0.40360000000000001</v>
      </c>
      <c r="O153" s="12" t="s">
        <v>801</v>
      </c>
      <c r="P153" s="12" t="s">
        <v>32</v>
      </c>
      <c r="Q153" s="12">
        <v>40</v>
      </c>
      <c r="R153" s="12" t="s">
        <v>33</v>
      </c>
      <c r="S153" s="12" t="s">
        <v>34</v>
      </c>
      <c r="T153" s="12" t="s">
        <v>802</v>
      </c>
      <c r="U153" s="12" t="s">
        <v>803</v>
      </c>
      <c r="V153" s="12" t="s">
        <v>160</v>
      </c>
      <c r="W153" s="12" t="s">
        <v>38</v>
      </c>
      <c r="X153" s="12" t="s">
        <v>39</v>
      </c>
      <c r="Y153" s="15" t="s">
        <v>401</v>
      </c>
    </row>
    <row r="154" spans="1:25" ht="12.75">
      <c r="A154" s="6">
        <v>2605103</v>
      </c>
      <c r="B154" s="7" t="s">
        <v>798</v>
      </c>
      <c r="C154" s="7" t="s">
        <v>26</v>
      </c>
      <c r="D154" s="7">
        <v>170002031392</v>
      </c>
      <c r="E154" s="7">
        <v>55</v>
      </c>
      <c r="F154" s="7" t="s">
        <v>804</v>
      </c>
      <c r="G154" s="7"/>
      <c r="H154" s="7"/>
      <c r="I154" s="7" t="s">
        <v>804</v>
      </c>
      <c r="J154" s="7" t="s">
        <v>82</v>
      </c>
      <c r="K154" s="7" t="s">
        <v>29</v>
      </c>
      <c r="L154" s="7" t="s">
        <v>30</v>
      </c>
      <c r="M154" s="8">
        <v>13438</v>
      </c>
      <c r="N154" s="9">
        <v>0.59640000000000004</v>
      </c>
      <c r="O154" s="7" t="s">
        <v>805</v>
      </c>
      <c r="P154" s="7" t="s">
        <v>32</v>
      </c>
      <c r="Q154" s="7">
        <v>55</v>
      </c>
      <c r="R154" s="7" t="s">
        <v>74</v>
      </c>
      <c r="S154" s="7" t="s">
        <v>75</v>
      </c>
      <c r="T154" s="7" t="s">
        <v>806</v>
      </c>
      <c r="U154" s="7" t="s">
        <v>807</v>
      </c>
      <c r="V154" s="7" t="s">
        <v>37</v>
      </c>
      <c r="W154" s="7" t="s">
        <v>50</v>
      </c>
      <c r="X154" s="7" t="s">
        <v>89</v>
      </c>
      <c r="Y154" s="10" t="s">
        <v>134</v>
      </c>
    </row>
    <row r="155" spans="1:25" ht="12.75">
      <c r="A155" s="11">
        <v>2607703</v>
      </c>
      <c r="B155" s="12" t="s">
        <v>808</v>
      </c>
      <c r="C155" s="12" t="s">
        <v>26</v>
      </c>
      <c r="D155" s="12">
        <v>170002129682</v>
      </c>
      <c r="E155" s="12">
        <v>40</v>
      </c>
      <c r="F155" s="12" t="s">
        <v>809</v>
      </c>
      <c r="G155" s="12"/>
      <c r="H155" s="12"/>
      <c r="I155" s="12" t="s">
        <v>809</v>
      </c>
      <c r="J155" s="12" t="s">
        <v>82</v>
      </c>
      <c r="K155" s="12" t="s">
        <v>29</v>
      </c>
      <c r="L155" s="12" t="s">
        <v>30</v>
      </c>
      <c r="M155" s="13">
        <v>6111</v>
      </c>
      <c r="N155" s="14">
        <v>0.62119999999999997</v>
      </c>
      <c r="O155" s="12" t="s">
        <v>810</v>
      </c>
      <c r="P155" s="12" t="s">
        <v>32</v>
      </c>
      <c r="Q155" s="12">
        <v>40</v>
      </c>
      <c r="R155" s="12" t="s">
        <v>33</v>
      </c>
      <c r="S155" s="12" t="s">
        <v>34</v>
      </c>
      <c r="T155" s="12" t="s">
        <v>811</v>
      </c>
      <c r="U155" s="12" t="s">
        <v>812</v>
      </c>
      <c r="V155" s="12" t="s">
        <v>160</v>
      </c>
      <c r="W155" s="12" t="s">
        <v>38</v>
      </c>
      <c r="X155" s="12" t="s">
        <v>58</v>
      </c>
      <c r="Y155" s="15" t="s">
        <v>134</v>
      </c>
    </row>
    <row r="156" spans="1:25" ht="12.75">
      <c r="A156" s="6">
        <v>2605202</v>
      </c>
      <c r="B156" s="7" t="s">
        <v>813</v>
      </c>
      <c r="C156" s="7" t="s">
        <v>26</v>
      </c>
      <c r="D156" s="7">
        <v>170002187750</v>
      </c>
      <c r="E156" s="7">
        <v>45</v>
      </c>
      <c r="F156" s="7" t="s">
        <v>814</v>
      </c>
      <c r="G156" s="7"/>
      <c r="H156" s="7"/>
      <c r="I156" s="7" t="s">
        <v>814</v>
      </c>
      <c r="J156" s="7" t="s">
        <v>42</v>
      </c>
      <c r="K156" s="7" t="s">
        <v>43</v>
      </c>
      <c r="L156" s="7" t="s">
        <v>44</v>
      </c>
      <c r="M156" s="8">
        <v>19243</v>
      </c>
      <c r="N156" s="9">
        <v>0.4985</v>
      </c>
      <c r="O156" s="7" t="s">
        <v>815</v>
      </c>
      <c r="P156" s="7" t="s">
        <v>32</v>
      </c>
      <c r="Q156" s="7">
        <v>45</v>
      </c>
      <c r="R156" s="7" t="s">
        <v>61</v>
      </c>
      <c r="S156" s="7" t="s">
        <v>62</v>
      </c>
      <c r="T156" s="7" t="s">
        <v>816</v>
      </c>
      <c r="U156" s="7" t="s">
        <v>817</v>
      </c>
      <c r="V156" s="7" t="s">
        <v>37</v>
      </c>
      <c r="W156" s="7" t="s">
        <v>38</v>
      </c>
      <c r="X156" s="7" t="s">
        <v>39</v>
      </c>
      <c r="Y156" s="10" t="s">
        <v>818</v>
      </c>
    </row>
    <row r="157" spans="1:25" ht="12.75">
      <c r="A157" s="11">
        <v>2608008</v>
      </c>
      <c r="B157" s="12" t="s">
        <v>819</v>
      </c>
      <c r="C157" s="12" t="s">
        <v>26</v>
      </c>
      <c r="D157" s="12">
        <v>170002259555</v>
      </c>
      <c r="E157" s="12">
        <v>11</v>
      </c>
      <c r="F157" s="12" t="s">
        <v>820</v>
      </c>
      <c r="G157" s="12"/>
      <c r="H157" s="12"/>
      <c r="I157" s="12" t="s">
        <v>821</v>
      </c>
      <c r="J157" s="12" t="s">
        <v>28</v>
      </c>
      <c r="K157" s="12" t="s">
        <v>29</v>
      </c>
      <c r="L157" s="12" t="s">
        <v>30</v>
      </c>
      <c r="M157" s="13">
        <v>7322</v>
      </c>
      <c r="N157" s="14">
        <v>0.60499999999999998</v>
      </c>
      <c r="O157" s="12" t="s">
        <v>822</v>
      </c>
      <c r="P157" s="12" t="s">
        <v>32</v>
      </c>
      <c r="Q157" s="12">
        <v>11</v>
      </c>
      <c r="R157" s="12" t="s">
        <v>168</v>
      </c>
      <c r="S157" s="12" t="s">
        <v>169</v>
      </c>
      <c r="T157" s="12" t="s">
        <v>823</v>
      </c>
      <c r="U157" s="12" t="s">
        <v>824</v>
      </c>
      <c r="V157" s="12" t="s">
        <v>160</v>
      </c>
      <c r="W157" s="12" t="s">
        <v>38</v>
      </c>
      <c r="X157" s="12" t="s">
        <v>58</v>
      </c>
      <c r="Y157" s="15" t="s">
        <v>26</v>
      </c>
    </row>
    <row r="158" spans="1:25" ht="12.75">
      <c r="A158" s="6">
        <v>2605301</v>
      </c>
      <c r="B158" s="7" t="s">
        <v>825</v>
      </c>
      <c r="C158" s="7" t="s">
        <v>26</v>
      </c>
      <c r="D158" s="7">
        <v>170002335181</v>
      </c>
      <c r="E158" s="7">
        <v>40</v>
      </c>
      <c r="F158" s="7" t="s">
        <v>826</v>
      </c>
      <c r="G158" s="7"/>
      <c r="H158" s="7"/>
      <c r="I158" s="7" t="s">
        <v>827</v>
      </c>
      <c r="J158" s="7" t="s">
        <v>42</v>
      </c>
      <c r="K158" s="7" t="s">
        <v>43</v>
      </c>
      <c r="L158" s="7" t="s">
        <v>44</v>
      </c>
      <c r="M158" s="8">
        <v>11152</v>
      </c>
      <c r="N158" s="9">
        <v>0.48820000000000002</v>
      </c>
      <c r="O158" s="7" t="s">
        <v>828</v>
      </c>
      <c r="P158" s="7" t="s">
        <v>32</v>
      </c>
      <c r="Q158" s="7">
        <v>40</v>
      </c>
      <c r="R158" s="7" t="s">
        <v>33</v>
      </c>
      <c r="S158" s="7" t="s">
        <v>34</v>
      </c>
      <c r="T158" s="7" t="s">
        <v>829</v>
      </c>
      <c r="U158" s="7" t="s">
        <v>830</v>
      </c>
      <c r="V158" s="7" t="s">
        <v>37</v>
      </c>
      <c r="W158" s="7" t="s">
        <v>50</v>
      </c>
      <c r="X158" s="7" t="s">
        <v>39</v>
      </c>
      <c r="Y158" s="10" t="s">
        <v>90</v>
      </c>
    </row>
    <row r="159" spans="1:25" ht="12.75">
      <c r="A159" s="11">
        <v>2605301</v>
      </c>
      <c r="B159" s="12" t="s">
        <v>825</v>
      </c>
      <c r="C159" s="12" t="s">
        <v>26</v>
      </c>
      <c r="D159" s="12">
        <v>170002135219</v>
      </c>
      <c r="E159" s="12">
        <v>45</v>
      </c>
      <c r="F159" s="12" t="s">
        <v>831</v>
      </c>
      <c r="G159" s="17" t="s">
        <v>832</v>
      </c>
      <c r="H159" s="12"/>
      <c r="I159" s="12" t="s">
        <v>833</v>
      </c>
      <c r="J159" s="12" t="s">
        <v>82</v>
      </c>
      <c r="K159" s="12" t="s">
        <v>29</v>
      </c>
      <c r="L159" s="12" t="s">
        <v>30</v>
      </c>
      <c r="M159" s="13">
        <v>11693</v>
      </c>
      <c r="N159" s="14">
        <v>0.51180000000000003</v>
      </c>
      <c r="O159" s="12" t="s">
        <v>834</v>
      </c>
      <c r="P159" s="12" t="s">
        <v>32</v>
      </c>
      <c r="Q159" s="12">
        <v>45</v>
      </c>
      <c r="R159" s="12" t="s">
        <v>61</v>
      </c>
      <c r="S159" s="12" t="s">
        <v>62</v>
      </c>
      <c r="T159" s="12" t="s">
        <v>835</v>
      </c>
      <c r="U159" s="12" t="s">
        <v>836</v>
      </c>
      <c r="V159" s="12" t="s">
        <v>37</v>
      </c>
      <c r="W159" s="12" t="s">
        <v>114</v>
      </c>
      <c r="X159" s="12" t="s">
        <v>39</v>
      </c>
      <c r="Y159" s="15" t="s">
        <v>165</v>
      </c>
    </row>
    <row r="160" spans="1:25" ht="12.75">
      <c r="A160" s="6">
        <v>2605400</v>
      </c>
      <c r="B160" s="7" t="s">
        <v>837</v>
      </c>
      <c r="C160" s="7" t="s">
        <v>26</v>
      </c>
      <c r="D160" s="7">
        <v>170001952819</v>
      </c>
      <c r="E160" s="7">
        <v>45</v>
      </c>
      <c r="F160" s="7" t="s">
        <v>838</v>
      </c>
      <c r="G160" s="7"/>
      <c r="H160" s="7"/>
      <c r="I160" s="7" t="s">
        <v>838</v>
      </c>
      <c r="J160" s="7" t="s">
        <v>42</v>
      </c>
      <c r="K160" s="7" t="s">
        <v>43</v>
      </c>
      <c r="L160" s="7" t="s">
        <v>44</v>
      </c>
      <c r="M160" s="8">
        <v>6079</v>
      </c>
      <c r="N160" s="9">
        <v>0.41810000000000003</v>
      </c>
      <c r="O160" s="7" t="s">
        <v>839</v>
      </c>
      <c r="P160" s="7" t="s">
        <v>32</v>
      </c>
      <c r="Q160" s="7">
        <v>45</v>
      </c>
      <c r="R160" s="7" t="s">
        <v>61</v>
      </c>
      <c r="S160" s="7" t="s">
        <v>62</v>
      </c>
      <c r="T160" s="7" t="s">
        <v>840</v>
      </c>
      <c r="U160" s="7" t="s">
        <v>841</v>
      </c>
      <c r="V160" s="7" t="s">
        <v>37</v>
      </c>
      <c r="W160" s="7" t="s">
        <v>114</v>
      </c>
      <c r="X160" s="7" t="s">
        <v>39</v>
      </c>
      <c r="Y160" s="10" t="s">
        <v>165</v>
      </c>
    </row>
    <row r="161" spans="1:25" ht="12.75">
      <c r="A161" s="11">
        <v>2605400</v>
      </c>
      <c r="B161" s="12" t="s">
        <v>837</v>
      </c>
      <c r="C161" s="12" t="s">
        <v>26</v>
      </c>
      <c r="D161" s="12">
        <v>170001881155</v>
      </c>
      <c r="E161" s="12">
        <v>55</v>
      </c>
      <c r="F161" s="12" t="s">
        <v>842</v>
      </c>
      <c r="G161" s="12"/>
      <c r="H161" s="12"/>
      <c r="I161" s="12" t="s">
        <v>842</v>
      </c>
      <c r="J161" s="12" t="s">
        <v>82</v>
      </c>
      <c r="K161" s="12" t="s">
        <v>29</v>
      </c>
      <c r="L161" s="12" t="s">
        <v>30</v>
      </c>
      <c r="M161" s="13">
        <v>8462</v>
      </c>
      <c r="N161" s="14">
        <v>0.58189999999999997</v>
      </c>
      <c r="O161" s="12" t="s">
        <v>843</v>
      </c>
      <c r="P161" s="12" t="s">
        <v>32</v>
      </c>
      <c r="Q161" s="12">
        <v>55</v>
      </c>
      <c r="R161" s="12" t="s">
        <v>74</v>
      </c>
      <c r="S161" s="12" t="s">
        <v>75</v>
      </c>
      <c r="T161" s="12" t="s">
        <v>844</v>
      </c>
      <c r="U161" s="12" t="s">
        <v>845</v>
      </c>
      <c r="V161" s="12" t="s">
        <v>37</v>
      </c>
      <c r="W161" s="12" t="s">
        <v>156</v>
      </c>
      <c r="X161" s="12" t="s">
        <v>39</v>
      </c>
      <c r="Y161" s="15" t="s">
        <v>257</v>
      </c>
    </row>
    <row r="162" spans="1:25" ht="12.75">
      <c r="A162" s="6">
        <v>2605509</v>
      </c>
      <c r="B162" s="7" t="s">
        <v>846</v>
      </c>
      <c r="C162" s="7" t="s">
        <v>26</v>
      </c>
      <c r="D162" s="7">
        <v>170002039877</v>
      </c>
      <c r="E162" s="7">
        <v>15</v>
      </c>
      <c r="F162" s="7" t="s">
        <v>847</v>
      </c>
      <c r="G162" s="7"/>
      <c r="H162" s="7"/>
      <c r="I162" s="7" t="s">
        <v>847</v>
      </c>
      <c r="J162" s="7" t="s">
        <v>42</v>
      </c>
      <c r="K162" s="7" t="s">
        <v>43</v>
      </c>
      <c r="L162" s="7" t="s">
        <v>44</v>
      </c>
      <c r="M162" s="8">
        <v>2614</v>
      </c>
      <c r="N162" s="9">
        <v>0.30659999999999998</v>
      </c>
      <c r="O162" s="7" t="s">
        <v>848</v>
      </c>
      <c r="P162" s="7" t="s">
        <v>32</v>
      </c>
      <c r="Q162" s="7">
        <v>15</v>
      </c>
      <c r="R162" s="7" t="s">
        <v>85</v>
      </c>
      <c r="S162" s="7" t="s">
        <v>86</v>
      </c>
      <c r="T162" s="7" t="s">
        <v>849</v>
      </c>
      <c r="U162" s="7" t="s">
        <v>850</v>
      </c>
      <c r="V162" s="7" t="s">
        <v>37</v>
      </c>
      <c r="W162" s="7" t="s">
        <v>38</v>
      </c>
      <c r="X162" s="7" t="s">
        <v>39</v>
      </c>
      <c r="Y162" s="10" t="s">
        <v>78</v>
      </c>
    </row>
    <row r="163" spans="1:25" ht="12.75">
      <c r="A163" s="11">
        <v>2605509</v>
      </c>
      <c r="B163" s="12" t="s">
        <v>846</v>
      </c>
      <c r="C163" s="12" t="s">
        <v>26</v>
      </c>
      <c r="D163" s="12">
        <v>170002105560</v>
      </c>
      <c r="E163" s="12">
        <v>10</v>
      </c>
      <c r="F163" s="12" t="s">
        <v>851</v>
      </c>
      <c r="G163" s="12"/>
      <c r="H163" s="12"/>
      <c r="I163" s="12" t="s">
        <v>851</v>
      </c>
      <c r="J163" s="12" t="s">
        <v>42</v>
      </c>
      <c r="K163" s="12" t="s">
        <v>43</v>
      </c>
      <c r="L163" s="12" t="s">
        <v>44</v>
      </c>
      <c r="M163" s="13">
        <v>283</v>
      </c>
      <c r="N163" s="14">
        <v>3.32E-2</v>
      </c>
      <c r="O163" s="12" t="s">
        <v>852</v>
      </c>
      <c r="P163" s="12" t="s">
        <v>46</v>
      </c>
      <c r="Q163" s="12">
        <v>10</v>
      </c>
      <c r="R163" s="12" t="s">
        <v>124</v>
      </c>
      <c r="S163" s="12" t="s">
        <v>124</v>
      </c>
      <c r="T163" s="12" t="s">
        <v>46</v>
      </c>
      <c r="U163" s="12" t="s">
        <v>853</v>
      </c>
      <c r="V163" s="12" t="s">
        <v>37</v>
      </c>
      <c r="W163" s="12" t="s">
        <v>38</v>
      </c>
      <c r="X163" s="12" t="s">
        <v>58</v>
      </c>
      <c r="Y163" s="15" t="s">
        <v>165</v>
      </c>
    </row>
    <row r="164" spans="1:25" ht="12.75">
      <c r="A164" s="6">
        <v>2605509</v>
      </c>
      <c r="B164" s="7" t="s">
        <v>846</v>
      </c>
      <c r="C164" s="7" t="s">
        <v>26</v>
      </c>
      <c r="D164" s="7">
        <v>170001943117</v>
      </c>
      <c r="E164" s="7">
        <v>40</v>
      </c>
      <c r="F164" s="7" t="s">
        <v>854</v>
      </c>
      <c r="G164" s="7"/>
      <c r="H164" s="7"/>
      <c r="I164" s="7" t="s">
        <v>854</v>
      </c>
      <c r="J164" s="7" t="s">
        <v>28</v>
      </c>
      <c r="K164" s="7" t="s">
        <v>29</v>
      </c>
      <c r="L164" s="7" t="s">
        <v>30</v>
      </c>
      <c r="M164" s="8">
        <v>5630</v>
      </c>
      <c r="N164" s="9">
        <v>0.6603</v>
      </c>
      <c r="O164" s="7" t="s">
        <v>855</v>
      </c>
      <c r="P164" s="7" t="s">
        <v>32</v>
      </c>
      <c r="Q164" s="7">
        <v>40</v>
      </c>
      <c r="R164" s="7" t="s">
        <v>33</v>
      </c>
      <c r="S164" s="7" t="s">
        <v>34</v>
      </c>
      <c r="T164" s="7" t="s">
        <v>856</v>
      </c>
      <c r="U164" s="7" t="s">
        <v>857</v>
      </c>
      <c r="V164" s="7" t="s">
        <v>37</v>
      </c>
      <c r="W164" s="7" t="s">
        <v>38</v>
      </c>
      <c r="X164" s="7" t="s">
        <v>39</v>
      </c>
      <c r="Y164" s="10" t="s">
        <v>26</v>
      </c>
    </row>
    <row r="165" spans="1:25" ht="12.75">
      <c r="A165" s="11">
        <v>2605608</v>
      </c>
      <c r="B165" s="12" t="s">
        <v>858</v>
      </c>
      <c r="C165" s="12" t="s">
        <v>26</v>
      </c>
      <c r="D165" s="12">
        <v>170002188597</v>
      </c>
      <c r="E165" s="12">
        <v>77</v>
      </c>
      <c r="F165" s="12" t="s">
        <v>859</v>
      </c>
      <c r="G165" s="12"/>
      <c r="H165" s="12"/>
      <c r="I165" s="12" t="s">
        <v>859</v>
      </c>
      <c r="J165" s="12" t="s">
        <v>42</v>
      </c>
      <c r="K165" s="12" t="s">
        <v>43</v>
      </c>
      <c r="L165" s="12" t="s">
        <v>44</v>
      </c>
      <c r="M165" s="13">
        <v>4046</v>
      </c>
      <c r="N165" s="14">
        <v>0.3352</v>
      </c>
      <c r="O165" s="12" t="s">
        <v>860</v>
      </c>
      <c r="P165" s="12" t="s">
        <v>32</v>
      </c>
      <c r="Q165" s="12">
        <v>77</v>
      </c>
      <c r="R165" s="12" t="s">
        <v>287</v>
      </c>
      <c r="S165" s="12" t="s">
        <v>287</v>
      </c>
      <c r="T165" s="12" t="s">
        <v>861</v>
      </c>
      <c r="U165" s="12" t="s">
        <v>862</v>
      </c>
      <c r="V165" s="12" t="s">
        <v>37</v>
      </c>
      <c r="W165" s="12" t="s">
        <v>50</v>
      </c>
      <c r="X165" s="12" t="s">
        <v>58</v>
      </c>
      <c r="Y165" s="15" t="s">
        <v>165</v>
      </c>
    </row>
    <row r="166" spans="1:25" ht="12.75">
      <c r="A166" s="6">
        <v>2605608</v>
      </c>
      <c r="B166" s="7" t="s">
        <v>858</v>
      </c>
      <c r="C166" s="7" t="s">
        <v>26</v>
      </c>
      <c r="D166" s="7">
        <v>170001983459</v>
      </c>
      <c r="E166" s="7">
        <v>40</v>
      </c>
      <c r="F166" s="7" t="s">
        <v>863</v>
      </c>
      <c r="G166" s="7"/>
      <c r="H166" s="7"/>
      <c r="I166" s="7" t="s">
        <v>863</v>
      </c>
      <c r="J166" s="7" t="s">
        <v>82</v>
      </c>
      <c r="K166" s="7" t="s">
        <v>29</v>
      </c>
      <c r="L166" s="7" t="s">
        <v>30</v>
      </c>
      <c r="M166" s="8">
        <v>8002</v>
      </c>
      <c r="N166" s="9">
        <v>0.66300000000000003</v>
      </c>
      <c r="O166" s="7" t="s">
        <v>864</v>
      </c>
      <c r="P166" s="7" t="s">
        <v>32</v>
      </c>
      <c r="Q166" s="7">
        <v>40</v>
      </c>
      <c r="R166" s="7" t="s">
        <v>33</v>
      </c>
      <c r="S166" s="7" t="s">
        <v>34</v>
      </c>
      <c r="T166" s="7" t="s">
        <v>865</v>
      </c>
      <c r="U166" s="7" t="s">
        <v>866</v>
      </c>
      <c r="V166" s="7" t="s">
        <v>37</v>
      </c>
      <c r="W166" s="7" t="s">
        <v>50</v>
      </c>
      <c r="X166" s="7" t="s">
        <v>58</v>
      </c>
      <c r="Y166" s="10" t="s">
        <v>334</v>
      </c>
    </row>
    <row r="167" spans="1:25" ht="12.75">
      <c r="A167" s="11">
        <v>2605608</v>
      </c>
      <c r="B167" s="12" t="s">
        <v>858</v>
      </c>
      <c r="C167" s="12" t="s">
        <v>26</v>
      </c>
      <c r="D167" s="12">
        <v>170002042780</v>
      </c>
      <c r="E167" s="12">
        <v>36</v>
      </c>
      <c r="F167" s="12" t="s">
        <v>867</v>
      </c>
      <c r="G167" s="12"/>
      <c r="H167" s="12"/>
      <c r="I167" s="12" t="s">
        <v>867</v>
      </c>
      <c r="J167" s="12" t="s">
        <v>42</v>
      </c>
      <c r="K167" s="12" t="s">
        <v>43</v>
      </c>
      <c r="L167" s="12" t="s">
        <v>44</v>
      </c>
      <c r="M167" s="13">
        <v>22</v>
      </c>
      <c r="N167" s="14">
        <v>1.8E-3</v>
      </c>
      <c r="O167" s="12" t="s">
        <v>868</v>
      </c>
      <c r="P167" s="12" t="s">
        <v>46</v>
      </c>
      <c r="Q167" s="12">
        <v>36</v>
      </c>
      <c r="R167" s="12" t="s">
        <v>195</v>
      </c>
      <c r="S167" s="12" t="s">
        <v>195</v>
      </c>
      <c r="T167" s="12" t="s">
        <v>46</v>
      </c>
      <c r="U167" s="12" t="s">
        <v>869</v>
      </c>
      <c r="V167" s="12" t="s">
        <v>37</v>
      </c>
      <c r="W167" s="12" t="s">
        <v>38</v>
      </c>
      <c r="X167" s="12" t="s">
        <v>39</v>
      </c>
      <c r="Y167" s="15" t="s">
        <v>127</v>
      </c>
    </row>
    <row r="168" spans="1:25" ht="12.75">
      <c r="A168" s="6">
        <v>2606804</v>
      </c>
      <c r="B168" s="7" t="s">
        <v>870</v>
      </c>
      <c r="C168" s="7" t="s">
        <v>26</v>
      </c>
      <c r="D168" s="7">
        <v>170002006197</v>
      </c>
      <c r="E168" s="7">
        <v>45</v>
      </c>
      <c r="F168" s="7" t="s">
        <v>871</v>
      </c>
      <c r="G168" s="7"/>
      <c r="H168" s="7"/>
      <c r="I168" s="7" t="s">
        <v>871</v>
      </c>
      <c r="J168" s="7" t="s">
        <v>28</v>
      </c>
      <c r="K168" s="7" t="s">
        <v>29</v>
      </c>
      <c r="L168" s="7" t="s">
        <v>30</v>
      </c>
      <c r="M168" s="8">
        <v>40820</v>
      </c>
      <c r="N168" s="9">
        <v>0.57979999999999998</v>
      </c>
      <c r="O168" s="7" t="s">
        <v>872</v>
      </c>
      <c r="P168" s="7" t="s">
        <v>32</v>
      </c>
      <c r="Q168" s="7">
        <v>45</v>
      </c>
      <c r="R168" s="7" t="s">
        <v>61</v>
      </c>
      <c r="S168" s="7" t="s">
        <v>62</v>
      </c>
      <c r="T168" s="7" t="s">
        <v>873</v>
      </c>
      <c r="U168" s="7" t="s">
        <v>874</v>
      </c>
      <c r="V168" s="7" t="s">
        <v>160</v>
      </c>
      <c r="W168" s="7" t="s">
        <v>38</v>
      </c>
      <c r="X168" s="7" t="s">
        <v>39</v>
      </c>
      <c r="Y168" s="10" t="s">
        <v>26</v>
      </c>
    </row>
    <row r="169" spans="1:25" ht="12.75">
      <c r="A169" s="11">
        <v>2605707</v>
      </c>
      <c r="B169" s="12" t="s">
        <v>875</v>
      </c>
      <c r="C169" s="12" t="s">
        <v>26</v>
      </c>
      <c r="D169" s="12">
        <v>170001915520</v>
      </c>
      <c r="E169" s="12">
        <v>20</v>
      </c>
      <c r="F169" s="12" t="s">
        <v>876</v>
      </c>
      <c r="G169" s="12"/>
      <c r="H169" s="12"/>
      <c r="I169" s="12" t="s">
        <v>876</v>
      </c>
      <c r="J169" s="12" t="s">
        <v>42</v>
      </c>
      <c r="K169" s="12" t="s">
        <v>43</v>
      </c>
      <c r="L169" s="12" t="s">
        <v>44</v>
      </c>
      <c r="M169" s="13">
        <v>9899</v>
      </c>
      <c r="N169" s="14">
        <v>0.49170000000000003</v>
      </c>
      <c r="O169" s="12" t="s">
        <v>877</v>
      </c>
      <c r="P169" s="12" t="s">
        <v>32</v>
      </c>
      <c r="Q169" s="12">
        <v>20</v>
      </c>
      <c r="R169" s="12" t="s">
        <v>98</v>
      </c>
      <c r="S169" s="12" t="s">
        <v>99</v>
      </c>
      <c r="T169" s="12" t="s">
        <v>878</v>
      </c>
      <c r="U169" s="12" t="s">
        <v>879</v>
      </c>
      <c r="V169" s="12" t="s">
        <v>37</v>
      </c>
      <c r="W169" s="12" t="s">
        <v>38</v>
      </c>
      <c r="X169" s="12" t="s">
        <v>39</v>
      </c>
      <c r="Y169" s="15" t="s">
        <v>65</v>
      </c>
    </row>
    <row r="170" spans="1:25" ht="12.75">
      <c r="A170" s="6">
        <v>2605806</v>
      </c>
      <c r="B170" s="7" t="s">
        <v>880</v>
      </c>
      <c r="C170" s="7" t="s">
        <v>26</v>
      </c>
      <c r="D170" s="7">
        <v>170002227032</v>
      </c>
      <c r="E170" s="7">
        <v>15</v>
      </c>
      <c r="F170" s="7" t="s">
        <v>881</v>
      </c>
      <c r="G170" s="7"/>
      <c r="H170" s="7"/>
      <c r="I170" s="7" t="s">
        <v>882</v>
      </c>
      <c r="J170" s="7" t="s">
        <v>42</v>
      </c>
      <c r="K170" s="7" t="s">
        <v>43</v>
      </c>
      <c r="L170" s="7" t="s">
        <v>44</v>
      </c>
      <c r="M170" s="8">
        <v>944</v>
      </c>
      <c r="N170" s="9">
        <v>8.2100000000000006E-2</v>
      </c>
      <c r="O170" s="7" t="s">
        <v>883</v>
      </c>
      <c r="P170" s="7" t="s">
        <v>32</v>
      </c>
      <c r="Q170" s="7">
        <v>15</v>
      </c>
      <c r="R170" s="7" t="s">
        <v>85</v>
      </c>
      <c r="S170" s="7" t="s">
        <v>86</v>
      </c>
      <c r="T170" s="7" t="s">
        <v>884</v>
      </c>
      <c r="U170" s="7" t="s">
        <v>885</v>
      </c>
      <c r="V170" s="7" t="s">
        <v>37</v>
      </c>
      <c r="W170" s="7" t="s">
        <v>38</v>
      </c>
      <c r="X170" s="7" t="s">
        <v>39</v>
      </c>
      <c r="Y170" s="10" t="s">
        <v>51</v>
      </c>
    </row>
    <row r="171" spans="1:25" ht="12.75">
      <c r="A171" s="11">
        <v>2605806</v>
      </c>
      <c r="B171" s="12" t="s">
        <v>880</v>
      </c>
      <c r="C171" s="12" t="s">
        <v>26</v>
      </c>
      <c r="D171" s="12">
        <v>170002149250</v>
      </c>
      <c r="E171" s="12">
        <v>40</v>
      </c>
      <c r="F171" s="12" t="s">
        <v>886</v>
      </c>
      <c r="G171" s="12"/>
      <c r="H171" s="12"/>
      <c r="I171" s="12" t="s">
        <v>887</v>
      </c>
      <c r="J171" s="12" t="s">
        <v>82</v>
      </c>
      <c r="K171" s="12" t="s">
        <v>29</v>
      </c>
      <c r="L171" s="12" t="s">
        <v>30</v>
      </c>
      <c r="M171" s="13">
        <v>5781</v>
      </c>
      <c r="N171" s="14">
        <v>0.503</v>
      </c>
      <c r="O171" s="12" t="s">
        <v>888</v>
      </c>
      <c r="P171" s="12" t="s">
        <v>32</v>
      </c>
      <c r="Q171" s="12">
        <v>40</v>
      </c>
      <c r="R171" s="12" t="s">
        <v>33</v>
      </c>
      <c r="S171" s="12" t="s">
        <v>34</v>
      </c>
      <c r="T171" s="12" t="s">
        <v>889</v>
      </c>
      <c r="U171" s="12" t="s">
        <v>890</v>
      </c>
      <c r="V171" s="12" t="s">
        <v>37</v>
      </c>
      <c r="W171" s="12" t="s">
        <v>50</v>
      </c>
      <c r="X171" s="12" t="s">
        <v>39</v>
      </c>
      <c r="Y171" s="15" t="s">
        <v>90</v>
      </c>
    </row>
    <row r="172" spans="1:25" ht="12.75">
      <c r="A172" s="6">
        <v>2605806</v>
      </c>
      <c r="B172" s="7" t="s">
        <v>880</v>
      </c>
      <c r="C172" s="7" t="s">
        <v>26</v>
      </c>
      <c r="D172" s="7">
        <v>170002108144</v>
      </c>
      <c r="E172" s="7">
        <v>20</v>
      </c>
      <c r="F172" s="7" t="s">
        <v>891</v>
      </c>
      <c r="G172" s="7"/>
      <c r="H172" s="7"/>
      <c r="I172" s="7" t="s">
        <v>891</v>
      </c>
      <c r="J172" s="7" t="s">
        <v>42</v>
      </c>
      <c r="K172" s="7" t="s">
        <v>43</v>
      </c>
      <c r="L172" s="7" t="s">
        <v>44</v>
      </c>
      <c r="M172" s="8">
        <v>4769</v>
      </c>
      <c r="N172" s="9">
        <v>0.41489999999999999</v>
      </c>
      <c r="O172" s="7" t="s">
        <v>892</v>
      </c>
      <c r="P172" s="7" t="s">
        <v>32</v>
      </c>
      <c r="Q172" s="7">
        <v>20</v>
      </c>
      <c r="R172" s="7" t="s">
        <v>98</v>
      </c>
      <c r="S172" s="7" t="s">
        <v>99</v>
      </c>
      <c r="T172" s="7" t="s">
        <v>893</v>
      </c>
      <c r="U172" s="7" t="s">
        <v>894</v>
      </c>
      <c r="V172" s="7" t="s">
        <v>160</v>
      </c>
      <c r="W172" s="7" t="s">
        <v>38</v>
      </c>
      <c r="X172" s="7" t="s">
        <v>39</v>
      </c>
      <c r="Y172" s="10" t="s">
        <v>606</v>
      </c>
    </row>
    <row r="173" spans="1:25" ht="12.75">
      <c r="A173" s="11">
        <v>2605905</v>
      </c>
      <c r="B173" s="12" t="s">
        <v>895</v>
      </c>
      <c r="C173" s="12" t="s">
        <v>26</v>
      </c>
      <c r="D173" s="12">
        <v>170001900209</v>
      </c>
      <c r="E173" s="12">
        <v>11</v>
      </c>
      <c r="F173" s="12" t="s">
        <v>896</v>
      </c>
      <c r="G173" s="12"/>
      <c r="H173" s="12"/>
      <c r="I173" s="12" t="s">
        <v>897</v>
      </c>
      <c r="J173" s="12" t="s">
        <v>42</v>
      </c>
      <c r="K173" s="12" t="s">
        <v>43</v>
      </c>
      <c r="L173" s="12" t="s">
        <v>44</v>
      </c>
      <c r="M173" s="13">
        <v>607</v>
      </c>
      <c r="N173" s="14">
        <v>5.0900000000000001E-2</v>
      </c>
      <c r="O173" s="12" t="s">
        <v>898</v>
      </c>
      <c r="P173" s="12" t="s">
        <v>32</v>
      </c>
      <c r="Q173" s="12">
        <v>11</v>
      </c>
      <c r="R173" s="12" t="s">
        <v>168</v>
      </c>
      <c r="S173" s="12" t="s">
        <v>169</v>
      </c>
      <c r="T173" s="12" t="s">
        <v>899</v>
      </c>
      <c r="U173" s="12" t="s">
        <v>900</v>
      </c>
      <c r="V173" s="12" t="s">
        <v>37</v>
      </c>
      <c r="W173" s="12" t="s">
        <v>156</v>
      </c>
      <c r="X173" s="12" t="s">
        <v>39</v>
      </c>
      <c r="Y173" s="15" t="s">
        <v>134</v>
      </c>
    </row>
    <row r="174" spans="1:25" ht="12.75">
      <c r="A174" s="6">
        <v>2605905</v>
      </c>
      <c r="B174" s="7" t="s">
        <v>895</v>
      </c>
      <c r="C174" s="7" t="s">
        <v>26</v>
      </c>
      <c r="D174" s="7">
        <v>170002244295</v>
      </c>
      <c r="E174" s="7">
        <v>70</v>
      </c>
      <c r="F174" s="7" t="s">
        <v>901</v>
      </c>
      <c r="G174" s="7"/>
      <c r="H174" s="7"/>
      <c r="I174" s="7" t="s">
        <v>901</v>
      </c>
      <c r="J174" s="7" t="s">
        <v>42</v>
      </c>
      <c r="K174" s="7" t="s">
        <v>43</v>
      </c>
      <c r="L174" s="7" t="s">
        <v>44</v>
      </c>
      <c r="M174" s="8">
        <v>690</v>
      </c>
      <c r="N174" s="9">
        <v>5.79E-2</v>
      </c>
      <c r="O174" s="7" t="s">
        <v>902</v>
      </c>
      <c r="P174" s="7" t="s">
        <v>32</v>
      </c>
      <c r="Q174" s="7">
        <v>70</v>
      </c>
      <c r="R174" s="7" t="s">
        <v>177</v>
      </c>
      <c r="S174" s="7" t="s">
        <v>177</v>
      </c>
      <c r="T174" s="7" t="s">
        <v>903</v>
      </c>
      <c r="U174" s="7" t="s">
        <v>904</v>
      </c>
      <c r="V174" s="7" t="s">
        <v>37</v>
      </c>
      <c r="W174" s="7" t="s">
        <v>38</v>
      </c>
      <c r="X174" s="7" t="s">
        <v>58</v>
      </c>
      <c r="Y174" s="10" t="s">
        <v>656</v>
      </c>
    </row>
    <row r="175" spans="1:25" ht="12.75">
      <c r="A175" s="11">
        <v>2605905</v>
      </c>
      <c r="B175" s="12" t="s">
        <v>895</v>
      </c>
      <c r="C175" s="12" t="s">
        <v>26</v>
      </c>
      <c r="D175" s="12">
        <v>170002350122</v>
      </c>
      <c r="E175" s="12">
        <v>40</v>
      </c>
      <c r="F175" s="12" t="s">
        <v>905</v>
      </c>
      <c r="G175" s="12"/>
      <c r="H175" s="12"/>
      <c r="I175" s="12" t="s">
        <v>906</v>
      </c>
      <c r="J175" s="12" t="s">
        <v>42</v>
      </c>
      <c r="K175" s="12" t="s">
        <v>43</v>
      </c>
      <c r="L175" s="12" t="s">
        <v>44</v>
      </c>
      <c r="M175" s="13">
        <v>926</v>
      </c>
      <c r="N175" s="14">
        <v>7.7600000000000002E-2</v>
      </c>
      <c r="O175" s="12" t="s">
        <v>907</v>
      </c>
      <c r="P175" s="12" t="s">
        <v>46</v>
      </c>
      <c r="Q175" s="12">
        <v>40</v>
      </c>
      <c r="R175" s="12" t="s">
        <v>33</v>
      </c>
      <c r="S175" s="12" t="s">
        <v>34</v>
      </c>
      <c r="T175" s="12" t="s">
        <v>46</v>
      </c>
      <c r="U175" s="12" t="s">
        <v>908</v>
      </c>
      <c r="V175" s="12" t="s">
        <v>37</v>
      </c>
      <c r="W175" s="12" t="s">
        <v>38</v>
      </c>
      <c r="X175" s="12" t="s">
        <v>39</v>
      </c>
      <c r="Y175" s="15" t="s">
        <v>375</v>
      </c>
    </row>
    <row r="176" spans="1:25" ht="12.75">
      <c r="A176" s="6">
        <v>2605905</v>
      </c>
      <c r="B176" s="7" t="s">
        <v>895</v>
      </c>
      <c r="C176" s="7" t="s">
        <v>26</v>
      </c>
      <c r="D176" s="7">
        <v>170002040294</v>
      </c>
      <c r="E176" s="7">
        <v>55</v>
      </c>
      <c r="F176" s="7" t="s">
        <v>909</v>
      </c>
      <c r="G176" s="7"/>
      <c r="H176" s="7"/>
      <c r="I176" s="7" t="s">
        <v>909</v>
      </c>
      <c r="J176" s="7" t="s">
        <v>28</v>
      </c>
      <c r="K176" s="7" t="s">
        <v>29</v>
      </c>
      <c r="L176" s="7" t="s">
        <v>30</v>
      </c>
      <c r="M176" s="8">
        <v>9704</v>
      </c>
      <c r="N176" s="9">
        <v>0.81359999999999999</v>
      </c>
      <c r="O176" s="7" t="s">
        <v>910</v>
      </c>
      <c r="P176" s="7" t="s">
        <v>32</v>
      </c>
      <c r="Q176" s="7">
        <v>55</v>
      </c>
      <c r="R176" s="7" t="s">
        <v>74</v>
      </c>
      <c r="S176" s="7" t="s">
        <v>75</v>
      </c>
      <c r="T176" s="7" t="s">
        <v>911</v>
      </c>
      <c r="U176" s="7" t="s">
        <v>912</v>
      </c>
      <c r="V176" s="7" t="s">
        <v>37</v>
      </c>
      <c r="W176" s="7" t="s">
        <v>38</v>
      </c>
      <c r="X176" s="7" t="s">
        <v>39</v>
      </c>
      <c r="Y176" s="10" t="s">
        <v>26</v>
      </c>
    </row>
    <row r="177" spans="1:25" ht="12.75">
      <c r="A177" s="11">
        <v>2606002</v>
      </c>
      <c r="B177" s="12" t="s">
        <v>913</v>
      </c>
      <c r="C177" s="12" t="s">
        <v>26</v>
      </c>
      <c r="D177" s="12">
        <v>170002282020</v>
      </c>
      <c r="E177" s="12">
        <v>22</v>
      </c>
      <c r="F177" s="12" t="s">
        <v>914</v>
      </c>
      <c r="G177" s="12"/>
      <c r="H177" s="12"/>
      <c r="I177" s="12" t="s">
        <v>914</v>
      </c>
      <c r="J177" s="12" t="s">
        <v>42</v>
      </c>
      <c r="K177" s="12" t="s">
        <v>43</v>
      </c>
      <c r="L177" s="12" t="s">
        <v>44</v>
      </c>
      <c r="M177" s="13">
        <v>4046</v>
      </c>
      <c r="N177" s="14">
        <v>5.79E-2</v>
      </c>
      <c r="O177" s="12" t="s">
        <v>915</v>
      </c>
      <c r="P177" s="12" t="s">
        <v>32</v>
      </c>
      <c r="Q177" s="12">
        <v>22</v>
      </c>
      <c r="R177" s="12" t="s">
        <v>321</v>
      </c>
      <c r="S177" s="12" t="s">
        <v>322</v>
      </c>
      <c r="T177" s="12" t="s">
        <v>916</v>
      </c>
      <c r="U177" s="12" t="s">
        <v>917</v>
      </c>
      <c r="V177" s="12" t="s">
        <v>37</v>
      </c>
      <c r="W177" s="12" t="s">
        <v>38</v>
      </c>
      <c r="X177" s="12" t="s">
        <v>39</v>
      </c>
      <c r="Y177" s="15" t="s">
        <v>165</v>
      </c>
    </row>
    <row r="178" spans="1:25" ht="12.75">
      <c r="A178" s="6">
        <v>2606002</v>
      </c>
      <c r="B178" s="7" t="s">
        <v>913</v>
      </c>
      <c r="C178" s="7" t="s">
        <v>26</v>
      </c>
      <c r="D178" s="7">
        <v>170002068186</v>
      </c>
      <c r="E178" s="7">
        <v>45</v>
      </c>
      <c r="F178" s="7" t="s">
        <v>918</v>
      </c>
      <c r="G178" s="7"/>
      <c r="H178" s="7"/>
      <c r="I178" s="7" t="s">
        <v>919</v>
      </c>
      <c r="J178" s="7" t="s">
        <v>42</v>
      </c>
      <c r="K178" s="7" t="s">
        <v>43</v>
      </c>
      <c r="L178" s="7" t="s">
        <v>44</v>
      </c>
      <c r="M178" s="8">
        <v>15944</v>
      </c>
      <c r="N178" s="9">
        <v>0.2283</v>
      </c>
      <c r="O178" s="7" t="s">
        <v>920</v>
      </c>
      <c r="P178" s="7" t="s">
        <v>32</v>
      </c>
      <c r="Q178" s="7">
        <v>45</v>
      </c>
      <c r="R178" s="7" t="s">
        <v>61</v>
      </c>
      <c r="S178" s="7" t="s">
        <v>62</v>
      </c>
      <c r="T178" s="7" t="s">
        <v>921</v>
      </c>
      <c r="U178" s="7" t="s">
        <v>922</v>
      </c>
      <c r="V178" s="7" t="s">
        <v>37</v>
      </c>
      <c r="W178" s="7" t="s">
        <v>50</v>
      </c>
      <c r="X178" s="7" t="s">
        <v>39</v>
      </c>
      <c r="Y178" s="10" t="s">
        <v>660</v>
      </c>
    </row>
    <row r="179" spans="1:25" ht="12.75">
      <c r="A179" s="11">
        <v>2606002</v>
      </c>
      <c r="B179" s="12" t="s">
        <v>913</v>
      </c>
      <c r="C179" s="12" t="s">
        <v>26</v>
      </c>
      <c r="D179" s="12">
        <v>170002195081</v>
      </c>
      <c r="E179" s="12">
        <v>40</v>
      </c>
      <c r="F179" s="12" t="s">
        <v>923</v>
      </c>
      <c r="G179" s="12"/>
      <c r="H179" s="12"/>
      <c r="I179" s="12" t="s">
        <v>923</v>
      </c>
      <c r="J179" s="12" t="s">
        <v>28</v>
      </c>
      <c r="K179" s="12" t="s">
        <v>29</v>
      </c>
      <c r="L179" s="12" t="s">
        <v>30</v>
      </c>
      <c r="M179" s="13">
        <v>49838</v>
      </c>
      <c r="N179" s="14">
        <v>0.7137</v>
      </c>
      <c r="O179" s="12" t="s">
        <v>924</v>
      </c>
      <c r="P179" s="12" t="s">
        <v>32</v>
      </c>
      <c r="Q179" s="12">
        <v>40</v>
      </c>
      <c r="R179" s="12" t="s">
        <v>33</v>
      </c>
      <c r="S179" s="12" t="s">
        <v>34</v>
      </c>
      <c r="T179" s="12" t="s">
        <v>925</v>
      </c>
      <c r="U179" s="12" t="s">
        <v>926</v>
      </c>
      <c r="V179" s="12" t="s">
        <v>37</v>
      </c>
      <c r="W179" s="12" t="s">
        <v>50</v>
      </c>
      <c r="X179" s="12" t="s">
        <v>39</v>
      </c>
      <c r="Y179" s="15" t="s">
        <v>26</v>
      </c>
    </row>
    <row r="180" spans="1:25" ht="12.75">
      <c r="A180" s="6">
        <v>2606101</v>
      </c>
      <c r="B180" s="7" t="s">
        <v>927</v>
      </c>
      <c r="C180" s="7" t="s">
        <v>26</v>
      </c>
      <c r="D180" s="7">
        <v>170002044256</v>
      </c>
      <c r="E180" s="7">
        <v>20</v>
      </c>
      <c r="F180" s="7" t="s">
        <v>928</v>
      </c>
      <c r="G180" s="16" t="s">
        <v>929</v>
      </c>
      <c r="H180" s="7"/>
      <c r="I180" s="7" t="s">
        <v>928</v>
      </c>
      <c r="J180" s="7" t="s">
        <v>82</v>
      </c>
      <c r="K180" s="7" t="s">
        <v>43</v>
      </c>
      <c r="L180" s="7" t="s">
        <v>30</v>
      </c>
      <c r="M180" s="8">
        <v>9869</v>
      </c>
      <c r="N180" s="9">
        <v>0.5393</v>
      </c>
      <c r="O180" s="7" t="s">
        <v>930</v>
      </c>
      <c r="P180" s="7" t="s">
        <v>32</v>
      </c>
      <c r="Q180" s="7">
        <v>20</v>
      </c>
      <c r="R180" s="7" t="s">
        <v>98</v>
      </c>
      <c r="S180" s="7" t="s">
        <v>99</v>
      </c>
      <c r="T180" s="7" t="s">
        <v>931</v>
      </c>
      <c r="U180" s="7" t="s">
        <v>932</v>
      </c>
      <c r="V180" s="7" t="s">
        <v>37</v>
      </c>
      <c r="W180" s="7" t="s">
        <v>38</v>
      </c>
      <c r="X180" s="7" t="s">
        <v>39</v>
      </c>
      <c r="Y180" s="10" t="s">
        <v>127</v>
      </c>
    </row>
    <row r="181" spans="1:25" ht="12.75">
      <c r="A181" s="11">
        <v>2606101</v>
      </c>
      <c r="B181" s="12" t="s">
        <v>927</v>
      </c>
      <c r="C181" s="12" t="s">
        <v>26</v>
      </c>
      <c r="D181" s="12">
        <v>170002043968</v>
      </c>
      <c r="E181" s="12">
        <v>40</v>
      </c>
      <c r="F181" s="12" t="s">
        <v>933</v>
      </c>
      <c r="G181" s="12"/>
      <c r="H181" s="12"/>
      <c r="I181" s="12" t="s">
        <v>933</v>
      </c>
      <c r="J181" s="12" t="s">
        <v>42</v>
      </c>
      <c r="K181" s="12" t="s">
        <v>29</v>
      </c>
      <c r="L181" s="12" t="s">
        <v>44</v>
      </c>
      <c r="M181" s="13">
        <v>8429</v>
      </c>
      <c r="N181" s="14">
        <v>0.4607</v>
      </c>
      <c r="O181" s="12" t="s">
        <v>934</v>
      </c>
      <c r="P181" s="12" t="s">
        <v>32</v>
      </c>
      <c r="Q181" s="12">
        <v>40</v>
      </c>
      <c r="R181" s="12" t="s">
        <v>33</v>
      </c>
      <c r="S181" s="12" t="s">
        <v>34</v>
      </c>
      <c r="T181" s="12" t="s">
        <v>935</v>
      </c>
      <c r="U181" s="12" t="s">
        <v>936</v>
      </c>
      <c r="V181" s="12" t="s">
        <v>37</v>
      </c>
      <c r="W181" s="12" t="s">
        <v>114</v>
      </c>
      <c r="X181" s="12" t="s">
        <v>58</v>
      </c>
      <c r="Y181" s="15" t="s">
        <v>165</v>
      </c>
    </row>
    <row r="182" spans="1:25" ht="12.75">
      <c r="A182" s="6">
        <v>2606200</v>
      </c>
      <c r="B182" s="7" t="s">
        <v>937</v>
      </c>
      <c r="C182" s="7" t="s">
        <v>26</v>
      </c>
      <c r="D182" s="7">
        <v>170002319174</v>
      </c>
      <c r="E182" s="7">
        <v>44</v>
      </c>
      <c r="F182" s="7" t="s">
        <v>938</v>
      </c>
      <c r="G182" s="7"/>
      <c r="H182" s="7"/>
      <c r="I182" s="7" t="s">
        <v>939</v>
      </c>
      <c r="J182" s="7" t="s">
        <v>28</v>
      </c>
      <c r="K182" s="7" t="s">
        <v>29</v>
      </c>
      <c r="L182" s="7" t="s">
        <v>30</v>
      </c>
      <c r="M182" s="8">
        <v>41605</v>
      </c>
      <c r="N182" s="9">
        <v>0.78159999999999996</v>
      </c>
      <c r="O182" s="7" t="s">
        <v>940</v>
      </c>
      <c r="P182" s="7" t="s">
        <v>32</v>
      </c>
      <c r="Q182" s="7">
        <v>44</v>
      </c>
      <c r="R182" s="7" t="s">
        <v>314</v>
      </c>
      <c r="S182" s="7" t="s">
        <v>315</v>
      </c>
      <c r="T182" s="7" t="s">
        <v>941</v>
      </c>
      <c r="U182" s="7" t="s">
        <v>942</v>
      </c>
      <c r="V182" s="7" t="s">
        <v>37</v>
      </c>
      <c r="W182" s="7" t="s">
        <v>38</v>
      </c>
      <c r="X182" s="7" t="s">
        <v>58</v>
      </c>
      <c r="Y182" s="10" t="s">
        <v>26</v>
      </c>
    </row>
    <row r="183" spans="1:25" ht="12.75">
      <c r="A183" s="11">
        <v>2606200</v>
      </c>
      <c r="B183" s="12" t="s">
        <v>937</v>
      </c>
      <c r="C183" s="12" t="s">
        <v>26</v>
      </c>
      <c r="D183" s="12">
        <v>170002317578</v>
      </c>
      <c r="E183" s="12">
        <v>12</v>
      </c>
      <c r="F183" s="12" t="s">
        <v>943</v>
      </c>
      <c r="G183" s="12"/>
      <c r="H183" s="12"/>
      <c r="I183" s="12" t="s">
        <v>943</v>
      </c>
      <c r="J183" s="12" t="s">
        <v>42</v>
      </c>
      <c r="K183" s="12" t="s">
        <v>43</v>
      </c>
      <c r="L183" s="12" t="s">
        <v>44</v>
      </c>
      <c r="M183" s="13">
        <v>237</v>
      </c>
      <c r="N183" s="14">
        <v>4.4999999999999997E-3</v>
      </c>
      <c r="O183" s="12" t="s">
        <v>944</v>
      </c>
      <c r="P183" s="12" t="s">
        <v>46</v>
      </c>
      <c r="Q183" s="12">
        <v>12</v>
      </c>
      <c r="R183" s="12" t="s">
        <v>138</v>
      </c>
      <c r="S183" s="12" t="s">
        <v>139</v>
      </c>
      <c r="T183" s="12" t="s">
        <v>46</v>
      </c>
      <c r="U183" s="12" t="s">
        <v>945</v>
      </c>
      <c r="V183" s="12" t="s">
        <v>37</v>
      </c>
      <c r="W183" s="12" t="s">
        <v>50</v>
      </c>
      <c r="X183" s="12" t="s">
        <v>58</v>
      </c>
      <c r="Y183" s="15" t="s">
        <v>90</v>
      </c>
    </row>
    <row r="184" spans="1:25" ht="12.75">
      <c r="A184" s="6">
        <v>2606200</v>
      </c>
      <c r="B184" s="7" t="s">
        <v>937</v>
      </c>
      <c r="C184" s="7" t="s">
        <v>26</v>
      </c>
      <c r="D184" s="7">
        <v>170002007588</v>
      </c>
      <c r="E184" s="7">
        <v>10</v>
      </c>
      <c r="F184" s="7" t="s">
        <v>946</v>
      </c>
      <c r="G184" s="7"/>
      <c r="H184" s="7"/>
      <c r="I184" s="7" t="s">
        <v>946</v>
      </c>
      <c r="J184" s="7" t="s">
        <v>42</v>
      </c>
      <c r="K184" s="7" t="s">
        <v>43</v>
      </c>
      <c r="L184" s="7" t="s">
        <v>44</v>
      </c>
      <c r="M184" s="8">
        <v>8092</v>
      </c>
      <c r="N184" s="9">
        <v>0.152</v>
      </c>
      <c r="O184" s="7" t="s">
        <v>947</v>
      </c>
      <c r="P184" s="7" t="s">
        <v>32</v>
      </c>
      <c r="Q184" s="7">
        <v>10</v>
      </c>
      <c r="R184" s="7" t="s">
        <v>124</v>
      </c>
      <c r="S184" s="7" t="s">
        <v>124</v>
      </c>
      <c r="T184" s="7" t="s">
        <v>948</v>
      </c>
      <c r="U184" s="7" t="s">
        <v>949</v>
      </c>
      <c r="V184" s="7" t="s">
        <v>37</v>
      </c>
      <c r="W184" s="7" t="s">
        <v>50</v>
      </c>
      <c r="X184" s="7" t="s">
        <v>39</v>
      </c>
      <c r="Y184" s="10" t="s">
        <v>90</v>
      </c>
    </row>
    <row r="185" spans="1:25" ht="12.75">
      <c r="A185" s="11">
        <v>2606200</v>
      </c>
      <c r="B185" s="12" t="s">
        <v>937</v>
      </c>
      <c r="C185" s="12" t="s">
        <v>26</v>
      </c>
      <c r="D185" s="12">
        <v>170002106094</v>
      </c>
      <c r="E185" s="12">
        <v>36</v>
      </c>
      <c r="F185" s="12" t="s">
        <v>950</v>
      </c>
      <c r="G185" s="12"/>
      <c r="H185" s="12"/>
      <c r="I185" s="12" t="s">
        <v>951</v>
      </c>
      <c r="J185" s="12" t="s">
        <v>42</v>
      </c>
      <c r="K185" s="12" t="s">
        <v>43</v>
      </c>
      <c r="L185" s="12" t="s">
        <v>44</v>
      </c>
      <c r="M185" s="13">
        <v>1209</v>
      </c>
      <c r="N185" s="14">
        <v>2.2700000000000001E-2</v>
      </c>
      <c r="O185" s="12" t="s">
        <v>952</v>
      </c>
      <c r="P185" s="12" t="s">
        <v>46</v>
      </c>
      <c r="Q185" s="12">
        <v>36</v>
      </c>
      <c r="R185" s="12" t="s">
        <v>195</v>
      </c>
      <c r="S185" s="12" t="s">
        <v>195</v>
      </c>
      <c r="T185" s="12" t="s">
        <v>46</v>
      </c>
      <c r="U185" s="12" t="s">
        <v>953</v>
      </c>
      <c r="V185" s="12" t="s">
        <v>37</v>
      </c>
      <c r="W185" s="12" t="s">
        <v>38</v>
      </c>
      <c r="X185" s="12" t="s">
        <v>39</v>
      </c>
      <c r="Y185" s="15" t="s">
        <v>954</v>
      </c>
    </row>
    <row r="186" spans="1:25" ht="12.75">
      <c r="A186" s="6">
        <v>2606200</v>
      </c>
      <c r="B186" s="7" t="s">
        <v>937</v>
      </c>
      <c r="C186" s="7" t="s">
        <v>26</v>
      </c>
      <c r="D186" s="7">
        <v>170001916577</v>
      </c>
      <c r="E186" s="7">
        <v>22</v>
      </c>
      <c r="F186" s="7" t="s">
        <v>955</v>
      </c>
      <c r="G186" s="7"/>
      <c r="H186" s="7"/>
      <c r="I186" s="7" t="s">
        <v>955</v>
      </c>
      <c r="J186" s="7" t="s">
        <v>42</v>
      </c>
      <c r="K186" s="7" t="s">
        <v>43</v>
      </c>
      <c r="L186" s="7" t="s">
        <v>44</v>
      </c>
      <c r="M186" s="8">
        <v>2090</v>
      </c>
      <c r="N186" s="9">
        <v>3.9300000000000002E-2</v>
      </c>
      <c r="O186" s="7" t="s">
        <v>956</v>
      </c>
      <c r="P186" s="7" t="s">
        <v>32</v>
      </c>
      <c r="Q186" s="7">
        <v>22</v>
      </c>
      <c r="R186" s="7" t="s">
        <v>321</v>
      </c>
      <c r="S186" s="7" t="s">
        <v>322</v>
      </c>
      <c r="T186" s="7" t="s">
        <v>957</v>
      </c>
      <c r="U186" s="7" t="s">
        <v>958</v>
      </c>
      <c r="V186" s="7" t="s">
        <v>37</v>
      </c>
      <c r="W186" s="7" t="s">
        <v>38</v>
      </c>
      <c r="X186" s="7" t="s">
        <v>58</v>
      </c>
      <c r="Y186" s="10" t="s">
        <v>90</v>
      </c>
    </row>
    <row r="187" spans="1:25" ht="12.75">
      <c r="A187" s="11">
        <v>2606309</v>
      </c>
      <c r="B187" s="12" t="s">
        <v>959</v>
      </c>
      <c r="C187" s="12" t="s">
        <v>26</v>
      </c>
      <c r="D187" s="12">
        <v>170002246187</v>
      </c>
      <c r="E187" s="12">
        <v>15</v>
      </c>
      <c r="F187" s="12" t="s">
        <v>960</v>
      </c>
      <c r="G187" s="12"/>
      <c r="H187" s="12"/>
      <c r="I187" s="12" t="s">
        <v>960</v>
      </c>
      <c r="J187" s="12" t="s">
        <v>42</v>
      </c>
      <c r="K187" s="12" t="s">
        <v>43</v>
      </c>
      <c r="L187" s="12" t="s">
        <v>44</v>
      </c>
      <c r="M187" s="13">
        <v>2398</v>
      </c>
      <c r="N187" s="14">
        <v>0.40039999999999998</v>
      </c>
      <c r="O187" s="12" t="s">
        <v>961</v>
      </c>
      <c r="P187" s="12" t="s">
        <v>32</v>
      </c>
      <c r="Q187" s="12">
        <v>15</v>
      </c>
      <c r="R187" s="12" t="s">
        <v>85</v>
      </c>
      <c r="S187" s="12" t="s">
        <v>86</v>
      </c>
      <c r="T187" s="12" t="s">
        <v>962</v>
      </c>
      <c r="U187" s="12" t="s">
        <v>963</v>
      </c>
      <c r="V187" s="12" t="s">
        <v>37</v>
      </c>
      <c r="W187" s="12" t="s">
        <v>38</v>
      </c>
      <c r="X187" s="12" t="s">
        <v>58</v>
      </c>
      <c r="Y187" s="15" t="s">
        <v>90</v>
      </c>
    </row>
    <row r="188" spans="1:25" ht="12.75">
      <c r="A188" s="6">
        <v>2606309</v>
      </c>
      <c r="B188" s="7" t="s">
        <v>959</v>
      </c>
      <c r="C188" s="7" t="s">
        <v>26</v>
      </c>
      <c r="D188" s="7">
        <v>170001951713</v>
      </c>
      <c r="E188" s="7">
        <v>13</v>
      </c>
      <c r="F188" s="7" t="s">
        <v>964</v>
      </c>
      <c r="G188" s="7"/>
      <c r="H188" s="7"/>
      <c r="I188" s="7" t="s">
        <v>964</v>
      </c>
      <c r="J188" s="7" t="s">
        <v>82</v>
      </c>
      <c r="K188" s="7" t="s">
        <v>29</v>
      </c>
      <c r="L188" s="7" t="s">
        <v>30</v>
      </c>
      <c r="M188" s="8">
        <v>3591</v>
      </c>
      <c r="N188" s="9">
        <v>0.59960000000000002</v>
      </c>
      <c r="O188" s="7" t="s">
        <v>965</v>
      </c>
      <c r="P188" s="7" t="s">
        <v>32</v>
      </c>
      <c r="Q188" s="7">
        <v>13</v>
      </c>
      <c r="R188" s="7" t="s">
        <v>130</v>
      </c>
      <c r="S188" s="7" t="s">
        <v>131</v>
      </c>
      <c r="T188" s="7" t="s">
        <v>966</v>
      </c>
      <c r="U188" s="7" t="s">
        <v>967</v>
      </c>
      <c r="V188" s="7" t="s">
        <v>37</v>
      </c>
      <c r="W188" s="7" t="s">
        <v>38</v>
      </c>
      <c r="X188" s="7" t="s">
        <v>58</v>
      </c>
      <c r="Y188" s="10" t="s">
        <v>165</v>
      </c>
    </row>
    <row r="189" spans="1:25" ht="12.75">
      <c r="A189" s="11">
        <v>2606408</v>
      </c>
      <c r="B189" s="12" t="s">
        <v>968</v>
      </c>
      <c r="C189" s="12" t="s">
        <v>26</v>
      </c>
      <c r="D189" s="12">
        <v>170002041894</v>
      </c>
      <c r="E189" s="12">
        <v>10</v>
      </c>
      <c r="F189" s="12" t="s">
        <v>969</v>
      </c>
      <c r="G189" s="12"/>
      <c r="H189" s="12"/>
      <c r="I189" s="12" t="s">
        <v>969</v>
      </c>
      <c r="J189" s="12" t="s">
        <v>42</v>
      </c>
      <c r="K189" s="12" t="s">
        <v>43</v>
      </c>
      <c r="L189" s="12" t="s">
        <v>44</v>
      </c>
      <c r="M189" s="13">
        <v>5898</v>
      </c>
      <c r="N189" s="14">
        <v>0.11310000000000001</v>
      </c>
      <c r="O189" s="12" t="s">
        <v>970</v>
      </c>
      <c r="P189" s="12" t="s">
        <v>32</v>
      </c>
      <c r="Q189" s="12">
        <v>10</v>
      </c>
      <c r="R189" s="12" t="s">
        <v>124</v>
      </c>
      <c r="S189" s="12" t="s">
        <v>124</v>
      </c>
      <c r="T189" s="12" t="s">
        <v>971</v>
      </c>
      <c r="U189" s="12" t="s">
        <v>972</v>
      </c>
      <c r="V189" s="12" t="s">
        <v>37</v>
      </c>
      <c r="W189" s="12" t="s">
        <v>50</v>
      </c>
      <c r="X189" s="12" t="s">
        <v>39</v>
      </c>
      <c r="Y189" s="15" t="s">
        <v>165</v>
      </c>
    </row>
    <row r="190" spans="1:25" ht="12.75">
      <c r="A190" s="6">
        <v>2606408</v>
      </c>
      <c r="B190" s="7" t="s">
        <v>968</v>
      </c>
      <c r="C190" s="7" t="s">
        <v>26</v>
      </c>
      <c r="D190" s="7">
        <v>170002045354</v>
      </c>
      <c r="E190" s="7">
        <v>45</v>
      </c>
      <c r="F190" s="7" t="s">
        <v>973</v>
      </c>
      <c r="G190" s="7"/>
      <c r="H190" s="7"/>
      <c r="I190" s="7" t="s">
        <v>973</v>
      </c>
      <c r="J190" s="7" t="s">
        <v>42</v>
      </c>
      <c r="K190" s="7" t="s">
        <v>43</v>
      </c>
      <c r="L190" s="7" t="s">
        <v>44</v>
      </c>
      <c r="M190" s="8">
        <v>11275</v>
      </c>
      <c r="N190" s="9">
        <v>0.21609999999999999</v>
      </c>
      <c r="O190" s="7" t="s">
        <v>974</v>
      </c>
      <c r="P190" s="7" t="s">
        <v>32</v>
      </c>
      <c r="Q190" s="7">
        <v>45</v>
      </c>
      <c r="R190" s="7" t="s">
        <v>61</v>
      </c>
      <c r="S190" s="7" t="s">
        <v>62</v>
      </c>
      <c r="T190" s="7" t="s">
        <v>975</v>
      </c>
      <c r="U190" s="7" t="s">
        <v>976</v>
      </c>
      <c r="V190" s="7" t="s">
        <v>37</v>
      </c>
      <c r="W190" s="7" t="s">
        <v>38</v>
      </c>
      <c r="X190" s="7" t="s">
        <v>39</v>
      </c>
      <c r="Y190" s="10" t="s">
        <v>977</v>
      </c>
    </row>
    <row r="191" spans="1:25" ht="12.75">
      <c r="A191" s="11">
        <v>2606408</v>
      </c>
      <c r="B191" s="12" t="s">
        <v>968</v>
      </c>
      <c r="C191" s="12" t="s">
        <v>26</v>
      </c>
      <c r="D191" s="12">
        <v>170001901003</v>
      </c>
      <c r="E191" s="12">
        <v>30</v>
      </c>
      <c r="F191" s="12" t="s">
        <v>978</v>
      </c>
      <c r="G191" s="12"/>
      <c r="H191" s="12"/>
      <c r="I191" s="12" t="s">
        <v>978</v>
      </c>
      <c r="J191" s="12" t="s">
        <v>42</v>
      </c>
      <c r="K191" s="12" t="s">
        <v>43</v>
      </c>
      <c r="L191" s="12" t="s">
        <v>44</v>
      </c>
      <c r="M191" s="13">
        <v>1932</v>
      </c>
      <c r="N191" s="14">
        <v>3.6999999999999998E-2</v>
      </c>
      <c r="O191" s="12" t="s">
        <v>979</v>
      </c>
      <c r="P191" s="12" t="s">
        <v>46</v>
      </c>
      <c r="Q191" s="12">
        <v>30</v>
      </c>
      <c r="R191" s="12" t="s">
        <v>980</v>
      </c>
      <c r="S191" s="12" t="s">
        <v>981</v>
      </c>
      <c r="T191" s="12" t="s">
        <v>46</v>
      </c>
      <c r="U191" s="12" t="s">
        <v>982</v>
      </c>
      <c r="V191" s="12" t="s">
        <v>37</v>
      </c>
      <c r="W191" s="12" t="s">
        <v>38</v>
      </c>
      <c r="X191" s="12" t="s">
        <v>39</v>
      </c>
      <c r="Y191" s="15" t="s">
        <v>983</v>
      </c>
    </row>
    <row r="192" spans="1:25" ht="12.75">
      <c r="A192" s="6">
        <v>2606408</v>
      </c>
      <c r="B192" s="7" t="s">
        <v>968</v>
      </c>
      <c r="C192" s="7" t="s">
        <v>26</v>
      </c>
      <c r="D192" s="7">
        <v>170002041606</v>
      </c>
      <c r="E192" s="7">
        <v>70</v>
      </c>
      <c r="F192" s="7" t="s">
        <v>984</v>
      </c>
      <c r="G192" s="7"/>
      <c r="H192" s="7"/>
      <c r="I192" s="7" t="s">
        <v>984</v>
      </c>
      <c r="J192" s="7" t="s">
        <v>28</v>
      </c>
      <c r="K192" s="7" t="s">
        <v>29</v>
      </c>
      <c r="L192" s="7" t="s">
        <v>30</v>
      </c>
      <c r="M192" s="8">
        <v>32888</v>
      </c>
      <c r="N192" s="9">
        <v>0.63039999999999996</v>
      </c>
      <c r="O192" s="7" t="s">
        <v>985</v>
      </c>
      <c r="P192" s="7" t="s">
        <v>32</v>
      </c>
      <c r="Q192" s="7">
        <v>70</v>
      </c>
      <c r="R192" s="7" t="s">
        <v>177</v>
      </c>
      <c r="S192" s="7" t="s">
        <v>177</v>
      </c>
      <c r="T192" s="7" t="s">
        <v>986</v>
      </c>
      <c r="U192" s="7" t="s">
        <v>987</v>
      </c>
      <c r="V192" s="7" t="s">
        <v>37</v>
      </c>
      <c r="W192" s="7" t="s">
        <v>38</v>
      </c>
      <c r="X192" s="7" t="s">
        <v>39</v>
      </c>
      <c r="Y192" s="10" t="s">
        <v>26</v>
      </c>
    </row>
    <row r="193" spans="1:25" ht="12.75">
      <c r="A193" s="11">
        <v>2606408</v>
      </c>
      <c r="B193" s="12" t="s">
        <v>968</v>
      </c>
      <c r="C193" s="12" t="s">
        <v>26</v>
      </c>
      <c r="D193" s="12">
        <v>170001924419</v>
      </c>
      <c r="E193" s="12">
        <v>50</v>
      </c>
      <c r="F193" s="12" t="s">
        <v>988</v>
      </c>
      <c r="G193" s="12"/>
      <c r="H193" s="12"/>
      <c r="I193" s="12" t="s">
        <v>988</v>
      </c>
      <c r="J193" s="12" t="s">
        <v>42</v>
      </c>
      <c r="K193" s="12" t="s">
        <v>43</v>
      </c>
      <c r="L193" s="12" t="s">
        <v>44</v>
      </c>
      <c r="M193" s="13">
        <v>178</v>
      </c>
      <c r="N193" s="14">
        <v>3.3999999999999998E-3</v>
      </c>
      <c r="O193" s="12" t="s">
        <v>989</v>
      </c>
      <c r="P193" s="12" t="s">
        <v>54</v>
      </c>
      <c r="Q193" s="12">
        <v>50</v>
      </c>
      <c r="R193" s="12" t="s">
        <v>153</v>
      </c>
      <c r="S193" s="12" t="s">
        <v>154</v>
      </c>
      <c r="T193" s="12" t="s">
        <v>54</v>
      </c>
      <c r="U193" s="12" t="s">
        <v>990</v>
      </c>
      <c r="V193" s="12" t="s">
        <v>160</v>
      </c>
      <c r="W193" s="12" t="s">
        <v>38</v>
      </c>
      <c r="X193" s="12" t="s">
        <v>89</v>
      </c>
      <c r="Y193" s="15" t="s">
        <v>95</v>
      </c>
    </row>
    <row r="194" spans="1:25" ht="12.75">
      <c r="A194" s="6">
        <v>2613909</v>
      </c>
      <c r="B194" s="7" t="s">
        <v>991</v>
      </c>
      <c r="C194" s="7" t="s">
        <v>26</v>
      </c>
      <c r="D194" s="7">
        <v>170002270921</v>
      </c>
      <c r="E194" s="7">
        <v>13</v>
      </c>
      <c r="F194" s="7" t="s">
        <v>992</v>
      </c>
      <c r="G194" s="7"/>
      <c r="H194" s="7"/>
      <c r="I194" s="7" t="s">
        <v>992</v>
      </c>
      <c r="J194" s="7" t="s">
        <v>28</v>
      </c>
      <c r="K194" s="7" t="s">
        <v>29</v>
      </c>
      <c r="L194" s="7" t="s">
        <v>30</v>
      </c>
      <c r="M194" s="8">
        <v>27952</v>
      </c>
      <c r="N194" s="9">
        <v>0.57679999999999998</v>
      </c>
      <c r="O194" s="7" t="s">
        <v>993</v>
      </c>
      <c r="P194" s="7" t="s">
        <v>32</v>
      </c>
      <c r="Q194" s="7">
        <v>13</v>
      </c>
      <c r="R194" s="7" t="s">
        <v>130</v>
      </c>
      <c r="S194" s="7" t="s">
        <v>131</v>
      </c>
      <c r="T194" s="7" t="s">
        <v>994</v>
      </c>
      <c r="U194" s="7" t="s">
        <v>995</v>
      </c>
      <c r="V194" s="7" t="s">
        <v>160</v>
      </c>
      <c r="W194" s="7" t="s">
        <v>38</v>
      </c>
      <c r="X194" s="7" t="s">
        <v>58</v>
      </c>
      <c r="Y194" s="10" t="s">
        <v>26</v>
      </c>
    </row>
    <row r="195" spans="1:25" ht="12.75">
      <c r="A195" s="11">
        <v>2606507</v>
      </c>
      <c r="B195" s="12" t="s">
        <v>996</v>
      </c>
      <c r="C195" s="12" t="s">
        <v>26</v>
      </c>
      <c r="D195" s="12">
        <v>170002315499</v>
      </c>
      <c r="E195" s="12">
        <v>12</v>
      </c>
      <c r="F195" s="12" t="s">
        <v>997</v>
      </c>
      <c r="G195" s="12"/>
      <c r="H195" s="12"/>
      <c r="I195" s="12" t="s">
        <v>997</v>
      </c>
      <c r="J195" s="12" t="s">
        <v>42</v>
      </c>
      <c r="K195" s="12" t="s">
        <v>43</v>
      </c>
      <c r="L195" s="12" t="s">
        <v>44</v>
      </c>
      <c r="M195" s="13">
        <v>60</v>
      </c>
      <c r="N195" s="14">
        <v>5.1000000000000004E-3</v>
      </c>
      <c r="O195" s="12" t="s">
        <v>998</v>
      </c>
      <c r="P195" s="12" t="s">
        <v>46</v>
      </c>
      <c r="Q195" s="12">
        <v>12</v>
      </c>
      <c r="R195" s="12" t="s">
        <v>138</v>
      </c>
      <c r="S195" s="12" t="s">
        <v>139</v>
      </c>
      <c r="T195" s="12" t="s">
        <v>46</v>
      </c>
      <c r="U195" s="12" t="s">
        <v>999</v>
      </c>
      <c r="V195" s="12" t="s">
        <v>37</v>
      </c>
      <c r="W195" s="12" t="s">
        <v>38</v>
      </c>
      <c r="X195" s="12" t="s">
        <v>39</v>
      </c>
      <c r="Y195" s="15" t="s">
        <v>95</v>
      </c>
    </row>
    <row r="196" spans="1:25" ht="12.75">
      <c r="A196" s="6">
        <v>2606507</v>
      </c>
      <c r="B196" s="7" t="s">
        <v>996</v>
      </c>
      <c r="C196" s="7" t="s">
        <v>26</v>
      </c>
      <c r="D196" s="7">
        <v>170002315279</v>
      </c>
      <c r="E196" s="7">
        <v>70</v>
      </c>
      <c r="F196" s="7" t="s">
        <v>1000</v>
      </c>
      <c r="G196" s="7"/>
      <c r="H196" s="7"/>
      <c r="I196" s="7" t="s">
        <v>1001</v>
      </c>
      <c r="J196" s="7" t="s">
        <v>42</v>
      </c>
      <c r="K196" s="7" t="s">
        <v>43</v>
      </c>
      <c r="L196" s="7" t="s">
        <v>44</v>
      </c>
      <c r="M196" s="8">
        <v>5372</v>
      </c>
      <c r="N196" s="9">
        <v>0.45610000000000001</v>
      </c>
      <c r="O196" s="7" t="s">
        <v>1002</v>
      </c>
      <c r="P196" s="7" t="s">
        <v>32</v>
      </c>
      <c r="Q196" s="7">
        <v>70</v>
      </c>
      <c r="R196" s="7" t="s">
        <v>177</v>
      </c>
      <c r="S196" s="7" t="s">
        <v>177</v>
      </c>
      <c r="T196" s="7" t="s">
        <v>1003</v>
      </c>
      <c r="U196" s="7" t="s">
        <v>1004</v>
      </c>
      <c r="V196" s="7" t="s">
        <v>160</v>
      </c>
      <c r="W196" s="7" t="s">
        <v>38</v>
      </c>
      <c r="X196" s="7" t="s">
        <v>39</v>
      </c>
      <c r="Y196" s="10" t="s">
        <v>454</v>
      </c>
    </row>
    <row r="197" spans="1:25" ht="12.75">
      <c r="A197" s="11">
        <v>2606606</v>
      </c>
      <c r="B197" s="12" t="s">
        <v>1005</v>
      </c>
      <c r="C197" s="12" t="s">
        <v>26</v>
      </c>
      <c r="D197" s="12">
        <v>170002019861</v>
      </c>
      <c r="E197" s="12">
        <v>44</v>
      </c>
      <c r="F197" s="12" t="s">
        <v>1006</v>
      </c>
      <c r="G197" s="12"/>
      <c r="H197" s="12"/>
      <c r="I197" s="12" t="s">
        <v>1006</v>
      </c>
      <c r="J197" s="12" t="s">
        <v>42</v>
      </c>
      <c r="K197" s="12" t="s">
        <v>43</v>
      </c>
      <c r="L197" s="12" t="s">
        <v>44</v>
      </c>
      <c r="M197" s="13">
        <v>4963</v>
      </c>
      <c r="N197" s="14">
        <v>0.30130000000000001</v>
      </c>
      <c r="O197" s="12" t="s">
        <v>1007</v>
      </c>
      <c r="P197" s="12" t="s">
        <v>32</v>
      </c>
      <c r="Q197" s="12">
        <v>44</v>
      </c>
      <c r="R197" s="12" t="s">
        <v>314</v>
      </c>
      <c r="S197" s="12" t="s">
        <v>315</v>
      </c>
      <c r="T197" s="12" t="s">
        <v>1008</v>
      </c>
      <c r="U197" s="12" t="s">
        <v>1009</v>
      </c>
      <c r="V197" s="12" t="s">
        <v>37</v>
      </c>
      <c r="W197" s="12" t="s">
        <v>102</v>
      </c>
      <c r="X197" s="12" t="s">
        <v>39</v>
      </c>
      <c r="Y197" s="15" t="s">
        <v>246</v>
      </c>
    </row>
    <row r="198" spans="1:25" ht="12.75">
      <c r="A198" s="6">
        <v>2606606</v>
      </c>
      <c r="B198" s="7" t="s">
        <v>1005</v>
      </c>
      <c r="C198" s="7" t="s">
        <v>26</v>
      </c>
      <c r="D198" s="7">
        <v>170002019876</v>
      </c>
      <c r="E198" s="7">
        <v>45</v>
      </c>
      <c r="F198" s="7" t="s">
        <v>1010</v>
      </c>
      <c r="G198" s="7"/>
      <c r="H198" s="7"/>
      <c r="I198" s="7" t="s">
        <v>1011</v>
      </c>
      <c r="J198" s="7" t="s">
        <v>28</v>
      </c>
      <c r="K198" s="7" t="s">
        <v>29</v>
      </c>
      <c r="L198" s="7" t="s">
        <v>30</v>
      </c>
      <c r="M198" s="8">
        <v>11508</v>
      </c>
      <c r="N198" s="9">
        <v>0.69869999999999999</v>
      </c>
      <c r="O198" s="7" t="s">
        <v>1012</v>
      </c>
      <c r="P198" s="7" t="s">
        <v>32</v>
      </c>
      <c r="Q198" s="7">
        <v>45</v>
      </c>
      <c r="R198" s="7" t="s">
        <v>61</v>
      </c>
      <c r="S198" s="7" t="s">
        <v>62</v>
      </c>
      <c r="T198" s="7" t="s">
        <v>1013</v>
      </c>
      <c r="U198" s="7" t="s">
        <v>1014</v>
      </c>
      <c r="V198" s="7" t="s">
        <v>37</v>
      </c>
      <c r="W198" s="7" t="s">
        <v>38</v>
      </c>
      <c r="X198" s="7" t="s">
        <v>58</v>
      </c>
      <c r="Y198" s="10" t="s">
        <v>26</v>
      </c>
    </row>
    <row r="199" spans="1:25" ht="12.75">
      <c r="A199" s="11">
        <v>2606705</v>
      </c>
      <c r="B199" s="12" t="s">
        <v>1015</v>
      </c>
      <c r="C199" s="12" t="s">
        <v>26</v>
      </c>
      <c r="D199" s="12">
        <v>170002242560</v>
      </c>
      <c r="E199" s="12">
        <v>10</v>
      </c>
      <c r="F199" s="12" t="s">
        <v>1016</v>
      </c>
      <c r="G199" s="12"/>
      <c r="H199" s="12"/>
      <c r="I199" s="12" t="s">
        <v>1017</v>
      </c>
      <c r="J199" s="12" t="s">
        <v>42</v>
      </c>
      <c r="K199" s="12" t="s">
        <v>43</v>
      </c>
      <c r="L199" s="12" t="s">
        <v>44</v>
      </c>
      <c r="M199" s="13">
        <v>2595</v>
      </c>
      <c r="N199" s="14">
        <v>0.45700000000000002</v>
      </c>
      <c r="O199" s="12" t="s">
        <v>1018</v>
      </c>
      <c r="P199" s="12" t="s">
        <v>32</v>
      </c>
      <c r="Q199" s="12">
        <v>10</v>
      </c>
      <c r="R199" s="12" t="s">
        <v>124</v>
      </c>
      <c r="S199" s="12" t="s">
        <v>124</v>
      </c>
      <c r="T199" s="12" t="s">
        <v>1019</v>
      </c>
      <c r="U199" s="12" t="s">
        <v>1020</v>
      </c>
      <c r="V199" s="12" t="s">
        <v>37</v>
      </c>
      <c r="W199" s="12" t="s">
        <v>50</v>
      </c>
      <c r="X199" s="12" t="s">
        <v>89</v>
      </c>
      <c r="Y199" s="15" t="s">
        <v>1021</v>
      </c>
    </row>
    <row r="200" spans="1:25" ht="12.75">
      <c r="A200" s="6">
        <v>2610103</v>
      </c>
      <c r="B200" s="7" t="s">
        <v>1022</v>
      </c>
      <c r="C200" s="7" t="s">
        <v>26</v>
      </c>
      <c r="D200" s="7">
        <v>170002103692</v>
      </c>
      <c r="E200" s="7">
        <v>11</v>
      </c>
      <c r="F200" s="7" t="s">
        <v>1023</v>
      </c>
      <c r="G200" s="7"/>
      <c r="H200" s="7"/>
      <c r="I200" s="7" t="s">
        <v>1023</v>
      </c>
      <c r="J200" s="7" t="s">
        <v>28</v>
      </c>
      <c r="K200" s="7" t="s">
        <v>29</v>
      </c>
      <c r="L200" s="7" t="s">
        <v>30</v>
      </c>
      <c r="M200" s="8">
        <v>2635</v>
      </c>
      <c r="N200" s="9">
        <v>0.57669999999999999</v>
      </c>
      <c r="O200" s="7" t="s">
        <v>1024</v>
      </c>
      <c r="P200" s="7" t="s">
        <v>32</v>
      </c>
      <c r="Q200" s="7">
        <v>11</v>
      </c>
      <c r="R200" s="7" t="s">
        <v>168</v>
      </c>
      <c r="S200" s="7" t="s">
        <v>169</v>
      </c>
      <c r="T200" s="7" t="s">
        <v>1025</v>
      </c>
      <c r="U200" s="7" t="s">
        <v>1026</v>
      </c>
      <c r="V200" s="7" t="s">
        <v>160</v>
      </c>
      <c r="W200" s="7" t="s">
        <v>38</v>
      </c>
      <c r="X200" s="7" t="s">
        <v>58</v>
      </c>
      <c r="Y200" s="10" t="s">
        <v>26</v>
      </c>
    </row>
    <row r="201" spans="1:25" ht="12.75">
      <c r="A201" s="11">
        <v>2603603</v>
      </c>
      <c r="B201" s="12" t="s">
        <v>578</v>
      </c>
      <c r="C201" s="12" t="s">
        <v>26</v>
      </c>
      <c r="D201" s="12">
        <v>170002039006</v>
      </c>
      <c r="E201" s="12">
        <v>43</v>
      </c>
      <c r="F201" s="12" t="s">
        <v>1027</v>
      </c>
      <c r="G201" s="12"/>
      <c r="H201" s="12"/>
      <c r="I201" s="12" t="s">
        <v>1027</v>
      </c>
      <c r="J201" s="12" t="s">
        <v>28</v>
      </c>
      <c r="K201" s="12" t="s">
        <v>29</v>
      </c>
      <c r="L201" s="12" t="s">
        <v>30</v>
      </c>
      <c r="M201" s="13">
        <v>3418</v>
      </c>
      <c r="N201" s="14">
        <v>0.56440000000000001</v>
      </c>
      <c r="O201" s="12" t="s">
        <v>1028</v>
      </c>
      <c r="P201" s="12" t="s">
        <v>54</v>
      </c>
      <c r="Q201" s="12">
        <v>43</v>
      </c>
      <c r="R201" s="12" t="s">
        <v>383</v>
      </c>
      <c r="S201" s="12" t="s">
        <v>384</v>
      </c>
      <c r="T201" s="12" t="s">
        <v>54</v>
      </c>
      <c r="U201" s="12" t="s">
        <v>1029</v>
      </c>
      <c r="V201" s="12" t="s">
        <v>160</v>
      </c>
      <c r="W201" s="12" t="s">
        <v>38</v>
      </c>
      <c r="X201" s="12" t="s">
        <v>39</v>
      </c>
      <c r="Y201" s="15" t="s">
        <v>26</v>
      </c>
    </row>
    <row r="202" spans="1:25" ht="12.75">
      <c r="A202" s="6">
        <v>2606804</v>
      </c>
      <c r="B202" s="7" t="s">
        <v>870</v>
      </c>
      <c r="C202" s="7" t="s">
        <v>26</v>
      </c>
      <c r="D202" s="7">
        <v>170001980262</v>
      </c>
      <c r="E202" s="7">
        <v>10</v>
      </c>
      <c r="F202" s="7" t="s">
        <v>1030</v>
      </c>
      <c r="G202" s="7"/>
      <c r="H202" s="7"/>
      <c r="I202" s="7" t="s">
        <v>1030</v>
      </c>
      <c r="J202" s="7" t="s">
        <v>42</v>
      </c>
      <c r="K202" s="7" t="s">
        <v>43</v>
      </c>
      <c r="L202" s="7" t="s">
        <v>44</v>
      </c>
      <c r="M202" s="8">
        <v>29578</v>
      </c>
      <c r="N202" s="9">
        <v>0.42020000000000002</v>
      </c>
      <c r="O202" s="7" t="s">
        <v>1031</v>
      </c>
      <c r="P202" s="7" t="s">
        <v>32</v>
      </c>
      <c r="Q202" s="7">
        <v>10</v>
      </c>
      <c r="R202" s="7" t="s">
        <v>124</v>
      </c>
      <c r="S202" s="7" t="s">
        <v>124</v>
      </c>
      <c r="T202" s="7" t="s">
        <v>1032</v>
      </c>
      <c r="U202" s="7" t="s">
        <v>1033</v>
      </c>
      <c r="V202" s="7" t="s">
        <v>37</v>
      </c>
      <c r="W202" s="7" t="s">
        <v>38</v>
      </c>
      <c r="X202" s="7" t="s">
        <v>58</v>
      </c>
      <c r="Y202" s="10" t="s">
        <v>109</v>
      </c>
    </row>
    <row r="203" spans="1:25" ht="12.75">
      <c r="A203" s="11">
        <v>2606903</v>
      </c>
      <c r="B203" s="12" t="s">
        <v>1034</v>
      </c>
      <c r="C203" s="12" t="s">
        <v>26</v>
      </c>
      <c r="D203" s="12">
        <v>170001966789</v>
      </c>
      <c r="E203" s="12">
        <v>40</v>
      </c>
      <c r="F203" s="12" t="s">
        <v>1035</v>
      </c>
      <c r="G203" s="12"/>
      <c r="H203" s="12"/>
      <c r="I203" s="12" t="s">
        <v>1036</v>
      </c>
      <c r="J203" s="12" t="s">
        <v>42</v>
      </c>
      <c r="K203" s="12" t="s">
        <v>43</v>
      </c>
      <c r="L203" s="12" t="s">
        <v>44</v>
      </c>
      <c r="M203" s="13">
        <v>3116</v>
      </c>
      <c r="N203" s="14">
        <v>0.41860000000000003</v>
      </c>
      <c r="O203" s="12" t="s">
        <v>1037</v>
      </c>
      <c r="P203" s="12" t="s">
        <v>32</v>
      </c>
      <c r="Q203" s="12">
        <v>40</v>
      </c>
      <c r="R203" s="12" t="s">
        <v>33</v>
      </c>
      <c r="S203" s="12" t="s">
        <v>34</v>
      </c>
      <c r="T203" s="12" t="s">
        <v>1038</v>
      </c>
      <c r="U203" s="12" t="s">
        <v>1039</v>
      </c>
      <c r="V203" s="12" t="s">
        <v>37</v>
      </c>
      <c r="W203" s="12" t="s">
        <v>50</v>
      </c>
      <c r="X203" s="12" t="s">
        <v>39</v>
      </c>
      <c r="Y203" s="15" t="s">
        <v>1040</v>
      </c>
    </row>
    <row r="204" spans="1:25" ht="12.75">
      <c r="A204" s="6">
        <v>2606903</v>
      </c>
      <c r="B204" s="7" t="s">
        <v>1034</v>
      </c>
      <c r="C204" s="7" t="s">
        <v>26</v>
      </c>
      <c r="D204" s="7">
        <v>170001980448</v>
      </c>
      <c r="E204" s="7">
        <v>45</v>
      </c>
      <c r="F204" s="7" t="s">
        <v>1041</v>
      </c>
      <c r="G204" s="7"/>
      <c r="H204" s="7"/>
      <c r="I204" s="7" t="s">
        <v>1041</v>
      </c>
      <c r="J204" s="7" t="s">
        <v>82</v>
      </c>
      <c r="K204" s="7" t="s">
        <v>29</v>
      </c>
      <c r="L204" s="7" t="s">
        <v>30</v>
      </c>
      <c r="M204" s="8">
        <v>4328</v>
      </c>
      <c r="N204" s="9">
        <v>0.58140000000000003</v>
      </c>
      <c r="O204" s="7" t="s">
        <v>1042</v>
      </c>
      <c r="P204" s="7" t="s">
        <v>32</v>
      </c>
      <c r="Q204" s="7">
        <v>45</v>
      </c>
      <c r="R204" s="7" t="s">
        <v>61</v>
      </c>
      <c r="S204" s="7" t="s">
        <v>62</v>
      </c>
      <c r="T204" s="7" t="s">
        <v>467</v>
      </c>
      <c r="U204" s="7" t="s">
        <v>1043</v>
      </c>
      <c r="V204" s="7" t="s">
        <v>37</v>
      </c>
      <c r="W204" s="7" t="s">
        <v>38</v>
      </c>
      <c r="X204" s="7" t="s">
        <v>39</v>
      </c>
      <c r="Y204" s="10" t="s">
        <v>65</v>
      </c>
    </row>
    <row r="205" spans="1:25" ht="12.75">
      <c r="A205" s="11">
        <v>2607505</v>
      </c>
      <c r="B205" s="12" t="s">
        <v>1044</v>
      </c>
      <c r="C205" s="12" t="s">
        <v>26</v>
      </c>
      <c r="D205" s="12">
        <v>170002145872</v>
      </c>
      <c r="E205" s="12">
        <v>55</v>
      </c>
      <c r="F205" s="12" t="s">
        <v>1045</v>
      </c>
      <c r="G205" s="12"/>
      <c r="H205" s="12"/>
      <c r="I205" s="12" t="s">
        <v>1045</v>
      </c>
      <c r="J205" s="12" t="s">
        <v>42</v>
      </c>
      <c r="K205" s="12" t="s">
        <v>43</v>
      </c>
      <c r="L205" s="12" t="s">
        <v>44</v>
      </c>
      <c r="M205" s="13">
        <v>1137</v>
      </c>
      <c r="N205" s="14">
        <v>7.8600000000000003E-2</v>
      </c>
      <c r="O205" s="12" t="s">
        <v>1046</v>
      </c>
      <c r="P205" s="12" t="s">
        <v>32</v>
      </c>
      <c r="Q205" s="12">
        <v>55</v>
      </c>
      <c r="R205" s="12" t="s">
        <v>74</v>
      </c>
      <c r="S205" s="12" t="s">
        <v>75</v>
      </c>
      <c r="T205" s="12" t="s">
        <v>1047</v>
      </c>
      <c r="U205" s="12" t="s">
        <v>1048</v>
      </c>
      <c r="V205" s="12" t="s">
        <v>37</v>
      </c>
      <c r="W205" s="12" t="s">
        <v>38</v>
      </c>
      <c r="X205" s="12" t="s">
        <v>58</v>
      </c>
      <c r="Y205" s="15" t="s">
        <v>127</v>
      </c>
    </row>
    <row r="206" spans="1:25" ht="12.75">
      <c r="A206" s="6">
        <v>2607505</v>
      </c>
      <c r="B206" s="7" t="s">
        <v>1044</v>
      </c>
      <c r="C206" s="7" t="s">
        <v>26</v>
      </c>
      <c r="D206" s="7">
        <v>170002333700</v>
      </c>
      <c r="E206" s="7">
        <v>18</v>
      </c>
      <c r="F206" s="7" t="s">
        <v>1049</v>
      </c>
      <c r="G206" s="7"/>
      <c r="H206" s="7"/>
      <c r="I206" s="7" t="s">
        <v>1049</v>
      </c>
      <c r="J206" s="7" t="s">
        <v>42</v>
      </c>
      <c r="K206" s="7" t="s">
        <v>43</v>
      </c>
      <c r="L206" s="7" t="s">
        <v>44</v>
      </c>
      <c r="M206" s="8">
        <v>112</v>
      </c>
      <c r="N206" s="9">
        <v>7.7000000000000002E-3</v>
      </c>
      <c r="O206" s="7" t="s">
        <v>1050</v>
      </c>
      <c r="P206" s="7" t="s">
        <v>54</v>
      </c>
      <c r="Q206" s="7">
        <v>18</v>
      </c>
      <c r="R206" s="7" t="s">
        <v>55</v>
      </c>
      <c r="S206" s="7" t="s">
        <v>56</v>
      </c>
      <c r="T206" s="7" t="s">
        <v>54</v>
      </c>
      <c r="U206" s="7" t="s">
        <v>1051</v>
      </c>
      <c r="V206" s="7" t="s">
        <v>37</v>
      </c>
      <c r="W206" s="7" t="s">
        <v>38</v>
      </c>
      <c r="X206" s="7" t="s">
        <v>39</v>
      </c>
      <c r="Y206" s="10" t="s">
        <v>127</v>
      </c>
    </row>
    <row r="207" spans="1:25" ht="12.75">
      <c r="A207" s="11">
        <v>2607505</v>
      </c>
      <c r="B207" s="12" t="s">
        <v>1044</v>
      </c>
      <c r="C207" s="12" t="s">
        <v>26</v>
      </c>
      <c r="D207" s="12">
        <v>170002335207</v>
      </c>
      <c r="E207" s="12">
        <v>22</v>
      </c>
      <c r="F207" s="12" t="s">
        <v>1052</v>
      </c>
      <c r="G207" s="12"/>
      <c r="H207" s="12"/>
      <c r="I207" s="12" t="s">
        <v>1052</v>
      </c>
      <c r="J207" s="12" t="s">
        <v>42</v>
      </c>
      <c r="K207" s="12" t="s">
        <v>43</v>
      </c>
      <c r="L207" s="12" t="s">
        <v>44</v>
      </c>
      <c r="M207" s="13">
        <v>181</v>
      </c>
      <c r="N207" s="14">
        <v>1.2500000000000001E-2</v>
      </c>
      <c r="O207" s="12" t="s">
        <v>1053</v>
      </c>
      <c r="P207" s="12" t="s">
        <v>32</v>
      </c>
      <c r="Q207" s="12">
        <v>22</v>
      </c>
      <c r="R207" s="12" t="s">
        <v>321</v>
      </c>
      <c r="S207" s="12" t="s">
        <v>322</v>
      </c>
      <c r="T207" s="12" t="s">
        <v>1054</v>
      </c>
      <c r="U207" s="12" t="s">
        <v>1055</v>
      </c>
      <c r="V207" s="12" t="s">
        <v>37</v>
      </c>
      <c r="W207" s="12" t="s">
        <v>38</v>
      </c>
      <c r="X207" s="12" t="s">
        <v>39</v>
      </c>
      <c r="Y207" s="15" t="s">
        <v>90</v>
      </c>
    </row>
    <row r="208" spans="1:25" ht="12.75">
      <c r="A208" s="6">
        <v>2607505</v>
      </c>
      <c r="B208" s="7" t="s">
        <v>1044</v>
      </c>
      <c r="C208" s="7" t="s">
        <v>26</v>
      </c>
      <c r="D208" s="7">
        <v>170002153739</v>
      </c>
      <c r="E208" s="7">
        <v>10</v>
      </c>
      <c r="F208" s="7" t="s">
        <v>1056</v>
      </c>
      <c r="G208" s="7"/>
      <c r="H208" s="7"/>
      <c r="I208" s="7" t="s">
        <v>1056</v>
      </c>
      <c r="J208" s="7" t="s">
        <v>189</v>
      </c>
      <c r="K208" s="7" t="s">
        <v>29</v>
      </c>
      <c r="L208" s="7" t="s">
        <v>44</v>
      </c>
      <c r="M208" s="8">
        <v>6194</v>
      </c>
      <c r="N208" s="9">
        <v>0.42799999999999999</v>
      </c>
      <c r="O208" s="7" t="s">
        <v>1057</v>
      </c>
      <c r="P208" s="7" t="s">
        <v>32</v>
      </c>
      <c r="Q208" s="7">
        <v>10</v>
      </c>
      <c r="R208" s="7" t="s">
        <v>124</v>
      </c>
      <c r="S208" s="7" t="s">
        <v>124</v>
      </c>
      <c r="T208" s="7" t="s">
        <v>1058</v>
      </c>
      <c r="U208" s="7" t="s">
        <v>1059</v>
      </c>
      <c r="V208" s="7" t="s">
        <v>37</v>
      </c>
      <c r="W208" s="7" t="s">
        <v>50</v>
      </c>
      <c r="X208" s="7" t="s">
        <v>39</v>
      </c>
      <c r="Y208" s="10" t="s">
        <v>26</v>
      </c>
    </row>
    <row r="209" spans="1:25" ht="12.75">
      <c r="A209" s="11">
        <v>2607505</v>
      </c>
      <c r="B209" s="12" t="s">
        <v>1044</v>
      </c>
      <c r="C209" s="12" t="s">
        <v>26</v>
      </c>
      <c r="D209" s="12">
        <v>170002149011</v>
      </c>
      <c r="E209" s="12">
        <v>45</v>
      </c>
      <c r="F209" s="12" t="s">
        <v>1060</v>
      </c>
      <c r="G209" s="12"/>
      <c r="H209" s="12"/>
      <c r="I209" s="12" t="s">
        <v>1061</v>
      </c>
      <c r="J209" s="12" t="s">
        <v>82</v>
      </c>
      <c r="K209" s="12" t="s">
        <v>43</v>
      </c>
      <c r="L209" s="12" t="s">
        <v>30</v>
      </c>
      <c r="M209" s="13">
        <v>6849</v>
      </c>
      <c r="N209" s="14">
        <v>0.47320000000000001</v>
      </c>
      <c r="O209" s="12" t="s">
        <v>1062</v>
      </c>
      <c r="P209" s="12" t="s">
        <v>32</v>
      </c>
      <c r="Q209" s="12">
        <v>45</v>
      </c>
      <c r="R209" s="12" t="s">
        <v>61</v>
      </c>
      <c r="S209" s="12" t="s">
        <v>62</v>
      </c>
      <c r="T209" s="12" t="s">
        <v>1063</v>
      </c>
      <c r="U209" s="12" t="s">
        <v>1064</v>
      </c>
      <c r="V209" s="12" t="s">
        <v>37</v>
      </c>
      <c r="W209" s="12" t="s">
        <v>114</v>
      </c>
      <c r="X209" s="12" t="s">
        <v>39</v>
      </c>
      <c r="Y209" s="15" t="s">
        <v>257</v>
      </c>
    </row>
    <row r="210" spans="1:25" ht="12.75">
      <c r="A210" s="6">
        <v>2607604</v>
      </c>
      <c r="B210" s="7" t="s">
        <v>1065</v>
      </c>
      <c r="C210" s="7" t="s">
        <v>26</v>
      </c>
      <c r="D210" s="7">
        <v>170002293435</v>
      </c>
      <c r="E210" s="7">
        <v>13</v>
      </c>
      <c r="F210" s="7" t="s">
        <v>1066</v>
      </c>
      <c r="G210" s="7"/>
      <c r="H210" s="7"/>
      <c r="I210" s="7" t="s">
        <v>1066</v>
      </c>
      <c r="J210" s="7" t="s">
        <v>42</v>
      </c>
      <c r="K210" s="7" t="s">
        <v>43</v>
      </c>
      <c r="L210" s="7" t="s">
        <v>44</v>
      </c>
      <c r="M210" s="8">
        <v>91</v>
      </c>
      <c r="N210" s="9">
        <v>7.4000000000000003E-3</v>
      </c>
      <c r="O210" s="7" t="s">
        <v>1067</v>
      </c>
      <c r="P210" s="7" t="s">
        <v>54</v>
      </c>
      <c r="Q210" s="7">
        <v>13</v>
      </c>
      <c r="R210" s="7" t="s">
        <v>130</v>
      </c>
      <c r="S210" s="7" t="s">
        <v>131</v>
      </c>
      <c r="T210" s="7" t="s">
        <v>54</v>
      </c>
      <c r="U210" s="7" t="s">
        <v>1068</v>
      </c>
      <c r="V210" s="7" t="s">
        <v>37</v>
      </c>
      <c r="W210" s="7" t="s">
        <v>156</v>
      </c>
      <c r="X210" s="7" t="s">
        <v>58</v>
      </c>
      <c r="Y210" s="10" t="s">
        <v>95</v>
      </c>
    </row>
    <row r="211" spans="1:25" ht="12.75">
      <c r="A211" s="11">
        <v>2607604</v>
      </c>
      <c r="B211" s="12" t="s">
        <v>1065</v>
      </c>
      <c r="C211" s="12" t="s">
        <v>26</v>
      </c>
      <c r="D211" s="12">
        <v>170002336465</v>
      </c>
      <c r="E211" s="12">
        <v>11</v>
      </c>
      <c r="F211" s="12" t="s">
        <v>1069</v>
      </c>
      <c r="G211" s="12"/>
      <c r="H211" s="12"/>
      <c r="I211" s="12" t="s">
        <v>1069</v>
      </c>
      <c r="J211" s="12" t="s">
        <v>42</v>
      </c>
      <c r="K211" s="12" t="s">
        <v>43</v>
      </c>
      <c r="L211" s="12" t="s">
        <v>44</v>
      </c>
      <c r="M211" s="13">
        <v>3473</v>
      </c>
      <c r="N211" s="14">
        <v>0.2833</v>
      </c>
      <c r="O211" s="12" t="s">
        <v>1070</v>
      </c>
      <c r="P211" s="12" t="s">
        <v>46</v>
      </c>
      <c r="Q211" s="12">
        <v>11</v>
      </c>
      <c r="R211" s="12" t="s">
        <v>168</v>
      </c>
      <c r="S211" s="12" t="s">
        <v>169</v>
      </c>
      <c r="T211" s="12" t="s">
        <v>46</v>
      </c>
      <c r="U211" s="12" t="s">
        <v>1071</v>
      </c>
      <c r="V211" s="12" t="s">
        <v>37</v>
      </c>
      <c r="W211" s="12" t="s">
        <v>102</v>
      </c>
      <c r="X211" s="12" t="s">
        <v>58</v>
      </c>
      <c r="Y211" s="15" t="s">
        <v>95</v>
      </c>
    </row>
    <row r="212" spans="1:25" ht="12.75">
      <c r="A212" s="6">
        <v>2607604</v>
      </c>
      <c r="B212" s="7" t="s">
        <v>1065</v>
      </c>
      <c r="C212" s="7" t="s">
        <v>26</v>
      </c>
      <c r="D212" s="7">
        <v>170002156825</v>
      </c>
      <c r="E212" s="7">
        <v>10</v>
      </c>
      <c r="F212" s="7" t="s">
        <v>1072</v>
      </c>
      <c r="G212" s="7"/>
      <c r="H212" s="7"/>
      <c r="I212" s="7" t="s">
        <v>1072</v>
      </c>
      <c r="J212" s="7" t="s">
        <v>28</v>
      </c>
      <c r="K212" s="7" t="s">
        <v>29</v>
      </c>
      <c r="L212" s="7" t="s">
        <v>30</v>
      </c>
      <c r="M212" s="8">
        <v>8694</v>
      </c>
      <c r="N212" s="9">
        <v>0.70930000000000004</v>
      </c>
      <c r="O212" s="7" t="s">
        <v>1073</v>
      </c>
      <c r="P212" s="7" t="s">
        <v>32</v>
      </c>
      <c r="Q212" s="7">
        <v>10</v>
      </c>
      <c r="R212" s="7" t="s">
        <v>124</v>
      </c>
      <c r="S212" s="7" t="s">
        <v>124</v>
      </c>
      <c r="T212" s="7" t="s">
        <v>1074</v>
      </c>
      <c r="U212" s="7" t="s">
        <v>1075</v>
      </c>
      <c r="V212" s="7" t="s">
        <v>37</v>
      </c>
      <c r="W212" s="7" t="s">
        <v>50</v>
      </c>
      <c r="X212" s="7" t="s">
        <v>39</v>
      </c>
      <c r="Y212" s="10" t="s">
        <v>26</v>
      </c>
    </row>
    <row r="213" spans="1:25" ht="12.75">
      <c r="A213" s="11">
        <v>2607000</v>
      </c>
      <c r="B213" s="12" t="s">
        <v>1076</v>
      </c>
      <c r="C213" s="12" t="s">
        <v>26</v>
      </c>
      <c r="D213" s="12">
        <v>170001952102</v>
      </c>
      <c r="E213" s="12">
        <v>45</v>
      </c>
      <c r="F213" s="12" t="s">
        <v>1077</v>
      </c>
      <c r="G213" s="12"/>
      <c r="H213" s="12"/>
      <c r="I213" s="12" t="s">
        <v>1077</v>
      </c>
      <c r="J213" s="12" t="s">
        <v>42</v>
      </c>
      <c r="K213" s="12" t="s">
        <v>43</v>
      </c>
      <c r="L213" s="12" t="s">
        <v>44</v>
      </c>
      <c r="M213" s="13">
        <v>867</v>
      </c>
      <c r="N213" s="14">
        <v>0.23169999999999999</v>
      </c>
      <c r="O213" s="12" t="s">
        <v>1078</v>
      </c>
      <c r="P213" s="12" t="s">
        <v>54</v>
      </c>
      <c r="Q213" s="12">
        <v>45</v>
      </c>
      <c r="R213" s="12" t="s">
        <v>61</v>
      </c>
      <c r="S213" s="12" t="s">
        <v>62</v>
      </c>
      <c r="T213" s="12" t="s">
        <v>54</v>
      </c>
      <c r="U213" s="12" t="s">
        <v>1079</v>
      </c>
      <c r="V213" s="12" t="s">
        <v>160</v>
      </c>
      <c r="W213" s="12" t="s">
        <v>38</v>
      </c>
      <c r="X213" s="12" t="s">
        <v>39</v>
      </c>
      <c r="Y213" s="15" t="s">
        <v>134</v>
      </c>
    </row>
    <row r="214" spans="1:25" ht="12.75">
      <c r="A214" s="6">
        <v>2607000</v>
      </c>
      <c r="B214" s="7" t="s">
        <v>1076</v>
      </c>
      <c r="C214" s="7" t="s">
        <v>26</v>
      </c>
      <c r="D214" s="7">
        <v>170001952117</v>
      </c>
      <c r="E214" s="7">
        <v>40</v>
      </c>
      <c r="F214" s="7" t="s">
        <v>1080</v>
      </c>
      <c r="G214" s="7"/>
      <c r="H214" s="7"/>
      <c r="I214" s="7" t="s">
        <v>1080</v>
      </c>
      <c r="J214" s="7" t="s">
        <v>28</v>
      </c>
      <c r="K214" s="7" t="s">
        <v>29</v>
      </c>
      <c r="L214" s="7" t="s">
        <v>30</v>
      </c>
      <c r="M214" s="8">
        <v>2875</v>
      </c>
      <c r="N214" s="9">
        <v>0.76829999999999998</v>
      </c>
      <c r="O214" s="7" t="s">
        <v>1081</v>
      </c>
      <c r="P214" s="7" t="s">
        <v>32</v>
      </c>
      <c r="Q214" s="7">
        <v>40</v>
      </c>
      <c r="R214" s="7" t="s">
        <v>33</v>
      </c>
      <c r="S214" s="7" t="s">
        <v>34</v>
      </c>
      <c r="T214" s="7" t="s">
        <v>1082</v>
      </c>
      <c r="U214" s="7" t="s">
        <v>1083</v>
      </c>
      <c r="V214" s="7" t="s">
        <v>37</v>
      </c>
      <c r="W214" s="7" t="s">
        <v>50</v>
      </c>
      <c r="X214" s="7" t="s">
        <v>58</v>
      </c>
      <c r="Y214" s="10" t="s">
        <v>26</v>
      </c>
    </row>
    <row r="215" spans="1:25" ht="12.75">
      <c r="A215" s="11">
        <v>2607109</v>
      </c>
      <c r="B215" s="12" t="s">
        <v>1084</v>
      </c>
      <c r="C215" s="12" t="s">
        <v>26</v>
      </c>
      <c r="D215" s="12">
        <v>170001971416</v>
      </c>
      <c r="E215" s="12">
        <v>11</v>
      </c>
      <c r="F215" s="12" t="s">
        <v>1085</v>
      </c>
      <c r="G215" s="12"/>
      <c r="H215" s="12"/>
      <c r="I215" s="12" t="s">
        <v>1085</v>
      </c>
      <c r="J215" s="12" t="s">
        <v>42</v>
      </c>
      <c r="K215" s="12" t="s">
        <v>29</v>
      </c>
      <c r="L215" s="12" t="s">
        <v>44</v>
      </c>
      <c r="M215" s="13">
        <v>29112</v>
      </c>
      <c r="N215" s="14">
        <v>0.4047</v>
      </c>
      <c r="O215" s="12" t="s">
        <v>1086</v>
      </c>
      <c r="P215" s="12" t="s">
        <v>32</v>
      </c>
      <c r="Q215" s="12">
        <v>11</v>
      </c>
      <c r="R215" s="12" t="s">
        <v>168</v>
      </c>
      <c r="S215" s="12" t="s">
        <v>169</v>
      </c>
      <c r="T215" s="12" t="s">
        <v>1087</v>
      </c>
      <c r="U215" s="12" t="s">
        <v>1088</v>
      </c>
      <c r="V215" s="12" t="s">
        <v>160</v>
      </c>
      <c r="W215" s="12" t="s">
        <v>50</v>
      </c>
      <c r="X215" s="12" t="s">
        <v>89</v>
      </c>
      <c r="Y215" s="15" t="s">
        <v>90</v>
      </c>
    </row>
    <row r="216" spans="1:25" ht="12.75">
      <c r="A216" s="6">
        <v>2607109</v>
      </c>
      <c r="B216" s="7" t="s">
        <v>1084</v>
      </c>
      <c r="C216" s="7" t="s">
        <v>26</v>
      </c>
      <c r="D216" s="7">
        <v>170001915023</v>
      </c>
      <c r="E216" s="7">
        <v>10</v>
      </c>
      <c r="F216" s="7" t="s">
        <v>1089</v>
      </c>
      <c r="G216" s="16" t="s">
        <v>1090</v>
      </c>
      <c r="H216" s="7"/>
      <c r="I216" s="7" t="s">
        <v>1091</v>
      </c>
      <c r="J216" s="7" t="s">
        <v>82</v>
      </c>
      <c r="K216" s="7" t="s">
        <v>43</v>
      </c>
      <c r="L216" s="7" t="s">
        <v>30</v>
      </c>
      <c r="M216" s="8">
        <v>32805</v>
      </c>
      <c r="N216" s="9">
        <v>0.45610000000000001</v>
      </c>
      <c r="O216" s="7" t="s">
        <v>1092</v>
      </c>
      <c r="P216" s="7" t="s">
        <v>32</v>
      </c>
      <c r="Q216" s="7">
        <v>10</v>
      </c>
      <c r="R216" s="7" t="s">
        <v>124</v>
      </c>
      <c r="S216" s="7" t="s">
        <v>124</v>
      </c>
      <c r="T216" s="7" t="s">
        <v>1093</v>
      </c>
      <c r="U216" s="7" t="s">
        <v>1094</v>
      </c>
      <c r="V216" s="7" t="s">
        <v>37</v>
      </c>
      <c r="W216" s="7" t="s">
        <v>38</v>
      </c>
      <c r="X216" s="7" t="s">
        <v>39</v>
      </c>
      <c r="Y216" s="10" t="s">
        <v>1040</v>
      </c>
    </row>
    <row r="217" spans="1:25" ht="12.75">
      <c r="A217" s="11">
        <v>2607109</v>
      </c>
      <c r="B217" s="12" t="s">
        <v>1084</v>
      </c>
      <c r="C217" s="12" t="s">
        <v>26</v>
      </c>
      <c r="D217" s="12">
        <v>170002037104</v>
      </c>
      <c r="E217" s="12">
        <v>70</v>
      </c>
      <c r="F217" s="12" t="s">
        <v>1095</v>
      </c>
      <c r="G217" s="12"/>
      <c r="H217" s="12"/>
      <c r="I217" s="12" t="s">
        <v>1095</v>
      </c>
      <c r="J217" s="12" t="s">
        <v>42</v>
      </c>
      <c r="K217" s="12" t="s">
        <v>43</v>
      </c>
      <c r="L217" s="12" t="s">
        <v>44</v>
      </c>
      <c r="M217" s="13">
        <v>10014</v>
      </c>
      <c r="N217" s="14">
        <v>0.13919999999999999</v>
      </c>
      <c r="O217" s="12" t="s">
        <v>1096</v>
      </c>
      <c r="P217" s="12" t="s">
        <v>46</v>
      </c>
      <c r="Q217" s="12">
        <v>70</v>
      </c>
      <c r="R217" s="12" t="s">
        <v>177</v>
      </c>
      <c r="S217" s="12" t="s">
        <v>177</v>
      </c>
      <c r="T217" s="12" t="s">
        <v>46</v>
      </c>
      <c r="U217" s="12" t="s">
        <v>1097</v>
      </c>
      <c r="V217" s="12" t="s">
        <v>37</v>
      </c>
      <c r="W217" s="12" t="s">
        <v>50</v>
      </c>
      <c r="X217" s="12" t="s">
        <v>58</v>
      </c>
      <c r="Y217" s="15" t="s">
        <v>165</v>
      </c>
    </row>
    <row r="218" spans="1:25" ht="12.75">
      <c r="A218" s="6">
        <v>2607208</v>
      </c>
      <c r="B218" s="7" t="s">
        <v>1098</v>
      </c>
      <c r="C218" s="7" t="s">
        <v>26</v>
      </c>
      <c r="D218" s="7">
        <v>170002134006</v>
      </c>
      <c r="E218" s="7">
        <v>55</v>
      </c>
      <c r="F218" s="7" t="s">
        <v>1099</v>
      </c>
      <c r="G218" s="7"/>
      <c r="H218" s="7"/>
      <c r="I218" s="7" t="s">
        <v>1100</v>
      </c>
      <c r="J218" s="7" t="s">
        <v>82</v>
      </c>
      <c r="K218" s="7" t="s">
        <v>29</v>
      </c>
      <c r="L218" s="7" t="s">
        <v>30</v>
      </c>
      <c r="M218" s="8">
        <v>9804</v>
      </c>
      <c r="N218" s="9">
        <v>0.52049999999999996</v>
      </c>
      <c r="O218" s="7" t="s">
        <v>1101</v>
      </c>
      <c r="P218" s="7" t="s">
        <v>32</v>
      </c>
      <c r="Q218" s="7">
        <v>55</v>
      </c>
      <c r="R218" s="7" t="s">
        <v>74</v>
      </c>
      <c r="S218" s="7" t="s">
        <v>75</v>
      </c>
      <c r="T218" s="7" t="s">
        <v>1102</v>
      </c>
      <c r="U218" s="7" t="s">
        <v>1103</v>
      </c>
      <c r="V218" s="7" t="s">
        <v>37</v>
      </c>
      <c r="W218" s="7" t="s">
        <v>50</v>
      </c>
      <c r="X218" s="7" t="s">
        <v>58</v>
      </c>
      <c r="Y218" s="10" t="s">
        <v>134</v>
      </c>
    </row>
    <row r="219" spans="1:25" ht="12.75">
      <c r="A219" s="11">
        <v>2607208</v>
      </c>
      <c r="B219" s="12" t="s">
        <v>1098</v>
      </c>
      <c r="C219" s="12" t="s">
        <v>26</v>
      </c>
      <c r="D219" s="12">
        <v>170002155334</v>
      </c>
      <c r="E219" s="12">
        <v>20</v>
      </c>
      <c r="F219" s="12" t="s">
        <v>1104</v>
      </c>
      <c r="G219" s="12"/>
      <c r="H219" s="12"/>
      <c r="I219" s="12" t="s">
        <v>1104</v>
      </c>
      <c r="J219" s="12" t="s">
        <v>42</v>
      </c>
      <c r="K219" s="12" t="s">
        <v>43</v>
      </c>
      <c r="L219" s="12" t="s">
        <v>44</v>
      </c>
      <c r="M219" s="13">
        <v>9030</v>
      </c>
      <c r="N219" s="14">
        <v>0.47949999999999998</v>
      </c>
      <c r="O219" s="12" t="s">
        <v>1105</v>
      </c>
      <c r="P219" s="12" t="s">
        <v>32</v>
      </c>
      <c r="Q219" s="12">
        <v>20</v>
      </c>
      <c r="R219" s="12" t="s">
        <v>98</v>
      </c>
      <c r="S219" s="12" t="s">
        <v>99</v>
      </c>
      <c r="T219" s="12" t="s">
        <v>1106</v>
      </c>
      <c r="U219" s="12" t="s">
        <v>1107</v>
      </c>
      <c r="V219" s="12" t="s">
        <v>37</v>
      </c>
      <c r="W219" s="12" t="s">
        <v>38</v>
      </c>
      <c r="X219" s="12" t="s">
        <v>58</v>
      </c>
      <c r="Y219" s="15" t="s">
        <v>127</v>
      </c>
    </row>
    <row r="220" spans="1:25" ht="12.75">
      <c r="A220" s="6">
        <v>2607307</v>
      </c>
      <c r="B220" s="7" t="s">
        <v>1108</v>
      </c>
      <c r="C220" s="7" t="s">
        <v>26</v>
      </c>
      <c r="D220" s="7">
        <v>170002049995</v>
      </c>
      <c r="E220" s="7">
        <v>11</v>
      </c>
      <c r="F220" s="7" t="s">
        <v>1109</v>
      </c>
      <c r="G220" s="7"/>
      <c r="H220" s="7"/>
      <c r="I220" s="7" t="s">
        <v>1110</v>
      </c>
      <c r="J220" s="7" t="s">
        <v>42</v>
      </c>
      <c r="K220" s="7" t="s">
        <v>43</v>
      </c>
      <c r="L220" s="7" t="s">
        <v>44</v>
      </c>
      <c r="M220" s="8">
        <v>1872</v>
      </c>
      <c r="N220" s="9">
        <v>0.4163</v>
      </c>
      <c r="O220" s="7" t="s">
        <v>1111</v>
      </c>
      <c r="P220" s="7" t="s">
        <v>46</v>
      </c>
      <c r="Q220" s="7">
        <v>11</v>
      </c>
      <c r="R220" s="7" t="s">
        <v>168</v>
      </c>
      <c r="S220" s="7" t="s">
        <v>169</v>
      </c>
      <c r="T220" s="7" t="s">
        <v>46</v>
      </c>
      <c r="U220" s="7" t="s">
        <v>1112</v>
      </c>
      <c r="V220" s="7" t="s">
        <v>37</v>
      </c>
      <c r="W220" s="7" t="s">
        <v>50</v>
      </c>
      <c r="X220" s="7" t="s">
        <v>58</v>
      </c>
      <c r="Y220" s="10" t="s">
        <v>95</v>
      </c>
    </row>
    <row r="221" spans="1:25" ht="12.75">
      <c r="A221" s="11">
        <v>2607307</v>
      </c>
      <c r="B221" s="12" t="s">
        <v>1108</v>
      </c>
      <c r="C221" s="12" t="s">
        <v>26</v>
      </c>
      <c r="D221" s="12">
        <v>170002134914</v>
      </c>
      <c r="E221" s="12">
        <v>40</v>
      </c>
      <c r="F221" s="12" t="s">
        <v>1113</v>
      </c>
      <c r="G221" s="12"/>
      <c r="H221" s="12"/>
      <c r="I221" s="12" t="s">
        <v>1113</v>
      </c>
      <c r="J221" s="12" t="s">
        <v>82</v>
      </c>
      <c r="K221" s="12" t="s">
        <v>29</v>
      </c>
      <c r="L221" s="12" t="s">
        <v>30</v>
      </c>
      <c r="M221" s="13">
        <v>2625</v>
      </c>
      <c r="N221" s="14">
        <v>0.5837</v>
      </c>
      <c r="O221" s="12" t="s">
        <v>1114</v>
      </c>
      <c r="P221" s="12" t="s">
        <v>32</v>
      </c>
      <c r="Q221" s="12">
        <v>40</v>
      </c>
      <c r="R221" s="12" t="s">
        <v>33</v>
      </c>
      <c r="S221" s="12" t="s">
        <v>34</v>
      </c>
      <c r="T221" s="12" t="s">
        <v>1115</v>
      </c>
      <c r="U221" s="12" t="s">
        <v>1116</v>
      </c>
      <c r="V221" s="12" t="s">
        <v>37</v>
      </c>
      <c r="W221" s="12" t="s">
        <v>50</v>
      </c>
      <c r="X221" s="12" t="s">
        <v>58</v>
      </c>
      <c r="Y221" s="15" t="s">
        <v>95</v>
      </c>
    </row>
    <row r="222" spans="1:25" ht="12.75">
      <c r="A222" s="6">
        <v>2607406</v>
      </c>
      <c r="B222" s="7" t="s">
        <v>1117</v>
      </c>
      <c r="C222" s="7" t="s">
        <v>26</v>
      </c>
      <c r="D222" s="7">
        <v>170002040610</v>
      </c>
      <c r="E222" s="7">
        <v>13</v>
      </c>
      <c r="F222" s="7" t="s">
        <v>1118</v>
      </c>
      <c r="G222" s="7"/>
      <c r="H222" s="7"/>
      <c r="I222" s="7" t="s">
        <v>1119</v>
      </c>
      <c r="J222" s="7" t="s">
        <v>42</v>
      </c>
      <c r="K222" s="7" t="s">
        <v>43</v>
      </c>
      <c r="L222" s="7" t="s">
        <v>44</v>
      </c>
      <c r="M222" s="8">
        <v>655</v>
      </c>
      <c r="N222" s="9">
        <v>0.04</v>
      </c>
      <c r="O222" s="7" t="s">
        <v>1120</v>
      </c>
      <c r="P222" s="7" t="s">
        <v>54</v>
      </c>
      <c r="Q222" s="7">
        <v>13</v>
      </c>
      <c r="R222" s="7" t="s">
        <v>130</v>
      </c>
      <c r="S222" s="7" t="s">
        <v>131</v>
      </c>
      <c r="T222" s="7" t="s">
        <v>54</v>
      </c>
      <c r="U222" s="7" t="s">
        <v>1121</v>
      </c>
      <c r="V222" s="7" t="s">
        <v>37</v>
      </c>
      <c r="W222" s="7" t="s">
        <v>102</v>
      </c>
      <c r="X222" s="7" t="s">
        <v>58</v>
      </c>
      <c r="Y222" s="10" t="s">
        <v>51</v>
      </c>
    </row>
    <row r="223" spans="1:25" ht="12.75">
      <c r="A223" s="11">
        <v>2607406</v>
      </c>
      <c r="B223" s="12" t="s">
        <v>1117</v>
      </c>
      <c r="C223" s="12" t="s">
        <v>26</v>
      </c>
      <c r="D223" s="12">
        <v>170002021592</v>
      </c>
      <c r="E223" s="12">
        <v>10</v>
      </c>
      <c r="F223" s="12" t="s">
        <v>1122</v>
      </c>
      <c r="G223" s="12"/>
      <c r="H223" s="12"/>
      <c r="I223" s="12" t="s">
        <v>1123</v>
      </c>
      <c r="J223" s="12" t="s">
        <v>82</v>
      </c>
      <c r="K223" s="12" t="s">
        <v>29</v>
      </c>
      <c r="L223" s="12" t="s">
        <v>30</v>
      </c>
      <c r="M223" s="13">
        <v>8292</v>
      </c>
      <c r="N223" s="14">
        <v>0.50660000000000005</v>
      </c>
      <c r="O223" s="12" t="s">
        <v>1124</v>
      </c>
      <c r="P223" s="12" t="s">
        <v>32</v>
      </c>
      <c r="Q223" s="12">
        <v>10</v>
      </c>
      <c r="R223" s="12" t="s">
        <v>124</v>
      </c>
      <c r="S223" s="12" t="s">
        <v>124</v>
      </c>
      <c r="T223" s="12" t="s">
        <v>1125</v>
      </c>
      <c r="U223" s="12" t="s">
        <v>1126</v>
      </c>
      <c r="V223" s="12" t="s">
        <v>37</v>
      </c>
      <c r="W223" s="12" t="s">
        <v>38</v>
      </c>
      <c r="X223" s="12" t="s">
        <v>58</v>
      </c>
      <c r="Y223" s="15" t="s">
        <v>454</v>
      </c>
    </row>
    <row r="224" spans="1:25" ht="12.75">
      <c r="A224" s="6">
        <v>2607406</v>
      </c>
      <c r="B224" s="7" t="s">
        <v>1117</v>
      </c>
      <c r="C224" s="7" t="s">
        <v>26</v>
      </c>
      <c r="D224" s="7">
        <v>170002025286</v>
      </c>
      <c r="E224" s="7">
        <v>11</v>
      </c>
      <c r="F224" s="7" t="s">
        <v>1127</v>
      </c>
      <c r="G224" s="7"/>
      <c r="H224" s="7"/>
      <c r="I224" s="7" t="s">
        <v>1127</v>
      </c>
      <c r="J224" s="7" t="s">
        <v>42</v>
      </c>
      <c r="K224" s="7" t="s">
        <v>43</v>
      </c>
      <c r="L224" s="7" t="s">
        <v>44</v>
      </c>
      <c r="M224" s="8">
        <v>7420</v>
      </c>
      <c r="N224" s="9">
        <v>0.45340000000000003</v>
      </c>
      <c r="O224" s="7" t="s">
        <v>1128</v>
      </c>
      <c r="P224" s="7" t="s">
        <v>32</v>
      </c>
      <c r="Q224" s="7">
        <v>11</v>
      </c>
      <c r="R224" s="7" t="s">
        <v>168</v>
      </c>
      <c r="S224" s="7" t="s">
        <v>169</v>
      </c>
      <c r="T224" s="7" t="s">
        <v>1129</v>
      </c>
      <c r="U224" s="7" t="s">
        <v>1130</v>
      </c>
      <c r="V224" s="7" t="s">
        <v>160</v>
      </c>
      <c r="W224" s="7" t="s">
        <v>38</v>
      </c>
      <c r="X224" s="7" t="s">
        <v>89</v>
      </c>
      <c r="Y224" s="10" t="s">
        <v>134</v>
      </c>
    </row>
    <row r="225" spans="1:25" ht="12.75">
      <c r="A225" s="11">
        <v>2607653</v>
      </c>
      <c r="B225" s="12" t="s">
        <v>1131</v>
      </c>
      <c r="C225" s="12" t="s">
        <v>26</v>
      </c>
      <c r="D225" s="12">
        <v>170002251334</v>
      </c>
      <c r="E225" s="12">
        <v>43</v>
      </c>
      <c r="F225" s="12" t="s">
        <v>1132</v>
      </c>
      <c r="G225" s="17" t="s">
        <v>1133</v>
      </c>
      <c r="H225" s="12"/>
      <c r="I225" s="12" t="s">
        <v>1132</v>
      </c>
      <c r="J225" s="12" t="s">
        <v>82</v>
      </c>
      <c r="K225" s="12" t="s">
        <v>43</v>
      </c>
      <c r="L225" s="12" t="s">
        <v>30</v>
      </c>
      <c r="M225" s="13">
        <v>8982</v>
      </c>
      <c r="N225" s="14">
        <v>0.46050000000000002</v>
      </c>
      <c r="O225" s="12" t="s">
        <v>1134</v>
      </c>
      <c r="P225" s="12" t="s">
        <v>32</v>
      </c>
      <c r="Q225" s="12">
        <v>43</v>
      </c>
      <c r="R225" s="12" t="s">
        <v>383</v>
      </c>
      <c r="S225" s="12" t="s">
        <v>384</v>
      </c>
      <c r="T225" s="12" t="s">
        <v>1135</v>
      </c>
      <c r="U225" s="12" t="s">
        <v>1136</v>
      </c>
      <c r="V225" s="12" t="s">
        <v>37</v>
      </c>
      <c r="W225" s="12" t="s">
        <v>635</v>
      </c>
      <c r="X225" s="12" t="s">
        <v>58</v>
      </c>
      <c r="Y225" s="15" t="s">
        <v>90</v>
      </c>
    </row>
    <row r="226" spans="1:25" ht="12.75">
      <c r="A226" s="6">
        <v>2607653</v>
      </c>
      <c r="B226" s="7" t="s">
        <v>1131</v>
      </c>
      <c r="C226" s="7" t="s">
        <v>26</v>
      </c>
      <c r="D226" s="7">
        <v>170001926545</v>
      </c>
      <c r="E226" s="7">
        <v>15</v>
      </c>
      <c r="F226" s="7" t="s">
        <v>1137</v>
      </c>
      <c r="G226" s="7"/>
      <c r="H226" s="7"/>
      <c r="I226" s="7" t="s">
        <v>1138</v>
      </c>
      <c r="J226" s="7" t="s">
        <v>42</v>
      </c>
      <c r="K226" s="7" t="s">
        <v>29</v>
      </c>
      <c r="L226" s="7" t="s">
        <v>44</v>
      </c>
      <c r="M226" s="8">
        <v>6855</v>
      </c>
      <c r="N226" s="9">
        <v>0.35139999999999999</v>
      </c>
      <c r="O226" s="7" t="s">
        <v>1139</v>
      </c>
      <c r="P226" s="7" t="s">
        <v>32</v>
      </c>
      <c r="Q226" s="7">
        <v>15</v>
      </c>
      <c r="R226" s="7" t="s">
        <v>85</v>
      </c>
      <c r="S226" s="7" t="s">
        <v>86</v>
      </c>
      <c r="T226" s="7" t="s">
        <v>1140</v>
      </c>
      <c r="U226" s="7" t="s">
        <v>1141</v>
      </c>
      <c r="V226" s="7" t="s">
        <v>37</v>
      </c>
      <c r="W226" s="7" t="s">
        <v>50</v>
      </c>
      <c r="X226" s="7" t="s">
        <v>58</v>
      </c>
      <c r="Y226" s="10" t="s">
        <v>90</v>
      </c>
    </row>
    <row r="227" spans="1:25" ht="12.75">
      <c r="A227" s="11">
        <v>2607653</v>
      </c>
      <c r="B227" s="12" t="s">
        <v>1131</v>
      </c>
      <c r="C227" s="12" t="s">
        <v>26</v>
      </c>
      <c r="D227" s="12">
        <v>170001969495</v>
      </c>
      <c r="E227" s="12">
        <v>12</v>
      </c>
      <c r="F227" s="12" t="s">
        <v>1142</v>
      </c>
      <c r="G227" s="12"/>
      <c r="H227" s="12"/>
      <c r="I227" s="12" t="s">
        <v>1142</v>
      </c>
      <c r="J227" s="12" t="s">
        <v>42</v>
      </c>
      <c r="K227" s="12" t="s">
        <v>43</v>
      </c>
      <c r="L227" s="12" t="s">
        <v>44</v>
      </c>
      <c r="M227" s="13">
        <v>3668</v>
      </c>
      <c r="N227" s="14">
        <v>0.18809999999999999</v>
      </c>
      <c r="O227" s="12" t="s">
        <v>1143</v>
      </c>
      <c r="P227" s="12" t="s">
        <v>32</v>
      </c>
      <c r="Q227" s="12">
        <v>12</v>
      </c>
      <c r="R227" s="12" t="s">
        <v>138</v>
      </c>
      <c r="S227" s="12" t="s">
        <v>139</v>
      </c>
      <c r="T227" s="12" t="s">
        <v>1144</v>
      </c>
      <c r="U227" s="12" t="s">
        <v>1145</v>
      </c>
      <c r="V227" s="12" t="s">
        <v>160</v>
      </c>
      <c r="W227" s="12" t="s">
        <v>38</v>
      </c>
      <c r="X227" s="12" t="s">
        <v>58</v>
      </c>
      <c r="Y227" s="15" t="s">
        <v>51</v>
      </c>
    </row>
    <row r="228" spans="1:25" ht="12.75">
      <c r="A228" s="6">
        <v>2604908</v>
      </c>
      <c r="B228" s="7" t="s">
        <v>780</v>
      </c>
      <c r="C228" s="7" t="s">
        <v>26</v>
      </c>
      <c r="D228" s="7">
        <v>170002043580</v>
      </c>
      <c r="E228" s="7">
        <v>40</v>
      </c>
      <c r="F228" s="7" t="s">
        <v>1146</v>
      </c>
      <c r="G228" s="7"/>
      <c r="H228" s="7"/>
      <c r="I228" s="7" t="s">
        <v>1146</v>
      </c>
      <c r="J228" s="7" t="s">
        <v>82</v>
      </c>
      <c r="K228" s="7" t="s">
        <v>29</v>
      </c>
      <c r="L228" s="7" t="s">
        <v>30</v>
      </c>
      <c r="M228" s="8">
        <v>6645</v>
      </c>
      <c r="N228" s="9">
        <v>0.56179999999999997</v>
      </c>
      <c r="O228" s="7" t="s">
        <v>1147</v>
      </c>
      <c r="P228" s="7" t="s">
        <v>32</v>
      </c>
      <c r="Q228" s="7">
        <v>40</v>
      </c>
      <c r="R228" s="7" t="s">
        <v>33</v>
      </c>
      <c r="S228" s="7" t="s">
        <v>34</v>
      </c>
      <c r="T228" s="7" t="s">
        <v>1148</v>
      </c>
      <c r="U228" s="7" t="s">
        <v>1149</v>
      </c>
      <c r="V228" s="7" t="s">
        <v>160</v>
      </c>
      <c r="W228" s="7" t="s">
        <v>38</v>
      </c>
      <c r="X228" s="7" t="s">
        <v>39</v>
      </c>
      <c r="Y228" s="10" t="s">
        <v>401</v>
      </c>
    </row>
    <row r="229" spans="1:25" ht="12.75">
      <c r="A229" s="11">
        <v>2607703</v>
      </c>
      <c r="B229" s="12" t="s">
        <v>808</v>
      </c>
      <c r="C229" s="12" t="s">
        <v>26</v>
      </c>
      <c r="D229" s="12">
        <v>170002331246</v>
      </c>
      <c r="E229" s="12">
        <v>45</v>
      </c>
      <c r="F229" s="12" t="s">
        <v>1150</v>
      </c>
      <c r="G229" s="12"/>
      <c r="H229" s="12"/>
      <c r="I229" s="12" t="s">
        <v>1151</v>
      </c>
      <c r="J229" s="12" t="s">
        <v>42</v>
      </c>
      <c r="K229" s="12" t="s">
        <v>43</v>
      </c>
      <c r="L229" s="12" t="s">
        <v>44</v>
      </c>
      <c r="M229" s="13">
        <v>3726</v>
      </c>
      <c r="N229" s="14">
        <v>0.37880000000000003</v>
      </c>
      <c r="O229" s="12" t="s">
        <v>1152</v>
      </c>
      <c r="P229" s="12" t="s">
        <v>32</v>
      </c>
      <c r="Q229" s="12">
        <v>45</v>
      </c>
      <c r="R229" s="12" t="s">
        <v>61</v>
      </c>
      <c r="S229" s="12" t="s">
        <v>62</v>
      </c>
      <c r="T229" s="12" t="s">
        <v>1153</v>
      </c>
      <c r="U229" s="12" t="s">
        <v>1154</v>
      </c>
      <c r="V229" s="12" t="s">
        <v>37</v>
      </c>
      <c r="W229" s="12" t="s">
        <v>38</v>
      </c>
      <c r="X229" s="12" t="s">
        <v>58</v>
      </c>
      <c r="Y229" s="15" t="s">
        <v>127</v>
      </c>
    </row>
    <row r="230" spans="1:25" ht="12.75">
      <c r="A230" s="6">
        <v>2607752</v>
      </c>
      <c r="B230" s="7" t="s">
        <v>1155</v>
      </c>
      <c r="C230" s="7" t="s">
        <v>26</v>
      </c>
      <c r="D230" s="7">
        <v>170002132314</v>
      </c>
      <c r="E230" s="7">
        <v>40</v>
      </c>
      <c r="F230" s="7" t="s">
        <v>1156</v>
      </c>
      <c r="G230" s="7"/>
      <c r="H230" s="7"/>
      <c r="I230" s="7" t="s">
        <v>1156</v>
      </c>
      <c r="J230" s="7" t="s">
        <v>42</v>
      </c>
      <c r="K230" s="7" t="s">
        <v>43</v>
      </c>
      <c r="L230" s="7" t="s">
        <v>44</v>
      </c>
      <c r="M230" s="8">
        <v>7674</v>
      </c>
      <c r="N230" s="9">
        <v>0.41220000000000001</v>
      </c>
      <c r="O230" s="7" t="s">
        <v>1157</v>
      </c>
      <c r="P230" s="7" t="s">
        <v>32</v>
      </c>
      <c r="Q230" s="7">
        <v>40</v>
      </c>
      <c r="R230" s="7" t="s">
        <v>33</v>
      </c>
      <c r="S230" s="7" t="s">
        <v>34</v>
      </c>
      <c r="T230" s="7" t="s">
        <v>1158</v>
      </c>
      <c r="U230" s="7" t="s">
        <v>1159</v>
      </c>
      <c r="V230" s="7" t="s">
        <v>37</v>
      </c>
      <c r="W230" s="7" t="s">
        <v>38</v>
      </c>
      <c r="X230" s="7" t="s">
        <v>39</v>
      </c>
      <c r="Y230" s="10" t="s">
        <v>109</v>
      </c>
    </row>
    <row r="231" spans="1:25" ht="12.75">
      <c r="A231" s="11">
        <v>2607752</v>
      </c>
      <c r="B231" s="12" t="s">
        <v>1155</v>
      </c>
      <c r="C231" s="12" t="s">
        <v>26</v>
      </c>
      <c r="D231" s="12">
        <v>170002131848</v>
      </c>
      <c r="E231" s="12">
        <v>55</v>
      </c>
      <c r="F231" s="12" t="s">
        <v>1160</v>
      </c>
      <c r="G231" s="12"/>
      <c r="H231" s="12"/>
      <c r="I231" s="12" t="s">
        <v>1161</v>
      </c>
      <c r="J231" s="12" t="s">
        <v>82</v>
      </c>
      <c r="K231" s="12" t="s">
        <v>29</v>
      </c>
      <c r="L231" s="12" t="s">
        <v>30</v>
      </c>
      <c r="M231" s="13">
        <v>10945</v>
      </c>
      <c r="N231" s="14">
        <v>0.58779999999999999</v>
      </c>
      <c r="O231" s="12" t="s">
        <v>1162</v>
      </c>
      <c r="P231" s="12" t="s">
        <v>32</v>
      </c>
      <c r="Q231" s="12">
        <v>55</v>
      </c>
      <c r="R231" s="12" t="s">
        <v>74</v>
      </c>
      <c r="S231" s="12" t="s">
        <v>75</v>
      </c>
      <c r="T231" s="12" t="s">
        <v>1163</v>
      </c>
      <c r="U231" s="12" t="s">
        <v>1164</v>
      </c>
      <c r="V231" s="12" t="s">
        <v>37</v>
      </c>
      <c r="W231" s="12" t="s">
        <v>38</v>
      </c>
      <c r="X231" s="12" t="s">
        <v>58</v>
      </c>
      <c r="Y231" s="15" t="s">
        <v>165</v>
      </c>
    </row>
    <row r="232" spans="1:25" ht="12.75">
      <c r="A232" s="6">
        <v>2607802</v>
      </c>
      <c r="B232" s="7" t="s">
        <v>1165</v>
      </c>
      <c r="C232" s="7" t="s">
        <v>26</v>
      </c>
      <c r="D232" s="7">
        <v>170002181570</v>
      </c>
      <c r="E232" s="7">
        <v>20</v>
      </c>
      <c r="F232" s="7" t="s">
        <v>1166</v>
      </c>
      <c r="G232" s="7"/>
      <c r="H232" s="7"/>
      <c r="I232" s="7" t="s">
        <v>1166</v>
      </c>
      <c r="J232" s="7" t="s">
        <v>42</v>
      </c>
      <c r="K232" s="7" t="s">
        <v>43</v>
      </c>
      <c r="L232" s="7" t="s">
        <v>44</v>
      </c>
      <c r="M232" s="8">
        <v>4584</v>
      </c>
      <c r="N232" s="9">
        <v>0.41799999999999998</v>
      </c>
      <c r="O232" s="7" t="s">
        <v>1167</v>
      </c>
      <c r="P232" s="7" t="s">
        <v>32</v>
      </c>
      <c r="Q232" s="7">
        <v>20</v>
      </c>
      <c r="R232" s="7" t="s">
        <v>98</v>
      </c>
      <c r="S232" s="7" t="s">
        <v>99</v>
      </c>
      <c r="T232" s="7" t="s">
        <v>1168</v>
      </c>
      <c r="U232" s="7" t="s">
        <v>1169</v>
      </c>
      <c r="V232" s="7" t="s">
        <v>37</v>
      </c>
      <c r="W232" s="7" t="s">
        <v>50</v>
      </c>
      <c r="X232" s="7" t="s">
        <v>89</v>
      </c>
      <c r="Y232" s="10" t="s">
        <v>1170</v>
      </c>
    </row>
    <row r="233" spans="1:25" ht="12.75">
      <c r="A233" s="11">
        <v>2607802</v>
      </c>
      <c r="B233" s="12" t="s">
        <v>1165</v>
      </c>
      <c r="C233" s="12" t="s">
        <v>26</v>
      </c>
      <c r="D233" s="12">
        <v>170002043192</v>
      </c>
      <c r="E233" s="12">
        <v>70</v>
      </c>
      <c r="F233" s="12" t="s">
        <v>1171</v>
      </c>
      <c r="G233" s="12"/>
      <c r="H233" s="12"/>
      <c r="I233" s="12" t="s">
        <v>1171</v>
      </c>
      <c r="J233" s="12" t="s">
        <v>42</v>
      </c>
      <c r="K233" s="12" t="s">
        <v>43</v>
      </c>
      <c r="L233" s="12" t="s">
        <v>44</v>
      </c>
      <c r="M233" s="13">
        <v>250</v>
      </c>
      <c r="N233" s="14">
        <v>2.2800000000000001E-2</v>
      </c>
      <c r="O233" s="12" t="s">
        <v>1172</v>
      </c>
      <c r="P233" s="12" t="s">
        <v>46</v>
      </c>
      <c r="Q233" s="12">
        <v>70</v>
      </c>
      <c r="R233" s="12" t="s">
        <v>177</v>
      </c>
      <c r="S233" s="12" t="s">
        <v>177</v>
      </c>
      <c r="T233" s="12" t="s">
        <v>46</v>
      </c>
      <c r="U233" s="12" t="s">
        <v>1173</v>
      </c>
      <c r="V233" s="12" t="s">
        <v>37</v>
      </c>
      <c r="W233" s="12" t="s">
        <v>38</v>
      </c>
      <c r="X233" s="12" t="s">
        <v>89</v>
      </c>
      <c r="Y233" s="15" t="s">
        <v>1174</v>
      </c>
    </row>
    <row r="234" spans="1:25" ht="12.75">
      <c r="A234" s="6">
        <v>2607802</v>
      </c>
      <c r="B234" s="7" t="s">
        <v>1165</v>
      </c>
      <c r="C234" s="7" t="s">
        <v>26</v>
      </c>
      <c r="D234" s="7">
        <v>170002215530</v>
      </c>
      <c r="E234" s="7">
        <v>55</v>
      </c>
      <c r="F234" s="7" t="s">
        <v>1175</v>
      </c>
      <c r="G234" s="7"/>
      <c r="H234" s="7"/>
      <c r="I234" s="7" t="s">
        <v>1175</v>
      </c>
      <c r="J234" s="7" t="s">
        <v>28</v>
      </c>
      <c r="K234" s="7" t="s">
        <v>29</v>
      </c>
      <c r="L234" s="7" t="s">
        <v>30</v>
      </c>
      <c r="M234" s="8">
        <v>6132</v>
      </c>
      <c r="N234" s="9">
        <v>0.55920000000000003</v>
      </c>
      <c r="O234" s="7" t="s">
        <v>1176</v>
      </c>
      <c r="P234" s="7" t="s">
        <v>32</v>
      </c>
      <c r="Q234" s="7">
        <v>55</v>
      </c>
      <c r="R234" s="7" t="s">
        <v>74</v>
      </c>
      <c r="S234" s="7" t="s">
        <v>75</v>
      </c>
      <c r="T234" s="7" t="s">
        <v>1177</v>
      </c>
      <c r="U234" s="7" t="s">
        <v>1178</v>
      </c>
      <c r="V234" s="7" t="s">
        <v>37</v>
      </c>
      <c r="W234" s="7" t="s">
        <v>50</v>
      </c>
      <c r="X234" s="7" t="s">
        <v>58</v>
      </c>
      <c r="Y234" s="10" t="s">
        <v>246</v>
      </c>
    </row>
    <row r="235" spans="1:25" ht="12.75">
      <c r="A235" s="11">
        <v>2607901</v>
      </c>
      <c r="B235" s="12" t="s">
        <v>1179</v>
      </c>
      <c r="C235" s="12" t="s">
        <v>26</v>
      </c>
      <c r="D235" s="12">
        <v>170002087604</v>
      </c>
      <c r="E235" s="12">
        <v>70</v>
      </c>
      <c r="F235" s="12" t="s">
        <v>1180</v>
      </c>
      <c r="G235" s="12"/>
      <c r="H235" s="12"/>
      <c r="I235" s="12" t="s">
        <v>1180</v>
      </c>
      <c r="J235" s="12" t="s">
        <v>42</v>
      </c>
      <c r="K235" s="12" t="s">
        <v>43</v>
      </c>
      <c r="L235" s="12" t="s">
        <v>44</v>
      </c>
      <c r="M235" s="13">
        <v>17564</v>
      </c>
      <c r="N235" s="14">
        <v>5.4300000000000001E-2</v>
      </c>
      <c r="O235" s="12" t="s">
        <v>1181</v>
      </c>
      <c r="P235" s="12" t="s">
        <v>46</v>
      </c>
      <c r="Q235" s="12">
        <v>70</v>
      </c>
      <c r="R235" s="12" t="s">
        <v>177</v>
      </c>
      <c r="S235" s="12" t="s">
        <v>177</v>
      </c>
      <c r="T235" s="12" t="s">
        <v>46</v>
      </c>
      <c r="U235" s="12" t="s">
        <v>1182</v>
      </c>
      <c r="V235" s="12" t="s">
        <v>37</v>
      </c>
      <c r="W235" s="12" t="s">
        <v>38</v>
      </c>
      <c r="X235" s="12" t="s">
        <v>39</v>
      </c>
      <c r="Y235" s="15" t="s">
        <v>656</v>
      </c>
    </row>
    <row r="236" spans="1:25" ht="12.75">
      <c r="A236" s="6">
        <v>2607901</v>
      </c>
      <c r="B236" s="7" t="s">
        <v>1179</v>
      </c>
      <c r="C236" s="7" t="s">
        <v>26</v>
      </c>
      <c r="D236" s="7">
        <v>170002007983</v>
      </c>
      <c r="E236" s="7">
        <v>13</v>
      </c>
      <c r="F236" s="7" t="s">
        <v>1183</v>
      </c>
      <c r="G236" s="7"/>
      <c r="H236" s="7"/>
      <c r="I236" s="7" t="s">
        <v>1183</v>
      </c>
      <c r="J236" s="7" t="s">
        <v>42</v>
      </c>
      <c r="K236" s="7" t="s">
        <v>43</v>
      </c>
      <c r="L236" s="7" t="s">
        <v>44</v>
      </c>
      <c r="M236" s="8">
        <v>59508</v>
      </c>
      <c r="N236" s="9">
        <v>0.18410000000000001</v>
      </c>
      <c r="O236" s="7" t="s">
        <v>1184</v>
      </c>
      <c r="P236" s="7" t="s">
        <v>32</v>
      </c>
      <c r="Q236" s="7">
        <v>13</v>
      </c>
      <c r="R236" s="7" t="s">
        <v>130</v>
      </c>
      <c r="S236" s="7" t="s">
        <v>131</v>
      </c>
      <c r="T236" s="7" t="s">
        <v>1185</v>
      </c>
      <c r="U236" s="7" t="s">
        <v>1186</v>
      </c>
      <c r="V236" s="7" t="s">
        <v>37</v>
      </c>
      <c r="W236" s="7" t="s">
        <v>38</v>
      </c>
      <c r="X236" s="7" t="s">
        <v>58</v>
      </c>
      <c r="Y236" s="10" t="s">
        <v>51</v>
      </c>
    </row>
    <row r="237" spans="1:25" ht="12.75">
      <c r="A237" s="11">
        <v>2607901</v>
      </c>
      <c r="B237" s="12" t="s">
        <v>1179</v>
      </c>
      <c r="C237" s="12" t="s">
        <v>26</v>
      </c>
      <c r="D237" s="12">
        <v>170002083487</v>
      </c>
      <c r="E237" s="12">
        <v>11</v>
      </c>
      <c r="F237" s="12" t="s">
        <v>1187</v>
      </c>
      <c r="G237" s="12"/>
      <c r="H237" s="12"/>
      <c r="I237" s="12" t="s">
        <v>1187</v>
      </c>
      <c r="J237" s="12" t="s">
        <v>42</v>
      </c>
      <c r="K237" s="12" t="s">
        <v>43</v>
      </c>
      <c r="L237" s="12" t="s">
        <v>44</v>
      </c>
      <c r="M237" s="13">
        <v>65400</v>
      </c>
      <c r="N237" s="14">
        <v>0.20230000000000001</v>
      </c>
      <c r="O237" s="12" t="s">
        <v>1188</v>
      </c>
      <c r="P237" s="12" t="s">
        <v>32</v>
      </c>
      <c r="Q237" s="12">
        <v>11</v>
      </c>
      <c r="R237" s="12" t="s">
        <v>168</v>
      </c>
      <c r="S237" s="12" t="s">
        <v>169</v>
      </c>
      <c r="T237" s="12" t="s">
        <v>1189</v>
      </c>
      <c r="U237" s="12" t="s">
        <v>1190</v>
      </c>
      <c r="V237" s="12" t="s">
        <v>160</v>
      </c>
      <c r="W237" s="12" t="s">
        <v>50</v>
      </c>
      <c r="X237" s="12" t="s">
        <v>39</v>
      </c>
      <c r="Y237" s="15" t="s">
        <v>660</v>
      </c>
    </row>
    <row r="238" spans="1:25" ht="12.75">
      <c r="A238" s="6">
        <v>2607901</v>
      </c>
      <c r="B238" s="7" t="s">
        <v>1179</v>
      </c>
      <c r="C238" s="7" t="s">
        <v>26</v>
      </c>
      <c r="D238" s="7">
        <v>170001935254</v>
      </c>
      <c r="E238" s="7">
        <v>22</v>
      </c>
      <c r="F238" s="7" t="s">
        <v>1191</v>
      </c>
      <c r="G238" s="7"/>
      <c r="H238" s="7"/>
      <c r="I238" s="7" t="s">
        <v>1192</v>
      </c>
      <c r="J238" s="7" t="s">
        <v>28</v>
      </c>
      <c r="K238" s="7" t="s">
        <v>29</v>
      </c>
      <c r="L238" s="7" t="s">
        <v>30</v>
      </c>
      <c r="M238" s="8">
        <v>180810</v>
      </c>
      <c r="N238" s="9">
        <v>0.55930000000000002</v>
      </c>
      <c r="O238" s="7" t="s">
        <v>1193</v>
      </c>
      <c r="P238" s="7" t="s">
        <v>32</v>
      </c>
      <c r="Q238" s="7">
        <v>22</v>
      </c>
      <c r="R238" s="7" t="s">
        <v>321</v>
      </c>
      <c r="S238" s="7" t="s">
        <v>322</v>
      </c>
      <c r="T238" s="7" t="s">
        <v>1087</v>
      </c>
      <c r="U238" s="7" t="s">
        <v>1194</v>
      </c>
      <c r="V238" s="7" t="s">
        <v>37</v>
      </c>
      <c r="W238" s="7" t="s">
        <v>38</v>
      </c>
      <c r="X238" s="7" t="s">
        <v>39</v>
      </c>
      <c r="Y238" s="10" t="s">
        <v>26</v>
      </c>
    </row>
    <row r="239" spans="1:25" ht="12.75">
      <c r="A239" s="11">
        <v>2607950</v>
      </c>
      <c r="B239" s="12" t="s">
        <v>582</v>
      </c>
      <c r="C239" s="12" t="s">
        <v>26</v>
      </c>
      <c r="D239" s="12">
        <v>170002343353</v>
      </c>
      <c r="E239" s="12">
        <v>40</v>
      </c>
      <c r="F239" s="12" t="s">
        <v>1195</v>
      </c>
      <c r="G239" s="12"/>
      <c r="H239" s="12"/>
      <c r="I239" s="12" t="s">
        <v>1195</v>
      </c>
      <c r="J239" s="12" t="s">
        <v>42</v>
      </c>
      <c r="K239" s="12" t="s">
        <v>43</v>
      </c>
      <c r="L239" s="12" t="s">
        <v>44</v>
      </c>
      <c r="M239" s="13">
        <v>960</v>
      </c>
      <c r="N239" s="14">
        <v>0.12920000000000001</v>
      </c>
      <c r="O239" s="12" t="s">
        <v>1196</v>
      </c>
      <c r="P239" s="12" t="s">
        <v>32</v>
      </c>
      <c r="Q239" s="12">
        <v>40</v>
      </c>
      <c r="R239" s="12" t="s">
        <v>33</v>
      </c>
      <c r="S239" s="12" t="s">
        <v>34</v>
      </c>
      <c r="T239" s="12" t="s">
        <v>1197</v>
      </c>
      <c r="U239" s="12" t="s">
        <v>1198</v>
      </c>
      <c r="V239" s="12" t="s">
        <v>37</v>
      </c>
      <c r="W239" s="12" t="s">
        <v>38</v>
      </c>
      <c r="X239" s="12" t="s">
        <v>58</v>
      </c>
      <c r="Y239" s="15" t="s">
        <v>732</v>
      </c>
    </row>
    <row r="240" spans="1:25" ht="12.75">
      <c r="A240" s="6">
        <v>2614105</v>
      </c>
      <c r="B240" s="7" t="s">
        <v>1199</v>
      </c>
      <c r="C240" s="7" t="s">
        <v>26</v>
      </c>
      <c r="D240" s="7">
        <v>170002097760</v>
      </c>
      <c r="E240" s="7">
        <v>45</v>
      </c>
      <c r="F240" s="7" t="s">
        <v>1200</v>
      </c>
      <c r="G240" s="7" t="s">
        <v>1201</v>
      </c>
      <c r="H240" s="7"/>
      <c r="I240" s="7" t="s">
        <v>1200</v>
      </c>
      <c r="J240" s="7" t="s">
        <v>82</v>
      </c>
      <c r="K240" s="7" t="s">
        <v>43</v>
      </c>
      <c r="L240" s="7" t="s">
        <v>30</v>
      </c>
      <c r="M240" s="8">
        <v>11478</v>
      </c>
      <c r="N240" s="9">
        <v>0.55869999999999997</v>
      </c>
      <c r="O240" s="7" t="s">
        <v>1202</v>
      </c>
      <c r="P240" s="7" t="s">
        <v>32</v>
      </c>
      <c r="Q240" s="7">
        <v>45</v>
      </c>
      <c r="R240" s="7" t="s">
        <v>61</v>
      </c>
      <c r="S240" s="7" t="s">
        <v>62</v>
      </c>
      <c r="T240" s="7" t="s">
        <v>1203</v>
      </c>
      <c r="U240" s="7" t="s">
        <v>1204</v>
      </c>
      <c r="V240" s="7" t="s">
        <v>160</v>
      </c>
      <c r="W240" s="7" t="s">
        <v>38</v>
      </c>
      <c r="X240" s="7" t="s">
        <v>58</v>
      </c>
      <c r="Y240" s="10" t="s">
        <v>90</v>
      </c>
    </row>
    <row r="241" spans="1:25" ht="12.75">
      <c r="A241" s="11">
        <v>2608008</v>
      </c>
      <c r="B241" s="12" t="s">
        <v>819</v>
      </c>
      <c r="C241" s="12" t="s">
        <v>26</v>
      </c>
      <c r="D241" s="12">
        <v>170002343827</v>
      </c>
      <c r="E241" s="12">
        <v>20</v>
      </c>
      <c r="F241" s="12" t="s">
        <v>1205</v>
      </c>
      <c r="G241" s="12"/>
      <c r="H241" s="12"/>
      <c r="I241" s="12" t="s">
        <v>1205</v>
      </c>
      <c r="J241" s="12" t="s">
        <v>42</v>
      </c>
      <c r="K241" s="12" t="s">
        <v>43</v>
      </c>
      <c r="L241" s="12" t="s">
        <v>44</v>
      </c>
      <c r="M241" s="13">
        <v>3936</v>
      </c>
      <c r="N241" s="14">
        <v>0.32519999999999999</v>
      </c>
      <c r="O241" s="12" t="s">
        <v>1206</v>
      </c>
      <c r="P241" s="12" t="s">
        <v>32</v>
      </c>
      <c r="Q241" s="12">
        <v>20</v>
      </c>
      <c r="R241" s="12" t="s">
        <v>98</v>
      </c>
      <c r="S241" s="12" t="s">
        <v>99</v>
      </c>
      <c r="T241" s="12" t="s">
        <v>1207</v>
      </c>
      <c r="U241" s="12" t="s">
        <v>1208</v>
      </c>
      <c r="V241" s="12" t="s">
        <v>37</v>
      </c>
      <c r="W241" s="12" t="s">
        <v>102</v>
      </c>
      <c r="X241" s="12" t="s">
        <v>39</v>
      </c>
      <c r="Y241" s="15" t="s">
        <v>95</v>
      </c>
    </row>
    <row r="242" spans="1:25" ht="12.75">
      <c r="A242" s="6">
        <v>2611804</v>
      </c>
      <c r="B242" s="7" t="s">
        <v>1209</v>
      </c>
      <c r="C242" s="7" t="s">
        <v>26</v>
      </c>
      <c r="D242" s="7">
        <v>170001976558</v>
      </c>
      <c r="E242" s="7">
        <v>40</v>
      </c>
      <c r="F242" s="7" t="s">
        <v>1210</v>
      </c>
      <c r="G242" s="7"/>
      <c r="H242" s="7"/>
      <c r="I242" s="7" t="s">
        <v>1211</v>
      </c>
      <c r="J242" s="7" t="s">
        <v>82</v>
      </c>
      <c r="K242" s="7" t="s">
        <v>29</v>
      </c>
      <c r="L242" s="7" t="s">
        <v>30</v>
      </c>
      <c r="M242" s="8">
        <v>12341</v>
      </c>
      <c r="N242" s="9">
        <v>0.54830000000000001</v>
      </c>
      <c r="O242" s="7" t="s">
        <v>1212</v>
      </c>
      <c r="P242" s="7" t="s">
        <v>32</v>
      </c>
      <c r="Q242" s="7">
        <v>40</v>
      </c>
      <c r="R242" s="7" t="s">
        <v>33</v>
      </c>
      <c r="S242" s="7" t="s">
        <v>34</v>
      </c>
      <c r="T242" s="7" t="s">
        <v>1213</v>
      </c>
      <c r="U242" s="7" t="s">
        <v>1214</v>
      </c>
      <c r="V242" s="7" t="s">
        <v>160</v>
      </c>
      <c r="W242" s="7" t="s">
        <v>38</v>
      </c>
      <c r="X242" s="7" t="s">
        <v>39</v>
      </c>
      <c r="Y242" s="10" t="s">
        <v>134</v>
      </c>
    </row>
    <row r="243" spans="1:25" ht="12.75">
      <c r="A243" s="11">
        <v>2608008</v>
      </c>
      <c r="B243" s="12" t="s">
        <v>819</v>
      </c>
      <c r="C243" s="12" t="s">
        <v>26</v>
      </c>
      <c r="D243" s="12">
        <v>170002143502</v>
      </c>
      <c r="E243" s="12">
        <v>13</v>
      </c>
      <c r="F243" s="12" t="s">
        <v>1215</v>
      </c>
      <c r="G243" s="12"/>
      <c r="H243" s="12"/>
      <c r="I243" s="12" t="s">
        <v>1216</v>
      </c>
      <c r="J243" s="12" t="s">
        <v>42</v>
      </c>
      <c r="K243" s="12" t="s">
        <v>43</v>
      </c>
      <c r="L243" s="12" t="s">
        <v>44</v>
      </c>
      <c r="M243" s="13">
        <v>845</v>
      </c>
      <c r="N243" s="14">
        <v>6.9800000000000001E-2</v>
      </c>
      <c r="O243" s="12" t="s">
        <v>1217</v>
      </c>
      <c r="P243" s="12" t="s">
        <v>54</v>
      </c>
      <c r="Q243" s="12">
        <v>13</v>
      </c>
      <c r="R243" s="12" t="s">
        <v>130</v>
      </c>
      <c r="S243" s="12" t="s">
        <v>131</v>
      </c>
      <c r="T243" s="12" t="s">
        <v>54</v>
      </c>
      <c r="U243" s="12" t="s">
        <v>1218</v>
      </c>
      <c r="V243" s="12" t="s">
        <v>37</v>
      </c>
      <c r="W243" s="12" t="s">
        <v>635</v>
      </c>
      <c r="X243" s="12" t="s">
        <v>39</v>
      </c>
      <c r="Y243" s="15" t="s">
        <v>51</v>
      </c>
    </row>
    <row r="244" spans="1:25" ht="12.75">
      <c r="A244" s="6">
        <v>2608057</v>
      </c>
      <c r="B244" s="7" t="s">
        <v>1219</v>
      </c>
      <c r="C244" s="7" t="s">
        <v>26</v>
      </c>
      <c r="D244" s="7">
        <v>170002082167</v>
      </c>
      <c r="E244" s="7">
        <v>13</v>
      </c>
      <c r="F244" s="7" t="s">
        <v>1220</v>
      </c>
      <c r="G244" s="7"/>
      <c r="H244" s="7"/>
      <c r="I244" s="7" t="s">
        <v>1220</v>
      </c>
      <c r="J244" s="7" t="s">
        <v>42</v>
      </c>
      <c r="K244" s="7" t="s">
        <v>43</v>
      </c>
      <c r="L244" s="7" t="s">
        <v>44</v>
      </c>
      <c r="M244" s="8">
        <v>3136</v>
      </c>
      <c r="N244" s="9">
        <v>0.33810000000000001</v>
      </c>
      <c r="O244" s="7" t="s">
        <v>1221</v>
      </c>
      <c r="P244" s="7" t="s">
        <v>32</v>
      </c>
      <c r="Q244" s="7">
        <v>13</v>
      </c>
      <c r="R244" s="7" t="s">
        <v>130</v>
      </c>
      <c r="S244" s="7" t="s">
        <v>131</v>
      </c>
      <c r="T244" s="7" t="s">
        <v>1222</v>
      </c>
      <c r="U244" s="7" t="s">
        <v>1223</v>
      </c>
      <c r="V244" s="7" t="s">
        <v>37</v>
      </c>
      <c r="W244" s="7" t="s">
        <v>50</v>
      </c>
      <c r="X244" s="7" t="s">
        <v>58</v>
      </c>
      <c r="Y244" s="10" t="s">
        <v>246</v>
      </c>
    </row>
    <row r="245" spans="1:25" ht="12.75">
      <c r="A245" s="11">
        <v>2608057</v>
      </c>
      <c r="B245" s="12" t="s">
        <v>1219</v>
      </c>
      <c r="C245" s="12" t="s">
        <v>26</v>
      </c>
      <c r="D245" s="12">
        <v>170001914506</v>
      </c>
      <c r="E245" s="12">
        <v>10</v>
      </c>
      <c r="F245" s="12" t="s">
        <v>1224</v>
      </c>
      <c r="G245" s="12"/>
      <c r="H245" s="12"/>
      <c r="I245" s="12" t="s">
        <v>1225</v>
      </c>
      <c r="J245" s="12" t="s">
        <v>28</v>
      </c>
      <c r="K245" s="12" t="s">
        <v>29</v>
      </c>
      <c r="L245" s="12" t="s">
        <v>30</v>
      </c>
      <c r="M245" s="13">
        <v>6081</v>
      </c>
      <c r="N245" s="14">
        <v>0.65559999999999996</v>
      </c>
      <c r="O245" s="12" t="s">
        <v>1226</v>
      </c>
      <c r="P245" s="12" t="s">
        <v>32</v>
      </c>
      <c r="Q245" s="12">
        <v>10</v>
      </c>
      <c r="R245" s="12" t="s">
        <v>124</v>
      </c>
      <c r="S245" s="12" t="s">
        <v>124</v>
      </c>
      <c r="T245" s="12" t="s">
        <v>986</v>
      </c>
      <c r="U245" s="12" t="s">
        <v>1227</v>
      </c>
      <c r="V245" s="12" t="s">
        <v>37</v>
      </c>
      <c r="W245" s="12" t="s">
        <v>38</v>
      </c>
      <c r="X245" s="12" t="s">
        <v>58</v>
      </c>
      <c r="Y245" s="15" t="s">
        <v>26</v>
      </c>
    </row>
    <row r="246" spans="1:25" ht="12.75">
      <c r="A246" s="6">
        <v>2608107</v>
      </c>
      <c r="B246" s="7" t="s">
        <v>1228</v>
      </c>
      <c r="C246" s="7" t="s">
        <v>26</v>
      </c>
      <c r="D246" s="7">
        <v>170001968178</v>
      </c>
      <c r="E246" s="7">
        <v>20</v>
      </c>
      <c r="F246" s="7" t="s">
        <v>1229</v>
      </c>
      <c r="G246" s="7"/>
      <c r="H246" s="7"/>
      <c r="I246" s="7" t="s">
        <v>1229</v>
      </c>
      <c r="J246" s="7" t="s">
        <v>42</v>
      </c>
      <c r="K246" s="7" t="s">
        <v>43</v>
      </c>
      <c r="L246" s="7" t="s">
        <v>44</v>
      </c>
      <c r="M246" s="8">
        <v>6613</v>
      </c>
      <c r="N246" s="9">
        <v>0.3347</v>
      </c>
      <c r="O246" s="7" t="s">
        <v>1230</v>
      </c>
      <c r="P246" s="7" t="s">
        <v>32</v>
      </c>
      <c r="Q246" s="7">
        <v>20</v>
      </c>
      <c r="R246" s="7" t="s">
        <v>98</v>
      </c>
      <c r="S246" s="7" t="s">
        <v>99</v>
      </c>
      <c r="T246" s="7" t="s">
        <v>1231</v>
      </c>
      <c r="U246" s="7" t="s">
        <v>1232</v>
      </c>
      <c r="V246" s="7" t="s">
        <v>160</v>
      </c>
      <c r="W246" s="7" t="s">
        <v>38</v>
      </c>
      <c r="X246" s="7" t="s">
        <v>39</v>
      </c>
      <c r="Y246" s="10" t="s">
        <v>90</v>
      </c>
    </row>
    <row r="247" spans="1:25" ht="12.75">
      <c r="A247" s="11">
        <v>2608107</v>
      </c>
      <c r="B247" s="12" t="s">
        <v>1228</v>
      </c>
      <c r="C247" s="12" t="s">
        <v>26</v>
      </c>
      <c r="D247" s="12">
        <v>170002191657</v>
      </c>
      <c r="E247" s="12">
        <v>40</v>
      </c>
      <c r="F247" s="12" t="s">
        <v>1233</v>
      </c>
      <c r="G247" s="12"/>
      <c r="H247" s="12"/>
      <c r="I247" s="12" t="s">
        <v>1234</v>
      </c>
      <c r="J247" s="12" t="s">
        <v>28</v>
      </c>
      <c r="K247" s="12" t="s">
        <v>29</v>
      </c>
      <c r="L247" s="12" t="s">
        <v>30</v>
      </c>
      <c r="M247" s="13">
        <v>13145</v>
      </c>
      <c r="N247" s="14">
        <v>0.6653</v>
      </c>
      <c r="O247" s="12" t="s">
        <v>1235</v>
      </c>
      <c r="P247" s="12" t="s">
        <v>32</v>
      </c>
      <c r="Q247" s="12">
        <v>40</v>
      </c>
      <c r="R247" s="12" t="s">
        <v>33</v>
      </c>
      <c r="S247" s="12" t="s">
        <v>34</v>
      </c>
      <c r="T247" s="12" t="s">
        <v>1236</v>
      </c>
      <c r="U247" s="12" t="s">
        <v>1237</v>
      </c>
      <c r="V247" s="12" t="s">
        <v>37</v>
      </c>
      <c r="W247" s="12" t="s">
        <v>50</v>
      </c>
      <c r="X247" s="12" t="s">
        <v>89</v>
      </c>
      <c r="Y247" s="15" t="s">
        <v>26</v>
      </c>
    </row>
    <row r="248" spans="1:25" ht="12.75">
      <c r="A248" s="6">
        <v>2608206</v>
      </c>
      <c r="B248" s="7" t="s">
        <v>1238</v>
      </c>
      <c r="C248" s="7" t="s">
        <v>26</v>
      </c>
      <c r="D248" s="7">
        <v>170002009432</v>
      </c>
      <c r="E248" s="7">
        <v>40</v>
      </c>
      <c r="F248" s="7" t="s">
        <v>1239</v>
      </c>
      <c r="G248" s="7"/>
      <c r="H248" s="7"/>
      <c r="I248" s="7" t="s">
        <v>1239</v>
      </c>
      <c r="J248" s="7" t="s">
        <v>42</v>
      </c>
      <c r="K248" s="7" t="s">
        <v>43</v>
      </c>
      <c r="L248" s="7" t="s">
        <v>44</v>
      </c>
      <c r="M248" s="8">
        <v>5828</v>
      </c>
      <c r="N248" s="9">
        <v>0.47649999999999998</v>
      </c>
      <c r="O248" s="7" t="s">
        <v>1240</v>
      </c>
      <c r="P248" s="7" t="s">
        <v>32</v>
      </c>
      <c r="Q248" s="7">
        <v>40</v>
      </c>
      <c r="R248" s="7" t="s">
        <v>33</v>
      </c>
      <c r="S248" s="7" t="s">
        <v>34</v>
      </c>
      <c r="T248" s="7" t="s">
        <v>1241</v>
      </c>
      <c r="U248" s="7" t="s">
        <v>1242</v>
      </c>
      <c r="V248" s="7" t="s">
        <v>160</v>
      </c>
      <c r="W248" s="7" t="s">
        <v>50</v>
      </c>
      <c r="X248" s="7" t="s">
        <v>58</v>
      </c>
      <c r="Y248" s="10" t="s">
        <v>90</v>
      </c>
    </row>
    <row r="249" spans="1:25" ht="12.75">
      <c r="A249" s="11">
        <v>2606705</v>
      </c>
      <c r="B249" s="12" t="s">
        <v>1015</v>
      </c>
      <c r="C249" s="12" t="s">
        <v>26</v>
      </c>
      <c r="D249" s="12">
        <v>170002007634</v>
      </c>
      <c r="E249" s="12">
        <v>45</v>
      </c>
      <c r="F249" s="12" t="s">
        <v>1243</v>
      </c>
      <c r="G249" s="12"/>
      <c r="H249" s="12"/>
      <c r="I249" s="12" t="s">
        <v>1243</v>
      </c>
      <c r="J249" s="12" t="s">
        <v>28</v>
      </c>
      <c r="K249" s="12" t="s">
        <v>29</v>
      </c>
      <c r="L249" s="12" t="s">
        <v>30</v>
      </c>
      <c r="M249" s="13">
        <v>3083</v>
      </c>
      <c r="N249" s="14">
        <v>0.54300000000000004</v>
      </c>
      <c r="O249" s="12" t="s">
        <v>1244</v>
      </c>
      <c r="P249" s="12" t="s">
        <v>32</v>
      </c>
      <c r="Q249" s="12">
        <v>45</v>
      </c>
      <c r="R249" s="12" t="s">
        <v>61</v>
      </c>
      <c r="S249" s="12" t="s">
        <v>62</v>
      </c>
      <c r="T249" s="12" t="s">
        <v>1245</v>
      </c>
      <c r="U249" s="12" t="s">
        <v>1246</v>
      </c>
      <c r="V249" s="12" t="s">
        <v>160</v>
      </c>
      <c r="W249" s="12" t="s">
        <v>38</v>
      </c>
      <c r="X249" s="12" t="s">
        <v>58</v>
      </c>
      <c r="Y249" s="15" t="s">
        <v>134</v>
      </c>
    </row>
    <row r="250" spans="1:25" ht="12.75">
      <c r="A250" s="6">
        <v>2608255</v>
      </c>
      <c r="B250" s="7" t="s">
        <v>1247</v>
      </c>
      <c r="C250" s="7" t="s">
        <v>26</v>
      </c>
      <c r="D250" s="7">
        <v>170002355158</v>
      </c>
      <c r="E250" s="7">
        <v>70</v>
      </c>
      <c r="F250" s="7" t="s">
        <v>1248</v>
      </c>
      <c r="G250" s="7"/>
      <c r="H250" s="7"/>
      <c r="I250" s="7" t="s">
        <v>1248</v>
      </c>
      <c r="J250" s="7" t="s">
        <v>42</v>
      </c>
      <c r="K250" s="7" t="s">
        <v>43</v>
      </c>
      <c r="L250" s="7" t="s">
        <v>44</v>
      </c>
      <c r="M250" s="8">
        <v>1636</v>
      </c>
      <c r="N250" s="9">
        <v>0.20669999999999999</v>
      </c>
      <c r="O250" s="7" t="s">
        <v>1249</v>
      </c>
      <c r="P250" s="7" t="s">
        <v>46</v>
      </c>
      <c r="Q250" s="7">
        <v>70</v>
      </c>
      <c r="R250" s="7" t="s">
        <v>177</v>
      </c>
      <c r="S250" s="7" t="s">
        <v>177</v>
      </c>
      <c r="T250" s="7" t="s">
        <v>46</v>
      </c>
      <c r="U250" s="7" t="s">
        <v>1250</v>
      </c>
      <c r="V250" s="7" t="s">
        <v>37</v>
      </c>
      <c r="W250" s="7" t="s">
        <v>38</v>
      </c>
      <c r="X250" s="7" t="s">
        <v>89</v>
      </c>
      <c r="Y250" s="10" t="s">
        <v>656</v>
      </c>
    </row>
    <row r="251" spans="1:25" ht="12.75">
      <c r="A251" s="11">
        <v>2608305</v>
      </c>
      <c r="B251" s="12" t="s">
        <v>774</v>
      </c>
      <c r="C251" s="12" t="s">
        <v>26</v>
      </c>
      <c r="D251" s="12">
        <v>170002257848</v>
      </c>
      <c r="E251" s="12">
        <v>10</v>
      </c>
      <c r="F251" s="12" t="s">
        <v>1251</v>
      </c>
      <c r="G251" s="12"/>
      <c r="H251" s="12"/>
      <c r="I251" s="12" t="s">
        <v>1252</v>
      </c>
      <c r="J251" s="12" t="s">
        <v>42</v>
      </c>
      <c r="K251" s="12" t="s">
        <v>43</v>
      </c>
      <c r="L251" s="12" t="s">
        <v>44</v>
      </c>
      <c r="M251" s="13">
        <v>3920</v>
      </c>
      <c r="N251" s="14">
        <v>0.373</v>
      </c>
      <c r="O251" s="12" t="s">
        <v>1253</v>
      </c>
      <c r="P251" s="12" t="s">
        <v>32</v>
      </c>
      <c r="Q251" s="12">
        <v>10</v>
      </c>
      <c r="R251" s="12" t="s">
        <v>124</v>
      </c>
      <c r="S251" s="12" t="s">
        <v>124</v>
      </c>
      <c r="T251" s="12" t="s">
        <v>1254</v>
      </c>
      <c r="U251" s="12" t="s">
        <v>1255</v>
      </c>
      <c r="V251" s="12" t="s">
        <v>160</v>
      </c>
      <c r="W251" s="12" t="s">
        <v>38</v>
      </c>
      <c r="X251" s="12" t="s">
        <v>39</v>
      </c>
      <c r="Y251" s="15" t="s">
        <v>1256</v>
      </c>
    </row>
    <row r="252" spans="1:25" ht="12.75">
      <c r="A252" s="6">
        <v>2608255</v>
      </c>
      <c r="B252" s="7" t="s">
        <v>1247</v>
      </c>
      <c r="C252" s="7" t="s">
        <v>26</v>
      </c>
      <c r="D252" s="7">
        <v>170002196014</v>
      </c>
      <c r="E252" s="7">
        <v>10</v>
      </c>
      <c r="F252" s="7" t="s">
        <v>1257</v>
      </c>
      <c r="G252" s="7"/>
      <c r="H252" s="7"/>
      <c r="I252" s="7" t="s">
        <v>1257</v>
      </c>
      <c r="J252" s="7" t="s">
        <v>82</v>
      </c>
      <c r="K252" s="7" t="s">
        <v>29</v>
      </c>
      <c r="L252" s="7" t="s">
        <v>30</v>
      </c>
      <c r="M252" s="8">
        <v>6278</v>
      </c>
      <c r="N252" s="9">
        <v>0.79330000000000001</v>
      </c>
      <c r="O252" s="7" t="s">
        <v>1258</v>
      </c>
      <c r="P252" s="7" t="s">
        <v>32</v>
      </c>
      <c r="Q252" s="7">
        <v>10</v>
      </c>
      <c r="R252" s="7" t="s">
        <v>124</v>
      </c>
      <c r="S252" s="7" t="s">
        <v>124</v>
      </c>
      <c r="T252" s="7" t="s">
        <v>1259</v>
      </c>
      <c r="U252" s="7" t="s">
        <v>1260</v>
      </c>
      <c r="V252" s="7" t="s">
        <v>37</v>
      </c>
      <c r="W252" s="7" t="s">
        <v>38</v>
      </c>
      <c r="X252" s="7" t="s">
        <v>39</v>
      </c>
      <c r="Y252" s="10" t="s">
        <v>109</v>
      </c>
    </row>
    <row r="253" spans="1:25" ht="12.75">
      <c r="A253" s="11">
        <v>2606507</v>
      </c>
      <c r="B253" s="12" t="s">
        <v>996</v>
      </c>
      <c r="C253" s="12" t="s">
        <v>26</v>
      </c>
      <c r="D253" s="12">
        <v>170002113489</v>
      </c>
      <c r="E253" s="12">
        <v>40</v>
      </c>
      <c r="F253" s="12" t="s">
        <v>1261</v>
      </c>
      <c r="G253" s="12"/>
      <c r="H253" s="12"/>
      <c r="I253" s="12" t="s">
        <v>1261</v>
      </c>
      <c r="J253" s="12" t="s">
        <v>82</v>
      </c>
      <c r="K253" s="12" t="s">
        <v>29</v>
      </c>
      <c r="L253" s="12" t="s">
        <v>30</v>
      </c>
      <c r="M253" s="13">
        <v>6346</v>
      </c>
      <c r="N253" s="14">
        <v>0.53879999999999995</v>
      </c>
      <c r="O253" s="12" t="s">
        <v>1262</v>
      </c>
      <c r="P253" s="12" t="s">
        <v>32</v>
      </c>
      <c r="Q253" s="12">
        <v>40</v>
      </c>
      <c r="R253" s="12" t="s">
        <v>33</v>
      </c>
      <c r="S253" s="12" t="s">
        <v>34</v>
      </c>
      <c r="T253" s="12" t="s">
        <v>1263</v>
      </c>
      <c r="U253" s="12" t="s">
        <v>1264</v>
      </c>
      <c r="V253" s="12" t="s">
        <v>160</v>
      </c>
      <c r="W253" s="12" t="s">
        <v>38</v>
      </c>
      <c r="X253" s="12" t="s">
        <v>39</v>
      </c>
      <c r="Y253" s="15" t="s">
        <v>134</v>
      </c>
    </row>
    <row r="254" spans="1:25" ht="12.75">
      <c r="A254" s="6">
        <v>2608404</v>
      </c>
      <c r="B254" s="7" t="s">
        <v>1265</v>
      </c>
      <c r="C254" s="7" t="s">
        <v>26</v>
      </c>
      <c r="D254" s="7">
        <v>170001972777</v>
      </c>
      <c r="E254" s="7">
        <v>40</v>
      </c>
      <c r="F254" s="7" t="s">
        <v>1266</v>
      </c>
      <c r="G254" s="7"/>
      <c r="H254" s="7"/>
      <c r="I254" s="7" t="s">
        <v>1267</v>
      </c>
      <c r="J254" s="7" t="s">
        <v>42</v>
      </c>
      <c r="K254" s="7" t="s">
        <v>43</v>
      </c>
      <c r="L254" s="7" t="s">
        <v>44</v>
      </c>
      <c r="M254" s="8">
        <v>4161</v>
      </c>
      <c r="N254" s="9">
        <v>0.42359999999999998</v>
      </c>
      <c r="O254" s="7" t="s">
        <v>1268</v>
      </c>
      <c r="P254" s="7" t="s">
        <v>32</v>
      </c>
      <c r="Q254" s="7">
        <v>40</v>
      </c>
      <c r="R254" s="7" t="s">
        <v>33</v>
      </c>
      <c r="S254" s="7" t="s">
        <v>34</v>
      </c>
      <c r="T254" s="7" t="s">
        <v>1269</v>
      </c>
      <c r="U254" s="7" t="s">
        <v>1270</v>
      </c>
      <c r="V254" s="7" t="s">
        <v>37</v>
      </c>
      <c r="W254" s="7" t="s">
        <v>114</v>
      </c>
      <c r="X254" s="7" t="s">
        <v>58</v>
      </c>
      <c r="Y254" s="10" t="s">
        <v>109</v>
      </c>
    </row>
    <row r="255" spans="1:25" ht="12.75">
      <c r="A255" s="11">
        <v>2608453</v>
      </c>
      <c r="B255" s="12" t="s">
        <v>1271</v>
      </c>
      <c r="C255" s="12" t="s">
        <v>26</v>
      </c>
      <c r="D255" s="12">
        <v>170001996711</v>
      </c>
      <c r="E255" s="12">
        <v>15</v>
      </c>
      <c r="F255" s="12" t="s">
        <v>1272</v>
      </c>
      <c r="G255" s="12"/>
      <c r="H255" s="12"/>
      <c r="I255" s="12" t="s">
        <v>1273</v>
      </c>
      <c r="J255" s="12" t="s">
        <v>42</v>
      </c>
      <c r="K255" s="12" t="s">
        <v>43</v>
      </c>
      <c r="L255" s="12" t="s">
        <v>44</v>
      </c>
      <c r="M255" s="13">
        <v>260</v>
      </c>
      <c r="N255" s="14">
        <v>1.66E-2</v>
      </c>
      <c r="O255" s="12" t="s">
        <v>1274</v>
      </c>
      <c r="P255" s="12" t="s">
        <v>32</v>
      </c>
      <c r="Q255" s="12">
        <v>15</v>
      </c>
      <c r="R255" s="12" t="s">
        <v>85</v>
      </c>
      <c r="S255" s="12" t="s">
        <v>86</v>
      </c>
      <c r="T255" s="12" t="s">
        <v>1275</v>
      </c>
      <c r="U255" s="12" t="s">
        <v>1276</v>
      </c>
      <c r="V255" s="12" t="s">
        <v>37</v>
      </c>
      <c r="W255" s="12" t="s">
        <v>38</v>
      </c>
      <c r="X255" s="12" t="s">
        <v>39</v>
      </c>
      <c r="Y255" s="15" t="s">
        <v>134</v>
      </c>
    </row>
    <row r="256" spans="1:25" ht="12.75">
      <c r="A256" s="6">
        <v>2608453</v>
      </c>
      <c r="B256" s="7" t="s">
        <v>1271</v>
      </c>
      <c r="C256" s="7" t="s">
        <v>26</v>
      </c>
      <c r="D256" s="7">
        <v>170002014777</v>
      </c>
      <c r="E256" s="7">
        <v>40</v>
      </c>
      <c r="F256" s="7" t="s">
        <v>1277</v>
      </c>
      <c r="G256" s="7"/>
      <c r="H256" s="7"/>
      <c r="I256" s="7" t="s">
        <v>1277</v>
      </c>
      <c r="J256" s="7" t="s">
        <v>42</v>
      </c>
      <c r="K256" s="7" t="s">
        <v>29</v>
      </c>
      <c r="L256" s="7" t="s">
        <v>44</v>
      </c>
      <c r="M256" s="8">
        <v>6985</v>
      </c>
      <c r="N256" s="9">
        <v>0.44600000000000001</v>
      </c>
      <c r="O256" s="7" t="s">
        <v>1278</v>
      </c>
      <c r="P256" s="7" t="s">
        <v>32</v>
      </c>
      <c r="Q256" s="7">
        <v>40</v>
      </c>
      <c r="R256" s="7" t="s">
        <v>33</v>
      </c>
      <c r="S256" s="7" t="s">
        <v>34</v>
      </c>
      <c r="T256" s="7" t="s">
        <v>1279</v>
      </c>
      <c r="U256" s="7" t="s">
        <v>1280</v>
      </c>
      <c r="V256" s="7" t="s">
        <v>37</v>
      </c>
      <c r="W256" s="7" t="s">
        <v>50</v>
      </c>
      <c r="X256" s="7" t="s">
        <v>58</v>
      </c>
      <c r="Y256" s="10" t="s">
        <v>90</v>
      </c>
    </row>
    <row r="257" spans="1:25" ht="12.75">
      <c r="A257" s="11">
        <v>2608404</v>
      </c>
      <c r="B257" s="12" t="s">
        <v>1265</v>
      </c>
      <c r="C257" s="12" t="s">
        <v>26</v>
      </c>
      <c r="D257" s="12">
        <v>170002106408</v>
      </c>
      <c r="E257" s="12">
        <v>13</v>
      </c>
      <c r="F257" s="12" t="s">
        <v>1281</v>
      </c>
      <c r="G257" s="12"/>
      <c r="H257" s="12"/>
      <c r="I257" s="12" t="s">
        <v>1281</v>
      </c>
      <c r="J257" s="12" t="s">
        <v>28</v>
      </c>
      <c r="K257" s="12" t="s">
        <v>29</v>
      </c>
      <c r="L257" s="12" t="s">
        <v>30</v>
      </c>
      <c r="M257" s="13">
        <v>5661</v>
      </c>
      <c r="N257" s="14">
        <v>0.57640000000000002</v>
      </c>
      <c r="O257" s="12" t="s">
        <v>1282</v>
      </c>
      <c r="P257" s="12" t="s">
        <v>32</v>
      </c>
      <c r="Q257" s="12">
        <v>13</v>
      </c>
      <c r="R257" s="12" t="s">
        <v>130</v>
      </c>
      <c r="S257" s="12" t="s">
        <v>131</v>
      </c>
      <c r="T257" s="12" t="s">
        <v>1283</v>
      </c>
      <c r="U257" s="12" t="s">
        <v>1284</v>
      </c>
      <c r="V257" s="12" t="s">
        <v>37</v>
      </c>
      <c r="W257" s="12" t="s">
        <v>50</v>
      </c>
      <c r="X257" s="12" t="s">
        <v>39</v>
      </c>
      <c r="Y257" s="15" t="s">
        <v>246</v>
      </c>
    </row>
    <row r="258" spans="1:25" ht="12.75">
      <c r="A258" s="6">
        <v>2608503</v>
      </c>
      <c r="B258" s="7" t="s">
        <v>1285</v>
      </c>
      <c r="C258" s="7" t="s">
        <v>26</v>
      </c>
      <c r="D258" s="7">
        <v>170002271555</v>
      </c>
      <c r="E258" s="7">
        <v>45</v>
      </c>
      <c r="F258" s="7" t="s">
        <v>1286</v>
      </c>
      <c r="G258" s="7"/>
      <c r="H258" s="7"/>
      <c r="I258" s="7" t="s">
        <v>1287</v>
      </c>
      <c r="J258" s="7" t="s">
        <v>42</v>
      </c>
      <c r="K258" s="7" t="s">
        <v>29</v>
      </c>
      <c r="L258" s="7" t="s">
        <v>44</v>
      </c>
      <c r="M258" s="8">
        <v>6412</v>
      </c>
      <c r="N258" s="9">
        <v>0.47199999999999998</v>
      </c>
      <c r="O258" s="7" t="s">
        <v>1288</v>
      </c>
      <c r="P258" s="7" t="s">
        <v>32</v>
      </c>
      <c r="Q258" s="7">
        <v>45</v>
      </c>
      <c r="R258" s="7" t="s">
        <v>61</v>
      </c>
      <c r="S258" s="7" t="s">
        <v>62</v>
      </c>
      <c r="T258" s="7" t="s">
        <v>1289</v>
      </c>
      <c r="U258" s="7" t="s">
        <v>1290</v>
      </c>
      <c r="V258" s="7" t="s">
        <v>37</v>
      </c>
      <c r="W258" s="7" t="s">
        <v>50</v>
      </c>
      <c r="X258" s="7" t="s">
        <v>58</v>
      </c>
      <c r="Y258" s="10" t="s">
        <v>1291</v>
      </c>
    </row>
    <row r="259" spans="1:25" ht="12.75">
      <c r="A259" s="11">
        <v>2608453</v>
      </c>
      <c r="B259" s="12" t="s">
        <v>1271</v>
      </c>
      <c r="C259" s="12" t="s">
        <v>26</v>
      </c>
      <c r="D259" s="12">
        <v>170001915130</v>
      </c>
      <c r="E259" s="12">
        <v>10</v>
      </c>
      <c r="F259" s="12" t="s">
        <v>1292</v>
      </c>
      <c r="G259" s="17" t="s">
        <v>1293</v>
      </c>
      <c r="H259" s="12" t="s">
        <v>1294</v>
      </c>
      <c r="I259" s="12" t="s">
        <v>1292</v>
      </c>
      <c r="J259" s="12" t="s">
        <v>82</v>
      </c>
      <c r="K259" s="12" t="s">
        <v>43</v>
      </c>
      <c r="L259" s="12" t="s">
        <v>30</v>
      </c>
      <c r="M259" s="13">
        <v>8417</v>
      </c>
      <c r="N259" s="14">
        <v>0.53739999999999999</v>
      </c>
      <c r="O259" s="12" t="s">
        <v>1295</v>
      </c>
      <c r="P259" s="12" t="s">
        <v>32</v>
      </c>
      <c r="Q259" s="12">
        <v>10</v>
      </c>
      <c r="R259" s="12" t="s">
        <v>124</v>
      </c>
      <c r="S259" s="12" t="s">
        <v>124</v>
      </c>
      <c r="T259" s="12" t="s">
        <v>1296</v>
      </c>
      <c r="U259" s="12" t="s">
        <v>1297</v>
      </c>
      <c r="V259" s="12" t="s">
        <v>37</v>
      </c>
      <c r="W259" s="12" t="s">
        <v>50</v>
      </c>
      <c r="X259" s="12" t="s">
        <v>39</v>
      </c>
      <c r="Y259" s="15" t="s">
        <v>246</v>
      </c>
    </row>
    <row r="260" spans="1:25" ht="12.75">
      <c r="A260" s="6">
        <v>2608503</v>
      </c>
      <c r="B260" s="7" t="s">
        <v>1285</v>
      </c>
      <c r="C260" s="7" t="s">
        <v>26</v>
      </c>
      <c r="D260" s="7">
        <v>170002040024</v>
      </c>
      <c r="E260" s="7">
        <v>20</v>
      </c>
      <c r="F260" s="7" t="s">
        <v>1298</v>
      </c>
      <c r="G260" s="16" t="s">
        <v>1299</v>
      </c>
      <c r="H260" s="7"/>
      <c r="I260" s="7" t="s">
        <v>1298</v>
      </c>
      <c r="J260" s="7" t="s">
        <v>82</v>
      </c>
      <c r="K260" s="7" t="s">
        <v>43</v>
      </c>
      <c r="L260" s="7" t="s">
        <v>30</v>
      </c>
      <c r="M260" s="8">
        <v>7172</v>
      </c>
      <c r="N260" s="9">
        <v>0.52800000000000002</v>
      </c>
      <c r="O260" s="7" t="s">
        <v>1300</v>
      </c>
      <c r="P260" s="7" t="s">
        <v>32</v>
      </c>
      <c r="Q260" s="7">
        <v>20</v>
      </c>
      <c r="R260" s="7" t="s">
        <v>98</v>
      </c>
      <c r="S260" s="7" t="s">
        <v>99</v>
      </c>
      <c r="T260" s="7" t="s">
        <v>1301</v>
      </c>
      <c r="U260" s="7" t="s">
        <v>1302</v>
      </c>
      <c r="V260" s="7" t="s">
        <v>37</v>
      </c>
      <c r="W260" s="7" t="s">
        <v>50</v>
      </c>
      <c r="X260" s="7" t="s">
        <v>39</v>
      </c>
      <c r="Y260" s="10" t="s">
        <v>90</v>
      </c>
    </row>
    <row r="261" spans="1:25" ht="12.75">
      <c r="A261" s="11">
        <v>2608602</v>
      </c>
      <c r="B261" s="12" t="s">
        <v>1303</v>
      </c>
      <c r="C261" s="12" t="s">
        <v>26</v>
      </c>
      <c r="D261" s="12">
        <v>170002008948</v>
      </c>
      <c r="E261" s="12">
        <v>55</v>
      </c>
      <c r="F261" s="12" t="s">
        <v>1304</v>
      </c>
      <c r="G261" s="12"/>
      <c r="H261" s="12"/>
      <c r="I261" s="12" t="s">
        <v>1304</v>
      </c>
      <c r="J261" s="12" t="s">
        <v>42</v>
      </c>
      <c r="K261" s="12" t="s">
        <v>43</v>
      </c>
      <c r="L261" s="12" t="s">
        <v>44</v>
      </c>
      <c r="M261" s="13">
        <v>3538</v>
      </c>
      <c r="N261" s="14">
        <v>0.39300000000000002</v>
      </c>
      <c r="O261" s="12" t="s">
        <v>1305</v>
      </c>
      <c r="P261" s="12" t="s">
        <v>46</v>
      </c>
      <c r="Q261" s="12">
        <v>55</v>
      </c>
      <c r="R261" s="12" t="s">
        <v>74</v>
      </c>
      <c r="S261" s="12" t="s">
        <v>75</v>
      </c>
      <c r="T261" s="12" t="s">
        <v>46</v>
      </c>
      <c r="U261" s="12" t="s">
        <v>1306</v>
      </c>
      <c r="V261" s="12" t="s">
        <v>37</v>
      </c>
      <c r="W261" s="12" t="s">
        <v>50</v>
      </c>
      <c r="X261" s="12" t="s">
        <v>58</v>
      </c>
      <c r="Y261" s="15" t="s">
        <v>1307</v>
      </c>
    </row>
    <row r="262" spans="1:25" ht="12.75">
      <c r="A262" s="6">
        <v>2608701</v>
      </c>
      <c r="B262" s="7" t="s">
        <v>1308</v>
      </c>
      <c r="C262" s="7" t="s">
        <v>26</v>
      </c>
      <c r="D262" s="7">
        <v>170002083103</v>
      </c>
      <c r="E262" s="7">
        <v>77</v>
      </c>
      <c r="F262" s="7" t="s">
        <v>1309</v>
      </c>
      <c r="G262" s="7"/>
      <c r="H262" s="7"/>
      <c r="I262" s="7" t="s">
        <v>1309</v>
      </c>
      <c r="J262" s="7" t="s">
        <v>42</v>
      </c>
      <c r="K262" s="7" t="s">
        <v>43</v>
      </c>
      <c r="L262" s="7" t="s">
        <v>44</v>
      </c>
      <c r="M262" s="8">
        <v>1621</v>
      </c>
      <c r="N262" s="9">
        <v>0.17510000000000001</v>
      </c>
      <c r="O262" s="7" t="s">
        <v>1310</v>
      </c>
      <c r="P262" s="7" t="s">
        <v>32</v>
      </c>
      <c r="Q262" s="7">
        <v>77</v>
      </c>
      <c r="R262" s="7" t="s">
        <v>287</v>
      </c>
      <c r="S262" s="7" t="s">
        <v>287</v>
      </c>
      <c r="T262" s="7" t="s">
        <v>1311</v>
      </c>
      <c r="U262" s="7" t="s">
        <v>1312</v>
      </c>
      <c r="V262" s="7" t="s">
        <v>160</v>
      </c>
      <c r="W262" s="7" t="s">
        <v>38</v>
      </c>
      <c r="X262" s="7" t="s">
        <v>39</v>
      </c>
      <c r="Y262" s="10" t="s">
        <v>454</v>
      </c>
    </row>
    <row r="263" spans="1:25" ht="12.75">
      <c r="A263" s="11">
        <v>2608602</v>
      </c>
      <c r="B263" s="12" t="s">
        <v>1303</v>
      </c>
      <c r="C263" s="12" t="s">
        <v>26</v>
      </c>
      <c r="D263" s="12">
        <v>170002036231</v>
      </c>
      <c r="E263" s="12">
        <v>11</v>
      </c>
      <c r="F263" s="12" t="s">
        <v>1313</v>
      </c>
      <c r="G263" s="12"/>
      <c r="H263" s="12"/>
      <c r="I263" s="12" t="s">
        <v>1313</v>
      </c>
      <c r="J263" s="12" t="s">
        <v>28</v>
      </c>
      <c r="K263" s="12" t="s">
        <v>29</v>
      </c>
      <c r="L263" s="12" t="s">
        <v>30</v>
      </c>
      <c r="M263" s="13">
        <v>5465</v>
      </c>
      <c r="N263" s="14">
        <v>0.60699999999999998</v>
      </c>
      <c r="O263" s="12" t="s">
        <v>1314</v>
      </c>
      <c r="P263" s="12" t="s">
        <v>32</v>
      </c>
      <c r="Q263" s="12">
        <v>11</v>
      </c>
      <c r="R263" s="12" t="s">
        <v>168</v>
      </c>
      <c r="S263" s="12" t="s">
        <v>169</v>
      </c>
      <c r="T263" s="12" t="s">
        <v>1315</v>
      </c>
      <c r="U263" s="12" t="s">
        <v>1316</v>
      </c>
      <c r="V263" s="12" t="s">
        <v>37</v>
      </c>
      <c r="W263" s="12" t="s">
        <v>50</v>
      </c>
      <c r="X263" s="12" t="s">
        <v>39</v>
      </c>
      <c r="Y263" s="15" t="s">
        <v>95</v>
      </c>
    </row>
    <row r="264" spans="1:25" ht="12.75">
      <c r="A264" s="6">
        <v>2608750</v>
      </c>
      <c r="B264" s="7" t="s">
        <v>677</v>
      </c>
      <c r="C264" s="7" t="s">
        <v>26</v>
      </c>
      <c r="D264" s="7">
        <v>170002346154</v>
      </c>
      <c r="E264" s="7">
        <v>12</v>
      </c>
      <c r="F264" s="7" t="s">
        <v>1317</v>
      </c>
      <c r="G264" s="7"/>
      <c r="H264" s="7"/>
      <c r="I264" s="7" t="s">
        <v>1317</v>
      </c>
      <c r="J264" s="7" t="s">
        <v>42</v>
      </c>
      <c r="K264" s="7" t="s">
        <v>43</v>
      </c>
      <c r="L264" s="7" t="s">
        <v>44</v>
      </c>
      <c r="M264" s="8">
        <v>1010</v>
      </c>
      <c r="N264" s="9">
        <v>6.3399999999999998E-2</v>
      </c>
      <c r="O264" s="7" t="s">
        <v>1318</v>
      </c>
      <c r="P264" s="7" t="s">
        <v>46</v>
      </c>
      <c r="Q264" s="7">
        <v>12</v>
      </c>
      <c r="R264" s="7" t="s">
        <v>138</v>
      </c>
      <c r="S264" s="7" t="s">
        <v>139</v>
      </c>
      <c r="T264" s="7" t="s">
        <v>46</v>
      </c>
      <c r="U264" s="7" t="s">
        <v>1319</v>
      </c>
      <c r="V264" s="7" t="s">
        <v>37</v>
      </c>
      <c r="W264" s="7" t="s">
        <v>50</v>
      </c>
      <c r="X264" s="7" t="s">
        <v>58</v>
      </c>
      <c r="Y264" s="10" t="s">
        <v>1040</v>
      </c>
    </row>
    <row r="265" spans="1:25" ht="12.75">
      <c r="A265" s="11">
        <v>2608750</v>
      </c>
      <c r="B265" s="12" t="s">
        <v>677</v>
      </c>
      <c r="C265" s="12" t="s">
        <v>26</v>
      </c>
      <c r="D265" s="12">
        <v>170002337699</v>
      </c>
      <c r="E265" s="12">
        <v>13</v>
      </c>
      <c r="F265" s="12" t="s">
        <v>1320</v>
      </c>
      <c r="G265" s="12"/>
      <c r="H265" s="12"/>
      <c r="I265" s="12" t="s">
        <v>1320</v>
      </c>
      <c r="J265" s="12" t="s">
        <v>42</v>
      </c>
      <c r="K265" s="12" t="s">
        <v>43</v>
      </c>
      <c r="L265" s="12" t="s">
        <v>44</v>
      </c>
      <c r="M265" s="13">
        <v>3428</v>
      </c>
      <c r="N265" s="14">
        <v>0.2152</v>
      </c>
      <c r="O265" s="12" t="s">
        <v>1321</v>
      </c>
      <c r="P265" s="12" t="s">
        <v>32</v>
      </c>
      <c r="Q265" s="12">
        <v>13</v>
      </c>
      <c r="R265" s="12" t="s">
        <v>130</v>
      </c>
      <c r="S265" s="12" t="s">
        <v>131</v>
      </c>
      <c r="T265" s="12" t="s">
        <v>1322</v>
      </c>
      <c r="U265" s="12" t="s">
        <v>1323</v>
      </c>
      <c r="V265" s="12" t="s">
        <v>37</v>
      </c>
      <c r="W265" s="12" t="s">
        <v>38</v>
      </c>
      <c r="X265" s="12" t="s">
        <v>58</v>
      </c>
      <c r="Y265" s="15" t="s">
        <v>134</v>
      </c>
    </row>
    <row r="266" spans="1:25" ht="12.75">
      <c r="A266" s="6">
        <v>2608800</v>
      </c>
      <c r="B266" s="7" t="s">
        <v>1324</v>
      </c>
      <c r="C266" s="7" t="s">
        <v>26</v>
      </c>
      <c r="D266" s="7">
        <v>170002106615</v>
      </c>
      <c r="E266" s="7">
        <v>40</v>
      </c>
      <c r="F266" s="7" t="s">
        <v>1325</v>
      </c>
      <c r="G266" s="7"/>
      <c r="H266" s="7"/>
      <c r="I266" s="7" t="s">
        <v>1326</v>
      </c>
      <c r="J266" s="7" t="s">
        <v>42</v>
      </c>
      <c r="K266" s="7" t="s">
        <v>43</v>
      </c>
      <c r="L266" s="7" t="s">
        <v>44</v>
      </c>
      <c r="M266" s="8">
        <v>196</v>
      </c>
      <c r="N266" s="9">
        <v>7.4000000000000003E-3</v>
      </c>
      <c r="O266" s="7" t="s">
        <v>1327</v>
      </c>
      <c r="P266" s="7" t="s">
        <v>32</v>
      </c>
      <c r="Q266" s="7">
        <v>40</v>
      </c>
      <c r="R266" s="7" t="s">
        <v>33</v>
      </c>
      <c r="S266" s="7" t="s">
        <v>34</v>
      </c>
      <c r="T266" s="7" t="s">
        <v>1328</v>
      </c>
      <c r="U266" s="7" t="s">
        <v>1329</v>
      </c>
      <c r="V266" s="7" t="s">
        <v>37</v>
      </c>
      <c r="W266" s="7" t="s">
        <v>38</v>
      </c>
      <c r="X266" s="7" t="s">
        <v>58</v>
      </c>
      <c r="Y266" s="10" t="s">
        <v>78</v>
      </c>
    </row>
    <row r="267" spans="1:25" ht="12.75">
      <c r="A267" s="11">
        <v>2608701</v>
      </c>
      <c r="B267" s="12" t="s">
        <v>1308</v>
      </c>
      <c r="C267" s="12" t="s">
        <v>26</v>
      </c>
      <c r="D267" s="12">
        <v>170001923998</v>
      </c>
      <c r="E267" s="12">
        <v>11</v>
      </c>
      <c r="F267" s="12" t="s">
        <v>1330</v>
      </c>
      <c r="G267" s="12"/>
      <c r="H267" s="12"/>
      <c r="I267" s="12" t="s">
        <v>1331</v>
      </c>
      <c r="J267" s="12" t="s">
        <v>28</v>
      </c>
      <c r="K267" s="12" t="s">
        <v>29</v>
      </c>
      <c r="L267" s="12" t="s">
        <v>30</v>
      </c>
      <c r="M267" s="13">
        <v>7637</v>
      </c>
      <c r="N267" s="14">
        <v>0.82489999999999997</v>
      </c>
      <c r="O267" s="12" t="s">
        <v>1332</v>
      </c>
      <c r="P267" s="12" t="s">
        <v>32</v>
      </c>
      <c r="Q267" s="12">
        <v>11</v>
      </c>
      <c r="R267" s="12" t="s">
        <v>168</v>
      </c>
      <c r="S267" s="12" t="s">
        <v>169</v>
      </c>
      <c r="T267" s="12" t="s">
        <v>1333</v>
      </c>
      <c r="U267" s="12" t="s">
        <v>1334</v>
      </c>
      <c r="V267" s="12" t="s">
        <v>37</v>
      </c>
      <c r="W267" s="12" t="s">
        <v>38</v>
      </c>
      <c r="X267" s="12" t="s">
        <v>58</v>
      </c>
      <c r="Y267" s="15" t="s">
        <v>26</v>
      </c>
    </row>
    <row r="268" spans="1:25" ht="12.75">
      <c r="A268" s="6">
        <v>2608800</v>
      </c>
      <c r="B268" s="7" t="s">
        <v>1324</v>
      </c>
      <c r="C268" s="7" t="s">
        <v>26</v>
      </c>
      <c r="D268" s="7">
        <v>170002311656</v>
      </c>
      <c r="E268" s="7">
        <v>25</v>
      </c>
      <c r="F268" s="7" t="s">
        <v>1335</v>
      </c>
      <c r="G268" s="7"/>
      <c r="H268" s="7"/>
      <c r="I268" s="7" t="s">
        <v>1335</v>
      </c>
      <c r="J268" s="7" t="s">
        <v>42</v>
      </c>
      <c r="K268" s="7" t="s">
        <v>43</v>
      </c>
      <c r="L268" s="7" t="s">
        <v>44</v>
      </c>
      <c r="M268" s="8">
        <v>9574</v>
      </c>
      <c r="N268" s="9">
        <v>0.36359999999999998</v>
      </c>
      <c r="O268" s="7" t="s">
        <v>1336</v>
      </c>
      <c r="P268" s="7" t="s">
        <v>46</v>
      </c>
      <c r="Q268" s="7">
        <v>25</v>
      </c>
      <c r="R268" s="7" t="s">
        <v>366</v>
      </c>
      <c r="S268" s="7" t="s">
        <v>367</v>
      </c>
      <c r="T268" s="7" t="s">
        <v>46</v>
      </c>
      <c r="U268" s="7" t="s">
        <v>1337</v>
      </c>
      <c r="V268" s="7" t="s">
        <v>37</v>
      </c>
      <c r="W268" s="7" t="s">
        <v>38</v>
      </c>
      <c r="X268" s="7" t="s">
        <v>1338</v>
      </c>
      <c r="Y268" s="10" t="s">
        <v>127</v>
      </c>
    </row>
    <row r="269" spans="1:25" ht="12.75">
      <c r="A269" s="11">
        <v>2608909</v>
      </c>
      <c r="B269" s="12" t="s">
        <v>1339</v>
      </c>
      <c r="C269" s="12" t="s">
        <v>26</v>
      </c>
      <c r="D269" s="12">
        <v>170002007137</v>
      </c>
      <c r="E269" s="12">
        <v>15</v>
      </c>
      <c r="F269" s="12" t="s">
        <v>1340</v>
      </c>
      <c r="G269" s="12"/>
      <c r="H269" s="12"/>
      <c r="I269" s="12" t="s">
        <v>1340</v>
      </c>
      <c r="J269" s="12" t="s">
        <v>42</v>
      </c>
      <c r="K269" s="19" t="s">
        <v>43</v>
      </c>
      <c r="L269" s="12" t="s">
        <v>44</v>
      </c>
      <c r="M269" s="13">
        <v>10292</v>
      </c>
      <c r="N269" s="14">
        <v>0.28960000000000002</v>
      </c>
      <c r="O269" s="12" t="s">
        <v>1341</v>
      </c>
      <c r="P269" s="12" t="s">
        <v>32</v>
      </c>
      <c r="Q269" s="12">
        <v>15</v>
      </c>
      <c r="R269" s="12" t="s">
        <v>85</v>
      </c>
      <c r="S269" s="12" t="s">
        <v>86</v>
      </c>
      <c r="T269" s="12" t="s">
        <v>1342</v>
      </c>
      <c r="U269" s="12" t="s">
        <v>1343</v>
      </c>
      <c r="V269" s="12" t="s">
        <v>37</v>
      </c>
      <c r="W269" s="12" t="s">
        <v>50</v>
      </c>
      <c r="X269" s="12" t="s">
        <v>58</v>
      </c>
      <c r="Y269" s="15" t="s">
        <v>165</v>
      </c>
    </row>
    <row r="270" spans="1:25" ht="12.75">
      <c r="A270" s="6">
        <v>2608909</v>
      </c>
      <c r="B270" s="7" t="s">
        <v>1339</v>
      </c>
      <c r="C270" s="7" t="s">
        <v>26</v>
      </c>
      <c r="D270" s="7">
        <v>170002345707</v>
      </c>
      <c r="E270" s="7">
        <v>50</v>
      </c>
      <c r="F270" s="7" t="s">
        <v>1344</v>
      </c>
      <c r="G270" s="7"/>
      <c r="H270" s="7"/>
      <c r="I270" s="7" t="s">
        <v>1345</v>
      </c>
      <c r="J270" s="7" t="s">
        <v>42</v>
      </c>
      <c r="K270" s="20" t="s">
        <v>43</v>
      </c>
      <c r="L270" s="7" t="s">
        <v>44</v>
      </c>
      <c r="M270" s="8">
        <v>348</v>
      </c>
      <c r="N270" s="9">
        <v>9.7999999999999997E-3</v>
      </c>
      <c r="O270" s="7" t="s">
        <v>1346</v>
      </c>
      <c r="P270" s="7" t="s">
        <v>54</v>
      </c>
      <c r="Q270" s="7">
        <v>50</v>
      </c>
      <c r="R270" s="7" t="s">
        <v>153</v>
      </c>
      <c r="S270" s="7" t="s">
        <v>154</v>
      </c>
      <c r="T270" s="7" t="s">
        <v>54</v>
      </c>
      <c r="U270" s="7" t="s">
        <v>1347</v>
      </c>
      <c r="V270" s="7" t="s">
        <v>37</v>
      </c>
      <c r="W270" s="7" t="s">
        <v>114</v>
      </c>
      <c r="X270" s="7" t="s">
        <v>39</v>
      </c>
      <c r="Y270" s="10" t="s">
        <v>1291</v>
      </c>
    </row>
    <row r="271" spans="1:25" ht="12.75">
      <c r="A271" s="11">
        <v>2614709</v>
      </c>
      <c r="B271" s="12" t="s">
        <v>1348</v>
      </c>
      <c r="C271" s="12" t="s">
        <v>26</v>
      </c>
      <c r="D271" s="12">
        <v>170002206424</v>
      </c>
      <c r="E271" s="12">
        <v>45</v>
      </c>
      <c r="F271" s="12" t="s">
        <v>1349</v>
      </c>
      <c r="G271" s="17" t="s">
        <v>1350</v>
      </c>
      <c r="H271" s="12"/>
      <c r="I271" s="12" t="s">
        <v>1349</v>
      </c>
      <c r="J271" s="12" t="s">
        <v>82</v>
      </c>
      <c r="K271" s="12" t="s">
        <v>43</v>
      </c>
      <c r="L271" s="12" t="s">
        <v>30</v>
      </c>
      <c r="M271" s="13">
        <v>4740</v>
      </c>
      <c r="N271" s="14">
        <v>0.52490000000000003</v>
      </c>
      <c r="O271" s="12" t="s">
        <v>1351</v>
      </c>
      <c r="P271" s="12" t="s">
        <v>32</v>
      </c>
      <c r="Q271" s="12">
        <v>45</v>
      </c>
      <c r="R271" s="12" t="s">
        <v>61</v>
      </c>
      <c r="S271" s="12" t="s">
        <v>62</v>
      </c>
      <c r="T271" s="12" t="s">
        <v>1352</v>
      </c>
      <c r="U271" s="12" t="s">
        <v>1353</v>
      </c>
      <c r="V271" s="12" t="s">
        <v>160</v>
      </c>
      <c r="W271" s="12" t="s">
        <v>50</v>
      </c>
      <c r="X271" s="12" t="s">
        <v>58</v>
      </c>
      <c r="Y271" s="15" t="s">
        <v>90</v>
      </c>
    </row>
    <row r="272" spans="1:25" ht="12.75">
      <c r="A272" s="6">
        <v>2609006</v>
      </c>
      <c r="B272" s="7" t="s">
        <v>1354</v>
      </c>
      <c r="C272" s="7" t="s">
        <v>26</v>
      </c>
      <c r="D272" s="7">
        <v>170002337321</v>
      </c>
      <c r="E272" s="7">
        <v>13</v>
      </c>
      <c r="F272" s="7" t="s">
        <v>1355</v>
      </c>
      <c r="G272" s="7"/>
      <c r="H272" s="7"/>
      <c r="I272" s="7" t="s">
        <v>1355</v>
      </c>
      <c r="J272" s="7" t="s">
        <v>42</v>
      </c>
      <c r="K272" s="20" t="s">
        <v>43</v>
      </c>
      <c r="L272" s="7" t="s">
        <v>44</v>
      </c>
      <c r="M272" s="8">
        <v>134</v>
      </c>
      <c r="N272" s="9">
        <v>8.5000000000000006E-3</v>
      </c>
      <c r="O272" s="7" t="s">
        <v>1356</v>
      </c>
      <c r="P272" s="7" t="s">
        <v>54</v>
      </c>
      <c r="Q272" s="7">
        <v>13</v>
      </c>
      <c r="R272" s="7" t="s">
        <v>130</v>
      </c>
      <c r="S272" s="7" t="s">
        <v>131</v>
      </c>
      <c r="T272" s="7" t="s">
        <v>54</v>
      </c>
      <c r="U272" s="7" t="s">
        <v>1357</v>
      </c>
      <c r="V272" s="7" t="s">
        <v>37</v>
      </c>
      <c r="W272" s="7" t="s">
        <v>38</v>
      </c>
      <c r="X272" s="7" t="s">
        <v>39</v>
      </c>
      <c r="Y272" s="10" t="s">
        <v>127</v>
      </c>
    </row>
    <row r="273" spans="1:25" ht="12.75">
      <c r="A273" s="11">
        <v>2609006</v>
      </c>
      <c r="B273" s="12" t="s">
        <v>1354</v>
      </c>
      <c r="C273" s="12" t="s">
        <v>26</v>
      </c>
      <c r="D273" s="12">
        <v>170001929078</v>
      </c>
      <c r="E273" s="12">
        <v>22</v>
      </c>
      <c r="F273" s="12" t="s">
        <v>1358</v>
      </c>
      <c r="G273" s="12"/>
      <c r="H273" s="12"/>
      <c r="I273" s="12" t="s">
        <v>1359</v>
      </c>
      <c r="J273" s="12" t="s">
        <v>42</v>
      </c>
      <c r="K273" s="19" t="s">
        <v>43</v>
      </c>
      <c r="L273" s="12" t="s">
        <v>44</v>
      </c>
      <c r="M273" s="13">
        <v>309</v>
      </c>
      <c r="N273" s="14">
        <v>1.9699999999999999E-2</v>
      </c>
      <c r="O273" s="12" t="s">
        <v>1360</v>
      </c>
      <c r="P273" s="12" t="s">
        <v>46</v>
      </c>
      <c r="Q273" s="12">
        <v>22</v>
      </c>
      <c r="R273" s="12" t="s">
        <v>321</v>
      </c>
      <c r="S273" s="12" t="s">
        <v>322</v>
      </c>
      <c r="T273" s="12" t="s">
        <v>46</v>
      </c>
      <c r="U273" s="12" t="s">
        <v>1361</v>
      </c>
      <c r="V273" s="12" t="s">
        <v>37</v>
      </c>
      <c r="W273" s="12" t="s">
        <v>635</v>
      </c>
      <c r="X273" s="12" t="s">
        <v>58</v>
      </c>
      <c r="Y273" s="15" t="s">
        <v>95</v>
      </c>
    </row>
    <row r="274" spans="1:25" ht="12.75">
      <c r="A274" s="6">
        <v>2608800</v>
      </c>
      <c r="B274" s="7" t="s">
        <v>1324</v>
      </c>
      <c r="C274" s="7" t="s">
        <v>26</v>
      </c>
      <c r="D274" s="7">
        <v>170001914477</v>
      </c>
      <c r="E274" s="7">
        <v>10</v>
      </c>
      <c r="F274" s="7" t="s">
        <v>1362</v>
      </c>
      <c r="G274" s="7"/>
      <c r="H274" s="7"/>
      <c r="I274" s="7" t="s">
        <v>1362</v>
      </c>
      <c r="J274" s="7" t="s">
        <v>28</v>
      </c>
      <c r="K274" s="7" t="s">
        <v>29</v>
      </c>
      <c r="L274" s="7" t="s">
        <v>30</v>
      </c>
      <c r="M274" s="8">
        <v>16559</v>
      </c>
      <c r="N274" s="9">
        <v>0.62890000000000001</v>
      </c>
      <c r="O274" s="7" t="s">
        <v>1363</v>
      </c>
      <c r="P274" s="7" t="s">
        <v>32</v>
      </c>
      <c r="Q274" s="7">
        <v>10</v>
      </c>
      <c r="R274" s="7" t="s">
        <v>124</v>
      </c>
      <c r="S274" s="7" t="s">
        <v>124</v>
      </c>
      <c r="T274" s="7" t="s">
        <v>1364</v>
      </c>
      <c r="U274" s="7" t="s">
        <v>1365</v>
      </c>
      <c r="V274" s="7" t="s">
        <v>37</v>
      </c>
      <c r="W274" s="7" t="s">
        <v>156</v>
      </c>
      <c r="X274" s="7" t="s">
        <v>58</v>
      </c>
      <c r="Y274" s="10" t="s">
        <v>246</v>
      </c>
    </row>
    <row r="275" spans="1:25" ht="12.75">
      <c r="A275" s="11">
        <v>2609006</v>
      </c>
      <c r="B275" s="12" t="s">
        <v>1354</v>
      </c>
      <c r="C275" s="12" t="s">
        <v>26</v>
      </c>
      <c r="D275" s="12">
        <v>170002341648</v>
      </c>
      <c r="E275" s="12">
        <v>20</v>
      </c>
      <c r="F275" s="12" t="s">
        <v>1366</v>
      </c>
      <c r="G275" s="12"/>
      <c r="H275" s="12"/>
      <c r="I275" s="12" t="s">
        <v>1366</v>
      </c>
      <c r="J275" s="12" t="s">
        <v>42</v>
      </c>
      <c r="K275" s="19" t="s">
        <v>43</v>
      </c>
      <c r="L275" s="12" t="s">
        <v>44</v>
      </c>
      <c r="M275" s="13">
        <v>6364</v>
      </c>
      <c r="N275" s="14">
        <v>0.40529999999999999</v>
      </c>
      <c r="O275" s="12" t="s">
        <v>286</v>
      </c>
      <c r="P275" s="12" t="s">
        <v>32</v>
      </c>
      <c r="Q275" s="12">
        <v>20</v>
      </c>
      <c r="R275" s="12" t="s">
        <v>98</v>
      </c>
      <c r="S275" s="12" t="s">
        <v>99</v>
      </c>
      <c r="T275" s="12" t="s">
        <v>1367</v>
      </c>
      <c r="U275" s="12" t="s">
        <v>1368</v>
      </c>
      <c r="V275" s="12" t="s">
        <v>37</v>
      </c>
      <c r="W275" s="12" t="s">
        <v>114</v>
      </c>
      <c r="X275" s="12" t="s">
        <v>39</v>
      </c>
      <c r="Y275" s="15" t="s">
        <v>165</v>
      </c>
    </row>
    <row r="276" spans="1:25" ht="12.75">
      <c r="A276" s="6">
        <v>2609006</v>
      </c>
      <c r="B276" s="7" t="s">
        <v>1354</v>
      </c>
      <c r="C276" s="7" t="s">
        <v>26</v>
      </c>
      <c r="D276" s="7">
        <v>170002340452</v>
      </c>
      <c r="E276" s="7">
        <v>25</v>
      </c>
      <c r="F276" s="7" t="s">
        <v>1369</v>
      </c>
      <c r="G276" s="7"/>
      <c r="H276" s="7"/>
      <c r="I276" s="7" t="s">
        <v>1369</v>
      </c>
      <c r="J276" s="7" t="s">
        <v>42</v>
      </c>
      <c r="K276" s="20" t="s">
        <v>43</v>
      </c>
      <c r="L276" s="7" t="s">
        <v>44</v>
      </c>
      <c r="M276" s="8">
        <v>52</v>
      </c>
      <c r="N276" s="9">
        <v>3.3E-3</v>
      </c>
      <c r="O276" s="7" t="s">
        <v>1370</v>
      </c>
      <c r="P276" s="7" t="s">
        <v>46</v>
      </c>
      <c r="Q276" s="7">
        <v>25</v>
      </c>
      <c r="R276" s="7" t="s">
        <v>366</v>
      </c>
      <c r="S276" s="7" t="s">
        <v>367</v>
      </c>
      <c r="T276" s="7" t="s">
        <v>46</v>
      </c>
      <c r="U276" s="7" t="s">
        <v>1371</v>
      </c>
      <c r="V276" s="7" t="s">
        <v>37</v>
      </c>
      <c r="W276" s="7" t="s">
        <v>50</v>
      </c>
      <c r="X276" s="7" t="s">
        <v>39</v>
      </c>
      <c r="Y276" s="10" t="s">
        <v>1291</v>
      </c>
    </row>
    <row r="277" spans="1:25" ht="12.75">
      <c r="A277" s="11">
        <v>2609105</v>
      </c>
      <c r="B277" s="12" t="s">
        <v>1372</v>
      </c>
      <c r="C277" s="12" t="s">
        <v>26</v>
      </c>
      <c r="D277" s="12">
        <v>170001950791</v>
      </c>
      <c r="E277" s="12">
        <v>10</v>
      </c>
      <c r="F277" s="12" t="s">
        <v>1373</v>
      </c>
      <c r="G277" s="12"/>
      <c r="H277" s="12"/>
      <c r="I277" s="12" t="s">
        <v>1373</v>
      </c>
      <c r="J277" s="12" t="s">
        <v>42</v>
      </c>
      <c r="K277" s="19" t="s">
        <v>43</v>
      </c>
      <c r="L277" s="12" t="s">
        <v>44</v>
      </c>
      <c r="M277" s="13">
        <v>1695</v>
      </c>
      <c r="N277" s="14">
        <v>0.18609999999999999</v>
      </c>
      <c r="O277" s="12" t="s">
        <v>1374</v>
      </c>
      <c r="P277" s="12" t="s">
        <v>32</v>
      </c>
      <c r="Q277" s="12">
        <v>10</v>
      </c>
      <c r="R277" s="12" t="s">
        <v>124</v>
      </c>
      <c r="S277" s="12" t="s">
        <v>124</v>
      </c>
      <c r="T277" s="12" t="s">
        <v>1375</v>
      </c>
      <c r="U277" s="12" t="s">
        <v>1376</v>
      </c>
      <c r="V277" s="12" t="s">
        <v>37</v>
      </c>
      <c r="W277" s="12" t="s">
        <v>156</v>
      </c>
      <c r="X277" s="12" t="s">
        <v>58</v>
      </c>
      <c r="Y277" s="15" t="s">
        <v>95</v>
      </c>
    </row>
    <row r="278" spans="1:25" ht="12.75">
      <c r="A278" s="6">
        <v>2608909</v>
      </c>
      <c r="B278" s="7" t="s">
        <v>1339</v>
      </c>
      <c r="C278" s="7" t="s">
        <v>26</v>
      </c>
      <c r="D278" s="7">
        <v>170001898654</v>
      </c>
      <c r="E278" s="7">
        <v>20</v>
      </c>
      <c r="F278" s="7" t="s">
        <v>1377</v>
      </c>
      <c r="G278" s="7"/>
      <c r="H278" s="7"/>
      <c r="I278" s="7" t="s">
        <v>1377</v>
      </c>
      <c r="J278" s="7" t="s">
        <v>28</v>
      </c>
      <c r="K278" s="7" t="s">
        <v>29</v>
      </c>
      <c r="L278" s="7" t="s">
        <v>30</v>
      </c>
      <c r="M278" s="8">
        <v>24898</v>
      </c>
      <c r="N278" s="9">
        <v>0.7006</v>
      </c>
      <c r="O278" s="7" t="s">
        <v>1378</v>
      </c>
      <c r="P278" s="7" t="s">
        <v>32</v>
      </c>
      <c r="Q278" s="7">
        <v>20</v>
      </c>
      <c r="R278" s="7" t="s">
        <v>98</v>
      </c>
      <c r="S278" s="7" t="s">
        <v>99</v>
      </c>
      <c r="T278" s="7" t="s">
        <v>1379</v>
      </c>
      <c r="U278" s="7" t="s">
        <v>1380</v>
      </c>
      <c r="V278" s="7" t="s">
        <v>37</v>
      </c>
      <c r="W278" s="7" t="s">
        <v>38</v>
      </c>
      <c r="X278" s="7" t="s">
        <v>58</v>
      </c>
      <c r="Y278" s="10" t="s">
        <v>26</v>
      </c>
    </row>
    <row r="279" spans="1:25" ht="12.75">
      <c r="A279" s="11">
        <v>2609105</v>
      </c>
      <c r="B279" s="12" t="s">
        <v>1372</v>
      </c>
      <c r="C279" s="12" t="s">
        <v>26</v>
      </c>
      <c r="D279" s="12">
        <v>170002216966</v>
      </c>
      <c r="E279" s="12">
        <v>43</v>
      </c>
      <c r="F279" s="12" t="s">
        <v>1381</v>
      </c>
      <c r="G279" s="12"/>
      <c r="H279" s="12"/>
      <c r="I279" s="12" t="s">
        <v>1382</v>
      </c>
      <c r="J279" s="12" t="s">
        <v>42</v>
      </c>
      <c r="K279" s="19" t="s">
        <v>43</v>
      </c>
      <c r="L279" s="12" t="s">
        <v>44</v>
      </c>
      <c r="M279" s="13">
        <v>3460</v>
      </c>
      <c r="N279" s="14">
        <v>0.37980000000000003</v>
      </c>
      <c r="O279" s="12" t="s">
        <v>1383</v>
      </c>
      <c r="P279" s="12" t="s">
        <v>32</v>
      </c>
      <c r="Q279" s="12">
        <v>43</v>
      </c>
      <c r="R279" s="12" t="s">
        <v>383</v>
      </c>
      <c r="S279" s="12" t="s">
        <v>384</v>
      </c>
      <c r="T279" s="12" t="s">
        <v>1384</v>
      </c>
      <c r="U279" s="12" t="s">
        <v>1385</v>
      </c>
      <c r="V279" s="12" t="s">
        <v>37</v>
      </c>
      <c r="W279" s="12" t="s">
        <v>38</v>
      </c>
      <c r="X279" s="12" t="s">
        <v>39</v>
      </c>
      <c r="Y279" s="15" t="s">
        <v>90</v>
      </c>
    </row>
    <row r="280" spans="1:25" ht="12.75">
      <c r="A280" s="6">
        <v>2609006</v>
      </c>
      <c r="B280" s="7" t="s">
        <v>1354</v>
      </c>
      <c r="C280" s="7" t="s">
        <v>26</v>
      </c>
      <c r="D280" s="7">
        <v>170002286180</v>
      </c>
      <c r="E280" s="7">
        <v>11</v>
      </c>
      <c r="F280" s="7" t="s">
        <v>1386</v>
      </c>
      <c r="G280" s="7"/>
      <c r="H280" s="7"/>
      <c r="I280" s="7" t="s">
        <v>1386</v>
      </c>
      <c r="J280" s="7" t="s">
        <v>28</v>
      </c>
      <c r="K280" s="7" t="s">
        <v>29</v>
      </c>
      <c r="L280" s="7" t="s">
        <v>30</v>
      </c>
      <c r="M280" s="8">
        <v>8842</v>
      </c>
      <c r="N280" s="9">
        <v>0.56310000000000004</v>
      </c>
      <c r="O280" s="7" t="s">
        <v>1387</v>
      </c>
      <c r="P280" s="7" t="s">
        <v>32</v>
      </c>
      <c r="Q280" s="7">
        <v>11</v>
      </c>
      <c r="R280" s="7" t="s">
        <v>168</v>
      </c>
      <c r="S280" s="7" t="s">
        <v>169</v>
      </c>
      <c r="T280" s="7" t="s">
        <v>1388</v>
      </c>
      <c r="U280" s="7" t="s">
        <v>1389</v>
      </c>
      <c r="V280" s="7" t="s">
        <v>37</v>
      </c>
      <c r="W280" s="7" t="s">
        <v>50</v>
      </c>
      <c r="X280" s="7" t="s">
        <v>58</v>
      </c>
      <c r="Y280" s="10" t="s">
        <v>26</v>
      </c>
    </row>
    <row r="281" spans="1:25" ht="12.75">
      <c r="A281" s="11">
        <v>2609154</v>
      </c>
      <c r="B281" s="12" t="s">
        <v>1390</v>
      </c>
      <c r="C281" s="12" t="s">
        <v>26</v>
      </c>
      <c r="D281" s="12">
        <v>170002200050</v>
      </c>
      <c r="E281" s="12">
        <v>10</v>
      </c>
      <c r="F281" s="12" t="s">
        <v>1391</v>
      </c>
      <c r="G281" s="12"/>
      <c r="H281" s="12"/>
      <c r="I281" s="12" t="s">
        <v>1392</v>
      </c>
      <c r="J281" s="12" t="s">
        <v>42</v>
      </c>
      <c r="K281" s="19" t="s">
        <v>43</v>
      </c>
      <c r="L281" s="12" t="s">
        <v>44</v>
      </c>
      <c r="M281" s="13">
        <v>4793</v>
      </c>
      <c r="N281" s="14">
        <v>0.4395</v>
      </c>
      <c r="O281" s="12" t="s">
        <v>1393</v>
      </c>
      <c r="P281" s="12" t="s">
        <v>32</v>
      </c>
      <c r="Q281" s="12">
        <v>10</v>
      </c>
      <c r="R281" s="12" t="s">
        <v>124</v>
      </c>
      <c r="S281" s="12" t="s">
        <v>124</v>
      </c>
      <c r="T281" s="12" t="s">
        <v>1394</v>
      </c>
      <c r="U281" s="12" t="s">
        <v>1395</v>
      </c>
      <c r="V281" s="12" t="s">
        <v>37</v>
      </c>
      <c r="W281" s="12" t="s">
        <v>38</v>
      </c>
      <c r="X281" s="12" t="s">
        <v>58</v>
      </c>
      <c r="Y281" s="15" t="s">
        <v>165</v>
      </c>
    </row>
    <row r="282" spans="1:25" ht="12.75">
      <c r="A282" s="6">
        <v>2609154</v>
      </c>
      <c r="B282" s="7" t="s">
        <v>1390</v>
      </c>
      <c r="C282" s="7" t="s">
        <v>26</v>
      </c>
      <c r="D282" s="7">
        <v>170002130606</v>
      </c>
      <c r="E282" s="7">
        <v>15</v>
      </c>
      <c r="F282" s="7" t="s">
        <v>1396</v>
      </c>
      <c r="G282" s="7"/>
      <c r="H282" s="7"/>
      <c r="I282" s="7" t="s">
        <v>1397</v>
      </c>
      <c r="J282" s="7" t="s">
        <v>42</v>
      </c>
      <c r="K282" s="20" t="s">
        <v>43</v>
      </c>
      <c r="L282" s="7" t="s">
        <v>44</v>
      </c>
      <c r="M282" s="8">
        <v>23</v>
      </c>
      <c r="N282" s="9">
        <v>2.0999999999999999E-3</v>
      </c>
      <c r="O282" s="7" t="s">
        <v>1398</v>
      </c>
      <c r="P282" s="7" t="s">
        <v>46</v>
      </c>
      <c r="Q282" s="7">
        <v>15</v>
      </c>
      <c r="R282" s="7" t="s">
        <v>85</v>
      </c>
      <c r="S282" s="7" t="s">
        <v>86</v>
      </c>
      <c r="T282" s="7" t="s">
        <v>46</v>
      </c>
      <c r="U282" s="7" t="s">
        <v>1399</v>
      </c>
      <c r="V282" s="7" t="s">
        <v>37</v>
      </c>
      <c r="W282" s="7" t="s">
        <v>38</v>
      </c>
      <c r="X282" s="7" t="s">
        <v>39</v>
      </c>
      <c r="Y282" s="10" t="s">
        <v>95</v>
      </c>
    </row>
    <row r="283" spans="1:25" ht="12.75">
      <c r="A283" s="11">
        <v>2609204</v>
      </c>
      <c r="B283" s="12" t="s">
        <v>1400</v>
      </c>
      <c r="C283" s="12" t="s">
        <v>26</v>
      </c>
      <c r="D283" s="12">
        <v>170001971420</v>
      </c>
      <c r="E283" s="12">
        <v>13</v>
      </c>
      <c r="F283" s="12" t="s">
        <v>1401</v>
      </c>
      <c r="G283" s="12"/>
      <c r="H283" s="12"/>
      <c r="I283" s="12" t="s">
        <v>1402</v>
      </c>
      <c r="J283" s="12" t="s">
        <v>42</v>
      </c>
      <c r="K283" s="19" t="s">
        <v>43</v>
      </c>
      <c r="L283" s="12" t="s">
        <v>44</v>
      </c>
      <c r="M283" s="13">
        <v>2665</v>
      </c>
      <c r="N283" s="14">
        <v>0.39660000000000001</v>
      </c>
      <c r="O283" s="12" t="s">
        <v>1403</v>
      </c>
      <c r="P283" s="12" t="s">
        <v>32</v>
      </c>
      <c r="Q283" s="12">
        <v>13</v>
      </c>
      <c r="R283" s="12" t="s">
        <v>130</v>
      </c>
      <c r="S283" s="12" t="s">
        <v>131</v>
      </c>
      <c r="T283" s="12" t="s">
        <v>1404</v>
      </c>
      <c r="U283" s="12" t="s">
        <v>1405</v>
      </c>
      <c r="V283" s="12" t="s">
        <v>37</v>
      </c>
      <c r="W283" s="12" t="s">
        <v>38</v>
      </c>
      <c r="X283" s="12" t="s">
        <v>58</v>
      </c>
      <c r="Y283" s="15" t="s">
        <v>78</v>
      </c>
    </row>
    <row r="284" spans="1:25" ht="12.75">
      <c r="A284" s="6">
        <v>2609105</v>
      </c>
      <c r="B284" s="7" t="s">
        <v>1372</v>
      </c>
      <c r="C284" s="7" t="s">
        <v>26</v>
      </c>
      <c r="D284" s="7">
        <v>170002068099</v>
      </c>
      <c r="E284" s="7">
        <v>40</v>
      </c>
      <c r="F284" s="7" t="s">
        <v>1406</v>
      </c>
      <c r="G284" s="7"/>
      <c r="H284" s="7"/>
      <c r="I284" s="7" t="s">
        <v>1406</v>
      </c>
      <c r="J284" s="7" t="s">
        <v>28</v>
      </c>
      <c r="K284" s="7" t="s">
        <v>29</v>
      </c>
      <c r="L284" s="7" t="s">
        <v>30</v>
      </c>
      <c r="M284" s="8">
        <v>3955</v>
      </c>
      <c r="N284" s="9">
        <v>0.43409999999999999</v>
      </c>
      <c r="O284" s="7" t="s">
        <v>1407</v>
      </c>
      <c r="P284" s="7" t="s">
        <v>32</v>
      </c>
      <c r="Q284" s="7">
        <v>40</v>
      </c>
      <c r="R284" s="7" t="s">
        <v>33</v>
      </c>
      <c r="S284" s="7" t="s">
        <v>34</v>
      </c>
      <c r="T284" s="7" t="s">
        <v>1408</v>
      </c>
      <c r="U284" s="7" t="s">
        <v>1409</v>
      </c>
      <c r="V284" s="7" t="s">
        <v>37</v>
      </c>
      <c r="W284" s="7" t="s">
        <v>102</v>
      </c>
      <c r="X284" s="7" t="s">
        <v>58</v>
      </c>
      <c r="Y284" s="10" t="s">
        <v>95</v>
      </c>
    </row>
    <row r="285" spans="1:25" ht="12.75">
      <c r="A285" s="11">
        <v>2609303</v>
      </c>
      <c r="B285" s="12" t="s">
        <v>1410</v>
      </c>
      <c r="C285" s="12" t="s">
        <v>26</v>
      </c>
      <c r="D285" s="12">
        <v>170002107584</v>
      </c>
      <c r="E285" s="12">
        <v>10</v>
      </c>
      <c r="F285" s="12" t="s">
        <v>1411</v>
      </c>
      <c r="G285" s="12"/>
      <c r="H285" s="12"/>
      <c r="I285" s="12" t="s">
        <v>1411</v>
      </c>
      <c r="J285" s="12" t="s">
        <v>42</v>
      </c>
      <c r="K285" s="19" t="s">
        <v>43</v>
      </c>
      <c r="L285" s="12" t="s">
        <v>44</v>
      </c>
      <c r="M285" s="13">
        <v>3572</v>
      </c>
      <c r="N285" s="14">
        <v>0.37219999999999998</v>
      </c>
      <c r="O285" s="12" t="s">
        <v>1412</v>
      </c>
      <c r="P285" s="12" t="s">
        <v>32</v>
      </c>
      <c r="Q285" s="12">
        <v>10</v>
      </c>
      <c r="R285" s="12" t="s">
        <v>124</v>
      </c>
      <c r="S285" s="12" t="s">
        <v>124</v>
      </c>
      <c r="T285" s="12" t="s">
        <v>1413</v>
      </c>
      <c r="U285" s="12" t="s">
        <v>1414</v>
      </c>
      <c r="V285" s="12" t="s">
        <v>37</v>
      </c>
      <c r="W285" s="12" t="s">
        <v>38</v>
      </c>
      <c r="X285" s="12" t="s">
        <v>621</v>
      </c>
      <c r="Y285" s="15" t="s">
        <v>95</v>
      </c>
    </row>
    <row r="286" spans="1:25" ht="12.75">
      <c r="A286" s="6">
        <v>2609154</v>
      </c>
      <c r="B286" s="7" t="s">
        <v>1390</v>
      </c>
      <c r="C286" s="7" t="s">
        <v>26</v>
      </c>
      <c r="D286" s="7">
        <v>170002126877</v>
      </c>
      <c r="E286" s="7">
        <v>11</v>
      </c>
      <c r="F286" s="7" t="s">
        <v>1415</v>
      </c>
      <c r="G286" s="7"/>
      <c r="H286" s="7"/>
      <c r="I286" s="7" t="s">
        <v>1415</v>
      </c>
      <c r="J286" s="7" t="s">
        <v>28</v>
      </c>
      <c r="K286" s="7" t="s">
        <v>29</v>
      </c>
      <c r="L286" s="7" t="s">
        <v>30</v>
      </c>
      <c r="M286" s="8">
        <v>6089</v>
      </c>
      <c r="N286" s="9">
        <v>0.55840000000000001</v>
      </c>
      <c r="O286" s="7" t="s">
        <v>1416</v>
      </c>
      <c r="P286" s="7" t="s">
        <v>32</v>
      </c>
      <c r="Q286" s="7">
        <v>11</v>
      </c>
      <c r="R286" s="7" t="s">
        <v>168</v>
      </c>
      <c r="S286" s="7" t="s">
        <v>169</v>
      </c>
      <c r="T286" s="7" t="s">
        <v>1417</v>
      </c>
      <c r="U286" s="7" t="s">
        <v>1418</v>
      </c>
      <c r="V286" s="7" t="s">
        <v>37</v>
      </c>
      <c r="W286" s="7" t="s">
        <v>50</v>
      </c>
      <c r="X286" s="7" t="s">
        <v>58</v>
      </c>
      <c r="Y286" s="10" t="s">
        <v>26</v>
      </c>
    </row>
    <row r="287" spans="1:25" ht="12.75">
      <c r="A287" s="11">
        <v>2614303</v>
      </c>
      <c r="B287" s="12" t="s">
        <v>1419</v>
      </c>
      <c r="C287" s="12" t="s">
        <v>26</v>
      </c>
      <c r="D287" s="12">
        <v>170002328994</v>
      </c>
      <c r="E287" s="12">
        <v>77</v>
      </c>
      <c r="F287" s="12" t="s">
        <v>1420</v>
      </c>
      <c r="G287" s="12"/>
      <c r="H287" s="12"/>
      <c r="I287" s="12" t="s">
        <v>1420</v>
      </c>
      <c r="J287" s="12" t="s">
        <v>42</v>
      </c>
      <c r="K287" s="19" t="s">
        <v>43</v>
      </c>
      <c r="L287" s="12" t="s">
        <v>44</v>
      </c>
      <c r="M287" s="13">
        <v>2417</v>
      </c>
      <c r="N287" s="14">
        <v>0.30309999999999998</v>
      </c>
      <c r="O287" s="12" t="s">
        <v>1421</v>
      </c>
      <c r="P287" s="12" t="s">
        <v>32</v>
      </c>
      <c r="Q287" s="12">
        <v>77</v>
      </c>
      <c r="R287" s="12" t="s">
        <v>287</v>
      </c>
      <c r="S287" s="12" t="s">
        <v>287</v>
      </c>
      <c r="T287" s="12" t="s">
        <v>1422</v>
      </c>
      <c r="U287" s="12" t="s">
        <v>1423</v>
      </c>
      <c r="V287" s="12" t="s">
        <v>37</v>
      </c>
      <c r="W287" s="12" t="s">
        <v>156</v>
      </c>
      <c r="X287" s="12" t="s">
        <v>1338</v>
      </c>
      <c r="Y287" s="15" t="s">
        <v>51</v>
      </c>
    </row>
    <row r="288" spans="1:25" ht="12.75">
      <c r="A288" s="6">
        <v>2614303</v>
      </c>
      <c r="B288" s="7" t="s">
        <v>1419</v>
      </c>
      <c r="C288" s="7" t="s">
        <v>26</v>
      </c>
      <c r="D288" s="7">
        <v>170002244178</v>
      </c>
      <c r="E288" s="7">
        <v>70</v>
      </c>
      <c r="F288" s="7" t="s">
        <v>1424</v>
      </c>
      <c r="G288" s="7"/>
      <c r="H288" s="7"/>
      <c r="I288" s="7" t="s">
        <v>1424</v>
      </c>
      <c r="J288" s="7" t="s">
        <v>42</v>
      </c>
      <c r="K288" s="20" t="s">
        <v>43</v>
      </c>
      <c r="L288" s="7" t="s">
        <v>44</v>
      </c>
      <c r="M288" s="8">
        <v>248</v>
      </c>
      <c r="N288" s="9">
        <v>3.1099999999999999E-2</v>
      </c>
      <c r="O288" s="7" t="s">
        <v>1425</v>
      </c>
      <c r="P288" s="7" t="s">
        <v>32</v>
      </c>
      <c r="Q288" s="7">
        <v>70</v>
      </c>
      <c r="R288" s="7" t="s">
        <v>177</v>
      </c>
      <c r="S288" s="7" t="s">
        <v>177</v>
      </c>
      <c r="T288" s="7" t="s">
        <v>1426</v>
      </c>
      <c r="U288" s="7" t="s">
        <v>1427</v>
      </c>
      <c r="V288" s="7" t="s">
        <v>37</v>
      </c>
      <c r="W288" s="7" t="s">
        <v>114</v>
      </c>
      <c r="X288" s="7" t="s">
        <v>58</v>
      </c>
      <c r="Y288" s="10" t="s">
        <v>90</v>
      </c>
    </row>
    <row r="289" spans="1:25" ht="12.75">
      <c r="A289" s="11">
        <v>2609204</v>
      </c>
      <c r="B289" s="12" t="s">
        <v>1400</v>
      </c>
      <c r="C289" s="12" t="s">
        <v>26</v>
      </c>
      <c r="D289" s="12">
        <v>170002065865</v>
      </c>
      <c r="E289" s="12">
        <v>45</v>
      </c>
      <c r="F289" s="12" t="s">
        <v>1428</v>
      </c>
      <c r="G289" s="12"/>
      <c r="H289" s="12"/>
      <c r="I289" s="12" t="s">
        <v>1428</v>
      </c>
      <c r="J289" s="12" t="s">
        <v>28</v>
      </c>
      <c r="K289" s="12" t="s">
        <v>29</v>
      </c>
      <c r="L289" s="12" t="s">
        <v>30</v>
      </c>
      <c r="M289" s="13">
        <v>4055</v>
      </c>
      <c r="N289" s="14">
        <v>0.60340000000000005</v>
      </c>
      <c r="O289" s="12" t="s">
        <v>1429</v>
      </c>
      <c r="P289" s="12" t="s">
        <v>32</v>
      </c>
      <c r="Q289" s="12">
        <v>45</v>
      </c>
      <c r="R289" s="12" t="s">
        <v>61</v>
      </c>
      <c r="S289" s="12" t="s">
        <v>62</v>
      </c>
      <c r="T289" s="12" t="s">
        <v>1430</v>
      </c>
      <c r="U289" s="12" t="s">
        <v>1431</v>
      </c>
      <c r="V289" s="12" t="s">
        <v>37</v>
      </c>
      <c r="W289" s="12" t="s">
        <v>50</v>
      </c>
      <c r="X289" s="12" t="s">
        <v>39</v>
      </c>
      <c r="Y289" s="15" t="s">
        <v>26</v>
      </c>
    </row>
    <row r="290" spans="1:25" ht="12.75">
      <c r="A290" s="6">
        <v>2609402</v>
      </c>
      <c r="B290" s="7" t="s">
        <v>1432</v>
      </c>
      <c r="C290" s="7" t="s">
        <v>26</v>
      </c>
      <c r="D290" s="7">
        <v>170002021453</v>
      </c>
      <c r="E290" s="7">
        <v>40</v>
      </c>
      <c r="F290" s="7" t="s">
        <v>1433</v>
      </c>
      <c r="G290" s="7"/>
      <c r="H290" s="7"/>
      <c r="I290" s="7" t="s">
        <v>1434</v>
      </c>
      <c r="J290" s="7" t="s">
        <v>42</v>
      </c>
      <c r="K290" s="20" t="s">
        <v>43</v>
      </c>
      <c r="L290" s="7" t="s">
        <v>44</v>
      </c>
      <c r="M290" s="8">
        <v>1038</v>
      </c>
      <c r="N290" s="9">
        <v>2.7799999999999998E-2</v>
      </c>
      <c r="O290" s="7" t="s">
        <v>1435</v>
      </c>
      <c r="P290" s="7" t="s">
        <v>32</v>
      </c>
      <c r="Q290" s="7">
        <v>40</v>
      </c>
      <c r="R290" s="7" t="s">
        <v>33</v>
      </c>
      <c r="S290" s="7" t="s">
        <v>34</v>
      </c>
      <c r="T290" s="7" t="s">
        <v>1436</v>
      </c>
      <c r="U290" s="7" t="s">
        <v>1437</v>
      </c>
      <c r="V290" s="7" t="s">
        <v>160</v>
      </c>
      <c r="W290" s="7" t="s">
        <v>38</v>
      </c>
      <c r="X290" s="7" t="s">
        <v>58</v>
      </c>
      <c r="Y290" s="10" t="s">
        <v>134</v>
      </c>
    </row>
    <row r="291" spans="1:25" ht="12.75">
      <c r="A291" s="11">
        <v>2609303</v>
      </c>
      <c r="B291" s="12" t="s">
        <v>1410</v>
      </c>
      <c r="C291" s="12" t="s">
        <v>26</v>
      </c>
      <c r="D291" s="12">
        <v>170002107312</v>
      </c>
      <c r="E291" s="12">
        <v>40</v>
      </c>
      <c r="F291" s="12" t="s">
        <v>1438</v>
      </c>
      <c r="G291" s="12"/>
      <c r="H291" s="12"/>
      <c r="I291" s="12" t="s">
        <v>1438</v>
      </c>
      <c r="J291" s="12" t="s">
        <v>28</v>
      </c>
      <c r="K291" s="12" t="s">
        <v>29</v>
      </c>
      <c r="L291" s="12" t="s">
        <v>30</v>
      </c>
      <c r="M291" s="13">
        <v>6025</v>
      </c>
      <c r="N291" s="14">
        <v>0.62780000000000002</v>
      </c>
      <c r="O291" s="12" t="s">
        <v>1439</v>
      </c>
      <c r="P291" s="12" t="s">
        <v>32</v>
      </c>
      <c r="Q291" s="12">
        <v>40</v>
      </c>
      <c r="R291" s="12" t="s">
        <v>33</v>
      </c>
      <c r="S291" s="12" t="s">
        <v>34</v>
      </c>
      <c r="T291" s="12" t="s">
        <v>1440</v>
      </c>
      <c r="U291" s="12" t="s">
        <v>1441</v>
      </c>
      <c r="V291" s="12" t="s">
        <v>37</v>
      </c>
      <c r="W291" s="12" t="s">
        <v>38</v>
      </c>
      <c r="X291" s="12" t="s">
        <v>39</v>
      </c>
      <c r="Y291" s="15" t="s">
        <v>328</v>
      </c>
    </row>
    <row r="292" spans="1:25" ht="12.75">
      <c r="A292" s="6">
        <v>2609402</v>
      </c>
      <c r="B292" s="7" t="s">
        <v>1432</v>
      </c>
      <c r="C292" s="7" t="s">
        <v>26</v>
      </c>
      <c r="D292" s="7">
        <v>170001918058</v>
      </c>
      <c r="E292" s="7">
        <v>22</v>
      </c>
      <c r="F292" s="7" t="s">
        <v>1442</v>
      </c>
      <c r="G292" s="7"/>
      <c r="H292" s="7"/>
      <c r="I292" s="7" t="s">
        <v>1442</v>
      </c>
      <c r="J292" s="7" t="s">
        <v>42</v>
      </c>
      <c r="K292" s="20" t="s">
        <v>43</v>
      </c>
      <c r="L292" s="7" t="s">
        <v>44</v>
      </c>
      <c r="M292" s="8">
        <v>9528</v>
      </c>
      <c r="N292" s="9">
        <v>0.25480000000000003</v>
      </c>
      <c r="O292" s="7" t="s">
        <v>1443</v>
      </c>
      <c r="P292" s="7" t="s">
        <v>32</v>
      </c>
      <c r="Q292" s="7">
        <v>22</v>
      </c>
      <c r="R292" s="7" t="s">
        <v>321</v>
      </c>
      <c r="S292" s="7" t="s">
        <v>322</v>
      </c>
      <c r="T292" s="7" t="s">
        <v>1444</v>
      </c>
      <c r="U292" s="7" t="s">
        <v>1445</v>
      </c>
      <c r="V292" s="7" t="s">
        <v>37</v>
      </c>
      <c r="W292" s="7" t="s">
        <v>50</v>
      </c>
      <c r="X292" s="7" t="s">
        <v>58</v>
      </c>
      <c r="Y292" s="10" t="s">
        <v>1446</v>
      </c>
    </row>
    <row r="293" spans="1:25" ht="12.75">
      <c r="A293" s="11">
        <v>2614303</v>
      </c>
      <c r="B293" s="12" t="s">
        <v>1419</v>
      </c>
      <c r="C293" s="12" t="s">
        <v>26</v>
      </c>
      <c r="D293" s="12">
        <v>170002136286</v>
      </c>
      <c r="E293" s="12">
        <v>45</v>
      </c>
      <c r="F293" s="12" t="s">
        <v>1447</v>
      </c>
      <c r="G293" s="12"/>
      <c r="H293" s="12"/>
      <c r="I293" s="12" t="s">
        <v>1447</v>
      </c>
      <c r="J293" s="12" t="s">
        <v>28</v>
      </c>
      <c r="K293" s="12" t="s">
        <v>29</v>
      </c>
      <c r="L293" s="12" t="s">
        <v>30</v>
      </c>
      <c r="M293" s="13">
        <v>5310</v>
      </c>
      <c r="N293" s="14">
        <v>0.66579999999999995</v>
      </c>
      <c r="O293" s="12" t="s">
        <v>1448</v>
      </c>
      <c r="P293" s="12" t="s">
        <v>32</v>
      </c>
      <c r="Q293" s="12">
        <v>45</v>
      </c>
      <c r="R293" s="12" t="s">
        <v>61</v>
      </c>
      <c r="S293" s="12" t="s">
        <v>62</v>
      </c>
      <c r="T293" s="12" t="s">
        <v>1449</v>
      </c>
      <c r="U293" s="12" t="s">
        <v>1450</v>
      </c>
      <c r="V293" s="12" t="s">
        <v>37</v>
      </c>
      <c r="W293" s="12" t="s">
        <v>50</v>
      </c>
      <c r="X293" s="12" t="s">
        <v>58</v>
      </c>
      <c r="Y293" s="15" t="s">
        <v>95</v>
      </c>
    </row>
    <row r="294" spans="1:25" ht="12.75">
      <c r="A294" s="6">
        <v>2609501</v>
      </c>
      <c r="B294" s="7" t="s">
        <v>1451</v>
      </c>
      <c r="C294" s="7" t="s">
        <v>26</v>
      </c>
      <c r="D294" s="7">
        <v>170002084657</v>
      </c>
      <c r="E294" s="7">
        <v>44</v>
      </c>
      <c r="F294" s="7" t="s">
        <v>1452</v>
      </c>
      <c r="G294" s="7"/>
      <c r="H294" s="7"/>
      <c r="I294" s="7" t="s">
        <v>1452</v>
      </c>
      <c r="J294" s="7" t="s">
        <v>42</v>
      </c>
      <c r="K294" s="20" t="s">
        <v>43</v>
      </c>
      <c r="L294" s="7" t="s">
        <v>44</v>
      </c>
      <c r="M294" s="8">
        <v>3895</v>
      </c>
      <c r="N294" s="9">
        <v>0.18390000000000001</v>
      </c>
      <c r="O294" s="7" t="s">
        <v>1453</v>
      </c>
      <c r="P294" s="7" t="s">
        <v>32</v>
      </c>
      <c r="Q294" s="7">
        <v>44</v>
      </c>
      <c r="R294" s="7" t="s">
        <v>314</v>
      </c>
      <c r="S294" s="7" t="s">
        <v>315</v>
      </c>
      <c r="T294" s="7" t="s">
        <v>1454</v>
      </c>
      <c r="U294" s="7" t="s">
        <v>1455</v>
      </c>
      <c r="V294" s="7" t="s">
        <v>37</v>
      </c>
      <c r="W294" s="7" t="s">
        <v>38</v>
      </c>
      <c r="X294" s="7" t="s">
        <v>58</v>
      </c>
      <c r="Y294" s="10" t="s">
        <v>1456</v>
      </c>
    </row>
    <row r="295" spans="1:25" ht="12.75">
      <c r="A295" s="11">
        <v>2609501</v>
      </c>
      <c r="B295" s="12" t="s">
        <v>1451</v>
      </c>
      <c r="C295" s="12" t="s">
        <v>26</v>
      </c>
      <c r="D295" s="12">
        <v>170002084558</v>
      </c>
      <c r="E295" s="12">
        <v>40</v>
      </c>
      <c r="F295" s="12" t="s">
        <v>1457</v>
      </c>
      <c r="G295" s="12"/>
      <c r="H295" s="12"/>
      <c r="I295" s="12" t="s">
        <v>1457</v>
      </c>
      <c r="J295" s="12" t="s">
        <v>42</v>
      </c>
      <c r="K295" s="12" t="s">
        <v>29</v>
      </c>
      <c r="L295" s="12" t="s">
        <v>44</v>
      </c>
      <c r="M295" s="13">
        <v>7182</v>
      </c>
      <c r="N295" s="14">
        <v>0.33910000000000001</v>
      </c>
      <c r="O295" s="12" t="s">
        <v>1458</v>
      </c>
      <c r="P295" s="12" t="s">
        <v>32</v>
      </c>
      <c r="Q295" s="12">
        <v>40</v>
      </c>
      <c r="R295" s="12" t="s">
        <v>33</v>
      </c>
      <c r="S295" s="12" t="s">
        <v>34</v>
      </c>
      <c r="T295" s="12" t="s">
        <v>1459</v>
      </c>
      <c r="U295" s="12" t="s">
        <v>1460</v>
      </c>
      <c r="V295" s="12" t="s">
        <v>37</v>
      </c>
      <c r="W295" s="12" t="s">
        <v>50</v>
      </c>
      <c r="X295" s="12" t="s">
        <v>39</v>
      </c>
      <c r="Y295" s="15" t="s">
        <v>51</v>
      </c>
    </row>
    <row r="296" spans="1:25" ht="12.75">
      <c r="A296" s="6">
        <v>2609600</v>
      </c>
      <c r="B296" s="7" t="s">
        <v>1461</v>
      </c>
      <c r="C296" s="7" t="s">
        <v>26</v>
      </c>
      <c r="D296" s="7">
        <v>170001980384</v>
      </c>
      <c r="E296" s="7">
        <v>28</v>
      </c>
      <c r="F296" s="7" t="s">
        <v>1462</v>
      </c>
      <c r="G296" s="7"/>
      <c r="H296" s="7"/>
      <c r="I296" s="7" t="s">
        <v>1463</v>
      </c>
      <c r="J296" s="7" t="s">
        <v>42</v>
      </c>
      <c r="K296" s="20" t="s">
        <v>43</v>
      </c>
      <c r="L296" s="7" t="s">
        <v>44</v>
      </c>
      <c r="M296" s="8">
        <v>0</v>
      </c>
      <c r="N296" s="9">
        <v>0</v>
      </c>
      <c r="O296" s="7" t="s">
        <v>1464</v>
      </c>
      <c r="P296" s="7" t="s">
        <v>32</v>
      </c>
      <c r="Q296" s="7">
        <v>28</v>
      </c>
      <c r="R296" s="7" t="s">
        <v>1465</v>
      </c>
      <c r="S296" s="7" t="s">
        <v>1466</v>
      </c>
      <c r="T296" s="7" t="s">
        <v>1467</v>
      </c>
      <c r="U296" s="7" t="s">
        <v>1468</v>
      </c>
      <c r="V296" s="7" t="s">
        <v>37</v>
      </c>
      <c r="W296" s="7" t="s">
        <v>38</v>
      </c>
      <c r="X296" s="7" t="s">
        <v>58</v>
      </c>
      <c r="Y296" s="10" t="s">
        <v>127</v>
      </c>
    </row>
    <row r="297" spans="1:25" ht="12.75">
      <c r="A297" s="11">
        <v>2609600</v>
      </c>
      <c r="B297" s="12" t="s">
        <v>1461</v>
      </c>
      <c r="C297" s="12" t="s">
        <v>26</v>
      </c>
      <c r="D297" s="12">
        <v>170002327085</v>
      </c>
      <c r="E297" s="12">
        <v>29</v>
      </c>
      <c r="F297" s="12" t="s">
        <v>1469</v>
      </c>
      <c r="G297" s="12"/>
      <c r="H297" s="12"/>
      <c r="I297" s="12" t="s">
        <v>1470</v>
      </c>
      <c r="J297" s="12" t="s">
        <v>42</v>
      </c>
      <c r="K297" s="19" t="s">
        <v>43</v>
      </c>
      <c r="L297" s="12" t="s">
        <v>44</v>
      </c>
      <c r="M297" s="13">
        <v>0</v>
      </c>
      <c r="N297" s="14">
        <v>0</v>
      </c>
      <c r="O297" s="12" t="s">
        <v>1471</v>
      </c>
      <c r="P297" s="12" t="s">
        <v>46</v>
      </c>
      <c r="Q297" s="12">
        <v>29</v>
      </c>
      <c r="R297" s="12" t="s">
        <v>1472</v>
      </c>
      <c r="S297" s="12" t="s">
        <v>1473</v>
      </c>
      <c r="T297" s="12" t="s">
        <v>46</v>
      </c>
      <c r="U297" s="12" t="s">
        <v>1474</v>
      </c>
      <c r="V297" s="12" t="s">
        <v>37</v>
      </c>
      <c r="W297" s="12" t="s">
        <v>635</v>
      </c>
      <c r="X297" s="12" t="s">
        <v>89</v>
      </c>
      <c r="Y297" s="15" t="s">
        <v>1475</v>
      </c>
    </row>
    <row r="298" spans="1:25" ht="12.75">
      <c r="A298" s="6">
        <v>2609600</v>
      </c>
      <c r="B298" s="7" t="s">
        <v>1461</v>
      </c>
      <c r="C298" s="7" t="s">
        <v>26</v>
      </c>
      <c r="D298" s="7">
        <v>170002095597</v>
      </c>
      <c r="E298" s="7">
        <v>22</v>
      </c>
      <c r="F298" s="7" t="s">
        <v>1476</v>
      </c>
      <c r="G298" s="7"/>
      <c r="H298" s="7"/>
      <c r="I298" s="7" t="s">
        <v>1476</v>
      </c>
      <c r="J298" s="7" t="s">
        <v>42</v>
      </c>
      <c r="K298" s="20" t="s">
        <v>43</v>
      </c>
      <c r="L298" s="7" t="s">
        <v>44</v>
      </c>
      <c r="M298" s="8">
        <v>0</v>
      </c>
      <c r="N298" s="9">
        <v>0</v>
      </c>
      <c r="O298" s="7" t="s">
        <v>1477</v>
      </c>
      <c r="P298" s="7" t="s">
        <v>32</v>
      </c>
      <c r="Q298" s="7">
        <v>22</v>
      </c>
      <c r="R298" s="7" t="s">
        <v>321</v>
      </c>
      <c r="S298" s="7" t="s">
        <v>322</v>
      </c>
      <c r="T298" s="7" t="s">
        <v>1478</v>
      </c>
      <c r="U298" s="7" t="s">
        <v>1479</v>
      </c>
      <c r="V298" s="7" t="s">
        <v>160</v>
      </c>
      <c r="W298" s="7" t="s">
        <v>38</v>
      </c>
      <c r="X298" s="7" t="s">
        <v>39</v>
      </c>
      <c r="Y298" s="10" t="s">
        <v>280</v>
      </c>
    </row>
    <row r="299" spans="1:25" ht="12.75">
      <c r="A299" s="11">
        <v>2609600</v>
      </c>
      <c r="B299" s="12" t="s">
        <v>1461</v>
      </c>
      <c r="C299" s="12" t="s">
        <v>26</v>
      </c>
      <c r="D299" s="12">
        <v>170002024354</v>
      </c>
      <c r="E299" s="12">
        <v>11</v>
      </c>
      <c r="F299" s="12" t="s">
        <v>1480</v>
      </c>
      <c r="G299" s="12"/>
      <c r="H299" s="12"/>
      <c r="I299" s="12" t="s">
        <v>1481</v>
      </c>
      <c r="J299" s="12" t="s">
        <v>42</v>
      </c>
      <c r="K299" s="19" t="s">
        <v>43</v>
      </c>
      <c r="L299" s="12" t="s">
        <v>44</v>
      </c>
      <c r="M299" s="13">
        <v>0</v>
      </c>
      <c r="N299" s="14">
        <v>0</v>
      </c>
      <c r="O299" s="12" t="s">
        <v>1482</v>
      </c>
      <c r="P299" s="12" t="s">
        <v>46</v>
      </c>
      <c r="Q299" s="12">
        <v>11</v>
      </c>
      <c r="R299" s="12" t="s">
        <v>168</v>
      </c>
      <c r="S299" s="12" t="s">
        <v>169</v>
      </c>
      <c r="T299" s="12" t="s">
        <v>46</v>
      </c>
      <c r="U299" s="12" t="s">
        <v>1483</v>
      </c>
      <c r="V299" s="12" t="s">
        <v>37</v>
      </c>
      <c r="W299" s="12" t="s">
        <v>38</v>
      </c>
      <c r="X299" s="12" t="s">
        <v>58</v>
      </c>
      <c r="Y299" s="15" t="s">
        <v>51</v>
      </c>
    </row>
    <row r="300" spans="1:25" ht="12.75">
      <c r="A300" s="6">
        <v>2609402</v>
      </c>
      <c r="B300" s="7" t="s">
        <v>1432</v>
      </c>
      <c r="C300" s="7" t="s">
        <v>26</v>
      </c>
      <c r="D300" s="7">
        <v>170001991266</v>
      </c>
      <c r="E300" s="7">
        <v>11</v>
      </c>
      <c r="F300" s="7" t="s">
        <v>1484</v>
      </c>
      <c r="G300" s="7"/>
      <c r="H300" s="7"/>
      <c r="I300" s="7" t="s">
        <v>1484</v>
      </c>
      <c r="J300" s="7" t="s">
        <v>28</v>
      </c>
      <c r="K300" s="7" t="s">
        <v>29</v>
      </c>
      <c r="L300" s="7" t="s">
        <v>30</v>
      </c>
      <c r="M300" s="8">
        <v>26835</v>
      </c>
      <c r="N300" s="9">
        <v>0.71750000000000003</v>
      </c>
      <c r="O300" s="7" t="s">
        <v>1485</v>
      </c>
      <c r="P300" s="7" t="s">
        <v>32</v>
      </c>
      <c r="Q300" s="7">
        <v>11</v>
      </c>
      <c r="R300" s="7" t="s">
        <v>168</v>
      </c>
      <c r="S300" s="7" t="s">
        <v>169</v>
      </c>
      <c r="T300" s="7" t="s">
        <v>1486</v>
      </c>
      <c r="U300" s="7" t="s">
        <v>1487</v>
      </c>
      <c r="V300" s="7" t="s">
        <v>37</v>
      </c>
      <c r="W300" s="7" t="s">
        <v>50</v>
      </c>
      <c r="X300" s="7" t="s">
        <v>58</v>
      </c>
      <c r="Y300" s="10" t="s">
        <v>26</v>
      </c>
    </row>
    <row r="301" spans="1:25" ht="12.75">
      <c r="A301" s="11">
        <v>2609600</v>
      </c>
      <c r="B301" s="12" t="s">
        <v>1461</v>
      </c>
      <c r="C301" s="12" t="s">
        <v>26</v>
      </c>
      <c r="D301" s="12">
        <v>170002095626</v>
      </c>
      <c r="E301" s="12">
        <v>13</v>
      </c>
      <c r="F301" s="12" t="s">
        <v>1488</v>
      </c>
      <c r="G301" s="12"/>
      <c r="H301" s="12"/>
      <c r="I301" s="12" t="s">
        <v>1488</v>
      </c>
      <c r="J301" s="12" t="s">
        <v>42</v>
      </c>
      <c r="K301" s="19" t="s">
        <v>43</v>
      </c>
      <c r="L301" s="12" t="s">
        <v>44</v>
      </c>
      <c r="M301" s="13">
        <v>105616</v>
      </c>
      <c r="N301" s="14">
        <v>0.48620000000000002</v>
      </c>
      <c r="O301" s="12" t="s">
        <v>1489</v>
      </c>
      <c r="P301" s="12" t="s">
        <v>32</v>
      </c>
      <c r="Q301" s="12">
        <v>13</v>
      </c>
      <c r="R301" s="12" t="s">
        <v>130</v>
      </c>
      <c r="S301" s="12" t="s">
        <v>131</v>
      </c>
      <c r="T301" s="12" t="s">
        <v>1490</v>
      </c>
      <c r="U301" s="12" t="s">
        <v>1491</v>
      </c>
      <c r="V301" s="12" t="s">
        <v>37</v>
      </c>
      <c r="W301" s="12" t="s">
        <v>38</v>
      </c>
      <c r="X301" s="12" t="s">
        <v>89</v>
      </c>
      <c r="Y301" s="15" t="s">
        <v>127</v>
      </c>
    </row>
    <row r="302" spans="1:25" ht="12.75">
      <c r="A302" s="6">
        <v>2609709</v>
      </c>
      <c r="B302" s="7" t="s">
        <v>1492</v>
      </c>
      <c r="C302" s="7" t="s">
        <v>26</v>
      </c>
      <c r="D302" s="7">
        <v>170002188752</v>
      </c>
      <c r="E302" s="7">
        <v>20</v>
      </c>
      <c r="F302" s="7" t="s">
        <v>1493</v>
      </c>
      <c r="G302" s="7"/>
      <c r="H302" s="7"/>
      <c r="I302" s="7" t="s">
        <v>1494</v>
      </c>
      <c r="J302" s="7" t="s">
        <v>42</v>
      </c>
      <c r="K302" s="20" t="s">
        <v>43</v>
      </c>
      <c r="L302" s="7" t="s">
        <v>44</v>
      </c>
      <c r="M302" s="8">
        <v>6502</v>
      </c>
      <c r="N302" s="9">
        <v>0.44940000000000002</v>
      </c>
      <c r="O302" s="7" t="s">
        <v>1495</v>
      </c>
      <c r="P302" s="7" t="s">
        <v>32</v>
      </c>
      <c r="Q302" s="7">
        <v>20</v>
      </c>
      <c r="R302" s="7" t="s">
        <v>98</v>
      </c>
      <c r="S302" s="7" t="s">
        <v>99</v>
      </c>
      <c r="T302" s="7" t="s">
        <v>1496</v>
      </c>
      <c r="U302" s="7" t="s">
        <v>1497</v>
      </c>
      <c r="V302" s="7" t="s">
        <v>37</v>
      </c>
      <c r="W302" s="7" t="s">
        <v>38</v>
      </c>
      <c r="X302" s="7" t="s">
        <v>39</v>
      </c>
      <c r="Y302" s="10" t="s">
        <v>127</v>
      </c>
    </row>
    <row r="303" spans="1:25" ht="12.75">
      <c r="A303" s="11">
        <v>2608206</v>
      </c>
      <c r="B303" s="12" t="s">
        <v>1238</v>
      </c>
      <c r="C303" s="12" t="s">
        <v>26</v>
      </c>
      <c r="D303" s="12">
        <v>170002395900</v>
      </c>
      <c r="E303" s="12">
        <v>45</v>
      </c>
      <c r="F303" s="12" t="s">
        <v>1498</v>
      </c>
      <c r="G303" s="12"/>
      <c r="H303" s="12"/>
      <c r="I303" s="12" t="s">
        <v>1498</v>
      </c>
      <c r="J303" s="12" t="s">
        <v>82</v>
      </c>
      <c r="K303" s="12" t="s">
        <v>29</v>
      </c>
      <c r="L303" s="12" t="s">
        <v>30</v>
      </c>
      <c r="M303" s="13">
        <v>6404</v>
      </c>
      <c r="N303" s="14">
        <v>0.52349999999999997</v>
      </c>
      <c r="O303" s="12" t="s">
        <v>1499</v>
      </c>
      <c r="P303" s="12" t="s">
        <v>32</v>
      </c>
      <c r="Q303" s="12">
        <v>45</v>
      </c>
      <c r="R303" s="12" t="s">
        <v>61</v>
      </c>
      <c r="S303" s="12" t="s">
        <v>62</v>
      </c>
      <c r="T303" s="12" t="s">
        <v>1500</v>
      </c>
      <c r="U303" s="12" t="s">
        <v>1501</v>
      </c>
      <c r="V303" s="12" t="s">
        <v>160</v>
      </c>
      <c r="W303" s="12" t="s">
        <v>38</v>
      </c>
      <c r="X303" s="12" t="s">
        <v>39</v>
      </c>
      <c r="Y303" s="15" t="s">
        <v>134</v>
      </c>
    </row>
    <row r="304" spans="1:25" ht="12.75">
      <c r="A304" s="6">
        <v>2609600</v>
      </c>
      <c r="B304" s="7" t="s">
        <v>1461</v>
      </c>
      <c r="C304" s="7" t="s">
        <v>26</v>
      </c>
      <c r="D304" s="7">
        <v>170001959444</v>
      </c>
      <c r="E304" s="7">
        <v>55</v>
      </c>
      <c r="F304" s="7" t="s">
        <v>1502</v>
      </c>
      <c r="G304" s="7"/>
      <c r="H304" s="7"/>
      <c r="I304" s="7" t="s">
        <v>1502</v>
      </c>
      <c r="J304" s="7" t="s">
        <v>82</v>
      </c>
      <c r="K304" s="7" t="s">
        <v>29</v>
      </c>
      <c r="L304" s="7" t="s">
        <v>30</v>
      </c>
      <c r="M304" s="8">
        <v>111613</v>
      </c>
      <c r="N304" s="9">
        <v>0.51380000000000003</v>
      </c>
      <c r="O304" s="7" t="s">
        <v>1503</v>
      </c>
      <c r="P304" s="7" t="s">
        <v>32</v>
      </c>
      <c r="Q304" s="7">
        <v>55</v>
      </c>
      <c r="R304" s="7" t="s">
        <v>74</v>
      </c>
      <c r="S304" s="7" t="s">
        <v>75</v>
      </c>
      <c r="T304" s="7" t="s">
        <v>1504</v>
      </c>
      <c r="U304" s="7" t="s">
        <v>1505</v>
      </c>
      <c r="V304" s="7" t="s">
        <v>160</v>
      </c>
      <c r="W304" s="7" t="s">
        <v>38</v>
      </c>
      <c r="X304" s="7" t="s">
        <v>58</v>
      </c>
      <c r="Y304" s="10" t="s">
        <v>109</v>
      </c>
    </row>
    <row r="305" spans="1:25" ht="12.75">
      <c r="A305" s="11">
        <v>2609808</v>
      </c>
      <c r="B305" s="12" t="s">
        <v>1506</v>
      </c>
      <c r="C305" s="12" t="s">
        <v>26</v>
      </c>
      <c r="D305" s="12">
        <v>170002225839</v>
      </c>
      <c r="E305" s="12">
        <v>12</v>
      </c>
      <c r="F305" s="12" t="s">
        <v>1507</v>
      </c>
      <c r="G305" s="12"/>
      <c r="H305" s="12"/>
      <c r="I305" s="12" t="s">
        <v>1507</v>
      </c>
      <c r="J305" s="12" t="s">
        <v>42</v>
      </c>
      <c r="K305" s="12" t="s">
        <v>29</v>
      </c>
      <c r="L305" s="12" t="s">
        <v>44</v>
      </c>
      <c r="M305" s="13">
        <v>4762</v>
      </c>
      <c r="N305" s="14">
        <v>0.45419999999999999</v>
      </c>
      <c r="O305" s="12" t="s">
        <v>1508</v>
      </c>
      <c r="P305" s="12" t="s">
        <v>32</v>
      </c>
      <c r="Q305" s="12">
        <v>12</v>
      </c>
      <c r="R305" s="12" t="s">
        <v>138</v>
      </c>
      <c r="S305" s="12" t="s">
        <v>139</v>
      </c>
      <c r="T305" s="12" t="s">
        <v>1509</v>
      </c>
      <c r="U305" s="12" t="s">
        <v>1510</v>
      </c>
      <c r="V305" s="12" t="s">
        <v>37</v>
      </c>
      <c r="W305" s="12" t="s">
        <v>102</v>
      </c>
      <c r="X305" s="12" t="s">
        <v>39</v>
      </c>
      <c r="Y305" s="15" t="s">
        <v>95</v>
      </c>
    </row>
    <row r="306" spans="1:25" ht="12.75">
      <c r="A306" s="6">
        <v>2609709</v>
      </c>
      <c r="B306" s="7" t="s">
        <v>1492</v>
      </c>
      <c r="C306" s="7" t="s">
        <v>26</v>
      </c>
      <c r="D306" s="7">
        <v>170002242378</v>
      </c>
      <c r="E306" s="7">
        <v>45</v>
      </c>
      <c r="F306" s="7" t="s">
        <v>1511</v>
      </c>
      <c r="G306" s="7"/>
      <c r="H306" s="7"/>
      <c r="I306" s="7" t="s">
        <v>1511</v>
      </c>
      <c r="J306" s="7" t="s">
        <v>28</v>
      </c>
      <c r="K306" s="7" t="s">
        <v>29</v>
      </c>
      <c r="L306" s="7" t="s">
        <v>30</v>
      </c>
      <c r="M306" s="8">
        <v>7965</v>
      </c>
      <c r="N306" s="9">
        <v>0.55059999999999998</v>
      </c>
      <c r="O306" s="7" t="s">
        <v>1512</v>
      </c>
      <c r="P306" s="7" t="s">
        <v>32</v>
      </c>
      <c r="Q306" s="7">
        <v>45</v>
      </c>
      <c r="R306" s="7" t="s">
        <v>61</v>
      </c>
      <c r="S306" s="7" t="s">
        <v>62</v>
      </c>
      <c r="T306" s="7" t="s">
        <v>1513</v>
      </c>
      <c r="U306" s="7" t="s">
        <v>1514</v>
      </c>
      <c r="V306" s="7" t="s">
        <v>37</v>
      </c>
      <c r="W306" s="7" t="s">
        <v>50</v>
      </c>
      <c r="X306" s="7" t="s">
        <v>39</v>
      </c>
      <c r="Y306" s="10" t="s">
        <v>246</v>
      </c>
    </row>
    <row r="307" spans="1:25" ht="12.75">
      <c r="A307" s="11">
        <v>2609907</v>
      </c>
      <c r="B307" s="12" t="s">
        <v>1515</v>
      </c>
      <c r="C307" s="12" t="s">
        <v>26</v>
      </c>
      <c r="D307" s="12">
        <v>170002243258</v>
      </c>
      <c r="E307" s="12">
        <v>21</v>
      </c>
      <c r="F307" s="12" t="s">
        <v>1516</v>
      </c>
      <c r="G307" s="12"/>
      <c r="H307" s="12"/>
      <c r="I307" s="12" t="s">
        <v>1517</v>
      </c>
      <c r="J307" s="12" t="s">
        <v>42</v>
      </c>
      <c r="K307" s="19" t="s">
        <v>43</v>
      </c>
      <c r="L307" s="12" t="s">
        <v>44</v>
      </c>
      <c r="M307" s="13">
        <v>199</v>
      </c>
      <c r="N307" s="14">
        <v>5.1000000000000004E-3</v>
      </c>
      <c r="O307" s="12" t="s">
        <v>1518</v>
      </c>
      <c r="P307" s="12" t="s">
        <v>46</v>
      </c>
      <c r="Q307" s="12">
        <v>21</v>
      </c>
      <c r="R307" s="12" t="s">
        <v>490</v>
      </c>
      <c r="S307" s="12" t="s">
        <v>491</v>
      </c>
      <c r="T307" s="12" t="s">
        <v>46</v>
      </c>
      <c r="U307" s="12" t="s">
        <v>1519</v>
      </c>
      <c r="V307" s="12" t="s">
        <v>37</v>
      </c>
      <c r="W307" s="12" t="s">
        <v>50</v>
      </c>
      <c r="X307" s="12" t="s">
        <v>89</v>
      </c>
      <c r="Y307" s="15" t="s">
        <v>650</v>
      </c>
    </row>
    <row r="308" spans="1:25" ht="12.75">
      <c r="A308" s="6">
        <v>2609907</v>
      </c>
      <c r="B308" s="7" t="s">
        <v>1515</v>
      </c>
      <c r="C308" s="7" t="s">
        <v>26</v>
      </c>
      <c r="D308" s="7">
        <v>170002253817</v>
      </c>
      <c r="E308" s="7">
        <v>12</v>
      </c>
      <c r="F308" s="7" t="s">
        <v>1520</v>
      </c>
      <c r="G308" s="7"/>
      <c r="H308" s="7"/>
      <c r="I308" s="7" t="s">
        <v>1520</v>
      </c>
      <c r="J308" s="7" t="s">
        <v>42</v>
      </c>
      <c r="K308" s="20" t="s">
        <v>43</v>
      </c>
      <c r="L308" s="7" t="s">
        <v>44</v>
      </c>
      <c r="M308" s="8">
        <v>475</v>
      </c>
      <c r="N308" s="9">
        <v>1.23E-2</v>
      </c>
      <c r="O308" s="7" t="s">
        <v>1521</v>
      </c>
      <c r="P308" s="7" t="s">
        <v>46</v>
      </c>
      <c r="Q308" s="7">
        <v>12</v>
      </c>
      <c r="R308" s="7" t="s">
        <v>138</v>
      </c>
      <c r="S308" s="7" t="s">
        <v>139</v>
      </c>
      <c r="T308" s="7" t="s">
        <v>46</v>
      </c>
      <c r="U308" s="7" t="s">
        <v>1522</v>
      </c>
      <c r="V308" s="7" t="s">
        <v>37</v>
      </c>
      <c r="W308" s="7" t="s">
        <v>635</v>
      </c>
      <c r="X308" s="7" t="s">
        <v>58</v>
      </c>
      <c r="Y308" s="10" t="s">
        <v>90</v>
      </c>
    </row>
    <row r="309" spans="1:25" ht="12.75">
      <c r="A309" s="11">
        <v>2609907</v>
      </c>
      <c r="B309" s="12" t="s">
        <v>1515</v>
      </c>
      <c r="C309" s="12" t="s">
        <v>26</v>
      </c>
      <c r="D309" s="12">
        <v>170002243148</v>
      </c>
      <c r="E309" s="12">
        <v>15</v>
      </c>
      <c r="F309" s="12" t="s">
        <v>1523</v>
      </c>
      <c r="G309" s="12"/>
      <c r="H309" s="12"/>
      <c r="I309" s="12" t="s">
        <v>1523</v>
      </c>
      <c r="J309" s="12" t="s">
        <v>42</v>
      </c>
      <c r="K309" s="12" t="s">
        <v>29</v>
      </c>
      <c r="L309" s="12" t="s">
        <v>44</v>
      </c>
      <c r="M309" s="13">
        <v>17491</v>
      </c>
      <c r="N309" s="14">
        <v>0.45250000000000001</v>
      </c>
      <c r="O309" s="12" t="s">
        <v>1524</v>
      </c>
      <c r="P309" s="12" t="s">
        <v>32</v>
      </c>
      <c r="Q309" s="12">
        <v>15</v>
      </c>
      <c r="R309" s="12" t="s">
        <v>85</v>
      </c>
      <c r="S309" s="12" t="s">
        <v>86</v>
      </c>
      <c r="T309" s="12" t="s">
        <v>1525</v>
      </c>
      <c r="U309" s="12" t="s">
        <v>1526</v>
      </c>
      <c r="V309" s="12" t="s">
        <v>37</v>
      </c>
      <c r="W309" s="12" t="s">
        <v>38</v>
      </c>
      <c r="X309" s="12" t="s">
        <v>39</v>
      </c>
      <c r="Y309" s="15" t="s">
        <v>90</v>
      </c>
    </row>
    <row r="310" spans="1:25" ht="12.75">
      <c r="A310" s="6">
        <v>2610004</v>
      </c>
      <c r="B310" s="7" t="s">
        <v>1527</v>
      </c>
      <c r="C310" s="7" t="s">
        <v>26</v>
      </c>
      <c r="D310" s="7">
        <v>170002217352</v>
      </c>
      <c r="E310" s="7">
        <v>50</v>
      </c>
      <c r="F310" s="7" t="s">
        <v>1528</v>
      </c>
      <c r="G310" s="7"/>
      <c r="H310" s="7"/>
      <c r="I310" s="7" t="s">
        <v>1529</v>
      </c>
      <c r="J310" s="7" t="s">
        <v>42</v>
      </c>
      <c r="K310" s="20" t="s">
        <v>43</v>
      </c>
      <c r="L310" s="7" t="s">
        <v>44</v>
      </c>
      <c r="M310" s="8">
        <v>772</v>
      </c>
      <c r="N310" s="9">
        <v>2.4899999999999999E-2</v>
      </c>
      <c r="O310" s="7" t="s">
        <v>1530</v>
      </c>
      <c r="P310" s="7" t="s">
        <v>54</v>
      </c>
      <c r="Q310" s="7">
        <v>50</v>
      </c>
      <c r="R310" s="7" t="s">
        <v>153</v>
      </c>
      <c r="S310" s="7" t="s">
        <v>154</v>
      </c>
      <c r="T310" s="7" t="s">
        <v>54</v>
      </c>
      <c r="U310" s="7" t="s">
        <v>1531</v>
      </c>
      <c r="V310" s="7" t="s">
        <v>37</v>
      </c>
      <c r="W310" s="7" t="s">
        <v>38</v>
      </c>
      <c r="X310" s="7" t="s">
        <v>58</v>
      </c>
      <c r="Y310" s="10" t="s">
        <v>983</v>
      </c>
    </row>
    <row r="311" spans="1:25" ht="12.75">
      <c r="A311" s="11">
        <v>2610004</v>
      </c>
      <c r="B311" s="12" t="s">
        <v>1527</v>
      </c>
      <c r="C311" s="12" t="s">
        <v>26</v>
      </c>
      <c r="D311" s="12">
        <v>170002143726</v>
      </c>
      <c r="E311" s="12">
        <v>40</v>
      </c>
      <c r="F311" s="12" t="s">
        <v>1532</v>
      </c>
      <c r="G311" s="12"/>
      <c r="H311" s="12"/>
      <c r="I311" s="12" t="s">
        <v>1532</v>
      </c>
      <c r="J311" s="12" t="s">
        <v>42</v>
      </c>
      <c r="K311" s="19" t="s">
        <v>43</v>
      </c>
      <c r="L311" s="12" t="s">
        <v>44</v>
      </c>
      <c r="M311" s="13">
        <v>4368</v>
      </c>
      <c r="N311" s="14">
        <v>0.14069999999999999</v>
      </c>
      <c r="O311" s="12" t="s">
        <v>1533</v>
      </c>
      <c r="P311" s="12" t="s">
        <v>32</v>
      </c>
      <c r="Q311" s="12">
        <v>40</v>
      </c>
      <c r="R311" s="12" t="s">
        <v>33</v>
      </c>
      <c r="S311" s="12" t="s">
        <v>34</v>
      </c>
      <c r="T311" s="12" t="s">
        <v>1534</v>
      </c>
      <c r="U311" s="12" t="s">
        <v>1535</v>
      </c>
      <c r="V311" s="12" t="s">
        <v>37</v>
      </c>
      <c r="W311" s="12" t="s">
        <v>38</v>
      </c>
      <c r="X311" s="12" t="s">
        <v>39</v>
      </c>
      <c r="Y311" s="15" t="s">
        <v>90</v>
      </c>
    </row>
    <row r="312" spans="1:25" ht="12.75">
      <c r="A312" s="6">
        <v>2609808</v>
      </c>
      <c r="B312" s="7" t="s">
        <v>1506</v>
      </c>
      <c r="C312" s="7" t="s">
        <v>26</v>
      </c>
      <c r="D312" s="7">
        <v>170002258001</v>
      </c>
      <c r="E312" s="7">
        <v>55</v>
      </c>
      <c r="F312" s="7" t="s">
        <v>1536</v>
      </c>
      <c r="G312" s="16" t="s">
        <v>1537</v>
      </c>
      <c r="H312" s="7"/>
      <c r="I312" s="7" t="s">
        <v>1536</v>
      </c>
      <c r="J312" s="7" t="s">
        <v>82</v>
      </c>
      <c r="K312" s="20" t="s">
        <v>43</v>
      </c>
      <c r="L312" s="7" t="s">
        <v>30</v>
      </c>
      <c r="M312" s="8">
        <v>5723</v>
      </c>
      <c r="N312" s="9">
        <v>0.54579999999999995</v>
      </c>
      <c r="O312" s="7" t="s">
        <v>1538</v>
      </c>
      <c r="P312" s="7" t="s">
        <v>32</v>
      </c>
      <c r="Q312" s="7">
        <v>55</v>
      </c>
      <c r="R312" s="7" t="s">
        <v>74</v>
      </c>
      <c r="S312" s="7" t="s">
        <v>75</v>
      </c>
      <c r="T312" s="7" t="s">
        <v>1539</v>
      </c>
      <c r="U312" s="7" t="s">
        <v>1540</v>
      </c>
      <c r="V312" s="7" t="s">
        <v>37</v>
      </c>
      <c r="W312" s="7" t="s">
        <v>114</v>
      </c>
      <c r="X312" s="7" t="s">
        <v>58</v>
      </c>
      <c r="Y312" s="10" t="s">
        <v>90</v>
      </c>
    </row>
    <row r="313" spans="1:25" ht="12.75">
      <c r="A313" s="11">
        <v>2610103</v>
      </c>
      <c r="B313" s="12" t="s">
        <v>1022</v>
      </c>
      <c r="C313" s="12" t="s">
        <v>26</v>
      </c>
      <c r="D313" s="12">
        <v>170002361657</v>
      </c>
      <c r="E313" s="12">
        <v>45</v>
      </c>
      <c r="F313" s="12" t="s">
        <v>1541</v>
      </c>
      <c r="G313" s="12"/>
      <c r="H313" s="12"/>
      <c r="I313" s="12" t="s">
        <v>1541</v>
      </c>
      <c r="J313" s="12" t="s">
        <v>42</v>
      </c>
      <c r="K313" s="19" t="s">
        <v>43</v>
      </c>
      <c r="L313" s="12" t="s">
        <v>44</v>
      </c>
      <c r="M313" s="13">
        <v>1915</v>
      </c>
      <c r="N313" s="14">
        <v>0.41909999999999997</v>
      </c>
      <c r="O313" s="12" t="s">
        <v>1542</v>
      </c>
      <c r="P313" s="12" t="s">
        <v>54</v>
      </c>
      <c r="Q313" s="12">
        <v>45</v>
      </c>
      <c r="R313" s="12" t="s">
        <v>61</v>
      </c>
      <c r="S313" s="12" t="s">
        <v>62</v>
      </c>
      <c r="T313" s="12" t="s">
        <v>54</v>
      </c>
      <c r="U313" s="12" t="s">
        <v>1543</v>
      </c>
      <c r="V313" s="12" t="s">
        <v>37</v>
      </c>
      <c r="W313" s="12" t="s">
        <v>38</v>
      </c>
      <c r="X313" s="12" t="s">
        <v>39</v>
      </c>
      <c r="Y313" s="15" t="s">
        <v>90</v>
      </c>
    </row>
    <row r="314" spans="1:25" ht="12.75">
      <c r="A314" s="6">
        <v>2610103</v>
      </c>
      <c r="B314" s="7" t="s">
        <v>1022</v>
      </c>
      <c r="C314" s="7" t="s">
        <v>26</v>
      </c>
      <c r="D314" s="7">
        <v>170002323578</v>
      </c>
      <c r="E314" s="7">
        <v>40</v>
      </c>
      <c r="F314" s="7" t="s">
        <v>1544</v>
      </c>
      <c r="G314" s="7"/>
      <c r="H314" s="7"/>
      <c r="I314" s="7" t="s">
        <v>1545</v>
      </c>
      <c r="J314" s="7" t="s">
        <v>42</v>
      </c>
      <c r="K314" s="20" t="s">
        <v>43</v>
      </c>
      <c r="L314" s="7" t="s">
        <v>44</v>
      </c>
      <c r="M314" s="8">
        <v>19</v>
      </c>
      <c r="N314" s="9">
        <v>4.1999999999999997E-3</v>
      </c>
      <c r="O314" s="7" t="s">
        <v>1546</v>
      </c>
      <c r="P314" s="7" t="s">
        <v>32</v>
      </c>
      <c r="Q314" s="7">
        <v>40</v>
      </c>
      <c r="R314" s="7" t="s">
        <v>33</v>
      </c>
      <c r="S314" s="7" t="s">
        <v>34</v>
      </c>
      <c r="T314" s="7" t="s">
        <v>255</v>
      </c>
      <c r="U314" s="7" t="s">
        <v>1547</v>
      </c>
      <c r="V314" s="7" t="s">
        <v>37</v>
      </c>
      <c r="W314" s="7" t="s">
        <v>114</v>
      </c>
      <c r="X314" s="7" t="s">
        <v>39</v>
      </c>
      <c r="Y314" s="10" t="s">
        <v>90</v>
      </c>
    </row>
    <row r="315" spans="1:25" ht="12.75">
      <c r="A315" s="11">
        <v>2609907</v>
      </c>
      <c r="B315" s="12" t="s">
        <v>1515</v>
      </c>
      <c r="C315" s="12" t="s">
        <v>26</v>
      </c>
      <c r="D315" s="12">
        <v>170002122002</v>
      </c>
      <c r="E315" s="12">
        <v>10</v>
      </c>
      <c r="F315" s="12" t="s">
        <v>1548</v>
      </c>
      <c r="G315" s="17" t="s">
        <v>1549</v>
      </c>
      <c r="H315" s="12"/>
      <c r="I315" s="12" t="s">
        <v>1548</v>
      </c>
      <c r="J315" s="12" t="s">
        <v>82</v>
      </c>
      <c r="K315" s="19" t="s">
        <v>43</v>
      </c>
      <c r="L315" s="12" t="s">
        <v>30</v>
      </c>
      <c r="M315" s="13">
        <v>20485</v>
      </c>
      <c r="N315" s="14">
        <v>0.53</v>
      </c>
      <c r="O315" s="12" t="s">
        <v>1550</v>
      </c>
      <c r="P315" s="12" t="s">
        <v>32</v>
      </c>
      <c r="Q315" s="12">
        <v>10</v>
      </c>
      <c r="R315" s="12" t="s">
        <v>124</v>
      </c>
      <c r="S315" s="12" t="s">
        <v>124</v>
      </c>
      <c r="T315" s="12" t="s">
        <v>1551</v>
      </c>
      <c r="U315" s="12" t="s">
        <v>1552</v>
      </c>
      <c r="V315" s="12" t="s">
        <v>37</v>
      </c>
      <c r="W315" s="12" t="s">
        <v>38</v>
      </c>
      <c r="X315" s="12" t="s">
        <v>39</v>
      </c>
      <c r="Y315" s="15" t="s">
        <v>90</v>
      </c>
    </row>
    <row r="316" spans="1:25" ht="12.75">
      <c r="A316" s="6">
        <v>2610004</v>
      </c>
      <c r="B316" s="7" t="s">
        <v>1527</v>
      </c>
      <c r="C316" s="7" t="s">
        <v>26</v>
      </c>
      <c r="D316" s="7">
        <v>170002104102</v>
      </c>
      <c r="E316" s="7">
        <v>11</v>
      </c>
      <c r="F316" s="7" t="s">
        <v>1553</v>
      </c>
      <c r="G316" s="7"/>
      <c r="H316" s="7"/>
      <c r="I316" s="7" t="s">
        <v>1554</v>
      </c>
      <c r="J316" s="7" t="s">
        <v>28</v>
      </c>
      <c r="K316" s="7" t="s">
        <v>29</v>
      </c>
      <c r="L316" s="7" t="s">
        <v>30</v>
      </c>
      <c r="M316" s="8">
        <v>25905</v>
      </c>
      <c r="N316" s="9">
        <v>0.83440000000000003</v>
      </c>
      <c r="O316" s="7" t="s">
        <v>1555</v>
      </c>
      <c r="P316" s="7" t="s">
        <v>32</v>
      </c>
      <c r="Q316" s="7">
        <v>11</v>
      </c>
      <c r="R316" s="7" t="s">
        <v>168</v>
      </c>
      <c r="S316" s="7" t="s">
        <v>169</v>
      </c>
      <c r="T316" s="7" t="s">
        <v>1556</v>
      </c>
      <c r="U316" s="7" t="s">
        <v>1557</v>
      </c>
      <c r="V316" s="7" t="s">
        <v>37</v>
      </c>
      <c r="W316" s="7" t="s">
        <v>38</v>
      </c>
      <c r="X316" s="7" t="s">
        <v>1338</v>
      </c>
      <c r="Y316" s="10" t="s">
        <v>26</v>
      </c>
    </row>
    <row r="317" spans="1:25" ht="12.75">
      <c r="A317" s="11">
        <v>2605707</v>
      </c>
      <c r="B317" s="12" t="s">
        <v>875</v>
      </c>
      <c r="C317" s="12" t="s">
        <v>26</v>
      </c>
      <c r="D317" s="12">
        <v>170002163609</v>
      </c>
      <c r="E317" s="12">
        <v>11</v>
      </c>
      <c r="F317" s="12" t="s">
        <v>1558</v>
      </c>
      <c r="G317" s="12"/>
      <c r="H317" s="12"/>
      <c r="I317" s="12" t="s">
        <v>1559</v>
      </c>
      <c r="J317" s="12" t="s">
        <v>28</v>
      </c>
      <c r="K317" s="12" t="s">
        <v>29</v>
      </c>
      <c r="L317" s="12" t="s">
        <v>30</v>
      </c>
      <c r="M317" s="13">
        <v>10235</v>
      </c>
      <c r="N317" s="14">
        <v>0.50829999999999997</v>
      </c>
      <c r="O317" s="12" t="s">
        <v>1560</v>
      </c>
      <c r="P317" s="12" t="s">
        <v>32</v>
      </c>
      <c r="Q317" s="12">
        <v>11</v>
      </c>
      <c r="R317" s="12" t="s">
        <v>168</v>
      </c>
      <c r="S317" s="12" t="s">
        <v>169</v>
      </c>
      <c r="T317" s="12" t="s">
        <v>1561</v>
      </c>
      <c r="U317" s="12" t="s">
        <v>1562</v>
      </c>
      <c r="V317" s="12" t="s">
        <v>160</v>
      </c>
      <c r="W317" s="12" t="s">
        <v>38</v>
      </c>
      <c r="X317" s="12" t="s">
        <v>58</v>
      </c>
      <c r="Y317" s="15" t="s">
        <v>26</v>
      </c>
    </row>
    <row r="318" spans="1:25" ht="12.75">
      <c r="A318" s="6">
        <v>2610301</v>
      </c>
      <c r="B318" s="7" t="s">
        <v>1563</v>
      </c>
      <c r="C318" s="7" t="s">
        <v>26</v>
      </c>
      <c r="D318" s="7">
        <v>170001976958</v>
      </c>
      <c r="E318" s="7">
        <v>55</v>
      </c>
      <c r="F318" s="7" t="s">
        <v>1564</v>
      </c>
      <c r="G318" s="7"/>
      <c r="H318" s="7"/>
      <c r="I318" s="7" t="s">
        <v>1564</v>
      </c>
      <c r="J318" s="7" t="s">
        <v>42</v>
      </c>
      <c r="K318" s="20" t="s">
        <v>43</v>
      </c>
      <c r="L318" s="7" t="s">
        <v>44</v>
      </c>
      <c r="M318" s="8">
        <v>4674</v>
      </c>
      <c r="N318" s="9">
        <v>0.48139999999999999</v>
      </c>
      <c r="O318" s="7" t="s">
        <v>1565</v>
      </c>
      <c r="P318" s="7" t="s">
        <v>32</v>
      </c>
      <c r="Q318" s="7">
        <v>55</v>
      </c>
      <c r="R318" s="7" t="s">
        <v>74</v>
      </c>
      <c r="S318" s="7" t="s">
        <v>75</v>
      </c>
      <c r="T318" s="7" t="s">
        <v>1566</v>
      </c>
      <c r="U318" s="7" t="s">
        <v>1567</v>
      </c>
      <c r="V318" s="7" t="s">
        <v>37</v>
      </c>
      <c r="W318" s="7" t="s">
        <v>38</v>
      </c>
      <c r="X318" s="7" t="s">
        <v>89</v>
      </c>
      <c r="Y318" s="10" t="s">
        <v>90</v>
      </c>
    </row>
    <row r="319" spans="1:25" ht="12.75">
      <c r="A319" s="11">
        <v>2610400</v>
      </c>
      <c r="B319" s="12" t="s">
        <v>1568</v>
      </c>
      <c r="C319" s="12" t="s">
        <v>26</v>
      </c>
      <c r="D319" s="12">
        <v>170001982771</v>
      </c>
      <c r="E319" s="12">
        <v>15</v>
      </c>
      <c r="F319" s="12" t="s">
        <v>1569</v>
      </c>
      <c r="G319" s="12"/>
      <c r="H319" s="12"/>
      <c r="I319" s="12" t="s">
        <v>1569</v>
      </c>
      <c r="J319" s="12" t="s">
        <v>189</v>
      </c>
      <c r="K319" s="12" t="s">
        <v>29</v>
      </c>
      <c r="L319" s="12" t="s">
        <v>44</v>
      </c>
      <c r="M319" s="13">
        <v>6858</v>
      </c>
      <c r="N319" s="14">
        <v>0.44890000000000002</v>
      </c>
      <c r="O319" s="12" t="s">
        <v>1570</v>
      </c>
      <c r="P319" s="12" t="s">
        <v>32</v>
      </c>
      <c r="Q319" s="12">
        <v>15</v>
      </c>
      <c r="R319" s="12" t="s">
        <v>85</v>
      </c>
      <c r="S319" s="12" t="s">
        <v>86</v>
      </c>
      <c r="T319" s="12" t="s">
        <v>1571</v>
      </c>
      <c r="U319" s="12" t="s">
        <v>1572</v>
      </c>
      <c r="V319" s="12" t="s">
        <v>37</v>
      </c>
      <c r="W319" s="12" t="s">
        <v>38</v>
      </c>
      <c r="X319" s="12" t="s">
        <v>58</v>
      </c>
      <c r="Y319" s="15" t="s">
        <v>272</v>
      </c>
    </row>
    <row r="320" spans="1:25" ht="12.75">
      <c r="A320" s="6">
        <v>2610202</v>
      </c>
      <c r="B320" s="7" t="s">
        <v>1573</v>
      </c>
      <c r="C320" s="7" t="s">
        <v>26</v>
      </c>
      <c r="D320" s="7">
        <v>170002241555</v>
      </c>
      <c r="E320" s="7">
        <v>40</v>
      </c>
      <c r="F320" s="7" t="s">
        <v>1574</v>
      </c>
      <c r="G320" s="7"/>
      <c r="H320" s="7"/>
      <c r="I320" s="7" t="s">
        <v>1574</v>
      </c>
      <c r="J320" s="7" t="s">
        <v>28</v>
      </c>
      <c r="K320" s="7" t="s">
        <v>29</v>
      </c>
      <c r="L320" s="7" t="s">
        <v>30</v>
      </c>
      <c r="M320" s="8">
        <v>13068</v>
      </c>
      <c r="N320" s="9">
        <v>0.84750000000000003</v>
      </c>
      <c r="O320" s="7" t="s">
        <v>1575</v>
      </c>
      <c r="P320" s="7" t="s">
        <v>32</v>
      </c>
      <c r="Q320" s="7">
        <v>40</v>
      </c>
      <c r="R320" s="7" t="s">
        <v>33</v>
      </c>
      <c r="S320" s="7" t="s">
        <v>34</v>
      </c>
      <c r="T320" s="7" t="s">
        <v>1576</v>
      </c>
      <c r="U320" s="7" t="s">
        <v>1577</v>
      </c>
      <c r="V320" s="7" t="s">
        <v>37</v>
      </c>
      <c r="W320" s="7" t="s">
        <v>38</v>
      </c>
      <c r="X320" s="7" t="s">
        <v>39</v>
      </c>
      <c r="Y320" s="10" t="s">
        <v>26</v>
      </c>
    </row>
    <row r="321" spans="1:25" ht="12.75">
      <c r="A321" s="11">
        <v>2610509</v>
      </c>
      <c r="B321" s="12" t="s">
        <v>1578</v>
      </c>
      <c r="C321" s="12" t="s">
        <v>26</v>
      </c>
      <c r="D321" s="12">
        <v>170002125689</v>
      </c>
      <c r="E321" s="12">
        <v>12</v>
      </c>
      <c r="F321" s="12" t="s">
        <v>1579</v>
      </c>
      <c r="G321" s="12"/>
      <c r="H321" s="12"/>
      <c r="I321" s="12" t="s">
        <v>1580</v>
      </c>
      <c r="J321" s="12" t="s">
        <v>42</v>
      </c>
      <c r="K321" s="19" t="s">
        <v>43</v>
      </c>
      <c r="L321" s="12" t="s">
        <v>44</v>
      </c>
      <c r="M321" s="13">
        <v>1212</v>
      </c>
      <c r="N321" s="14">
        <v>5.8799999999999998E-2</v>
      </c>
      <c r="O321" s="12" t="s">
        <v>1581</v>
      </c>
      <c r="P321" s="12" t="s">
        <v>46</v>
      </c>
      <c r="Q321" s="12">
        <v>12</v>
      </c>
      <c r="R321" s="12" t="s">
        <v>138</v>
      </c>
      <c r="S321" s="12" t="s">
        <v>139</v>
      </c>
      <c r="T321" s="12" t="s">
        <v>46</v>
      </c>
      <c r="U321" s="12" t="s">
        <v>1582</v>
      </c>
      <c r="V321" s="12" t="s">
        <v>37</v>
      </c>
      <c r="W321" s="12" t="s">
        <v>38</v>
      </c>
      <c r="X321" s="12" t="s">
        <v>39</v>
      </c>
      <c r="Y321" s="15" t="s">
        <v>127</v>
      </c>
    </row>
    <row r="322" spans="1:25" ht="12.75">
      <c r="A322" s="6">
        <v>2610509</v>
      </c>
      <c r="B322" s="7" t="s">
        <v>1578</v>
      </c>
      <c r="C322" s="7" t="s">
        <v>26</v>
      </c>
      <c r="D322" s="7">
        <v>170002264215</v>
      </c>
      <c r="E322" s="7">
        <v>11</v>
      </c>
      <c r="F322" s="7" t="s">
        <v>1583</v>
      </c>
      <c r="G322" s="7"/>
      <c r="H322" s="7"/>
      <c r="I322" s="7" t="s">
        <v>1583</v>
      </c>
      <c r="J322" s="7" t="s">
        <v>42</v>
      </c>
      <c r="K322" s="20" t="s">
        <v>43</v>
      </c>
      <c r="L322" s="7" t="s">
        <v>44</v>
      </c>
      <c r="M322" s="8">
        <v>6700</v>
      </c>
      <c r="N322" s="9">
        <v>0.32500000000000001</v>
      </c>
      <c r="O322" s="7" t="s">
        <v>1584</v>
      </c>
      <c r="P322" s="7" t="s">
        <v>32</v>
      </c>
      <c r="Q322" s="7">
        <v>11</v>
      </c>
      <c r="R322" s="7" t="s">
        <v>168</v>
      </c>
      <c r="S322" s="7" t="s">
        <v>169</v>
      </c>
      <c r="T322" s="7" t="s">
        <v>1585</v>
      </c>
      <c r="U322" s="7" t="s">
        <v>1586</v>
      </c>
      <c r="V322" s="7" t="s">
        <v>160</v>
      </c>
      <c r="W322" s="7" t="s">
        <v>38</v>
      </c>
      <c r="X322" s="7" t="s">
        <v>58</v>
      </c>
      <c r="Y322" s="10" t="s">
        <v>328</v>
      </c>
    </row>
    <row r="323" spans="1:25" ht="12.75">
      <c r="A323" s="11">
        <v>2610301</v>
      </c>
      <c r="B323" s="12" t="s">
        <v>1563</v>
      </c>
      <c r="C323" s="12" t="s">
        <v>26</v>
      </c>
      <c r="D323" s="12">
        <v>170002199794</v>
      </c>
      <c r="E323" s="12">
        <v>15</v>
      </c>
      <c r="F323" s="12" t="s">
        <v>1587</v>
      </c>
      <c r="G323" s="12"/>
      <c r="H323" s="12"/>
      <c r="I323" s="12" t="s">
        <v>1587</v>
      </c>
      <c r="J323" s="12" t="s">
        <v>82</v>
      </c>
      <c r="K323" s="12" t="s">
        <v>29</v>
      </c>
      <c r="L323" s="12" t="s">
        <v>30</v>
      </c>
      <c r="M323" s="13">
        <v>5036</v>
      </c>
      <c r="N323" s="14">
        <v>0.51859999999999995</v>
      </c>
      <c r="O323" s="12" t="s">
        <v>1588</v>
      </c>
      <c r="P323" s="12" t="s">
        <v>32</v>
      </c>
      <c r="Q323" s="12">
        <v>15</v>
      </c>
      <c r="R323" s="12" t="s">
        <v>85</v>
      </c>
      <c r="S323" s="12" t="s">
        <v>86</v>
      </c>
      <c r="T323" s="12" t="s">
        <v>1589</v>
      </c>
      <c r="U323" s="12" t="s">
        <v>1590</v>
      </c>
      <c r="V323" s="12" t="s">
        <v>37</v>
      </c>
      <c r="W323" s="12" t="s">
        <v>38</v>
      </c>
      <c r="X323" s="12" t="s">
        <v>58</v>
      </c>
      <c r="Y323" s="15" t="s">
        <v>127</v>
      </c>
    </row>
    <row r="324" spans="1:25" ht="12.75">
      <c r="A324" s="6">
        <v>2610608</v>
      </c>
      <c r="B324" s="7" t="s">
        <v>693</v>
      </c>
      <c r="C324" s="7" t="s">
        <v>26</v>
      </c>
      <c r="D324" s="7">
        <v>170002266934</v>
      </c>
      <c r="E324" s="7">
        <v>22</v>
      </c>
      <c r="F324" s="7" t="s">
        <v>1591</v>
      </c>
      <c r="G324" s="7"/>
      <c r="H324" s="7"/>
      <c r="I324" s="7" t="s">
        <v>1592</v>
      </c>
      <c r="J324" s="7" t="s">
        <v>42</v>
      </c>
      <c r="K324" s="20" t="s">
        <v>43</v>
      </c>
      <c r="L324" s="7" t="s">
        <v>44</v>
      </c>
      <c r="M324" s="8">
        <v>2072</v>
      </c>
      <c r="N324" s="9">
        <v>5.8700000000000002E-2</v>
      </c>
      <c r="O324" s="7" t="s">
        <v>1593</v>
      </c>
      <c r="P324" s="7" t="s">
        <v>32</v>
      </c>
      <c r="Q324" s="7">
        <v>22</v>
      </c>
      <c r="R324" s="7" t="s">
        <v>321</v>
      </c>
      <c r="S324" s="7" t="s">
        <v>322</v>
      </c>
      <c r="T324" s="7" t="s">
        <v>1594</v>
      </c>
      <c r="U324" s="7" t="s">
        <v>1595</v>
      </c>
      <c r="V324" s="7" t="s">
        <v>37</v>
      </c>
      <c r="W324" s="7" t="s">
        <v>50</v>
      </c>
      <c r="X324" s="7" t="s">
        <v>39</v>
      </c>
      <c r="Y324" s="10" t="s">
        <v>134</v>
      </c>
    </row>
    <row r="325" spans="1:25" ht="12.75">
      <c r="A325" s="11">
        <v>2610608</v>
      </c>
      <c r="B325" s="12" t="s">
        <v>693</v>
      </c>
      <c r="C325" s="12" t="s">
        <v>26</v>
      </c>
      <c r="D325" s="12">
        <v>170002115644</v>
      </c>
      <c r="E325" s="12">
        <v>15</v>
      </c>
      <c r="F325" s="12" t="s">
        <v>1596</v>
      </c>
      <c r="G325" s="12"/>
      <c r="H325" s="12"/>
      <c r="I325" s="12" t="s">
        <v>1596</v>
      </c>
      <c r="J325" s="12" t="s">
        <v>42</v>
      </c>
      <c r="K325" s="19" t="s">
        <v>43</v>
      </c>
      <c r="L325" s="12" t="s">
        <v>44</v>
      </c>
      <c r="M325" s="13">
        <v>8825</v>
      </c>
      <c r="N325" s="14">
        <v>0.25009999999999999</v>
      </c>
      <c r="O325" s="12" t="s">
        <v>1597</v>
      </c>
      <c r="P325" s="12" t="s">
        <v>32</v>
      </c>
      <c r="Q325" s="12">
        <v>15</v>
      </c>
      <c r="R325" s="12" t="s">
        <v>85</v>
      </c>
      <c r="S325" s="12" t="s">
        <v>86</v>
      </c>
      <c r="T325" s="12" t="s">
        <v>1598</v>
      </c>
      <c r="U325" s="12" t="s">
        <v>1599</v>
      </c>
      <c r="V325" s="12" t="s">
        <v>160</v>
      </c>
      <c r="W325" s="12" t="s">
        <v>38</v>
      </c>
      <c r="X325" s="12" t="s">
        <v>39</v>
      </c>
      <c r="Y325" s="15" t="s">
        <v>656</v>
      </c>
    </row>
    <row r="326" spans="1:25" ht="12.75">
      <c r="A326" s="6">
        <v>2610400</v>
      </c>
      <c r="B326" s="7" t="s">
        <v>1568</v>
      </c>
      <c r="C326" s="7" t="s">
        <v>26</v>
      </c>
      <c r="D326" s="7">
        <v>170002008338</v>
      </c>
      <c r="E326" s="7">
        <v>11</v>
      </c>
      <c r="F326" s="7" t="s">
        <v>1600</v>
      </c>
      <c r="G326" s="16" t="s">
        <v>1601</v>
      </c>
      <c r="H326" s="7"/>
      <c r="I326" s="7" t="s">
        <v>1600</v>
      </c>
      <c r="J326" s="7" t="s">
        <v>82</v>
      </c>
      <c r="K326" s="20" t="s">
        <v>43</v>
      </c>
      <c r="L326" s="7" t="s">
        <v>30</v>
      </c>
      <c r="M326" s="8">
        <v>8421</v>
      </c>
      <c r="N326" s="9">
        <v>0.55110000000000003</v>
      </c>
      <c r="O326" s="7" t="s">
        <v>1602</v>
      </c>
      <c r="P326" s="7" t="s">
        <v>32</v>
      </c>
      <c r="Q326" s="7">
        <v>11</v>
      </c>
      <c r="R326" s="7" t="s">
        <v>168</v>
      </c>
      <c r="S326" s="7" t="s">
        <v>169</v>
      </c>
      <c r="T326" s="7" t="s">
        <v>1603</v>
      </c>
      <c r="U326" s="7" t="s">
        <v>1604</v>
      </c>
      <c r="V326" s="7" t="s">
        <v>37</v>
      </c>
      <c r="W326" s="7" t="s">
        <v>50</v>
      </c>
      <c r="X326" s="7" t="s">
        <v>58</v>
      </c>
      <c r="Y326" s="10" t="s">
        <v>51</v>
      </c>
    </row>
    <row r="327" spans="1:25" ht="12.75">
      <c r="A327" s="11">
        <v>2610707</v>
      </c>
      <c r="B327" s="12" t="s">
        <v>1605</v>
      </c>
      <c r="C327" s="12" t="s">
        <v>26</v>
      </c>
      <c r="D327" s="12">
        <v>170001938923</v>
      </c>
      <c r="E327" s="12">
        <v>22</v>
      </c>
      <c r="F327" s="12" t="s">
        <v>1606</v>
      </c>
      <c r="G327" s="12"/>
      <c r="H327" s="12"/>
      <c r="I327" s="12" t="s">
        <v>1606</v>
      </c>
      <c r="J327" s="12" t="s">
        <v>42</v>
      </c>
      <c r="K327" s="19" t="s">
        <v>43</v>
      </c>
      <c r="L327" s="12" t="s">
        <v>44</v>
      </c>
      <c r="M327" s="13">
        <v>0</v>
      </c>
      <c r="N327" s="14">
        <v>0</v>
      </c>
      <c r="O327" s="12" t="s">
        <v>1607</v>
      </c>
      <c r="P327" s="12" t="s">
        <v>46</v>
      </c>
      <c r="Q327" s="12">
        <v>22</v>
      </c>
      <c r="R327" s="12" t="s">
        <v>321</v>
      </c>
      <c r="S327" s="12" t="s">
        <v>322</v>
      </c>
      <c r="T327" s="12" t="s">
        <v>46</v>
      </c>
      <c r="U327" s="12" t="s">
        <v>1608</v>
      </c>
      <c r="V327" s="12" t="s">
        <v>37</v>
      </c>
      <c r="W327" s="12" t="s">
        <v>50</v>
      </c>
      <c r="X327" s="12" t="s">
        <v>58</v>
      </c>
      <c r="Y327" s="15" t="s">
        <v>165</v>
      </c>
    </row>
    <row r="328" spans="1:25" ht="12.75">
      <c r="A328" s="6">
        <v>2610707</v>
      </c>
      <c r="B328" s="7" t="s">
        <v>1605</v>
      </c>
      <c r="C328" s="7" t="s">
        <v>26</v>
      </c>
      <c r="D328" s="7">
        <v>170002204243</v>
      </c>
      <c r="E328" s="7">
        <v>12</v>
      </c>
      <c r="F328" s="7" t="s">
        <v>1609</v>
      </c>
      <c r="G328" s="7"/>
      <c r="H328" s="7"/>
      <c r="I328" s="7" t="s">
        <v>1609</v>
      </c>
      <c r="J328" s="7" t="s">
        <v>42</v>
      </c>
      <c r="K328" s="20" t="s">
        <v>43</v>
      </c>
      <c r="L328" s="7" t="s">
        <v>44</v>
      </c>
      <c r="M328" s="8">
        <v>0</v>
      </c>
      <c r="N328" s="9">
        <v>0</v>
      </c>
      <c r="O328" s="7" t="s">
        <v>1610</v>
      </c>
      <c r="P328" s="7" t="s">
        <v>32</v>
      </c>
      <c r="Q328" s="7">
        <v>12</v>
      </c>
      <c r="R328" s="7" t="s">
        <v>138</v>
      </c>
      <c r="S328" s="7" t="s">
        <v>139</v>
      </c>
      <c r="T328" s="7" t="s">
        <v>1611</v>
      </c>
      <c r="U328" s="7" t="s">
        <v>1612</v>
      </c>
      <c r="V328" s="7" t="s">
        <v>37</v>
      </c>
      <c r="W328" s="7" t="s">
        <v>38</v>
      </c>
      <c r="X328" s="7" t="s">
        <v>58</v>
      </c>
      <c r="Y328" s="10" t="s">
        <v>127</v>
      </c>
    </row>
    <row r="329" spans="1:25" ht="12.75">
      <c r="A329" s="11">
        <v>2610707</v>
      </c>
      <c r="B329" s="12" t="s">
        <v>1605</v>
      </c>
      <c r="C329" s="12" t="s">
        <v>26</v>
      </c>
      <c r="D329" s="12">
        <v>170002082118</v>
      </c>
      <c r="E329" s="12">
        <v>40</v>
      </c>
      <c r="F329" s="12" t="s">
        <v>1613</v>
      </c>
      <c r="G329" s="12"/>
      <c r="H329" s="12"/>
      <c r="I329" s="12" t="s">
        <v>1614</v>
      </c>
      <c r="J329" s="12" t="s">
        <v>42</v>
      </c>
      <c r="K329" s="19" t="s">
        <v>43</v>
      </c>
      <c r="L329" s="12" t="s">
        <v>44</v>
      </c>
      <c r="M329" s="13">
        <v>43656</v>
      </c>
      <c r="N329" s="14">
        <v>0.26640000000000003</v>
      </c>
      <c r="O329" s="12" t="s">
        <v>1615</v>
      </c>
      <c r="P329" s="12" t="s">
        <v>32</v>
      </c>
      <c r="Q329" s="12">
        <v>40</v>
      </c>
      <c r="R329" s="12" t="s">
        <v>33</v>
      </c>
      <c r="S329" s="12" t="s">
        <v>34</v>
      </c>
      <c r="T329" s="12" t="s">
        <v>1616</v>
      </c>
      <c r="U329" s="12" t="s">
        <v>1617</v>
      </c>
      <c r="V329" s="12" t="s">
        <v>37</v>
      </c>
      <c r="W329" s="12" t="s">
        <v>38</v>
      </c>
      <c r="X329" s="12" t="s">
        <v>58</v>
      </c>
      <c r="Y329" s="15" t="s">
        <v>51</v>
      </c>
    </row>
    <row r="330" spans="1:25" ht="12.75">
      <c r="A330" s="6">
        <v>2610707</v>
      </c>
      <c r="B330" s="7" t="s">
        <v>1605</v>
      </c>
      <c r="C330" s="7" t="s">
        <v>26</v>
      </c>
      <c r="D330" s="7">
        <v>170001938881</v>
      </c>
      <c r="E330" s="7">
        <v>33</v>
      </c>
      <c r="F330" s="7" t="s">
        <v>1618</v>
      </c>
      <c r="G330" s="7"/>
      <c r="H330" s="7"/>
      <c r="I330" s="7" t="s">
        <v>1619</v>
      </c>
      <c r="J330" s="7" t="s">
        <v>42</v>
      </c>
      <c r="K330" s="20" t="s">
        <v>43</v>
      </c>
      <c r="L330" s="7" t="s">
        <v>44</v>
      </c>
      <c r="M330" s="8">
        <v>0</v>
      </c>
      <c r="N330" s="9">
        <v>0</v>
      </c>
      <c r="O330" s="7" t="s">
        <v>1620</v>
      </c>
      <c r="P330" s="7" t="s">
        <v>46</v>
      </c>
      <c r="Q330" s="7">
        <v>33</v>
      </c>
      <c r="R330" s="7" t="s">
        <v>47</v>
      </c>
      <c r="S330" s="7" t="s">
        <v>48</v>
      </c>
      <c r="T330" s="7" t="s">
        <v>46</v>
      </c>
      <c r="U330" s="7" t="s">
        <v>1621</v>
      </c>
      <c r="V330" s="7" t="s">
        <v>37</v>
      </c>
      <c r="W330" s="7" t="s">
        <v>50</v>
      </c>
      <c r="X330" s="7" t="s">
        <v>89</v>
      </c>
      <c r="Y330" s="10" t="s">
        <v>1622</v>
      </c>
    </row>
    <row r="331" spans="1:25" ht="12.75">
      <c r="A331" s="11">
        <v>2610707</v>
      </c>
      <c r="B331" s="12" t="s">
        <v>1605</v>
      </c>
      <c r="C331" s="12" t="s">
        <v>26</v>
      </c>
      <c r="D331" s="12">
        <v>170002036647</v>
      </c>
      <c r="E331" s="12">
        <v>11</v>
      </c>
      <c r="F331" s="12" t="s">
        <v>1623</v>
      </c>
      <c r="G331" s="12"/>
      <c r="H331" s="12"/>
      <c r="I331" s="12" t="s">
        <v>1624</v>
      </c>
      <c r="J331" s="12" t="s">
        <v>42</v>
      </c>
      <c r="K331" s="19" t="s">
        <v>43</v>
      </c>
      <c r="L331" s="12" t="s">
        <v>44</v>
      </c>
      <c r="M331" s="13">
        <v>0</v>
      </c>
      <c r="N331" s="14">
        <v>0</v>
      </c>
      <c r="O331" s="12" t="s">
        <v>1625</v>
      </c>
      <c r="P331" s="12" t="s">
        <v>46</v>
      </c>
      <c r="Q331" s="12">
        <v>11</v>
      </c>
      <c r="R331" s="12" t="s">
        <v>168</v>
      </c>
      <c r="S331" s="12" t="s">
        <v>169</v>
      </c>
      <c r="T331" s="12" t="s">
        <v>46</v>
      </c>
      <c r="U331" s="12" t="s">
        <v>1626</v>
      </c>
      <c r="V331" s="12" t="s">
        <v>160</v>
      </c>
      <c r="W331" s="12" t="s">
        <v>38</v>
      </c>
      <c r="X331" s="12" t="s">
        <v>58</v>
      </c>
      <c r="Y331" s="15" t="s">
        <v>1456</v>
      </c>
    </row>
    <row r="332" spans="1:25" ht="12.75">
      <c r="A332" s="6">
        <v>2610707</v>
      </c>
      <c r="B332" s="7" t="s">
        <v>1605</v>
      </c>
      <c r="C332" s="7" t="s">
        <v>26</v>
      </c>
      <c r="D332" s="7">
        <v>170002372757</v>
      </c>
      <c r="E332" s="7">
        <v>28</v>
      </c>
      <c r="F332" s="7" t="s">
        <v>1627</v>
      </c>
      <c r="G332" s="7"/>
      <c r="H332" s="7"/>
      <c r="I332" s="7" t="s">
        <v>1628</v>
      </c>
      <c r="J332" s="7" t="s">
        <v>42</v>
      </c>
      <c r="K332" s="20" t="s">
        <v>43</v>
      </c>
      <c r="L332" s="7" t="s">
        <v>44</v>
      </c>
      <c r="M332" s="8">
        <v>0</v>
      </c>
      <c r="N332" s="9">
        <v>0</v>
      </c>
      <c r="O332" s="7" t="s">
        <v>1629</v>
      </c>
      <c r="P332" s="7" t="s">
        <v>46</v>
      </c>
      <c r="Q332" s="7">
        <v>28</v>
      </c>
      <c r="R332" s="7" t="s">
        <v>1465</v>
      </c>
      <c r="S332" s="7" t="s">
        <v>1466</v>
      </c>
      <c r="T332" s="7" t="s">
        <v>46</v>
      </c>
      <c r="U332" s="7" t="s">
        <v>1630</v>
      </c>
      <c r="V332" s="7" t="s">
        <v>37</v>
      </c>
      <c r="W332" s="7" t="s">
        <v>38</v>
      </c>
      <c r="X332" s="7" t="s">
        <v>621</v>
      </c>
      <c r="Y332" s="10" t="s">
        <v>90</v>
      </c>
    </row>
    <row r="333" spans="1:25" ht="12.75">
      <c r="A333" s="11">
        <v>2610509</v>
      </c>
      <c r="B333" s="12" t="s">
        <v>1578</v>
      </c>
      <c r="C333" s="12" t="s">
        <v>26</v>
      </c>
      <c r="D333" s="12">
        <v>170002115864</v>
      </c>
      <c r="E333" s="12">
        <v>55</v>
      </c>
      <c r="F333" s="12" t="s">
        <v>1631</v>
      </c>
      <c r="G333" s="12"/>
      <c r="H333" s="12"/>
      <c r="I333" s="12" t="s">
        <v>1631</v>
      </c>
      <c r="J333" s="12" t="s">
        <v>28</v>
      </c>
      <c r="K333" s="12" t="s">
        <v>29</v>
      </c>
      <c r="L333" s="12" t="s">
        <v>30</v>
      </c>
      <c r="M333" s="13">
        <v>12704</v>
      </c>
      <c r="N333" s="14">
        <v>0.61619999999999997</v>
      </c>
      <c r="O333" s="12" t="s">
        <v>1632</v>
      </c>
      <c r="P333" s="12" t="s">
        <v>32</v>
      </c>
      <c r="Q333" s="12">
        <v>55</v>
      </c>
      <c r="R333" s="12" t="s">
        <v>74</v>
      </c>
      <c r="S333" s="12" t="s">
        <v>75</v>
      </c>
      <c r="T333" s="12" t="s">
        <v>1633</v>
      </c>
      <c r="U333" s="12" t="s">
        <v>1634</v>
      </c>
      <c r="V333" s="12" t="s">
        <v>37</v>
      </c>
      <c r="W333" s="12" t="s">
        <v>50</v>
      </c>
      <c r="X333" s="12" t="s">
        <v>39</v>
      </c>
      <c r="Y333" s="15" t="s">
        <v>246</v>
      </c>
    </row>
    <row r="334" spans="1:25" ht="12.75">
      <c r="A334" s="6">
        <v>2610806</v>
      </c>
      <c r="B334" s="7" t="s">
        <v>1635</v>
      </c>
      <c r="C334" s="7" t="s">
        <v>26</v>
      </c>
      <c r="D334" s="7">
        <v>170001970852</v>
      </c>
      <c r="E334" s="7">
        <v>70</v>
      </c>
      <c r="F334" s="7" t="s">
        <v>1636</v>
      </c>
      <c r="G334" s="7"/>
      <c r="H334" s="7"/>
      <c r="I334" s="7" t="s">
        <v>1636</v>
      </c>
      <c r="J334" s="7" t="s">
        <v>42</v>
      </c>
      <c r="K334" s="20" t="s">
        <v>43</v>
      </c>
      <c r="L334" s="7" t="s">
        <v>44</v>
      </c>
      <c r="M334" s="8">
        <v>5004</v>
      </c>
      <c r="N334" s="9">
        <v>0.34210000000000002</v>
      </c>
      <c r="O334" s="7" t="s">
        <v>1637</v>
      </c>
      <c r="P334" s="7" t="s">
        <v>32</v>
      </c>
      <c r="Q334" s="7">
        <v>70</v>
      </c>
      <c r="R334" s="7" t="s">
        <v>177</v>
      </c>
      <c r="S334" s="7" t="s">
        <v>177</v>
      </c>
      <c r="T334" s="7" t="s">
        <v>1638</v>
      </c>
      <c r="U334" s="7" t="s">
        <v>1639</v>
      </c>
      <c r="V334" s="7" t="s">
        <v>37</v>
      </c>
      <c r="W334" s="7" t="s">
        <v>38</v>
      </c>
      <c r="X334" s="7" t="s">
        <v>39</v>
      </c>
      <c r="Y334" s="10" t="s">
        <v>1640</v>
      </c>
    </row>
    <row r="335" spans="1:25" ht="12.75">
      <c r="A335" s="11">
        <v>2604304</v>
      </c>
      <c r="B335" s="12" t="s">
        <v>712</v>
      </c>
      <c r="C335" s="12" t="s">
        <v>26</v>
      </c>
      <c r="D335" s="12">
        <v>170001983313</v>
      </c>
      <c r="E335" s="12">
        <v>55</v>
      </c>
      <c r="F335" s="12" t="s">
        <v>1641</v>
      </c>
      <c r="G335" s="17" t="s">
        <v>1642</v>
      </c>
      <c r="H335" s="12"/>
      <c r="I335" s="12" t="s">
        <v>1641</v>
      </c>
      <c r="J335" s="12" t="s">
        <v>82</v>
      </c>
      <c r="K335" s="12" t="s">
        <v>43</v>
      </c>
      <c r="L335" s="12" t="s">
        <v>30</v>
      </c>
      <c r="M335" s="13">
        <v>3959</v>
      </c>
      <c r="N335" s="14">
        <v>0.50490000000000002</v>
      </c>
      <c r="O335" s="12" t="s">
        <v>1643</v>
      </c>
      <c r="P335" s="12" t="s">
        <v>32</v>
      </c>
      <c r="Q335" s="12">
        <v>55</v>
      </c>
      <c r="R335" s="12" t="s">
        <v>74</v>
      </c>
      <c r="S335" s="12" t="s">
        <v>75</v>
      </c>
      <c r="T335" s="12" t="s">
        <v>1644</v>
      </c>
      <c r="U335" s="12" t="s">
        <v>1645</v>
      </c>
      <c r="V335" s="12" t="s">
        <v>160</v>
      </c>
      <c r="W335" s="12" t="s">
        <v>38</v>
      </c>
      <c r="X335" s="12" t="s">
        <v>39</v>
      </c>
      <c r="Y335" s="15" t="s">
        <v>90</v>
      </c>
    </row>
    <row r="336" spans="1:25" ht="12.75">
      <c r="A336" s="6">
        <v>2610806</v>
      </c>
      <c r="B336" s="7" t="s">
        <v>1635</v>
      </c>
      <c r="C336" s="7" t="s">
        <v>26</v>
      </c>
      <c r="D336" s="7">
        <v>170002323409</v>
      </c>
      <c r="E336" s="7">
        <v>36</v>
      </c>
      <c r="F336" s="7" t="s">
        <v>1646</v>
      </c>
      <c r="G336" s="7"/>
      <c r="H336" s="7"/>
      <c r="I336" s="7" t="s">
        <v>1647</v>
      </c>
      <c r="J336" s="7" t="s">
        <v>42</v>
      </c>
      <c r="K336" s="20" t="s">
        <v>43</v>
      </c>
      <c r="L336" s="7" t="s">
        <v>44</v>
      </c>
      <c r="M336" s="8">
        <v>69</v>
      </c>
      <c r="N336" s="9">
        <v>4.7000000000000002E-3</v>
      </c>
      <c r="O336" s="7" t="s">
        <v>1648</v>
      </c>
      <c r="P336" s="7" t="s">
        <v>46</v>
      </c>
      <c r="Q336" s="7">
        <v>36</v>
      </c>
      <c r="R336" s="7" t="s">
        <v>195</v>
      </c>
      <c r="S336" s="7" t="s">
        <v>195</v>
      </c>
      <c r="T336" s="7" t="s">
        <v>46</v>
      </c>
      <c r="U336" s="7" t="s">
        <v>1649</v>
      </c>
      <c r="V336" s="7" t="s">
        <v>37</v>
      </c>
      <c r="W336" s="7" t="s">
        <v>102</v>
      </c>
      <c r="X336" s="7" t="s">
        <v>58</v>
      </c>
      <c r="Y336" s="10" t="s">
        <v>257</v>
      </c>
    </row>
    <row r="337" spans="1:25" ht="12.75">
      <c r="A337" s="11">
        <v>2610707</v>
      </c>
      <c r="B337" s="12" t="s">
        <v>1605</v>
      </c>
      <c r="C337" s="12" t="s">
        <v>26</v>
      </c>
      <c r="D337" s="12">
        <v>170002082073</v>
      </c>
      <c r="E337" s="12">
        <v>45</v>
      </c>
      <c r="F337" s="12" t="s">
        <v>1650</v>
      </c>
      <c r="G337" s="12"/>
      <c r="H337" s="12"/>
      <c r="I337" s="12" t="s">
        <v>1650</v>
      </c>
      <c r="J337" s="12" t="s">
        <v>82</v>
      </c>
      <c r="K337" s="12" t="s">
        <v>29</v>
      </c>
      <c r="L337" s="12" t="s">
        <v>30</v>
      </c>
      <c r="M337" s="13">
        <v>120228</v>
      </c>
      <c r="N337" s="14">
        <v>0.73360000000000003</v>
      </c>
      <c r="O337" s="12" t="s">
        <v>1651</v>
      </c>
      <c r="P337" s="12" t="s">
        <v>32</v>
      </c>
      <c r="Q337" s="12">
        <v>45</v>
      </c>
      <c r="R337" s="12" t="s">
        <v>61</v>
      </c>
      <c r="S337" s="12" t="s">
        <v>62</v>
      </c>
      <c r="T337" s="12" t="s">
        <v>1652</v>
      </c>
      <c r="U337" s="12" t="s">
        <v>1653</v>
      </c>
      <c r="V337" s="12" t="s">
        <v>37</v>
      </c>
      <c r="W337" s="12" t="s">
        <v>50</v>
      </c>
      <c r="X337" s="12" t="s">
        <v>58</v>
      </c>
      <c r="Y337" s="15" t="s">
        <v>650</v>
      </c>
    </row>
    <row r="338" spans="1:25" ht="12.75">
      <c r="A338" s="6">
        <v>2610905</v>
      </c>
      <c r="B338" s="7" t="s">
        <v>1654</v>
      </c>
      <c r="C338" s="7" t="s">
        <v>26</v>
      </c>
      <c r="D338" s="7">
        <v>170002065338</v>
      </c>
      <c r="E338" s="7">
        <v>20</v>
      </c>
      <c r="F338" s="7" t="s">
        <v>1655</v>
      </c>
      <c r="G338" s="7"/>
      <c r="H338" s="7"/>
      <c r="I338" s="7" t="s">
        <v>1655</v>
      </c>
      <c r="J338" s="7" t="s">
        <v>42</v>
      </c>
      <c r="K338" s="20" t="s">
        <v>43</v>
      </c>
      <c r="L338" s="7" t="s">
        <v>44</v>
      </c>
      <c r="M338" s="8">
        <v>18731</v>
      </c>
      <c r="N338" s="9">
        <v>0.48849999999999999</v>
      </c>
      <c r="O338" s="7" t="s">
        <v>1656</v>
      </c>
      <c r="P338" s="7" t="s">
        <v>32</v>
      </c>
      <c r="Q338" s="7">
        <v>20</v>
      </c>
      <c r="R338" s="7" t="s">
        <v>98</v>
      </c>
      <c r="S338" s="7" t="s">
        <v>99</v>
      </c>
      <c r="T338" s="7" t="s">
        <v>1657</v>
      </c>
      <c r="U338" s="7" t="s">
        <v>1658</v>
      </c>
      <c r="V338" s="7" t="s">
        <v>37</v>
      </c>
      <c r="W338" s="7" t="s">
        <v>38</v>
      </c>
      <c r="X338" s="7" t="s">
        <v>621</v>
      </c>
      <c r="Y338" s="10" t="s">
        <v>1659</v>
      </c>
    </row>
    <row r="339" spans="1:25" ht="12.75">
      <c r="A339" s="11">
        <v>2610806</v>
      </c>
      <c r="B339" s="12" t="s">
        <v>1635</v>
      </c>
      <c r="C339" s="12" t="s">
        <v>26</v>
      </c>
      <c r="D339" s="12">
        <v>170002043917</v>
      </c>
      <c r="E339" s="12">
        <v>43</v>
      </c>
      <c r="F339" s="12" t="s">
        <v>1660</v>
      </c>
      <c r="G339" s="12"/>
      <c r="H339" s="12"/>
      <c r="I339" s="12" t="s">
        <v>1661</v>
      </c>
      <c r="J339" s="12" t="s">
        <v>28</v>
      </c>
      <c r="K339" s="12" t="s">
        <v>29</v>
      </c>
      <c r="L339" s="12" t="s">
        <v>30</v>
      </c>
      <c r="M339" s="13">
        <v>9555</v>
      </c>
      <c r="N339" s="14">
        <v>0.6532</v>
      </c>
      <c r="O339" s="12" t="s">
        <v>1662</v>
      </c>
      <c r="P339" s="12" t="s">
        <v>32</v>
      </c>
      <c r="Q339" s="12">
        <v>43</v>
      </c>
      <c r="R339" s="12" t="s">
        <v>383</v>
      </c>
      <c r="S339" s="12" t="s">
        <v>384</v>
      </c>
      <c r="T339" s="12" t="s">
        <v>1663</v>
      </c>
      <c r="U339" s="12" t="s">
        <v>1664</v>
      </c>
      <c r="V339" s="12" t="s">
        <v>37</v>
      </c>
      <c r="W339" s="12" t="s">
        <v>38</v>
      </c>
      <c r="X339" s="12" t="s">
        <v>58</v>
      </c>
      <c r="Y339" s="15" t="s">
        <v>1659</v>
      </c>
    </row>
    <row r="340" spans="1:25" ht="12.75">
      <c r="A340" s="6">
        <v>2611002</v>
      </c>
      <c r="B340" s="7" t="s">
        <v>1665</v>
      </c>
      <c r="C340" s="7" t="s">
        <v>26</v>
      </c>
      <c r="D340" s="7">
        <v>170002184650</v>
      </c>
      <c r="E340" s="7">
        <v>22</v>
      </c>
      <c r="F340" s="7" t="s">
        <v>1666</v>
      </c>
      <c r="G340" s="7"/>
      <c r="H340" s="7"/>
      <c r="I340" s="7" t="s">
        <v>1666</v>
      </c>
      <c r="J340" s="7" t="s">
        <v>42</v>
      </c>
      <c r="K340" s="7" t="s">
        <v>43</v>
      </c>
      <c r="L340" s="7" t="s">
        <v>44</v>
      </c>
      <c r="M340" s="8">
        <v>5463</v>
      </c>
      <c r="N340" s="9">
        <v>0.29089999999999999</v>
      </c>
      <c r="O340" s="7" t="s">
        <v>1667</v>
      </c>
      <c r="P340" s="7" t="s">
        <v>46</v>
      </c>
      <c r="Q340" s="7">
        <v>22</v>
      </c>
      <c r="R340" s="7" t="s">
        <v>321</v>
      </c>
      <c r="S340" s="7" t="s">
        <v>322</v>
      </c>
      <c r="T340" s="7" t="s">
        <v>46</v>
      </c>
      <c r="U340" s="7" t="s">
        <v>1668</v>
      </c>
      <c r="V340" s="7" t="s">
        <v>37</v>
      </c>
      <c r="W340" s="7" t="s">
        <v>50</v>
      </c>
      <c r="X340" s="7" t="s">
        <v>58</v>
      </c>
      <c r="Y340" s="10" t="s">
        <v>165</v>
      </c>
    </row>
    <row r="341" spans="1:25" ht="12.75">
      <c r="A341" s="11">
        <v>2611101</v>
      </c>
      <c r="B341" s="12" t="s">
        <v>1669</v>
      </c>
      <c r="C341" s="12" t="s">
        <v>26</v>
      </c>
      <c r="D341" s="12">
        <v>170002082981</v>
      </c>
      <c r="E341" s="12">
        <v>45</v>
      </c>
      <c r="F341" s="12" t="s">
        <v>1670</v>
      </c>
      <c r="G341" s="12"/>
      <c r="H341" s="12"/>
      <c r="I341" s="12" t="s">
        <v>1670</v>
      </c>
      <c r="J341" s="12" t="s">
        <v>42</v>
      </c>
      <c r="K341" s="12" t="s">
        <v>43</v>
      </c>
      <c r="L341" s="12" t="s">
        <v>44</v>
      </c>
      <c r="M341" s="13">
        <v>52224</v>
      </c>
      <c r="N341" s="14">
        <v>0.28660000000000002</v>
      </c>
      <c r="O341" s="12" t="s">
        <v>1671</v>
      </c>
      <c r="P341" s="12" t="s">
        <v>32</v>
      </c>
      <c r="Q341" s="12">
        <v>45</v>
      </c>
      <c r="R341" s="12" t="s">
        <v>61</v>
      </c>
      <c r="S341" s="12" t="s">
        <v>62</v>
      </c>
      <c r="T341" s="12" t="s">
        <v>1672</v>
      </c>
      <c r="U341" s="12" t="s">
        <v>1673</v>
      </c>
      <c r="V341" s="12" t="s">
        <v>37</v>
      </c>
      <c r="W341" s="12" t="s">
        <v>38</v>
      </c>
      <c r="X341" s="12" t="s">
        <v>39</v>
      </c>
      <c r="Y341" s="15" t="s">
        <v>65</v>
      </c>
    </row>
    <row r="342" spans="1:25" ht="12.75">
      <c r="A342" s="6">
        <v>2611101</v>
      </c>
      <c r="B342" s="7" t="s">
        <v>1669</v>
      </c>
      <c r="C342" s="7" t="s">
        <v>26</v>
      </c>
      <c r="D342" s="7">
        <v>170002045272</v>
      </c>
      <c r="E342" s="7">
        <v>22</v>
      </c>
      <c r="F342" s="7" t="s">
        <v>1674</v>
      </c>
      <c r="G342" s="7"/>
      <c r="H342" s="7"/>
      <c r="I342" s="7" t="s">
        <v>1674</v>
      </c>
      <c r="J342" s="7" t="s">
        <v>42</v>
      </c>
      <c r="K342" s="7" t="s">
        <v>43</v>
      </c>
      <c r="L342" s="7" t="s">
        <v>44</v>
      </c>
      <c r="M342" s="8">
        <v>10757</v>
      </c>
      <c r="N342" s="9">
        <v>5.8999999999999997E-2</v>
      </c>
      <c r="O342" s="7" t="s">
        <v>1675</v>
      </c>
      <c r="P342" s="7" t="s">
        <v>46</v>
      </c>
      <c r="Q342" s="7">
        <v>22</v>
      </c>
      <c r="R342" s="7" t="s">
        <v>321</v>
      </c>
      <c r="S342" s="7" t="s">
        <v>322</v>
      </c>
      <c r="T342" s="7" t="s">
        <v>46</v>
      </c>
      <c r="U342" s="7" t="s">
        <v>1676</v>
      </c>
      <c r="V342" s="7" t="s">
        <v>160</v>
      </c>
      <c r="W342" s="7" t="s">
        <v>50</v>
      </c>
      <c r="X342" s="7" t="s">
        <v>58</v>
      </c>
      <c r="Y342" s="10" t="s">
        <v>954</v>
      </c>
    </row>
    <row r="343" spans="1:25" ht="12.75">
      <c r="A343" s="11">
        <v>2611101</v>
      </c>
      <c r="B343" s="12" t="s">
        <v>1669</v>
      </c>
      <c r="C343" s="12" t="s">
        <v>26</v>
      </c>
      <c r="D343" s="12">
        <v>170002231727</v>
      </c>
      <c r="E343" s="12">
        <v>36</v>
      </c>
      <c r="F343" s="12" t="s">
        <v>1677</v>
      </c>
      <c r="G343" s="12"/>
      <c r="H343" s="12"/>
      <c r="I343" s="12" t="s">
        <v>1677</v>
      </c>
      <c r="J343" s="12" t="s">
        <v>42</v>
      </c>
      <c r="K343" s="12" t="s">
        <v>43</v>
      </c>
      <c r="L343" s="12" t="s">
        <v>44</v>
      </c>
      <c r="M343" s="13">
        <v>606</v>
      </c>
      <c r="N343" s="14">
        <v>3.3E-3</v>
      </c>
      <c r="O343" s="12" t="s">
        <v>1678</v>
      </c>
      <c r="P343" s="12" t="s">
        <v>46</v>
      </c>
      <c r="Q343" s="12">
        <v>36</v>
      </c>
      <c r="R343" s="12" t="s">
        <v>195</v>
      </c>
      <c r="S343" s="12" t="s">
        <v>195</v>
      </c>
      <c r="T343" s="12" t="s">
        <v>46</v>
      </c>
      <c r="U343" s="12" t="s">
        <v>1679</v>
      </c>
      <c r="V343" s="12" t="s">
        <v>37</v>
      </c>
      <c r="W343" s="12" t="s">
        <v>38</v>
      </c>
      <c r="X343" s="12" t="s">
        <v>39</v>
      </c>
      <c r="Y343" s="15" t="s">
        <v>65</v>
      </c>
    </row>
    <row r="344" spans="1:25" ht="12.75">
      <c r="A344" s="6">
        <v>2611101</v>
      </c>
      <c r="B344" s="7" t="s">
        <v>1669</v>
      </c>
      <c r="C344" s="7" t="s">
        <v>26</v>
      </c>
      <c r="D344" s="7">
        <v>170001993154</v>
      </c>
      <c r="E344" s="7">
        <v>80</v>
      </c>
      <c r="F344" s="7" t="s">
        <v>1680</v>
      </c>
      <c r="G344" s="7"/>
      <c r="H344" s="7"/>
      <c r="I344" s="7" t="s">
        <v>1680</v>
      </c>
      <c r="J344" s="7" t="s">
        <v>42</v>
      </c>
      <c r="K344" s="7" t="s">
        <v>43</v>
      </c>
      <c r="L344" s="7" t="s">
        <v>44</v>
      </c>
      <c r="M344" s="8">
        <v>448</v>
      </c>
      <c r="N344" s="9">
        <v>2.5000000000000001E-3</v>
      </c>
      <c r="O344" s="7" t="s">
        <v>1681</v>
      </c>
      <c r="P344" s="7" t="s">
        <v>46</v>
      </c>
      <c r="Q344" s="7">
        <v>80</v>
      </c>
      <c r="R344" s="7" t="s">
        <v>647</v>
      </c>
      <c r="S344" s="7" t="s">
        <v>648</v>
      </c>
      <c r="T344" s="7" t="s">
        <v>46</v>
      </c>
      <c r="U344" s="7" t="s">
        <v>1682</v>
      </c>
      <c r="V344" s="7" t="s">
        <v>160</v>
      </c>
      <c r="W344" s="7" t="s">
        <v>114</v>
      </c>
      <c r="X344" s="7" t="s">
        <v>39</v>
      </c>
      <c r="Y344" s="10" t="s">
        <v>370</v>
      </c>
    </row>
    <row r="345" spans="1:25" ht="12.75">
      <c r="A345" s="11">
        <v>2611101</v>
      </c>
      <c r="B345" s="12" t="s">
        <v>1669</v>
      </c>
      <c r="C345" s="12" t="s">
        <v>26</v>
      </c>
      <c r="D345" s="12">
        <v>170002156476</v>
      </c>
      <c r="E345" s="12">
        <v>13</v>
      </c>
      <c r="F345" s="12" t="s">
        <v>1683</v>
      </c>
      <c r="G345" s="12"/>
      <c r="H345" s="12"/>
      <c r="I345" s="12" t="s">
        <v>1683</v>
      </c>
      <c r="J345" s="12" t="s">
        <v>42</v>
      </c>
      <c r="K345" s="12" t="s">
        <v>43</v>
      </c>
      <c r="L345" s="12" t="s">
        <v>44</v>
      </c>
      <c r="M345" s="13">
        <v>10373</v>
      </c>
      <c r="N345" s="14">
        <v>5.6899999999999999E-2</v>
      </c>
      <c r="O345" s="12" t="s">
        <v>1684</v>
      </c>
      <c r="P345" s="12" t="s">
        <v>32</v>
      </c>
      <c r="Q345" s="12">
        <v>13</v>
      </c>
      <c r="R345" s="12" t="s">
        <v>130</v>
      </c>
      <c r="S345" s="12" t="s">
        <v>131</v>
      </c>
      <c r="T345" s="12" t="s">
        <v>1685</v>
      </c>
      <c r="U345" s="12" t="s">
        <v>1686</v>
      </c>
      <c r="V345" s="12" t="s">
        <v>37</v>
      </c>
      <c r="W345" s="12" t="s">
        <v>38</v>
      </c>
      <c r="X345" s="12" t="s">
        <v>58</v>
      </c>
      <c r="Y345" s="15" t="s">
        <v>1687</v>
      </c>
    </row>
    <row r="346" spans="1:25" ht="12.75">
      <c r="A346" s="6">
        <v>2610905</v>
      </c>
      <c r="B346" s="7" t="s">
        <v>1654</v>
      </c>
      <c r="C346" s="7" t="s">
        <v>26</v>
      </c>
      <c r="D346" s="7">
        <v>170001981434</v>
      </c>
      <c r="E346" s="7">
        <v>10</v>
      </c>
      <c r="F346" s="7" t="s">
        <v>1688</v>
      </c>
      <c r="G346" s="7"/>
      <c r="H346" s="7"/>
      <c r="I346" s="7" t="s">
        <v>1689</v>
      </c>
      <c r="J346" s="7" t="s">
        <v>82</v>
      </c>
      <c r="K346" s="7" t="s">
        <v>29</v>
      </c>
      <c r="L346" s="7" t="s">
        <v>30</v>
      </c>
      <c r="M346" s="8">
        <v>19613</v>
      </c>
      <c r="N346" s="9">
        <v>0.51149999999999995</v>
      </c>
      <c r="O346" s="7" t="s">
        <v>1690</v>
      </c>
      <c r="P346" s="7" t="s">
        <v>32</v>
      </c>
      <c r="Q346" s="7">
        <v>10</v>
      </c>
      <c r="R346" s="7" t="s">
        <v>124</v>
      </c>
      <c r="S346" s="7" t="s">
        <v>124</v>
      </c>
      <c r="T346" s="7" t="s">
        <v>873</v>
      </c>
      <c r="U346" s="7" t="s">
        <v>1691</v>
      </c>
      <c r="V346" s="7" t="s">
        <v>37</v>
      </c>
      <c r="W346" s="7" t="s">
        <v>102</v>
      </c>
      <c r="X346" s="7" t="s">
        <v>621</v>
      </c>
      <c r="Y346" s="10" t="s">
        <v>95</v>
      </c>
    </row>
    <row r="347" spans="1:25" ht="12.75">
      <c r="A347" s="11">
        <v>2611002</v>
      </c>
      <c r="B347" s="12" t="s">
        <v>1665</v>
      </c>
      <c r="C347" s="12" t="s">
        <v>26</v>
      </c>
      <c r="D347" s="12">
        <v>170001885332</v>
      </c>
      <c r="E347" s="12">
        <v>10</v>
      </c>
      <c r="F347" s="12" t="s">
        <v>1692</v>
      </c>
      <c r="G347" s="12"/>
      <c r="H347" s="12"/>
      <c r="I347" s="12" t="s">
        <v>1692</v>
      </c>
      <c r="J347" s="12" t="s">
        <v>28</v>
      </c>
      <c r="K347" s="12" t="s">
        <v>29</v>
      </c>
      <c r="L347" s="12" t="s">
        <v>30</v>
      </c>
      <c r="M347" s="13">
        <v>13316</v>
      </c>
      <c r="N347" s="14">
        <v>0.70909999999999995</v>
      </c>
      <c r="O347" s="12" t="s">
        <v>1693</v>
      </c>
      <c r="P347" s="12" t="s">
        <v>32</v>
      </c>
      <c r="Q347" s="12">
        <v>10</v>
      </c>
      <c r="R347" s="12" t="s">
        <v>124</v>
      </c>
      <c r="S347" s="12" t="s">
        <v>124</v>
      </c>
      <c r="T347" s="12" t="s">
        <v>1694</v>
      </c>
      <c r="U347" s="12" t="s">
        <v>1695</v>
      </c>
      <c r="V347" s="12" t="s">
        <v>37</v>
      </c>
      <c r="W347" s="12" t="s">
        <v>50</v>
      </c>
      <c r="X347" s="12" t="s">
        <v>39</v>
      </c>
      <c r="Y347" s="15" t="s">
        <v>90</v>
      </c>
    </row>
    <row r="348" spans="1:25" ht="12.75">
      <c r="A348" s="6">
        <v>2611200</v>
      </c>
      <c r="B348" s="7" t="s">
        <v>1696</v>
      </c>
      <c r="C348" s="7" t="s">
        <v>26</v>
      </c>
      <c r="D348" s="7">
        <v>170001971191</v>
      </c>
      <c r="E348" s="7">
        <v>40</v>
      </c>
      <c r="F348" s="7" t="s">
        <v>1697</v>
      </c>
      <c r="G348" s="7"/>
      <c r="H348" s="7"/>
      <c r="I348" s="7" t="s">
        <v>1697</v>
      </c>
      <c r="J348" s="7" t="s">
        <v>42</v>
      </c>
      <c r="K348" s="7" t="s">
        <v>43</v>
      </c>
      <c r="L348" s="7" t="s">
        <v>44</v>
      </c>
      <c r="M348" s="8">
        <v>1269</v>
      </c>
      <c r="N348" s="9">
        <v>0.17510000000000001</v>
      </c>
      <c r="O348" s="7" t="s">
        <v>1698</v>
      </c>
      <c r="P348" s="7" t="s">
        <v>46</v>
      </c>
      <c r="Q348" s="7">
        <v>40</v>
      </c>
      <c r="R348" s="7" t="s">
        <v>33</v>
      </c>
      <c r="S348" s="7" t="s">
        <v>34</v>
      </c>
      <c r="T348" s="7" t="s">
        <v>46</v>
      </c>
      <c r="U348" s="7" t="s">
        <v>1699</v>
      </c>
      <c r="V348" s="7" t="s">
        <v>37</v>
      </c>
      <c r="W348" s="7" t="s">
        <v>38</v>
      </c>
      <c r="X348" s="7" t="s">
        <v>58</v>
      </c>
      <c r="Y348" s="10" t="s">
        <v>165</v>
      </c>
    </row>
    <row r="349" spans="1:25" ht="12.75">
      <c r="A349" s="11">
        <v>2611101</v>
      </c>
      <c r="B349" s="12" t="s">
        <v>1669</v>
      </c>
      <c r="C349" s="12" t="s">
        <v>26</v>
      </c>
      <c r="D349" s="12">
        <v>170001936662</v>
      </c>
      <c r="E349" s="12">
        <v>44</v>
      </c>
      <c r="F349" s="12" t="s">
        <v>1700</v>
      </c>
      <c r="G349" s="12"/>
      <c r="H349" s="12"/>
      <c r="I349" s="12" t="s">
        <v>1701</v>
      </c>
      <c r="J349" s="12" t="s">
        <v>28</v>
      </c>
      <c r="K349" s="12" t="s">
        <v>29</v>
      </c>
      <c r="L349" s="12" t="s">
        <v>30</v>
      </c>
      <c r="M349" s="13">
        <v>107806</v>
      </c>
      <c r="N349" s="14">
        <v>0.59160000000000001</v>
      </c>
      <c r="O349" s="12" t="s">
        <v>1702</v>
      </c>
      <c r="P349" s="12" t="s">
        <v>32</v>
      </c>
      <c r="Q349" s="12">
        <v>44</v>
      </c>
      <c r="R349" s="12" t="s">
        <v>314</v>
      </c>
      <c r="S349" s="12" t="s">
        <v>315</v>
      </c>
      <c r="T349" s="12" t="s">
        <v>1703</v>
      </c>
      <c r="U349" s="12" t="s">
        <v>1704</v>
      </c>
      <c r="V349" s="12" t="s">
        <v>37</v>
      </c>
      <c r="W349" s="12" t="s">
        <v>38</v>
      </c>
      <c r="X349" s="12" t="s">
        <v>39</v>
      </c>
      <c r="Y349" s="15" t="s">
        <v>26</v>
      </c>
    </row>
    <row r="350" spans="1:25" ht="12.75">
      <c r="A350" s="6">
        <v>2611309</v>
      </c>
      <c r="B350" s="7" t="s">
        <v>1705</v>
      </c>
      <c r="C350" s="7" t="s">
        <v>26</v>
      </c>
      <c r="D350" s="7">
        <v>170002040772</v>
      </c>
      <c r="E350" s="7">
        <v>13</v>
      </c>
      <c r="F350" s="7" t="s">
        <v>1706</v>
      </c>
      <c r="G350" s="7"/>
      <c r="H350" s="7"/>
      <c r="I350" s="7" t="s">
        <v>1706</v>
      </c>
      <c r="J350" s="7" t="s">
        <v>42</v>
      </c>
      <c r="K350" s="7" t="s">
        <v>43</v>
      </c>
      <c r="L350" s="7" t="s">
        <v>44</v>
      </c>
      <c r="M350" s="8">
        <v>289</v>
      </c>
      <c r="N350" s="9">
        <v>1.7100000000000001E-2</v>
      </c>
      <c r="O350" s="7" t="s">
        <v>1707</v>
      </c>
      <c r="P350" s="7" t="s">
        <v>54</v>
      </c>
      <c r="Q350" s="7">
        <v>13</v>
      </c>
      <c r="R350" s="7" t="s">
        <v>130</v>
      </c>
      <c r="S350" s="7" t="s">
        <v>131</v>
      </c>
      <c r="T350" s="7" t="s">
        <v>54</v>
      </c>
      <c r="U350" s="7" t="s">
        <v>1708</v>
      </c>
      <c r="V350" s="7" t="s">
        <v>37</v>
      </c>
      <c r="W350" s="7" t="s">
        <v>50</v>
      </c>
      <c r="X350" s="7" t="s">
        <v>39</v>
      </c>
      <c r="Y350" s="10" t="s">
        <v>257</v>
      </c>
    </row>
    <row r="351" spans="1:25" ht="12.75">
      <c r="A351" s="11">
        <v>2611309</v>
      </c>
      <c r="B351" s="12" t="s">
        <v>1705</v>
      </c>
      <c r="C351" s="12" t="s">
        <v>26</v>
      </c>
      <c r="D351" s="12">
        <v>170002118670</v>
      </c>
      <c r="E351" s="12">
        <v>11</v>
      </c>
      <c r="F351" s="12" t="s">
        <v>1709</v>
      </c>
      <c r="G351" s="12"/>
      <c r="H351" s="12"/>
      <c r="I351" s="12" t="s">
        <v>1710</v>
      </c>
      <c r="J351" s="12" t="s">
        <v>42</v>
      </c>
      <c r="K351" s="12" t="s">
        <v>29</v>
      </c>
      <c r="L351" s="12" t="s">
        <v>44</v>
      </c>
      <c r="M351" s="13">
        <v>5271</v>
      </c>
      <c r="N351" s="14">
        <v>0.31130000000000002</v>
      </c>
      <c r="O351" s="12" t="s">
        <v>1711</v>
      </c>
      <c r="P351" s="12" t="s">
        <v>32</v>
      </c>
      <c r="Q351" s="12">
        <v>11</v>
      </c>
      <c r="R351" s="12" t="s">
        <v>168</v>
      </c>
      <c r="S351" s="12" t="s">
        <v>169</v>
      </c>
      <c r="T351" s="12" t="s">
        <v>1712</v>
      </c>
      <c r="U351" s="12" t="s">
        <v>1713</v>
      </c>
      <c r="V351" s="12" t="s">
        <v>37</v>
      </c>
      <c r="W351" s="12" t="s">
        <v>102</v>
      </c>
      <c r="X351" s="12" t="s">
        <v>58</v>
      </c>
      <c r="Y351" s="15" t="s">
        <v>90</v>
      </c>
    </row>
    <row r="352" spans="1:25" ht="12.75">
      <c r="A352" s="6">
        <v>2611309</v>
      </c>
      <c r="B352" s="7" t="s">
        <v>1705</v>
      </c>
      <c r="C352" s="7" t="s">
        <v>26</v>
      </c>
      <c r="D352" s="7">
        <v>170001919373</v>
      </c>
      <c r="E352" s="7">
        <v>10</v>
      </c>
      <c r="F352" s="7" t="s">
        <v>1714</v>
      </c>
      <c r="G352" s="7"/>
      <c r="H352" s="7"/>
      <c r="I352" s="7" t="s">
        <v>1715</v>
      </c>
      <c r="J352" s="7" t="s">
        <v>42</v>
      </c>
      <c r="K352" s="7" t="s">
        <v>43</v>
      </c>
      <c r="L352" s="7" t="s">
        <v>44</v>
      </c>
      <c r="M352" s="8">
        <v>4057</v>
      </c>
      <c r="N352" s="9">
        <v>0.23960000000000001</v>
      </c>
      <c r="O352" s="7" t="s">
        <v>1716</v>
      </c>
      <c r="P352" s="7" t="s">
        <v>46</v>
      </c>
      <c r="Q352" s="7">
        <v>10</v>
      </c>
      <c r="R352" s="7" t="s">
        <v>124</v>
      </c>
      <c r="S352" s="7" t="s">
        <v>124</v>
      </c>
      <c r="T352" s="7" t="s">
        <v>46</v>
      </c>
      <c r="U352" s="7" t="s">
        <v>1717</v>
      </c>
      <c r="V352" s="7" t="s">
        <v>37</v>
      </c>
      <c r="W352" s="7" t="s">
        <v>50</v>
      </c>
      <c r="X352" s="7" t="s">
        <v>39</v>
      </c>
      <c r="Y352" s="10" t="s">
        <v>90</v>
      </c>
    </row>
    <row r="353" spans="1:25" ht="12.75">
      <c r="A353" s="11">
        <v>2611200</v>
      </c>
      <c r="B353" s="12" t="s">
        <v>1696</v>
      </c>
      <c r="C353" s="12" t="s">
        <v>26</v>
      </c>
      <c r="D353" s="12">
        <v>170002059076</v>
      </c>
      <c r="E353" s="12">
        <v>15</v>
      </c>
      <c r="F353" s="12" t="s">
        <v>1718</v>
      </c>
      <c r="G353" s="12"/>
      <c r="H353" s="12"/>
      <c r="I353" s="12" t="s">
        <v>1718</v>
      </c>
      <c r="J353" s="12" t="s">
        <v>82</v>
      </c>
      <c r="K353" s="12" t="s">
        <v>29</v>
      </c>
      <c r="L353" s="12" t="s">
        <v>30</v>
      </c>
      <c r="M353" s="13">
        <v>5977</v>
      </c>
      <c r="N353" s="14">
        <v>0.82489999999999997</v>
      </c>
      <c r="O353" s="12" t="s">
        <v>1719</v>
      </c>
      <c r="P353" s="12" t="s">
        <v>32</v>
      </c>
      <c r="Q353" s="12">
        <v>15</v>
      </c>
      <c r="R353" s="12" t="s">
        <v>85</v>
      </c>
      <c r="S353" s="12" t="s">
        <v>86</v>
      </c>
      <c r="T353" s="12" t="s">
        <v>1720</v>
      </c>
      <c r="U353" s="12" t="s">
        <v>1721</v>
      </c>
      <c r="V353" s="12" t="s">
        <v>37</v>
      </c>
      <c r="W353" s="12" t="s">
        <v>38</v>
      </c>
      <c r="X353" s="12" t="s">
        <v>58</v>
      </c>
      <c r="Y353" s="15" t="s">
        <v>1722</v>
      </c>
    </row>
    <row r="354" spans="1:25" ht="12.75">
      <c r="A354" s="6">
        <v>2611408</v>
      </c>
      <c r="B354" s="7" t="s">
        <v>1723</v>
      </c>
      <c r="C354" s="7" t="s">
        <v>26</v>
      </c>
      <c r="D354" s="7">
        <v>170001991428</v>
      </c>
      <c r="E354" s="7">
        <v>45</v>
      </c>
      <c r="F354" s="7" t="s">
        <v>1724</v>
      </c>
      <c r="G354" s="7"/>
      <c r="H354" s="7"/>
      <c r="I354" s="7" t="s">
        <v>1725</v>
      </c>
      <c r="J354" s="7" t="s">
        <v>42</v>
      </c>
      <c r="K354" s="7" t="s">
        <v>43</v>
      </c>
      <c r="L354" s="7" t="s">
        <v>44</v>
      </c>
      <c r="M354" s="8">
        <v>3250</v>
      </c>
      <c r="N354" s="9">
        <v>0.35749999999999998</v>
      </c>
      <c r="O354" s="7" t="s">
        <v>1726</v>
      </c>
      <c r="P354" s="7" t="s">
        <v>32</v>
      </c>
      <c r="Q354" s="7">
        <v>45</v>
      </c>
      <c r="R354" s="7" t="s">
        <v>61</v>
      </c>
      <c r="S354" s="7" t="s">
        <v>62</v>
      </c>
      <c r="T354" s="7" t="s">
        <v>1727</v>
      </c>
      <c r="U354" s="7" t="s">
        <v>1728</v>
      </c>
      <c r="V354" s="7" t="s">
        <v>37</v>
      </c>
      <c r="W354" s="7" t="s">
        <v>50</v>
      </c>
      <c r="X354" s="7" t="s">
        <v>58</v>
      </c>
      <c r="Y354" s="10" t="s">
        <v>246</v>
      </c>
    </row>
    <row r="355" spans="1:25" ht="12.75">
      <c r="A355" s="11">
        <v>2611408</v>
      </c>
      <c r="B355" s="12" t="s">
        <v>1723</v>
      </c>
      <c r="C355" s="12" t="s">
        <v>26</v>
      </c>
      <c r="D355" s="12">
        <v>170002356561</v>
      </c>
      <c r="E355" s="12">
        <v>15</v>
      </c>
      <c r="F355" s="12" t="s">
        <v>1729</v>
      </c>
      <c r="G355" s="12"/>
      <c r="H355" s="12"/>
      <c r="I355" s="12" t="s">
        <v>1729</v>
      </c>
      <c r="J355" s="12" t="s">
        <v>42</v>
      </c>
      <c r="K355" s="12" t="s">
        <v>43</v>
      </c>
      <c r="L355" s="12" t="s">
        <v>44</v>
      </c>
      <c r="M355" s="13">
        <v>1009</v>
      </c>
      <c r="N355" s="14">
        <v>0.111</v>
      </c>
      <c r="O355" s="12" t="s">
        <v>1730</v>
      </c>
      <c r="P355" s="12" t="s">
        <v>46</v>
      </c>
      <c r="Q355" s="12">
        <v>15</v>
      </c>
      <c r="R355" s="12" t="s">
        <v>85</v>
      </c>
      <c r="S355" s="12" t="s">
        <v>86</v>
      </c>
      <c r="T355" s="12" t="s">
        <v>46</v>
      </c>
      <c r="U355" s="12" t="s">
        <v>1731</v>
      </c>
      <c r="V355" s="12" t="s">
        <v>37</v>
      </c>
      <c r="W355" s="12" t="s">
        <v>50</v>
      </c>
      <c r="X355" s="12" t="s">
        <v>58</v>
      </c>
      <c r="Y355" s="15" t="s">
        <v>95</v>
      </c>
    </row>
    <row r="356" spans="1:25" ht="12.75">
      <c r="A356" s="6">
        <v>2611309</v>
      </c>
      <c r="B356" s="7" t="s">
        <v>1705</v>
      </c>
      <c r="C356" s="7" t="s">
        <v>26</v>
      </c>
      <c r="D356" s="7">
        <v>170002117894</v>
      </c>
      <c r="E356" s="7">
        <v>15</v>
      </c>
      <c r="F356" s="7" t="s">
        <v>1732</v>
      </c>
      <c r="G356" s="16" t="s">
        <v>1733</v>
      </c>
      <c r="H356" s="7"/>
      <c r="I356" s="7" t="s">
        <v>1732</v>
      </c>
      <c r="J356" s="7" t="s">
        <v>82</v>
      </c>
      <c r="K356" s="7" t="s">
        <v>43</v>
      </c>
      <c r="L356" s="7" t="s">
        <v>30</v>
      </c>
      <c r="M356" s="8">
        <v>7316</v>
      </c>
      <c r="N356" s="9">
        <v>0.43209999999999998</v>
      </c>
      <c r="O356" s="7" t="s">
        <v>1734</v>
      </c>
      <c r="P356" s="7" t="s">
        <v>32</v>
      </c>
      <c r="Q356" s="7">
        <v>15</v>
      </c>
      <c r="R356" s="7" t="s">
        <v>85</v>
      </c>
      <c r="S356" s="7" t="s">
        <v>86</v>
      </c>
      <c r="T356" s="7" t="s">
        <v>1735</v>
      </c>
      <c r="U356" s="7" t="s">
        <v>1736</v>
      </c>
      <c r="V356" s="7" t="s">
        <v>37</v>
      </c>
      <c r="W356" s="7" t="s">
        <v>50</v>
      </c>
      <c r="X356" s="7" t="s">
        <v>39</v>
      </c>
      <c r="Y356" s="10" t="s">
        <v>90</v>
      </c>
    </row>
    <row r="357" spans="1:25" ht="12.75">
      <c r="A357" s="11">
        <v>2611507</v>
      </c>
      <c r="B357" s="12" t="s">
        <v>1737</v>
      </c>
      <c r="C357" s="12" t="s">
        <v>26</v>
      </c>
      <c r="D357" s="12">
        <v>170001950230</v>
      </c>
      <c r="E357" s="12">
        <v>13</v>
      </c>
      <c r="F357" s="12" t="s">
        <v>1738</v>
      </c>
      <c r="G357" s="12"/>
      <c r="H357" s="12"/>
      <c r="I357" s="12" t="s">
        <v>1738</v>
      </c>
      <c r="J357" s="12" t="s">
        <v>42</v>
      </c>
      <c r="K357" s="12" t="s">
        <v>43</v>
      </c>
      <c r="L357" s="12" t="s">
        <v>44</v>
      </c>
      <c r="M357" s="13">
        <v>5518</v>
      </c>
      <c r="N357" s="14">
        <v>0.46489999999999998</v>
      </c>
      <c r="O357" s="12" t="s">
        <v>1739</v>
      </c>
      <c r="P357" s="12" t="s">
        <v>32</v>
      </c>
      <c r="Q357" s="12">
        <v>13</v>
      </c>
      <c r="R357" s="12" t="s">
        <v>130</v>
      </c>
      <c r="S357" s="12" t="s">
        <v>131</v>
      </c>
      <c r="T357" s="12" t="s">
        <v>1740</v>
      </c>
      <c r="U357" s="12" t="s">
        <v>1741</v>
      </c>
      <c r="V357" s="12" t="s">
        <v>37</v>
      </c>
      <c r="W357" s="12" t="s">
        <v>114</v>
      </c>
      <c r="X357" s="12" t="s">
        <v>39</v>
      </c>
      <c r="Y357" s="15" t="s">
        <v>90</v>
      </c>
    </row>
    <row r="358" spans="1:25" ht="12.75">
      <c r="A358" s="6">
        <v>2611408</v>
      </c>
      <c r="B358" s="7" t="s">
        <v>1723</v>
      </c>
      <c r="C358" s="7" t="s">
        <v>26</v>
      </c>
      <c r="D358" s="7">
        <v>170001970165</v>
      </c>
      <c r="E358" s="7">
        <v>40</v>
      </c>
      <c r="F358" s="7" t="s">
        <v>1742</v>
      </c>
      <c r="G358" s="7"/>
      <c r="H358" s="7"/>
      <c r="I358" s="7" t="s">
        <v>1743</v>
      </c>
      <c r="J358" s="7" t="s">
        <v>82</v>
      </c>
      <c r="K358" s="7" t="s">
        <v>29</v>
      </c>
      <c r="L358" s="7" t="s">
        <v>30</v>
      </c>
      <c r="M358" s="8">
        <v>4833</v>
      </c>
      <c r="N358" s="9">
        <v>0.53159999999999996</v>
      </c>
      <c r="O358" s="7" t="s">
        <v>1744</v>
      </c>
      <c r="P358" s="7" t="s">
        <v>32</v>
      </c>
      <c r="Q358" s="7">
        <v>40</v>
      </c>
      <c r="R358" s="7" t="s">
        <v>33</v>
      </c>
      <c r="S358" s="7" t="s">
        <v>34</v>
      </c>
      <c r="T358" s="7" t="s">
        <v>1745</v>
      </c>
      <c r="U358" s="7" t="s">
        <v>1746</v>
      </c>
      <c r="V358" s="7" t="s">
        <v>37</v>
      </c>
      <c r="W358" s="7" t="s">
        <v>50</v>
      </c>
      <c r="X358" s="7" t="s">
        <v>58</v>
      </c>
      <c r="Y358" s="10" t="s">
        <v>1747</v>
      </c>
    </row>
    <row r="359" spans="1:25" ht="12.75">
      <c r="A359" s="11">
        <v>2611533</v>
      </c>
      <c r="B359" s="12" t="s">
        <v>1748</v>
      </c>
      <c r="C359" s="12" t="s">
        <v>26</v>
      </c>
      <c r="D359" s="12">
        <v>170002139229</v>
      </c>
      <c r="E359" s="12">
        <v>40</v>
      </c>
      <c r="F359" s="12" t="s">
        <v>1749</v>
      </c>
      <c r="G359" s="12"/>
      <c r="H359" s="12"/>
      <c r="I359" s="12" t="s">
        <v>1749</v>
      </c>
      <c r="J359" s="12" t="s">
        <v>42</v>
      </c>
      <c r="K359" s="12" t="s">
        <v>43</v>
      </c>
      <c r="L359" s="12" t="s">
        <v>44</v>
      </c>
      <c r="M359" s="13">
        <v>1277</v>
      </c>
      <c r="N359" s="14">
        <v>0.25369999999999998</v>
      </c>
      <c r="O359" s="12" t="s">
        <v>1750</v>
      </c>
      <c r="P359" s="12" t="s">
        <v>46</v>
      </c>
      <c r="Q359" s="12">
        <v>40</v>
      </c>
      <c r="R359" s="12" t="s">
        <v>33</v>
      </c>
      <c r="S359" s="12" t="s">
        <v>34</v>
      </c>
      <c r="T359" s="12" t="s">
        <v>46</v>
      </c>
      <c r="U359" s="12" t="s">
        <v>1751</v>
      </c>
      <c r="V359" s="12" t="s">
        <v>37</v>
      </c>
      <c r="W359" s="12" t="s">
        <v>50</v>
      </c>
      <c r="X359" s="12" t="s">
        <v>39</v>
      </c>
      <c r="Y359" s="15" t="s">
        <v>165</v>
      </c>
    </row>
    <row r="360" spans="1:25" ht="12.75">
      <c r="A360" s="6">
        <v>2611606</v>
      </c>
      <c r="B360" s="7" t="s">
        <v>1752</v>
      </c>
      <c r="C360" s="7" t="s">
        <v>26</v>
      </c>
      <c r="D360" s="7">
        <v>170001990597</v>
      </c>
      <c r="E360" s="7">
        <v>55</v>
      </c>
      <c r="F360" s="7" t="s">
        <v>1753</v>
      </c>
      <c r="G360" s="7"/>
      <c r="H360" s="7"/>
      <c r="I360" s="7" t="s">
        <v>1753</v>
      </c>
      <c r="J360" s="7" t="s">
        <v>42</v>
      </c>
      <c r="K360" s="7" t="s">
        <v>43</v>
      </c>
      <c r="L360" s="7" t="s">
        <v>44</v>
      </c>
      <c r="M360" s="8">
        <v>29788</v>
      </c>
      <c r="N360" s="9">
        <v>3.2099999999999997E-2</v>
      </c>
      <c r="O360" s="7" t="s">
        <v>1754</v>
      </c>
      <c r="P360" s="7" t="s">
        <v>32</v>
      </c>
      <c r="Q360" s="7">
        <v>55</v>
      </c>
      <c r="R360" s="7" t="s">
        <v>74</v>
      </c>
      <c r="S360" s="7" t="s">
        <v>75</v>
      </c>
      <c r="T360" s="7" t="s">
        <v>1755</v>
      </c>
      <c r="U360" s="7" t="s">
        <v>1756</v>
      </c>
      <c r="V360" s="7" t="s">
        <v>37</v>
      </c>
      <c r="W360" s="7" t="s">
        <v>38</v>
      </c>
      <c r="X360" s="7" t="s">
        <v>39</v>
      </c>
      <c r="Y360" s="10" t="s">
        <v>109</v>
      </c>
    </row>
    <row r="361" spans="1:25" ht="12.75">
      <c r="A361" s="11">
        <v>2611606</v>
      </c>
      <c r="B361" s="12" t="s">
        <v>1752</v>
      </c>
      <c r="C361" s="12" t="s">
        <v>26</v>
      </c>
      <c r="D361" s="12">
        <v>170002020188</v>
      </c>
      <c r="E361" s="12">
        <v>50</v>
      </c>
      <c r="F361" s="12" t="s">
        <v>1757</v>
      </c>
      <c r="G361" s="12"/>
      <c r="H361" s="12"/>
      <c r="I361" s="12" t="s">
        <v>1757</v>
      </c>
      <c r="J361" s="12" t="s">
        <v>42</v>
      </c>
      <c r="K361" s="12" t="s">
        <v>43</v>
      </c>
      <c r="L361" s="12" t="s">
        <v>44</v>
      </c>
      <c r="M361" s="13">
        <v>35110</v>
      </c>
      <c r="N361" s="14">
        <v>3.78E-2</v>
      </c>
      <c r="O361" s="12" t="s">
        <v>1758</v>
      </c>
      <c r="P361" s="12" t="s">
        <v>32</v>
      </c>
      <c r="Q361" s="12">
        <v>50</v>
      </c>
      <c r="R361" s="12" t="s">
        <v>153</v>
      </c>
      <c r="S361" s="12" t="s">
        <v>154</v>
      </c>
      <c r="T361" s="12" t="s">
        <v>1759</v>
      </c>
      <c r="U361" s="12" t="s">
        <v>1760</v>
      </c>
      <c r="V361" s="12" t="s">
        <v>160</v>
      </c>
      <c r="W361" s="12" t="s">
        <v>38</v>
      </c>
      <c r="X361" s="12" t="s">
        <v>89</v>
      </c>
      <c r="Y361" s="15" t="s">
        <v>127</v>
      </c>
    </row>
    <row r="362" spans="1:25" ht="12.75">
      <c r="A362" s="6">
        <v>2611606</v>
      </c>
      <c r="B362" s="7" t="s">
        <v>1752</v>
      </c>
      <c r="C362" s="7" t="s">
        <v>26</v>
      </c>
      <c r="D362" s="7">
        <v>170001898713</v>
      </c>
      <c r="E362" s="7">
        <v>30</v>
      </c>
      <c r="F362" s="7" t="s">
        <v>1761</v>
      </c>
      <c r="G362" s="7"/>
      <c r="H362" s="7"/>
      <c r="I362" s="7" t="s">
        <v>1761</v>
      </c>
      <c r="J362" s="7" t="s">
        <v>42</v>
      </c>
      <c r="K362" s="7" t="s">
        <v>43</v>
      </c>
      <c r="L362" s="7" t="s">
        <v>44</v>
      </c>
      <c r="M362" s="8">
        <v>7342</v>
      </c>
      <c r="N362" s="9">
        <v>7.9000000000000008E-3</v>
      </c>
      <c r="O362" s="7" t="s">
        <v>1762</v>
      </c>
      <c r="P362" s="7" t="s">
        <v>46</v>
      </c>
      <c r="Q362" s="7">
        <v>30</v>
      </c>
      <c r="R362" s="7" t="s">
        <v>980</v>
      </c>
      <c r="S362" s="7" t="s">
        <v>981</v>
      </c>
      <c r="T362" s="7" t="s">
        <v>46</v>
      </c>
      <c r="U362" s="7" t="s">
        <v>1763</v>
      </c>
      <c r="V362" s="7" t="s">
        <v>37</v>
      </c>
      <c r="W362" s="7" t="s">
        <v>38</v>
      </c>
      <c r="X362" s="7" t="s">
        <v>39</v>
      </c>
      <c r="Y362" s="10" t="s">
        <v>127</v>
      </c>
    </row>
    <row r="363" spans="1:25" ht="12.75">
      <c r="A363" s="11">
        <v>2611606</v>
      </c>
      <c r="B363" s="12" t="s">
        <v>1752</v>
      </c>
      <c r="C363" s="12" t="s">
        <v>26</v>
      </c>
      <c r="D363" s="12">
        <v>170002203576</v>
      </c>
      <c r="E363" s="12">
        <v>22</v>
      </c>
      <c r="F363" s="12" t="s">
        <v>1764</v>
      </c>
      <c r="G363" s="12"/>
      <c r="H363" s="12"/>
      <c r="I363" s="12" t="s">
        <v>1765</v>
      </c>
      <c r="J363" s="12" t="s">
        <v>42</v>
      </c>
      <c r="K363" s="12" t="s">
        <v>43</v>
      </c>
      <c r="L363" s="12" t="s">
        <v>44</v>
      </c>
      <c r="M363" s="13">
        <v>129138</v>
      </c>
      <c r="N363" s="14">
        <v>0.13900000000000001</v>
      </c>
      <c r="O363" s="12" t="s">
        <v>1766</v>
      </c>
      <c r="P363" s="12" t="s">
        <v>46</v>
      </c>
      <c r="Q363" s="12">
        <v>22</v>
      </c>
      <c r="R363" s="12" t="s">
        <v>321</v>
      </c>
      <c r="S363" s="12" t="s">
        <v>322</v>
      </c>
      <c r="T363" s="12" t="s">
        <v>46</v>
      </c>
      <c r="U363" s="12" t="s">
        <v>1767</v>
      </c>
      <c r="V363" s="12" t="s">
        <v>37</v>
      </c>
      <c r="W363" s="12" t="s">
        <v>38</v>
      </c>
      <c r="X363" s="12" t="s">
        <v>39</v>
      </c>
      <c r="Y363" s="15" t="s">
        <v>90</v>
      </c>
    </row>
    <row r="364" spans="1:25" ht="12.75">
      <c r="A364" s="6">
        <v>2611507</v>
      </c>
      <c r="B364" s="7" t="s">
        <v>1737</v>
      </c>
      <c r="C364" s="7" t="s">
        <v>26</v>
      </c>
      <c r="D364" s="7">
        <v>170002116323</v>
      </c>
      <c r="E364" s="7">
        <v>10</v>
      </c>
      <c r="F364" s="7" t="s">
        <v>1768</v>
      </c>
      <c r="G364" s="7"/>
      <c r="H364" s="7"/>
      <c r="I364" s="7" t="s">
        <v>1768</v>
      </c>
      <c r="J364" s="7" t="s">
        <v>28</v>
      </c>
      <c r="K364" s="7" t="s">
        <v>29</v>
      </c>
      <c r="L364" s="7" t="s">
        <v>30</v>
      </c>
      <c r="M364" s="8">
        <v>6351</v>
      </c>
      <c r="N364" s="9">
        <v>0.53510000000000002</v>
      </c>
      <c r="O364" s="7" t="s">
        <v>1769</v>
      </c>
      <c r="P364" s="7" t="s">
        <v>32</v>
      </c>
      <c r="Q364" s="7">
        <v>10</v>
      </c>
      <c r="R364" s="7" t="s">
        <v>124</v>
      </c>
      <c r="S364" s="7" t="s">
        <v>124</v>
      </c>
      <c r="T364" s="7" t="s">
        <v>1770</v>
      </c>
      <c r="U364" s="7" t="s">
        <v>1771</v>
      </c>
      <c r="V364" s="7" t="s">
        <v>37</v>
      </c>
      <c r="W364" s="7" t="s">
        <v>102</v>
      </c>
      <c r="X364" s="7" t="s">
        <v>58</v>
      </c>
      <c r="Y364" s="10" t="s">
        <v>26</v>
      </c>
    </row>
    <row r="365" spans="1:25" ht="12.75">
      <c r="A365" s="11">
        <v>2611606</v>
      </c>
      <c r="B365" s="12" t="s">
        <v>1752</v>
      </c>
      <c r="C365" s="12" t="s">
        <v>26</v>
      </c>
      <c r="D365" s="12">
        <v>170002050826</v>
      </c>
      <c r="E365" s="12">
        <v>80</v>
      </c>
      <c r="F365" s="12" t="s">
        <v>1772</v>
      </c>
      <c r="G365" s="12"/>
      <c r="H365" s="12"/>
      <c r="I365" s="12" t="s">
        <v>1772</v>
      </c>
      <c r="J365" s="12" t="s">
        <v>42</v>
      </c>
      <c r="K365" s="12" t="s">
        <v>43</v>
      </c>
      <c r="L365" s="12" t="s">
        <v>44</v>
      </c>
      <c r="M365" s="13">
        <v>1399</v>
      </c>
      <c r="N365" s="14">
        <v>1.5E-3</v>
      </c>
      <c r="O365" s="12" t="s">
        <v>1773</v>
      </c>
      <c r="P365" s="12" t="s">
        <v>46</v>
      </c>
      <c r="Q365" s="12">
        <v>80</v>
      </c>
      <c r="R365" s="12" t="s">
        <v>647</v>
      </c>
      <c r="S365" s="12" t="s">
        <v>648</v>
      </c>
      <c r="T365" s="12" t="s">
        <v>46</v>
      </c>
      <c r="U365" s="12" t="s">
        <v>1774</v>
      </c>
      <c r="V365" s="12" t="s">
        <v>160</v>
      </c>
      <c r="W365" s="12" t="s">
        <v>38</v>
      </c>
      <c r="X365" s="12" t="s">
        <v>89</v>
      </c>
      <c r="Y365" s="15" t="s">
        <v>454</v>
      </c>
    </row>
    <row r="366" spans="1:25" ht="12.75">
      <c r="A366" s="6">
        <v>2611606</v>
      </c>
      <c r="B366" s="7" t="s">
        <v>1752</v>
      </c>
      <c r="C366" s="7" t="s">
        <v>26</v>
      </c>
      <c r="D366" s="7">
        <v>170001959156</v>
      </c>
      <c r="E366" s="7">
        <v>16</v>
      </c>
      <c r="F366" s="7" t="s">
        <v>1775</v>
      </c>
      <c r="G366" s="7"/>
      <c r="H366" s="7"/>
      <c r="I366" s="7" t="s">
        <v>1775</v>
      </c>
      <c r="J366" s="7" t="s">
        <v>42</v>
      </c>
      <c r="K366" s="7" t="s">
        <v>43</v>
      </c>
      <c r="L366" s="7" t="s">
        <v>44</v>
      </c>
      <c r="M366" s="8">
        <v>524</v>
      </c>
      <c r="N366" s="9">
        <v>5.9999999999999995E-4</v>
      </c>
      <c r="O366" s="7" t="s">
        <v>1775</v>
      </c>
      <c r="P366" s="7" t="s">
        <v>46</v>
      </c>
      <c r="Q366" s="7">
        <v>16</v>
      </c>
      <c r="R366" s="7" t="s">
        <v>1776</v>
      </c>
      <c r="S366" s="7" t="s">
        <v>1777</v>
      </c>
      <c r="T366" s="7" t="s">
        <v>46</v>
      </c>
      <c r="U366" s="7" t="s">
        <v>1778</v>
      </c>
      <c r="V366" s="7" t="s">
        <v>160</v>
      </c>
      <c r="W366" s="7" t="s">
        <v>38</v>
      </c>
      <c r="X366" s="7" t="s">
        <v>39</v>
      </c>
      <c r="Y366" s="10" t="s">
        <v>109</v>
      </c>
    </row>
    <row r="367" spans="1:25" ht="12.75">
      <c r="A367" s="11">
        <v>2611606</v>
      </c>
      <c r="B367" s="12" t="s">
        <v>1752</v>
      </c>
      <c r="C367" s="12" t="s">
        <v>26</v>
      </c>
      <c r="D367" s="12">
        <v>170002309783</v>
      </c>
      <c r="E367" s="12">
        <v>29</v>
      </c>
      <c r="F367" s="12" t="s">
        <v>1779</v>
      </c>
      <c r="G367" s="12"/>
      <c r="H367" s="12"/>
      <c r="I367" s="12" t="s">
        <v>1779</v>
      </c>
      <c r="J367" s="12" t="s">
        <v>42</v>
      </c>
      <c r="K367" s="12" t="s">
        <v>43</v>
      </c>
      <c r="L367" s="12" t="s">
        <v>44</v>
      </c>
      <c r="M367" s="13">
        <v>132</v>
      </c>
      <c r="N367" s="14">
        <v>1E-4</v>
      </c>
      <c r="O367" s="12" t="s">
        <v>1780</v>
      </c>
      <c r="P367" s="12" t="s">
        <v>46</v>
      </c>
      <c r="Q367" s="12">
        <v>29</v>
      </c>
      <c r="R367" s="12" t="s">
        <v>1472</v>
      </c>
      <c r="S367" s="12" t="s">
        <v>1473</v>
      </c>
      <c r="T367" s="12" t="s">
        <v>46</v>
      </c>
      <c r="U367" s="12" t="s">
        <v>1781</v>
      </c>
      <c r="V367" s="12" t="s">
        <v>37</v>
      </c>
      <c r="W367" s="12" t="s">
        <v>50</v>
      </c>
      <c r="X367" s="12" t="s">
        <v>89</v>
      </c>
      <c r="Y367" s="15" t="s">
        <v>954</v>
      </c>
    </row>
    <row r="368" spans="1:25" ht="12.75">
      <c r="A368" s="6">
        <v>2611705</v>
      </c>
      <c r="B368" s="7" t="s">
        <v>1782</v>
      </c>
      <c r="C368" s="7" t="s">
        <v>26</v>
      </c>
      <c r="D368" s="7">
        <v>170002059855</v>
      </c>
      <c r="E368" s="7">
        <v>40</v>
      </c>
      <c r="F368" s="7" t="s">
        <v>1783</v>
      </c>
      <c r="G368" s="7"/>
      <c r="H368" s="7"/>
      <c r="I368" s="7" t="s">
        <v>1783</v>
      </c>
      <c r="J368" s="7" t="s">
        <v>42</v>
      </c>
      <c r="K368" s="7" t="s">
        <v>43</v>
      </c>
      <c r="L368" s="7" t="s">
        <v>44</v>
      </c>
      <c r="M368" s="8">
        <v>7491</v>
      </c>
      <c r="N368" s="9">
        <v>0.40899999999999997</v>
      </c>
      <c r="O368" s="7" t="s">
        <v>1784</v>
      </c>
      <c r="P368" s="7" t="s">
        <v>32</v>
      </c>
      <c r="Q368" s="7">
        <v>40</v>
      </c>
      <c r="R368" s="7" t="s">
        <v>33</v>
      </c>
      <c r="S368" s="7" t="s">
        <v>34</v>
      </c>
      <c r="T368" s="7" t="s">
        <v>1785</v>
      </c>
      <c r="U368" s="7" t="s">
        <v>1786</v>
      </c>
      <c r="V368" s="7" t="s">
        <v>37</v>
      </c>
      <c r="W368" s="7" t="s">
        <v>38</v>
      </c>
      <c r="X368" s="7" t="s">
        <v>58</v>
      </c>
      <c r="Y368" s="10" t="s">
        <v>90</v>
      </c>
    </row>
    <row r="369" spans="1:25" ht="12.75">
      <c r="A369" s="11">
        <v>2611533</v>
      </c>
      <c r="B369" s="12" t="s">
        <v>1748</v>
      </c>
      <c r="C369" s="12" t="s">
        <v>26</v>
      </c>
      <c r="D369" s="12">
        <v>170002146336</v>
      </c>
      <c r="E369" s="12">
        <v>70</v>
      </c>
      <c r="F369" s="12" t="s">
        <v>1787</v>
      </c>
      <c r="G369" s="12"/>
      <c r="H369" s="12"/>
      <c r="I369" s="12" t="s">
        <v>1787</v>
      </c>
      <c r="J369" s="12" t="s">
        <v>28</v>
      </c>
      <c r="K369" s="12" t="s">
        <v>29</v>
      </c>
      <c r="L369" s="12" t="s">
        <v>30</v>
      </c>
      <c r="M369" s="13">
        <v>3757</v>
      </c>
      <c r="N369" s="14">
        <v>0.74629999999999996</v>
      </c>
      <c r="O369" s="12" t="s">
        <v>1788</v>
      </c>
      <c r="P369" s="12" t="s">
        <v>46</v>
      </c>
      <c r="Q369" s="12">
        <v>70</v>
      </c>
      <c r="R369" s="12" t="s">
        <v>177</v>
      </c>
      <c r="S369" s="12" t="s">
        <v>177</v>
      </c>
      <c r="T369" s="12" t="s">
        <v>46</v>
      </c>
      <c r="U369" s="12" t="s">
        <v>1789</v>
      </c>
      <c r="V369" s="12" t="s">
        <v>37</v>
      </c>
      <c r="W369" s="12" t="s">
        <v>102</v>
      </c>
      <c r="X369" s="12" t="s">
        <v>89</v>
      </c>
      <c r="Y369" s="15" t="s">
        <v>26</v>
      </c>
    </row>
    <row r="370" spans="1:25" ht="12.75">
      <c r="A370" s="6">
        <v>2611606</v>
      </c>
      <c r="B370" s="7" t="s">
        <v>1752</v>
      </c>
      <c r="C370" s="7" t="s">
        <v>26</v>
      </c>
      <c r="D370" s="7">
        <v>170002004102</v>
      </c>
      <c r="E370" s="7">
        <v>40</v>
      </c>
      <c r="F370" s="7" t="s">
        <v>1790</v>
      </c>
      <c r="G370" s="7"/>
      <c r="H370" s="7"/>
      <c r="I370" s="7" t="s">
        <v>1791</v>
      </c>
      <c r="J370" s="7" t="s">
        <v>28</v>
      </c>
      <c r="K370" s="7" t="s">
        <v>29</v>
      </c>
      <c r="L370" s="7" t="s">
        <v>30</v>
      </c>
      <c r="M370" s="8">
        <v>725721</v>
      </c>
      <c r="N370" s="9">
        <v>0.78110000000000002</v>
      </c>
      <c r="O370" s="7" t="s">
        <v>1792</v>
      </c>
      <c r="P370" s="7" t="s">
        <v>32</v>
      </c>
      <c r="Q370" s="7">
        <v>40</v>
      </c>
      <c r="R370" s="7" t="s">
        <v>33</v>
      </c>
      <c r="S370" s="7" t="s">
        <v>34</v>
      </c>
      <c r="T370" s="7" t="s">
        <v>1793</v>
      </c>
      <c r="U370" s="7" t="s">
        <v>1794</v>
      </c>
      <c r="V370" s="7" t="s">
        <v>37</v>
      </c>
      <c r="W370" s="7" t="s">
        <v>38</v>
      </c>
      <c r="X370" s="7" t="s">
        <v>39</v>
      </c>
      <c r="Y370" s="10" t="s">
        <v>78</v>
      </c>
    </row>
    <row r="371" spans="1:25" ht="12.75">
      <c r="A371" s="11">
        <v>2611804</v>
      </c>
      <c r="B371" s="12" t="s">
        <v>1209</v>
      </c>
      <c r="C371" s="12" t="s">
        <v>26</v>
      </c>
      <c r="D371" s="12">
        <v>170002060120</v>
      </c>
      <c r="E371" s="12">
        <v>11</v>
      </c>
      <c r="F371" s="12" t="s">
        <v>1795</v>
      </c>
      <c r="G371" s="12"/>
      <c r="H371" s="12"/>
      <c r="I371" s="12" t="s">
        <v>1795</v>
      </c>
      <c r="J371" s="12" t="s">
        <v>42</v>
      </c>
      <c r="K371" s="12" t="s">
        <v>43</v>
      </c>
      <c r="L371" s="12" t="s">
        <v>44</v>
      </c>
      <c r="M371" s="13">
        <v>8111</v>
      </c>
      <c r="N371" s="14">
        <v>0.3604</v>
      </c>
      <c r="O371" s="12" t="s">
        <v>1796</v>
      </c>
      <c r="P371" s="12" t="s">
        <v>32</v>
      </c>
      <c r="Q371" s="12">
        <v>11</v>
      </c>
      <c r="R371" s="12" t="s">
        <v>168</v>
      </c>
      <c r="S371" s="12" t="s">
        <v>169</v>
      </c>
      <c r="T371" s="12" t="s">
        <v>1797</v>
      </c>
      <c r="U371" s="12" t="s">
        <v>1798</v>
      </c>
      <c r="V371" s="12" t="s">
        <v>160</v>
      </c>
      <c r="W371" s="12" t="s">
        <v>38</v>
      </c>
      <c r="X371" s="12" t="s">
        <v>39</v>
      </c>
      <c r="Y371" s="15" t="s">
        <v>51</v>
      </c>
    </row>
    <row r="372" spans="1:25" ht="12.75">
      <c r="A372" s="6">
        <v>2611804</v>
      </c>
      <c r="B372" s="7" t="s">
        <v>1209</v>
      </c>
      <c r="C372" s="7" t="s">
        <v>26</v>
      </c>
      <c r="D372" s="7">
        <v>170002143291</v>
      </c>
      <c r="E372" s="7">
        <v>70</v>
      </c>
      <c r="F372" s="7" t="s">
        <v>1799</v>
      </c>
      <c r="G372" s="7"/>
      <c r="H372" s="7"/>
      <c r="I372" s="7" t="s">
        <v>1799</v>
      </c>
      <c r="J372" s="7" t="s">
        <v>42</v>
      </c>
      <c r="K372" s="7" t="s">
        <v>43</v>
      </c>
      <c r="L372" s="7" t="s">
        <v>44</v>
      </c>
      <c r="M372" s="8">
        <v>437</v>
      </c>
      <c r="N372" s="9">
        <v>1.9400000000000001E-2</v>
      </c>
      <c r="O372" s="7" t="s">
        <v>1800</v>
      </c>
      <c r="P372" s="7" t="s">
        <v>32</v>
      </c>
      <c r="Q372" s="7">
        <v>70</v>
      </c>
      <c r="R372" s="7" t="s">
        <v>177</v>
      </c>
      <c r="S372" s="7" t="s">
        <v>177</v>
      </c>
      <c r="T372" s="7" t="s">
        <v>1801</v>
      </c>
      <c r="U372" s="7" t="s">
        <v>1802</v>
      </c>
      <c r="V372" s="7" t="s">
        <v>37</v>
      </c>
      <c r="W372" s="7" t="s">
        <v>50</v>
      </c>
      <c r="X372" s="7" t="s">
        <v>58</v>
      </c>
      <c r="Y372" s="10" t="s">
        <v>90</v>
      </c>
    </row>
    <row r="373" spans="1:25" ht="12.75">
      <c r="A373" s="11">
        <v>2611804</v>
      </c>
      <c r="B373" s="12" t="s">
        <v>1209</v>
      </c>
      <c r="C373" s="12" t="s">
        <v>26</v>
      </c>
      <c r="D373" s="12">
        <v>170002084311</v>
      </c>
      <c r="E373" s="12">
        <v>44</v>
      </c>
      <c r="F373" s="12" t="s">
        <v>1803</v>
      </c>
      <c r="G373" s="12"/>
      <c r="H373" s="12"/>
      <c r="I373" s="12" t="s">
        <v>1803</v>
      </c>
      <c r="J373" s="12" t="s">
        <v>42</v>
      </c>
      <c r="K373" s="12" t="s">
        <v>43</v>
      </c>
      <c r="L373" s="12" t="s">
        <v>44</v>
      </c>
      <c r="M373" s="13">
        <v>1619</v>
      </c>
      <c r="N373" s="14">
        <v>7.1900000000000006E-2</v>
      </c>
      <c r="O373" s="12" t="s">
        <v>1804</v>
      </c>
      <c r="P373" s="12" t="s">
        <v>32</v>
      </c>
      <c r="Q373" s="12">
        <v>44</v>
      </c>
      <c r="R373" s="12" t="s">
        <v>314</v>
      </c>
      <c r="S373" s="12" t="s">
        <v>315</v>
      </c>
      <c r="T373" s="12" t="s">
        <v>1805</v>
      </c>
      <c r="U373" s="12" t="s">
        <v>1806</v>
      </c>
      <c r="V373" s="12" t="s">
        <v>37</v>
      </c>
      <c r="W373" s="12" t="s">
        <v>38</v>
      </c>
      <c r="X373" s="12" t="s">
        <v>89</v>
      </c>
      <c r="Y373" s="15" t="s">
        <v>65</v>
      </c>
    </row>
    <row r="374" spans="1:25" ht="12.75">
      <c r="A374" s="6">
        <v>2611903</v>
      </c>
      <c r="B374" s="7" t="s">
        <v>1807</v>
      </c>
      <c r="C374" s="7" t="s">
        <v>26</v>
      </c>
      <c r="D374" s="7">
        <v>170001966718</v>
      </c>
      <c r="E374" s="7">
        <v>22</v>
      </c>
      <c r="F374" s="7" t="s">
        <v>1808</v>
      </c>
      <c r="G374" s="7"/>
      <c r="H374" s="7"/>
      <c r="I374" s="7" t="s">
        <v>1808</v>
      </c>
      <c r="J374" s="7" t="s">
        <v>42</v>
      </c>
      <c r="K374" s="7" t="s">
        <v>43</v>
      </c>
      <c r="L374" s="7" t="s">
        <v>44</v>
      </c>
      <c r="M374" s="8">
        <v>306</v>
      </c>
      <c r="N374" s="9">
        <v>2.2499999999999999E-2</v>
      </c>
      <c r="O374" s="7" t="s">
        <v>1809</v>
      </c>
      <c r="P374" s="7" t="s">
        <v>46</v>
      </c>
      <c r="Q374" s="7">
        <v>22</v>
      </c>
      <c r="R374" s="7" t="s">
        <v>321</v>
      </c>
      <c r="S374" s="7" t="s">
        <v>322</v>
      </c>
      <c r="T374" s="7" t="s">
        <v>46</v>
      </c>
      <c r="U374" s="7" t="s">
        <v>1810</v>
      </c>
      <c r="V374" s="7" t="s">
        <v>160</v>
      </c>
      <c r="W374" s="7" t="s">
        <v>38</v>
      </c>
      <c r="X374" s="7" t="s">
        <v>58</v>
      </c>
      <c r="Y374" s="10" t="s">
        <v>127</v>
      </c>
    </row>
    <row r="375" spans="1:25" ht="12.75">
      <c r="A375" s="11">
        <v>2611705</v>
      </c>
      <c r="B375" s="12" t="s">
        <v>1782</v>
      </c>
      <c r="C375" s="12" t="s">
        <v>26</v>
      </c>
      <c r="D375" s="12">
        <v>170001967985</v>
      </c>
      <c r="E375" s="12">
        <v>45</v>
      </c>
      <c r="F375" s="12" t="s">
        <v>1811</v>
      </c>
      <c r="G375" s="12"/>
      <c r="H375" s="12"/>
      <c r="I375" s="12" t="s">
        <v>1811</v>
      </c>
      <c r="J375" s="12" t="s">
        <v>28</v>
      </c>
      <c r="K375" s="12" t="s">
        <v>29</v>
      </c>
      <c r="L375" s="12" t="s">
        <v>30</v>
      </c>
      <c r="M375" s="13">
        <v>10823</v>
      </c>
      <c r="N375" s="14">
        <v>0.59099999999999997</v>
      </c>
      <c r="O375" s="12" t="s">
        <v>1812</v>
      </c>
      <c r="P375" s="12" t="s">
        <v>32</v>
      </c>
      <c r="Q375" s="12">
        <v>45</v>
      </c>
      <c r="R375" s="12" t="s">
        <v>61</v>
      </c>
      <c r="S375" s="12" t="s">
        <v>62</v>
      </c>
      <c r="T375" s="12" t="s">
        <v>1813</v>
      </c>
      <c r="U375" s="12" t="s">
        <v>1814</v>
      </c>
      <c r="V375" s="12" t="s">
        <v>37</v>
      </c>
      <c r="W375" s="12" t="s">
        <v>38</v>
      </c>
      <c r="X375" s="12" t="s">
        <v>58</v>
      </c>
      <c r="Y375" s="15" t="s">
        <v>26</v>
      </c>
    </row>
    <row r="376" spans="1:25" ht="12.75">
      <c r="A376" s="6">
        <v>2611903</v>
      </c>
      <c r="B376" s="7" t="s">
        <v>1807</v>
      </c>
      <c r="C376" s="7" t="s">
        <v>26</v>
      </c>
      <c r="D376" s="7">
        <v>170001966318</v>
      </c>
      <c r="E376" s="7">
        <v>40</v>
      </c>
      <c r="F376" s="7" t="s">
        <v>1815</v>
      </c>
      <c r="G376" s="7"/>
      <c r="H376" s="7"/>
      <c r="I376" s="7" t="s">
        <v>1815</v>
      </c>
      <c r="J376" s="7" t="s">
        <v>42</v>
      </c>
      <c r="K376" s="7" t="s">
        <v>43</v>
      </c>
      <c r="L376" s="7" t="s">
        <v>44</v>
      </c>
      <c r="M376" s="8">
        <v>4443</v>
      </c>
      <c r="N376" s="9">
        <v>0.32669999999999999</v>
      </c>
      <c r="O376" s="7" t="s">
        <v>1816</v>
      </c>
      <c r="P376" s="7" t="s">
        <v>32</v>
      </c>
      <c r="Q376" s="7">
        <v>40</v>
      </c>
      <c r="R376" s="7" t="s">
        <v>33</v>
      </c>
      <c r="S376" s="7" t="s">
        <v>34</v>
      </c>
      <c r="T376" s="7" t="s">
        <v>1817</v>
      </c>
      <c r="U376" s="7" t="s">
        <v>1818</v>
      </c>
      <c r="V376" s="7" t="s">
        <v>37</v>
      </c>
      <c r="W376" s="7" t="s">
        <v>38</v>
      </c>
      <c r="X376" s="7" t="s">
        <v>89</v>
      </c>
      <c r="Y376" s="10" t="s">
        <v>51</v>
      </c>
    </row>
    <row r="377" spans="1:25" ht="12.75">
      <c r="A377" s="11">
        <v>2611903</v>
      </c>
      <c r="B377" s="12" t="s">
        <v>1807</v>
      </c>
      <c r="C377" s="12" t="s">
        <v>26</v>
      </c>
      <c r="D377" s="12">
        <v>170001966638</v>
      </c>
      <c r="E377" s="12">
        <v>11</v>
      </c>
      <c r="F377" s="12" t="s">
        <v>1819</v>
      </c>
      <c r="G377" s="12"/>
      <c r="H377" s="12"/>
      <c r="I377" s="12" t="s">
        <v>1820</v>
      </c>
      <c r="J377" s="12" t="s">
        <v>42</v>
      </c>
      <c r="K377" s="12" t="s">
        <v>43</v>
      </c>
      <c r="L377" s="12" t="s">
        <v>44</v>
      </c>
      <c r="M377" s="13">
        <v>2987</v>
      </c>
      <c r="N377" s="14">
        <v>0.21959999999999999</v>
      </c>
      <c r="O377" s="12" t="s">
        <v>1821</v>
      </c>
      <c r="P377" s="12" t="s">
        <v>32</v>
      </c>
      <c r="Q377" s="12">
        <v>11</v>
      </c>
      <c r="R377" s="12" t="s">
        <v>168</v>
      </c>
      <c r="S377" s="12" t="s">
        <v>169</v>
      </c>
      <c r="T377" s="12" t="s">
        <v>1822</v>
      </c>
      <c r="U377" s="12" t="s">
        <v>1823</v>
      </c>
      <c r="V377" s="12" t="s">
        <v>37</v>
      </c>
      <c r="W377" s="12" t="s">
        <v>38</v>
      </c>
      <c r="X377" s="12" t="s">
        <v>58</v>
      </c>
      <c r="Y377" s="15" t="s">
        <v>127</v>
      </c>
    </row>
    <row r="378" spans="1:25" ht="12.75">
      <c r="A378" s="6">
        <v>2605202</v>
      </c>
      <c r="B378" s="7" t="s">
        <v>813</v>
      </c>
      <c r="C378" s="7" t="s">
        <v>26</v>
      </c>
      <c r="D378" s="7">
        <v>170002200184</v>
      </c>
      <c r="E378" s="7">
        <v>22</v>
      </c>
      <c r="F378" s="7" t="s">
        <v>1824</v>
      </c>
      <c r="G378" s="7"/>
      <c r="H378" s="7"/>
      <c r="I378" s="7" t="s">
        <v>1825</v>
      </c>
      <c r="J378" s="7" t="s">
        <v>28</v>
      </c>
      <c r="K378" s="7" t="s">
        <v>29</v>
      </c>
      <c r="L378" s="7" t="s">
        <v>30</v>
      </c>
      <c r="M378" s="8">
        <v>19357</v>
      </c>
      <c r="N378" s="9">
        <v>0.50149999999999995</v>
      </c>
      <c r="O378" s="7" t="s">
        <v>1826</v>
      </c>
      <c r="P378" s="7" t="s">
        <v>32</v>
      </c>
      <c r="Q378" s="7">
        <v>22</v>
      </c>
      <c r="R378" s="7" t="s">
        <v>321</v>
      </c>
      <c r="S378" s="7" t="s">
        <v>322</v>
      </c>
      <c r="T378" s="7" t="s">
        <v>1827</v>
      </c>
      <c r="U378" s="7" t="s">
        <v>1828</v>
      </c>
      <c r="V378" s="7" t="s">
        <v>160</v>
      </c>
      <c r="W378" s="7" t="s">
        <v>38</v>
      </c>
      <c r="X378" s="7" t="s">
        <v>39</v>
      </c>
      <c r="Y378" s="10" t="s">
        <v>656</v>
      </c>
    </row>
    <row r="379" spans="1:25" ht="12.75">
      <c r="A379" s="11">
        <v>2612000</v>
      </c>
      <c r="B379" s="12" t="s">
        <v>1829</v>
      </c>
      <c r="C379" s="12" t="s">
        <v>26</v>
      </c>
      <c r="D379" s="12">
        <v>170002212835</v>
      </c>
      <c r="E379" s="12">
        <v>10</v>
      </c>
      <c r="F379" s="12" t="s">
        <v>1830</v>
      </c>
      <c r="G379" s="12"/>
      <c r="H379" s="12"/>
      <c r="I379" s="12" t="s">
        <v>1831</v>
      </c>
      <c r="J379" s="12" t="s">
        <v>42</v>
      </c>
      <c r="K379" s="12" t="s">
        <v>43</v>
      </c>
      <c r="L379" s="12" t="s">
        <v>44</v>
      </c>
      <c r="M379" s="13">
        <v>2109</v>
      </c>
      <c r="N379" s="14">
        <v>0.23760000000000001</v>
      </c>
      <c r="O379" s="12" t="s">
        <v>1832</v>
      </c>
      <c r="P379" s="12" t="s">
        <v>32</v>
      </c>
      <c r="Q379" s="12">
        <v>10</v>
      </c>
      <c r="R379" s="12" t="s">
        <v>124</v>
      </c>
      <c r="S379" s="12" t="s">
        <v>124</v>
      </c>
      <c r="T379" s="12" t="s">
        <v>1833</v>
      </c>
      <c r="U379" s="12" t="s">
        <v>1834</v>
      </c>
      <c r="V379" s="12" t="s">
        <v>37</v>
      </c>
      <c r="W379" s="12" t="s">
        <v>38</v>
      </c>
      <c r="X379" s="12" t="s">
        <v>58</v>
      </c>
      <c r="Y379" s="15" t="s">
        <v>127</v>
      </c>
    </row>
    <row r="380" spans="1:25" ht="12.75">
      <c r="A380" s="6">
        <v>2611903</v>
      </c>
      <c r="B380" s="7" t="s">
        <v>1807</v>
      </c>
      <c r="C380" s="7" t="s">
        <v>26</v>
      </c>
      <c r="D380" s="7">
        <v>170002040190</v>
      </c>
      <c r="E380" s="7">
        <v>45</v>
      </c>
      <c r="F380" s="7" t="s">
        <v>1835</v>
      </c>
      <c r="G380" s="7"/>
      <c r="H380" s="7"/>
      <c r="I380" s="7" t="s">
        <v>1835</v>
      </c>
      <c r="J380" s="7" t="s">
        <v>82</v>
      </c>
      <c r="K380" s="7" t="s">
        <v>29</v>
      </c>
      <c r="L380" s="7" t="s">
        <v>30</v>
      </c>
      <c r="M380" s="8">
        <v>5863</v>
      </c>
      <c r="N380" s="9">
        <v>0.43109999999999998</v>
      </c>
      <c r="O380" s="7" t="s">
        <v>1836</v>
      </c>
      <c r="P380" s="7" t="s">
        <v>32</v>
      </c>
      <c r="Q380" s="7">
        <v>45</v>
      </c>
      <c r="R380" s="7" t="s">
        <v>61</v>
      </c>
      <c r="S380" s="7" t="s">
        <v>62</v>
      </c>
      <c r="T380" s="7" t="s">
        <v>1837</v>
      </c>
      <c r="U380" s="7" t="s">
        <v>1838</v>
      </c>
      <c r="V380" s="7" t="s">
        <v>37</v>
      </c>
      <c r="W380" s="7" t="s">
        <v>50</v>
      </c>
      <c r="X380" s="7" t="s">
        <v>39</v>
      </c>
      <c r="Y380" s="10" t="s">
        <v>165</v>
      </c>
    </row>
    <row r="381" spans="1:25" ht="12.75">
      <c r="A381" s="21">
        <v>2612109</v>
      </c>
      <c r="B381" s="22" t="s">
        <v>1839</v>
      </c>
      <c r="C381" s="22" t="s">
        <v>26</v>
      </c>
      <c r="D381" s="22">
        <v>170002022389</v>
      </c>
      <c r="E381" s="22">
        <v>77</v>
      </c>
      <c r="F381" s="22" t="s">
        <v>1840</v>
      </c>
      <c r="G381" s="22"/>
      <c r="H381" s="22"/>
      <c r="I381" s="22" t="s">
        <v>1840</v>
      </c>
      <c r="J381" s="22" t="s">
        <v>42</v>
      </c>
      <c r="K381" s="22" t="s">
        <v>43</v>
      </c>
      <c r="L381" s="22" t="s">
        <v>44</v>
      </c>
      <c r="M381" s="23">
        <v>1559</v>
      </c>
      <c r="N381" s="24">
        <v>0.26250000000000001</v>
      </c>
      <c r="O381" s="22" t="s">
        <v>1841</v>
      </c>
      <c r="P381" s="22" t="s">
        <v>46</v>
      </c>
      <c r="Q381" s="22">
        <v>77</v>
      </c>
      <c r="R381" s="22" t="s">
        <v>287</v>
      </c>
      <c r="S381" s="22" t="s">
        <v>287</v>
      </c>
      <c r="T381" s="22" t="s">
        <v>46</v>
      </c>
      <c r="U381" s="22" t="s">
        <v>1842</v>
      </c>
      <c r="V381" s="22" t="s">
        <v>37</v>
      </c>
      <c r="W381" s="22" t="s">
        <v>38</v>
      </c>
      <c r="X381" s="22" t="s">
        <v>39</v>
      </c>
      <c r="Y381" s="25" t="s">
        <v>1456</v>
      </c>
    </row>
    <row r="382" spans="1:25" ht="12.75">
      <c r="A382" s="6">
        <v>2612208</v>
      </c>
      <c r="B382" s="7" t="s">
        <v>1843</v>
      </c>
      <c r="C382" s="7" t="s">
        <v>26</v>
      </c>
      <c r="D382" s="7">
        <v>170002049305</v>
      </c>
      <c r="E382" s="7">
        <v>33</v>
      </c>
      <c r="F382" s="7" t="s">
        <v>1844</v>
      </c>
      <c r="G382" s="7"/>
      <c r="H382" s="7"/>
      <c r="I382" s="7" t="s">
        <v>1845</v>
      </c>
      <c r="J382" s="7" t="s">
        <v>42</v>
      </c>
      <c r="K382" s="7" t="s">
        <v>43</v>
      </c>
      <c r="L382" s="7" t="s">
        <v>44</v>
      </c>
      <c r="M382" s="8">
        <v>388</v>
      </c>
      <c r="N382" s="9">
        <v>1.14E-2</v>
      </c>
      <c r="O382" s="7" t="s">
        <v>1846</v>
      </c>
      <c r="P382" s="7" t="s">
        <v>46</v>
      </c>
      <c r="Q382" s="7">
        <v>33</v>
      </c>
      <c r="R382" s="7" t="s">
        <v>47</v>
      </c>
      <c r="S382" s="7" t="s">
        <v>48</v>
      </c>
      <c r="T382" s="7" t="s">
        <v>46</v>
      </c>
      <c r="U382" s="7" t="s">
        <v>1847</v>
      </c>
      <c r="V382" s="7" t="s">
        <v>37</v>
      </c>
      <c r="W382" s="7" t="s">
        <v>50</v>
      </c>
      <c r="X382" s="7" t="s">
        <v>39</v>
      </c>
      <c r="Y382" s="10" t="s">
        <v>90</v>
      </c>
    </row>
    <row r="383" spans="1:25" ht="12.75">
      <c r="A383" s="11">
        <v>2612000</v>
      </c>
      <c r="B383" s="12" t="s">
        <v>1829</v>
      </c>
      <c r="C383" s="12" t="s">
        <v>26</v>
      </c>
      <c r="D383" s="12">
        <v>170001915527</v>
      </c>
      <c r="E383" s="12">
        <v>13</v>
      </c>
      <c r="F383" s="12" t="s">
        <v>1848</v>
      </c>
      <c r="G383" s="12"/>
      <c r="H383" s="12"/>
      <c r="I383" s="12" t="s">
        <v>1848</v>
      </c>
      <c r="J383" s="12" t="s">
        <v>28</v>
      </c>
      <c r="K383" s="12" t="s">
        <v>29</v>
      </c>
      <c r="L383" s="12" t="s">
        <v>30</v>
      </c>
      <c r="M383" s="13">
        <v>6766</v>
      </c>
      <c r="N383" s="14">
        <v>0.76239999999999997</v>
      </c>
      <c r="O383" s="12" t="s">
        <v>1849</v>
      </c>
      <c r="P383" s="12" t="s">
        <v>32</v>
      </c>
      <c r="Q383" s="12">
        <v>13</v>
      </c>
      <c r="R383" s="12" t="s">
        <v>130</v>
      </c>
      <c r="S383" s="12" t="s">
        <v>131</v>
      </c>
      <c r="T383" s="12" t="s">
        <v>1850</v>
      </c>
      <c r="U383" s="12" t="s">
        <v>1851</v>
      </c>
      <c r="V383" s="12" t="s">
        <v>37</v>
      </c>
      <c r="W383" s="12" t="s">
        <v>38</v>
      </c>
      <c r="X383" s="12" t="s">
        <v>39</v>
      </c>
      <c r="Y383" s="15" t="s">
        <v>26</v>
      </c>
    </row>
    <row r="384" spans="1:25" ht="12.75">
      <c r="A384" s="6">
        <v>2612208</v>
      </c>
      <c r="B384" s="7" t="s">
        <v>1843</v>
      </c>
      <c r="C384" s="7" t="s">
        <v>26</v>
      </c>
      <c r="D384" s="7">
        <v>170001935803</v>
      </c>
      <c r="E384" s="7">
        <v>40</v>
      </c>
      <c r="F384" s="7" t="s">
        <v>1852</v>
      </c>
      <c r="G384" s="7"/>
      <c r="H384" s="7"/>
      <c r="I384" s="7" t="s">
        <v>1853</v>
      </c>
      <c r="J384" s="7" t="s">
        <v>189</v>
      </c>
      <c r="K384" s="7" t="s">
        <v>29</v>
      </c>
      <c r="L384" s="7" t="s">
        <v>44</v>
      </c>
      <c r="M384" s="8">
        <v>13723</v>
      </c>
      <c r="N384" s="9">
        <v>0.40429999999999999</v>
      </c>
      <c r="O384" s="7" t="s">
        <v>1854</v>
      </c>
      <c r="P384" s="7" t="s">
        <v>32</v>
      </c>
      <c r="Q384" s="7">
        <v>40</v>
      </c>
      <c r="R384" s="7" t="s">
        <v>33</v>
      </c>
      <c r="S384" s="7" t="s">
        <v>34</v>
      </c>
      <c r="T384" s="7" t="s">
        <v>1855</v>
      </c>
      <c r="U384" s="7" t="s">
        <v>1856</v>
      </c>
      <c r="V384" s="7" t="s">
        <v>37</v>
      </c>
      <c r="W384" s="7" t="s">
        <v>38</v>
      </c>
      <c r="X384" s="7" t="s">
        <v>58</v>
      </c>
      <c r="Y384" s="10" t="s">
        <v>26</v>
      </c>
    </row>
    <row r="385" spans="1:25" ht="12.75">
      <c r="A385" s="11">
        <v>2612109</v>
      </c>
      <c r="B385" s="12" t="s">
        <v>1839</v>
      </c>
      <c r="C385" s="12" t="s">
        <v>26</v>
      </c>
      <c r="D385" s="12">
        <v>170002069327</v>
      </c>
      <c r="E385" s="12">
        <v>45</v>
      </c>
      <c r="F385" s="12" t="s">
        <v>1857</v>
      </c>
      <c r="G385" s="12"/>
      <c r="H385" s="12"/>
      <c r="I385" s="12" t="s">
        <v>1857</v>
      </c>
      <c r="J385" s="12" t="s">
        <v>82</v>
      </c>
      <c r="K385" s="12" t="s">
        <v>29</v>
      </c>
      <c r="L385" s="12" t="s">
        <v>30</v>
      </c>
      <c r="M385" s="13">
        <v>4380</v>
      </c>
      <c r="N385" s="14">
        <v>0.73750000000000004</v>
      </c>
      <c r="O385" s="12" t="s">
        <v>1858</v>
      </c>
      <c r="P385" s="12" t="s">
        <v>54</v>
      </c>
      <c r="Q385" s="12">
        <v>45</v>
      </c>
      <c r="R385" s="12" t="s">
        <v>61</v>
      </c>
      <c r="S385" s="12" t="s">
        <v>62</v>
      </c>
      <c r="T385" s="12" t="s">
        <v>54</v>
      </c>
      <c r="U385" s="12" t="s">
        <v>1859</v>
      </c>
      <c r="V385" s="12" t="s">
        <v>37</v>
      </c>
      <c r="W385" s="12" t="s">
        <v>50</v>
      </c>
      <c r="X385" s="12" t="s">
        <v>39</v>
      </c>
      <c r="Y385" s="15" t="s">
        <v>246</v>
      </c>
    </row>
    <row r="386" spans="1:25" ht="12.75">
      <c r="A386" s="6">
        <v>2612307</v>
      </c>
      <c r="B386" s="7" t="s">
        <v>1860</v>
      </c>
      <c r="C386" s="7" t="s">
        <v>26</v>
      </c>
      <c r="D386" s="7">
        <v>170002060519</v>
      </c>
      <c r="E386" s="7">
        <v>10</v>
      </c>
      <c r="F386" s="7" t="s">
        <v>1861</v>
      </c>
      <c r="G386" s="7"/>
      <c r="H386" s="7"/>
      <c r="I386" s="7" t="s">
        <v>1861</v>
      </c>
      <c r="J386" s="7" t="s">
        <v>42</v>
      </c>
      <c r="K386" s="7" t="s">
        <v>43</v>
      </c>
      <c r="L386" s="7" t="s">
        <v>44</v>
      </c>
      <c r="M386" s="8">
        <v>1985</v>
      </c>
      <c r="N386" s="9">
        <v>0.22409999999999999</v>
      </c>
      <c r="O386" s="7" t="s">
        <v>1862</v>
      </c>
      <c r="P386" s="7" t="s">
        <v>46</v>
      </c>
      <c r="Q386" s="7">
        <v>10</v>
      </c>
      <c r="R386" s="7" t="s">
        <v>124</v>
      </c>
      <c r="S386" s="7" t="s">
        <v>124</v>
      </c>
      <c r="T386" s="7" t="s">
        <v>46</v>
      </c>
      <c r="U386" s="7" t="s">
        <v>1863</v>
      </c>
      <c r="V386" s="7" t="s">
        <v>37</v>
      </c>
      <c r="W386" s="7" t="s">
        <v>38</v>
      </c>
      <c r="X386" s="7" t="s">
        <v>39</v>
      </c>
      <c r="Y386" s="10" t="s">
        <v>656</v>
      </c>
    </row>
    <row r="387" spans="1:25" ht="12.75">
      <c r="A387" s="11">
        <v>2612208</v>
      </c>
      <c r="B387" s="12" t="s">
        <v>1843</v>
      </c>
      <c r="C387" s="12" t="s">
        <v>26</v>
      </c>
      <c r="D387" s="12">
        <v>170001920971</v>
      </c>
      <c r="E387" s="12">
        <v>25</v>
      </c>
      <c r="F387" s="12" t="s">
        <v>1864</v>
      </c>
      <c r="G387" s="17" t="s">
        <v>1865</v>
      </c>
      <c r="H387" s="12"/>
      <c r="I387" s="12" t="s">
        <v>1866</v>
      </c>
      <c r="J387" s="12" t="s">
        <v>82</v>
      </c>
      <c r="K387" s="12" t="s">
        <v>43</v>
      </c>
      <c r="L387" s="12" t="s">
        <v>30</v>
      </c>
      <c r="M387" s="13">
        <v>19829</v>
      </c>
      <c r="N387" s="14">
        <v>0.58420000000000005</v>
      </c>
      <c r="O387" s="12" t="s">
        <v>1867</v>
      </c>
      <c r="P387" s="12" t="s">
        <v>32</v>
      </c>
      <c r="Q387" s="12">
        <v>25</v>
      </c>
      <c r="R387" s="12" t="s">
        <v>366</v>
      </c>
      <c r="S387" s="12" t="s">
        <v>367</v>
      </c>
      <c r="T387" s="12" t="s">
        <v>1868</v>
      </c>
      <c r="U387" s="12" t="s">
        <v>1869</v>
      </c>
      <c r="V387" s="12" t="s">
        <v>37</v>
      </c>
      <c r="W387" s="12" t="s">
        <v>38</v>
      </c>
      <c r="X387" s="12" t="s">
        <v>58</v>
      </c>
      <c r="Y387" s="15" t="s">
        <v>272</v>
      </c>
    </row>
    <row r="388" spans="1:25" ht="12.75">
      <c r="A388" s="6">
        <v>2612406</v>
      </c>
      <c r="B388" s="7" t="s">
        <v>1870</v>
      </c>
      <c r="C388" s="7" t="s">
        <v>26</v>
      </c>
      <c r="D388" s="7">
        <v>170002273426</v>
      </c>
      <c r="E388" s="7">
        <v>45</v>
      </c>
      <c r="F388" s="7" t="s">
        <v>1871</v>
      </c>
      <c r="G388" s="7"/>
      <c r="H388" s="7"/>
      <c r="I388" s="7" t="s">
        <v>1871</v>
      </c>
      <c r="J388" s="7" t="s">
        <v>42</v>
      </c>
      <c r="K388" s="7" t="s">
        <v>43</v>
      </c>
      <c r="L388" s="7" t="s">
        <v>44</v>
      </c>
      <c r="M388" s="8">
        <v>3185</v>
      </c>
      <c r="N388" s="9">
        <v>0.25580000000000003</v>
      </c>
      <c r="O388" s="7" t="s">
        <v>1872</v>
      </c>
      <c r="P388" s="7" t="s">
        <v>32</v>
      </c>
      <c r="Q388" s="7">
        <v>45</v>
      </c>
      <c r="R388" s="7" t="s">
        <v>61</v>
      </c>
      <c r="S388" s="7" t="s">
        <v>62</v>
      </c>
      <c r="T388" s="7" t="s">
        <v>1873</v>
      </c>
      <c r="U388" s="7" t="s">
        <v>1874</v>
      </c>
      <c r="V388" s="7" t="s">
        <v>37</v>
      </c>
      <c r="W388" s="7" t="s">
        <v>38</v>
      </c>
      <c r="X388" s="7" t="s">
        <v>58</v>
      </c>
      <c r="Y388" s="10" t="s">
        <v>90</v>
      </c>
    </row>
    <row r="389" spans="1:25" ht="12.75">
      <c r="A389" s="11">
        <v>2612307</v>
      </c>
      <c r="B389" s="12" t="s">
        <v>1860</v>
      </c>
      <c r="C389" s="12" t="s">
        <v>26</v>
      </c>
      <c r="D389" s="12">
        <v>170002244848</v>
      </c>
      <c r="E389" s="12">
        <v>45</v>
      </c>
      <c r="F389" s="12" t="s">
        <v>1875</v>
      </c>
      <c r="G389" s="12"/>
      <c r="H389" s="12"/>
      <c r="I389" s="12" t="s">
        <v>1875</v>
      </c>
      <c r="J389" s="12" t="s">
        <v>28</v>
      </c>
      <c r="K389" s="12" t="s">
        <v>29</v>
      </c>
      <c r="L389" s="12" t="s">
        <v>30</v>
      </c>
      <c r="M389" s="13">
        <v>6872</v>
      </c>
      <c r="N389" s="14">
        <v>0.77590000000000003</v>
      </c>
      <c r="O389" s="12" t="s">
        <v>1876</v>
      </c>
      <c r="P389" s="12" t="s">
        <v>32</v>
      </c>
      <c r="Q389" s="12">
        <v>45</v>
      </c>
      <c r="R389" s="12" t="s">
        <v>61</v>
      </c>
      <c r="S389" s="12" t="s">
        <v>62</v>
      </c>
      <c r="T389" s="12" t="s">
        <v>1877</v>
      </c>
      <c r="U389" s="12" t="s">
        <v>1878</v>
      </c>
      <c r="V389" s="12" t="s">
        <v>37</v>
      </c>
      <c r="W389" s="12" t="s">
        <v>557</v>
      </c>
      <c r="X389" s="12" t="s">
        <v>58</v>
      </c>
      <c r="Y389" s="15" t="s">
        <v>95</v>
      </c>
    </row>
    <row r="390" spans="1:25" ht="12.75">
      <c r="A390" s="6">
        <v>2612455</v>
      </c>
      <c r="B390" s="7" t="s">
        <v>1879</v>
      </c>
      <c r="C390" s="7" t="s">
        <v>26</v>
      </c>
      <c r="D390" s="7">
        <v>170002106820</v>
      </c>
      <c r="E390" s="7">
        <v>20</v>
      </c>
      <c r="F390" s="7" t="s">
        <v>1880</v>
      </c>
      <c r="G390" s="7"/>
      <c r="H390" s="7"/>
      <c r="I390" s="7" t="s">
        <v>1880</v>
      </c>
      <c r="J390" s="7" t="s">
        <v>42</v>
      </c>
      <c r="K390" s="7" t="s">
        <v>43</v>
      </c>
      <c r="L390" s="7" t="s">
        <v>44</v>
      </c>
      <c r="M390" s="8">
        <v>2732</v>
      </c>
      <c r="N390" s="9">
        <v>0.25409999999999999</v>
      </c>
      <c r="O390" s="7" t="s">
        <v>1881</v>
      </c>
      <c r="P390" s="7" t="s">
        <v>46</v>
      </c>
      <c r="Q390" s="7">
        <v>20</v>
      </c>
      <c r="R390" s="7" t="s">
        <v>98</v>
      </c>
      <c r="S390" s="7" t="s">
        <v>99</v>
      </c>
      <c r="T390" s="7" t="s">
        <v>46</v>
      </c>
      <c r="U390" s="7" t="s">
        <v>1882</v>
      </c>
      <c r="V390" s="7" t="s">
        <v>37</v>
      </c>
      <c r="W390" s="7" t="s">
        <v>114</v>
      </c>
      <c r="X390" s="7" t="s">
        <v>39</v>
      </c>
      <c r="Y390" s="10" t="s">
        <v>95</v>
      </c>
    </row>
    <row r="391" spans="1:25" ht="12.75">
      <c r="A391" s="11">
        <v>2612471</v>
      </c>
      <c r="B391" s="12" t="s">
        <v>1883</v>
      </c>
      <c r="C391" s="12" t="s">
        <v>26</v>
      </c>
      <c r="D391" s="12">
        <v>170001914638</v>
      </c>
      <c r="E391" s="12">
        <v>55</v>
      </c>
      <c r="F391" s="12" t="s">
        <v>1884</v>
      </c>
      <c r="G391" s="12"/>
      <c r="H391" s="12"/>
      <c r="I391" s="12" t="s">
        <v>1885</v>
      </c>
      <c r="J391" s="12" t="s">
        <v>189</v>
      </c>
      <c r="K391" s="12" t="s">
        <v>29</v>
      </c>
      <c r="L391" s="12" t="s">
        <v>44</v>
      </c>
      <c r="M391" s="13">
        <v>3457</v>
      </c>
      <c r="N391" s="14">
        <v>0.4128</v>
      </c>
      <c r="O391" s="12" t="s">
        <v>1886</v>
      </c>
      <c r="P391" s="12" t="s">
        <v>32</v>
      </c>
      <c r="Q391" s="12">
        <v>55</v>
      </c>
      <c r="R391" s="12" t="s">
        <v>74</v>
      </c>
      <c r="S391" s="12" t="s">
        <v>75</v>
      </c>
      <c r="T391" s="12" t="s">
        <v>1887</v>
      </c>
      <c r="U391" s="12" t="s">
        <v>1888</v>
      </c>
      <c r="V391" s="12" t="s">
        <v>37</v>
      </c>
      <c r="W391" s="12" t="s">
        <v>38</v>
      </c>
      <c r="X391" s="12" t="s">
        <v>39</v>
      </c>
      <c r="Y391" s="15" t="s">
        <v>26</v>
      </c>
    </row>
    <row r="392" spans="1:25" ht="12.75">
      <c r="A392" s="6">
        <v>2612505</v>
      </c>
      <c r="B392" s="7" t="s">
        <v>1889</v>
      </c>
      <c r="C392" s="7" t="s">
        <v>26</v>
      </c>
      <c r="D392" s="7">
        <v>170002038445</v>
      </c>
      <c r="E392" s="7">
        <v>22</v>
      </c>
      <c r="F392" s="7" t="s">
        <v>1890</v>
      </c>
      <c r="G392" s="7"/>
      <c r="H392" s="7"/>
      <c r="I392" s="7" t="s">
        <v>1890</v>
      </c>
      <c r="J392" s="7" t="s">
        <v>42</v>
      </c>
      <c r="K392" s="7" t="s">
        <v>43</v>
      </c>
      <c r="L392" s="7" t="s">
        <v>44</v>
      </c>
      <c r="M392" s="8">
        <v>11692</v>
      </c>
      <c r="N392" s="9">
        <v>0.22470000000000001</v>
      </c>
      <c r="O392" s="7" t="s">
        <v>1891</v>
      </c>
      <c r="P392" s="7" t="s">
        <v>32</v>
      </c>
      <c r="Q392" s="7">
        <v>22</v>
      </c>
      <c r="R392" s="7" t="s">
        <v>321</v>
      </c>
      <c r="S392" s="7" t="s">
        <v>322</v>
      </c>
      <c r="T392" s="7" t="s">
        <v>1892</v>
      </c>
      <c r="U392" s="7" t="s">
        <v>1893</v>
      </c>
      <c r="V392" s="7" t="s">
        <v>160</v>
      </c>
      <c r="W392" s="7" t="s">
        <v>50</v>
      </c>
      <c r="X392" s="7" t="s">
        <v>39</v>
      </c>
      <c r="Y392" s="10" t="s">
        <v>246</v>
      </c>
    </row>
    <row r="393" spans="1:25" ht="12.75">
      <c r="A393" s="11">
        <v>2612505</v>
      </c>
      <c r="B393" s="12" t="s">
        <v>1889</v>
      </c>
      <c r="C393" s="12" t="s">
        <v>26</v>
      </c>
      <c r="D393" s="12">
        <v>170002196732</v>
      </c>
      <c r="E393" s="12">
        <v>27</v>
      </c>
      <c r="F393" s="12" t="s">
        <v>1894</v>
      </c>
      <c r="G393" s="12"/>
      <c r="H393" s="12"/>
      <c r="I393" s="12" t="s">
        <v>1894</v>
      </c>
      <c r="J393" s="12" t="s">
        <v>42</v>
      </c>
      <c r="K393" s="12" t="s">
        <v>43</v>
      </c>
      <c r="L393" s="12" t="s">
        <v>44</v>
      </c>
      <c r="M393" s="13">
        <v>218</v>
      </c>
      <c r="N393" s="14">
        <v>4.1999999999999997E-3</v>
      </c>
      <c r="O393" s="12" t="s">
        <v>1895</v>
      </c>
      <c r="P393" s="12" t="s">
        <v>46</v>
      </c>
      <c r="Q393" s="12">
        <v>27</v>
      </c>
      <c r="R393" s="12" t="s">
        <v>242</v>
      </c>
      <c r="S393" s="12" t="s">
        <v>243</v>
      </c>
      <c r="T393" s="12" t="s">
        <v>46</v>
      </c>
      <c r="U393" s="12" t="s">
        <v>1896</v>
      </c>
      <c r="V393" s="12" t="s">
        <v>37</v>
      </c>
      <c r="W393" s="12" t="s">
        <v>38</v>
      </c>
      <c r="X393" s="12" t="s">
        <v>39</v>
      </c>
      <c r="Y393" s="15" t="s">
        <v>78</v>
      </c>
    </row>
    <row r="394" spans="1:25" ht="12.75">
      <c r="A394" s="6">
        <v>2612406</v>
      </c>
      <c r="B394" s="7" t="s">
        <v>1870</v>
      </c>
      <c r="C394" s="7" t="s">
        <v>26</v>
      </c>
      <c r="D394" s="7">
        <v>170002014738</v>
      </c>
      <c r="E394" s="7">
        <v>65</v>
      </c>
      <c r="F394" s="7" t="s">
        <v>1897</v>
      </c>
      <c r="G394" s="7"/>
      <c r="H394" s="7"/>
      <c r="I394" s="7" t="s">
        <v>1898</v>
      </c>
      <c r="J394" s="7" t="s">
        <v>28</v>
      </c>
      <c r="K394" s="7" t="s">
        <v>29</v>
      </c>
      <c r="L394" s="7" t="s">
        <v>30</v>
      </c>
      <c r="M394" s="8">
        <v>9264</v>
      </c>
      <c r="N394" s="9">
        <v>0.74419999999999997</v>
      </c>
      <c r="O394" s="7" t="s">
        <v>1899</v>
      </c>
      <c r="P394" s="7" t="s">
        <v>32</v>
      </c>
      <c r="Q394" s="7">
        <v>65</v>
      </c>
      <c r="R394" s="7" t="s">
        <v>1900</v>
      </c>
      <c r="S394" s="7" t="s">
        <v>1901</v>
      </c>
      <c r="T394" s="7" t="s">
        <v>1902</v>
      </c>
      <c r="U394" s="7" t="s">
        <v>1903</v>
      </c>
      <c r="V394" s="7" t="s">
        <v>37</v>
      </c>
      <c r="W394" s="7" t="s">
        <v>50</v>
      </c>
      <c r="X394" s="7" t="s">
        <v>58</v>
      </c>
      <c r="Y394" s="10" t="s">
        <v>26</v>
      </c>
    </row>
    <row r="395" spans="1:25" ht="12.75">
      <c r="A395" s="11">
        <v>2612505</v>
      </c>
      <c r="B395" s="12" t="s">
        <v>1889</v>
      </c>
      <c r="C395" s="12" t="s">
        <v>26</v>
      </c>
      <c r="D395" s="12">
        <v>170002112027</v>
      </c>
      <c r="E395" s="12">
        <v>11</v>
      </c>
      <c r="F395" s="12" t="s">
        <v>1904</v>
      </c>
      <c r="G395" s="12"/>
      <c r="H395" s="12"/>
      <c r="I395" s="12" t="s">
        <v>1904</v>
      </c>
      <c r="J395" s="12" t="s">
        <v>42</v>
      </c>
      <c r="K395" s="12" t="s">
        <v>43</v>
      </c>
      <c r="L395" s="12" t="s">
        <v>44</v>
      </c>
      <c r="M395" s="13">
        <v>3803</v>
      </c>
      <c r="N395" s="14">
        <v>7.3099999999999998E-2</v>
      </c>
      <c r="O395" s="12" t="s">
        <v>1905</v>
      </c>
      <c r="P395" s="12" t="s">
        <v>46</v>
      </c>
      <c r="Q395" s="12">
        <v>11</v>
      </c>
      <c r="R395" s="12" t="s">
        <v>168</v>
      </c>
      <c r="S395" s="12" t="s">
        <v>169</v>
      </c>
      <c r="T395" s="12" t="s">
        <v>46</v>
      </c>
      <c r="U395" s="12" t="s">
        <v>1906</v>
      </c>
      <c r="V395" s="12" t="s">
        <v>37</v>
      </c>
      <c r="W395" s="12" t="s">
        <v>50</v>
      </c>
      <c r="X395" s="12" t="s">
        <v>39</v>
      </c>
      <c r="Y395" s="15" t="s">
        <v>90</v>
      </c>
    </row>
    <row r="396" spans="1:25" ht="12.75">
      <c r="A396" s="6">
        <v>2612554</v>
      </c>
      <c r="B396" s="7" t="s">
        <v>1907</v>
      </c>
      <c r="C396" s="7" t="s">
        <v>26</v>
      </c>
      <c r="D396" s="7">
        <v>170002193094</v>
      </c>
      <c r="E396" s="7">
        <v>13</v>
      </c>
      <c r="F396" s="7" t="s">
        <v>1908</v>
      </c>
      <c r="G396" s="7"/>
      <c r="H396" s="7"/>
      <c r="I396" s="7" t="s">
        <v>1908</v>
      </c>
      <c r="J396" s="7" t="s">
        <v>42</v>
      </c>
      <c r="K396" s="7" t="s">
        <v>43</v>
      </c>
      <c r="L396" s="7" t="s">
        <v>44</v>
      </c>
      <c r="M396" s="8">
        <v>3752</v>
      </c>
      <c r="N396" s="9">
        <v>0.34370000000000001</v>
      </c>
      <c r="O396" s="7" t="s">
        <v>1909</v>
      </c>
      <c r="P396" s="7" t="s">
        <v>32</v>
      </c>
      <c r="Q396" s="7">
        <v>13</v>
      </c>
      <c r="R396" s="7" t="s">
        <v>130</v>
      </c>
      <c r="S396" s="7" t="s">
        <v>131</v>
      </c>
      <c r="T396" s="7" t="s">
        <v>1910</v>
      </c>
      <c r="U396" s="7" t="s">
        <v>1911</v>
      </c>
      <c r="V396" s="7" t="s">
        <v>37</v>
      </c>
      <c r="W396" s="7" t="s">
        <v>38</v>
      </c>
      <c r="X396" s="7" t="s">
        <v>39</v>
      </c>
      <c r="Y396" s="10" t="s">
        <v>90</v>
      </c>
    </row>
    <row r="397" spans="1:25" ht="12.75">
      <c r="A397" s="11">
        <v>2612554</v>
      </c>
      <c r="B397" s="12" t="s">
        <v>1907</v>
      </c>
      <c r="C397" s="12" t="s">
        <v>26</v>
      </c>
      <c r="D397" s="12">
        <v>170002153381</v>
      </c>
      <c r="E397" s="12">
        <v>11</v>
      </c>
      <c r="F397" s="12" t="s">
        <v>1912</v>
      </c>
      <c r="G397" s="12"/>
      <c r="H397" s="12"/>
      <c r="I397" s="12" t="s">
        <v>1913</v>
      </c>
      <c r="J397" s="12" t="s">
        <v>42</v>
      </c>
      <c r="K397" s="12" t="s">
        <v>43</v>
      </c>
      <c r="L397" s="12" t="s">
        <v>44</v>
      </c>
      <c r="M397" s="13">
        <v>1341</v>
      </c>
      <c r="N397" s="14">
        <v>0.12280000000000001</v>
      </c>
      <c r="O397" s="12" t="s">
        <v>1914</v>
      </c>
      <c r="P397" s="12" t="s">
        <v>46</v>
      </c>
      <c r="Q397" s="12">
        <v>11</v>
      </c>
      <c r="R397" s="12" t="s">
        <v>168</v>
      </c>
      <c r="S397" s="12" t="s">
        <v>169</v>
      </c>
      <c r="T397" s="12" t="s">
        <v>46</v>
      </c>
      <c r="U397" s="12" t="s">
        <v>1915</v>
      </c>
      <c r="V397" s="12" t="s">
        <v>37</v>
      </c>
      <c r="W397" s="12" t="s">
        <v>38</v>
      </c>
      <c r="X397" s="12" t="s">
        <v>58</v>
      </c>
      <c r="Y397" s="15" t="s">
        <v>134</v>
      </c>
    </row>
    <row r="398" spans="1:25" ht="12.75">
      <c r="A398" s="6">
        <v>2612455</v>
      </c>
      <c r="B398" s="7" t="s">
        <v>1879</v>
      </c>
      <c r="C398" s="7" t="s">
        <v>26</v>
      </c>
      <c r="D398" s="7">
        <v>170001883054</v>
      </c>
      <c r="E398" s="7">
        <v>70</v>
      </c>
      <c r="F398" s="7" t="s">
        <v>1916</v>
      </c>
      <c r="G398" s="7"/>
      <c r="H398" s="7"/>
      <c r="I398" s="7" t="s">
        <v>1916</v>
      </c>
      <c r="J398" s="7" t="s">
        <v>82</v>
      </c>
      <c r="K398" s="7" t="s">
        <v>29</v>
      </c>
      <c r="L398" s="7" t="s">
        <v>30</v>
      </c>
      <c r="M398" s="8">
        <v>8020</v>
      </c>
      <c r="N398" s="9">
        <v>0.74590000000000001</v>
      </c>
      <c r="O398" s="7" t="s">
        <v>1917</v>
      </c>
      <c r="P398" s="7" t="s">
        <v>32</v>
      </c>
      <c r="Q398" s="7">
        <v>70</v>
      </c>
      <c r="R398" s="7" t="s">
        <v>177</v>
      </c>
      <c r="S398" s="7" t="s">
        <v>177</v>
      </c>
      <c r="T398" s="7" t="s">
        <v>1918</v>
      </c>
      <c r="U398" s="7" t="s">
        <v>1919</v>
      </c>
      <c r="V398" s="7" t="s">
        <v>37</v>
      </c>
      <c r="W398" s="7" t="s">
        <v>50</v>
      </c>
      <c r="X398" s="7" t="s">
        <v>39</v>
      </c>
      <c r="Y398" s="10" t="s">
        <v>95</v>
      </c>
    </row>
    <row r="399" spans="1:25" ht="12.75">
      <c r="A399" s="11">
        <v>2612604</v>
      </c>
      <c r="B399" s="12" t="s">
        <v>1920</v>
      </c>
      <c r="C399" s="12" t="s">
        <v>26</v>
      </c>
      <c r="D399" s="12">
        <v>170002292329</v>
      </c>
      <c r="E399" s="12">
        <v>12</v>
      </c>
      <c r="F399" s="12" t="s">
        <v>1921</v>
      </c>
      <c r="G399" s="12"/>
      <c r="H399" s="12"/>
      <c r="I399" s="12" t="s">
        <v>1921</v>
      </c>
      <c r="J399" s="12" t="s">
        <v>42</v>
      </c>
      <c r="K399" s="12" t="s">
        <v>43</v>
      </c>
      <c r="L399" s="12" t="s">
        <v>44</v>
      </c>
      <c r="M399" s="13">
        <v>175</v>
      </c>
      <c r="N399" s="14">
        <v>6.7999999999999996E-3</v>
      </c>
      <c r="O399" s="12" t="s">
        <v>1922</v>
      </c>
      <c r="P399" s="12" t="s">
        <v>32</v>
      </c>
      <c r="Q399" s="12">
        <v>12</v>
      </c>
      <c r="R399" s="12" t="s">
        <v>138</v>
      </c>
      <c r="S399" s="12" t="s">
        <v>139</v>
      </c>
      <c r="T399" s="12" t="s">
        <v>1923</v>
      </c>
      <c r="U399" s="12" t="s">
        <v>1924</v>
      </c>
      <c r="V399" s="12" t="s">
        <v>37</v>
      </c>
      <c r="W399" s="12" t="s">
        <v>50</v>
      </c>
      <c r="X399" s="12" t="s">
        <v>39</v>
      </c>
      <c r="Y399" s="15" t="s">
        <v>90</v>
      </c>
    </row>
    <row r="400" spans="1:25" ht="12.75">
      <c r="A400" s="6">
        <v>2612471</v>
      </c>
      <c r="B400" s="7" t="s">
        <v>1883</v>
      </c>
      <c r="C400" s="7" t="s">
        <v>26</v>
      </c>
      <c r="D400" s="7">
        <v>170002389933</v>
      </c>
      <c r="E400" s="7">
        <v>10</v>
      </c>
      <c r="F400" s="7" t="s">
        <v>1925</v>
      </c>
      <c r="G400" s="16" t="s">
        <v>1926</v>
      </c>
      <c r="H400" s="7"/>
      <c r="I400" s="7" t="s">
        <v>1925</v>
      </c>
      <c r="J400" s="7" t="s">
        <v>82</v>
      </c>
      <c r="K400" s="7" t="s">
        <v>43</v>
      </c>
      <c r="L400" s="7" t="s">
        <v>30</v>
      </c>
      <c r="M400" s="8">
        <v>4918</v>
      </c>
      <c r="N400" s="9">
        <v>0.58720000000000006</v>
      </c>
      <c r="O400" s="7" t="s">
        <v>1927</v>
      </c>
      <c r="P400" s="7" t="s">
        <v>32</v>
      </c>
      <c r="Q400" s="7">
        <v>10</v>
      </c>
      <c r="R400" s="7" t="s">
        <v>124</v>
      </c>
      <c r="S400" s="7" t="s">
        <v>124</v>
      </c>
      <c r="T400" s="7" t="s">
        <v>1928</v>
      </c>
      <c r="U400" s="7" t="s">
        <v>1929</v>
      </c>
      <c r="V400" s="7" t="s">
        <v>37</v>
      </c>
      <c r="W400" s="7" t="s">
        <v>38</v>
      </c>
      <c r="X400" s="7" t="s">
        <v>39</v>
      </c>
      <c r="Y400" s="10" t="s">
        <v>65</v>
      </c>
    </row>
    <row r="401" spans="1:25" ht="12.75">
      <c r="A401" s="11">
        <v>2612604</v>
      </c>
      <c r="B401" s="12" t="s">
        <v>1920</v>
      </c>
      <c r="C401" s="12" t="s">
        <v>26</v>
      </c>
      <c r="D401" s="12">
        <v>170002331846</v>
      </c>
      <c r="E401" s="12">
        <v>13</v>
      </c>
      <c r="F401" s="12" t="s">
        <v>1930</v>
      </c>
      <c r="G401" s="12"/>
      <c r="H401" s="12"/>
      <c r="I401" s="12" t="s">
        <v>1930</v>
      </c>
      <c r="J401" s="12" t="s">
        <v>42</v>
      </c>
      <c r="K401" s="12" t="s">
        <v>43</v>
      </c>
      <c r="L401" s="12" t="s">
        <v>44</v>
      </c>
      <c r="M401" s="13">
        <v>7241</v>
      </c>
      <c r="N401" s="14">
        <v>0.28310000000000002</v>
      </c>
      <c r="O401" s="12" t="s">
        <v>1931</v>
      </c>
      <c r="P401" s="12" t="s">
        <v>32</v>
      </c>
      <c r="Q401" s="12">
        <v>13</v>
      </c>
      <c r="R401" s="12" t="s">
        <v>130</v>
      </c>
      <c r="S401" s="12" t="s">
        <v>131</v>
      </c>
      <c r="T401" s="12" t="s">
        <v>1932</v>
      </c>
      <c r="U401" s="12" t="s">
        <v>1933</v>
      </c>
      <c r="V401" s="12" t="s">
        <v>37</v>
      </c>
      <c r="W401" s="12" t="s">
        <v>38</v>
      </c>
      <c r="X401" s="12" t="s">
        <v>58</v>
      </c>
      <c r="Y401" s="15" t="s">
        <v>1040</v>
      </c>
    </row>
    <row r="402" spans="1:25" ht="12.75">
      <c r="A402" s="6">
        <v>2612505</v>
      </c>
      <c r="B402" s="7" t="s">
        <v>1889</v>
      </c>
      <c r="C402" s="7" t="s">
        <v>26</v>
      </c>
      <c r="D402" s="7">
        <v>170002014908</v>
      </c>
      <c r="E402" s="7">
        <v>55</v>
      </c>
      <c r="F402" s="7" t="s">
        <v>1934</v>
      </c>
      <c r="G402" s="7"/>
      <c r="H402" s="7"/>
      <c r="I402" s="7" t="s">
        <v>1934</v>
      </c>
      <c r="J402" s="7" t="s">
        <v>82</v>
      </c>
      <c r="K402" s="7" t="s">
        <v>29</v>
      </c>
      <c r="L402" s="7" t="s">
        <v>30</v>
      </c>
      <c r="M402" s="8">
        <v>36318</v>
      </c>
      <c r="N402" s="9">
        <v>0.69799999999999995</v>
      </c>
      <c r="O402" s="7" t="s">
        <v>1935</v>
      </c>
      <c r="P402" s="7" t="s">
        <v>32</v>
      </c>
      <c r="Q402" s="7">
        <v>55</v>
      </c>
      <c r="R402" s="7" t="s">
        <v>74</v>
      </c>
      <c r="S402" s="7" t="s">
        <v>75</v>
      </c>
      <c r="T402" s="7" t="s">
        <v>1936</v>
      </c>
      <c r="U402" s="7" t="s">
        <v>1937</v>
      </c>
      <c r="V402" s="7" t="s">
        <v>37</v>
      </c>
      <c r="W402" s="7" t="s">
        <v>50</v>
      </c>
      <c r="X402" s="7" t="s">
        <v>58</v>
      </c>
      <c r="Y402" s="10" t="s">
        <v>90</v>
      </c>
    </row>
    <row r="403" spans="1:25" ht="12.75">
      <c r="A403" s="11">
        <v>2612703</v>
      </c>
      <c r="B403" s="12" t="s">
        <v>1938</v>
      </c>
      <c r="C403" s="12" t="s">
        <v>26</v>
      </c>
      <c r="D403" s="12">
        <v>170002227034</v>
      </c>
      <c r="E403" s="12">
        <v>55</v>
      </c>
      <c r="F403" s="12" t="s">
        <v>1939</v>
      </c>
      <c r="G403" s="12"/>
      <c r="H403" s="12"/>
      <c r="I403" s="12" t="s">
        <v>1940</v>
      </c>
      <c r="J403" s="12" t="s">
        <v>189</v>
      </c>
      <c r="K403" s="12" t="s">
        <v>29</v>
      </c>
      <c r="L403" s="12" t="s">
        <v>44</v>
      </c>
      <c r="M403" s="13">
        <v>4002</v>
      </c>
      <c r="N403" s="14">
        <v>0.42220000000000002</v>
      </c>
      <c r="O403" s="12" t="s">
        <v>1941</v>
      </c>
      <c r="P403" s="12" t="s">
        <v>32</v>
      </c>
      <c r="Q403" s="12">
        <v>55</v>
      </c>
      <c r="R403" s="12" t="s">
        <v>74</v>
      </c>
      <c r="S403" s="12" t="s">
        <v>75</v>
      </c>
      <c r="T403" s="12" t="s">
        <v>1942</v>
      </c>
      <c r="U403" s="12" t="s">
        <v>1943</v>
      </c>
      <c r="V403" s="12" t="s">
        <v>37</v>
      </c>
      <c r="W403" s="12" t="s">
        <v>50</v>
      </c>
      <c r="X403" s="12" t="s">
        <v>39</v>
      </c>
      <c r="Y403" s="15" t="s">
        <v>246</v>
      </c>
    </row>
    <row r="404" spans="1:25" ht="12.75">
      <c r="A404" s="6">
        <v>2612554</v>
      </c>
      <c r="B404" s="7" t="s">
        <v>1907</v>
      </c>
      <c r="C404" s="7" t="s">
        <v>26</v>
      </c>
      <c r="D404" s="7">
        <v>170001966777</v>
      </c>
      <c r="E404" s="7">
        <v>55</v>
      </c>
      <c r="F404" s="7" t="s">
        <v>1944</v>
      </c>
      <c r="G404" s="7"/>
      <c r="H404" s="7"/>
      <c r="I404" s="7" t="s">
        <v>1944</v>
      </c>
      <c r="J404" s="7" t="s">
        <v>28</v>
      </c>
      <c r="K404" s="7" t="s">
        <v>29</v>
      </c>
      <c r="L404" s="7" t="s">
        <v>30</v>
      </c>
      <c r="M404" s="8">
        <v>5824</v>
      </c>
      <c r="N404" s="9">
        <v>0.53349999999999997</v>
      </c>
      <c r="O404" s="7" t="s">
        <v>1945</v>
      </c>
      <c r="P404" s="7" t="s">
        <v>32</v>
      </c>
      <c r="Q404" s="7">
        <v>55</v>
      </c>
      <c r="R404" s="7" t="s">
        <v>74</v>
      </c>
      <c r="S404" s="7" t="s">
        <v>75</v>
      </c>
      <c r="T404" s="7" t="s">
        <v>1946</v>
      </c>
      <c r="U404" s="7" t="s">
        <v>1947</v>
      </c>
      <c r="V404" s="7" t="s">
        <v>37</v>
      </c>
      <c r="W404" s="7" t="s">
        <v>38</v>
      </c>
      <c r="X404" s="7" t="s">
        <v>39</v>
      </c>
      <c r="Y404" s="10" t="s">
        <v>26</v>
      </c>
    </row>
    <row r="405" spans="1:25" ht="12.75">
      <c r="A405" s="11">
        <v>2612802</v>
      </c>
      <c r="B405" s="12" t="s">
        <v>1948</v>
      </c>
      <c r="C405" s="12" t="s">
        <v>26</v>
      </c>
      <c r="D405" s="12">
        <v>170002128218</v>
      </c>
      <c r="E405" s="12">
        <v>44</v>
      </c>
      <c r="F405" s="12" t="s">
        <v>1949</v>
      </c>
      <c r="G405" s="12"/>
      <c r="H405" s="12"/>
      <c r="I405" s="12" t="s">
        <v>1950</v>
      </c>
      <c r="J405" s="12" t="s">
        <v>42</v>
      </c>
      <c r="K405" s="12" t="s">
        <v>43</v>
      </c>
      <c r="L405" s="12" t="s">
        <v>44</v>
      </c>
      <c r="M405" s="13">
        <v>914</v>
      </c>
      <c r="N405" s="14">
        <v>0.1439</v>
      </c>
      <c r="O405" s="12" t="s">
        <v>1951</v>
      </c>
      <c r="P405" s="12" t="s">
        <v>32</v>
      </c>
      <c r="Q405" s="12">
        <v>44</v>
      </c>
      <c r="R405" s="12" t="s">
        <v>314</v>
      </c>
      <c r="S405" s="12" t="s">
        <v>315</v>
      </c>
      <c r="T405" s="12" t="s">
        <v>1952</v>
      </c>
      <c r="U405" s="12" t="s">
        <v>1953</v>
      </c>
      <c r="V405" s="12" t="s">
        <v>37</v>
      </c>
      <c r="W405" s="12" t="s">
        <v>156</v>
      </c>
      <c r="X405" s="12" t="s">
        <v>58</v>
      </c>
      <c r="Y405" s="15" t="s">
        <v>95</v>
      </c>
    </row>
    <row r="406" spans="1:25" ht="12.75">
      <c r="A406" s="6">
        <v>2612604</v>
      </c>
      <c r="B406" s="7" t="s">
        <v>1920</v>
      </c>
      <c r="C406" s="7" t="s">
        <v>26</v>
      </c>
      <c r="D406" s="7">
        <v>170002144790</v>
      </c>
      <c r="E406" s="7">
        <v>11</v>
      </c>
      <c r="F406" s="7" t="s">
        <v>1954</v>
      </c>
      <c r="G406" s="7"/>
      <c r="H406" s="7"/>
      <c r="I406" s="7" t="s">
        <v>1954</v>
      </c>
      <c r="J406" s="7" t="s">
        <v>28</v>
      </c>
      <c r="K406" s="7" t="s">
        <v>29</v>
      </c>
      <c r="L406" s="7" t="s">
        <v>30</v>
      </c>
      <c r="M406" s="8">
        <v>18163</v>
      </c>
      <c r="N406" s="9">
        <v>0.71009999999999995</v>
      </c>
      <c r="O406" s="7" t="s">
        <v>1955</v>
      </c>
      <c r="P406" s="7" t="s">
        <v>32</v>
      </c>
      <c r="Q406" s="7">
        <v>11</v>
      </c>
      <c r="R406" s="7" t="s">
        <v>168</v>
      </c>
      <c r="S406" s="7" t="s">
        <v>169</v>
      </c>
      <c r="T406" s="7" t="s">
        <v>1956</v>
      </c>
      <c r="U406" s="7" t="s">
        <v>1957</v>
      </c>
      <c r="V406" s="7" t="s">
        <v>37</v>
      </c>
      <c r="W406" s="7" t="s">
        <v>50</v>
      </c>
      <c r="X406" s="7" t="s">
        <v>39</v>
      </c>
      <c r="Y406" s="10" t="s">
        <v>172</v>
      </c>
    </row>
    <row r="407" spans="1:25" ht="12.75">
      <c r="A407" s="11">
        <v>2612901</v>
      </c>
      <c r="B407" s="12" t="s">
        <v>1958</v>
      </c>
      <c r="C407" s="12" t="s">
        <v>26</v>
      </c>
      <c r="D407" s="12">
        <v>170002213687</v>
      </c>
      <c r="E407" s="12">
        <v>10</v>
      </c>
      <c r="F407" s="12" t="s">
        <v>1959</v>
      </c>
      <c r="G407" s="12"/>
      <c r="H407" s="12"/>
      <c r="I407" s="12" t="s">
        <v>1959</v>
      </c>
      <c r="J407" s="12" t="s">
        <v>42</v>
      </c>
      <c r="K407" s="12" t="s">
        <v>43</v>
      </c>
      <c r="L407" s="12" t="s">
        <v>44</v>
      </c>
      <c r="M407" s="13">
        <v>2120</v>
      </c>
      <c r="N407" s="14">
        <v>0.34749999999999998</v>
      </c>
      <c r="O407" s="12" t="s">
        <v>1960</v>
      </c>
      <c r="P407" s="12" t="s">
        <v>32</v>
      </c>
      <c r="Q407" s="12">
        <v>10</v>
      </c>
      <c r="R407" s="12" t="s">
        <v>124</v>
      </c>
      <c r="S407" s="12" t="s">
        <v>124</v>
      </c>
      <c r="T407" s="12" t="s">
        <v>1961</v>
      </c>
      <c r="U407" s="12" t="s">
        <v>1962</v>
      </c>
      <c r="V407" s="12" t="s">
        <v>160</v>
      </c>
      <c r="W407" s="12" t="s">
        <v>38</v>
      </c>
      <c r="X407" s="12" t="s">
        <v>39</v>
      </c>
      <c r="Y407" s="15" t="s">
        <v>1963</v>
      </c>
    </row>
    <row r="408" spans="1:25" ht="12.75">
      <c r="A408" s="6">
        <v>2613008</v>
      </c>
      <c r="B408" s="7" t="s">
        <v>1964</v>
      </c>
      <c r="C408" s="7" t="s">
        <v>26</v>
      </c>
      <c r="D408" s="7">
        <v>170002187382</v>
      </c>
      <c r="E408" s="7">
        <v>45</v>
      </c>
      <c r="F408" s="7" t="s">
        <v>1965</v>
      </c>
      <c r="G408" s="7"/>
      <c r="H408" s="7"/>
      <c r="I408" s="7" t="s">
        <v>1966</v>
      </c>
      <c r="J408" s="7" t="s">
        <v>42</v>
      </c>
      <c r="K408" s="7" t="s">
        <v>43</v>
      </c>
      <c r="L408" s="7" t="s">
        <v>44</v>
      </c>
      <c r="M408" s="8">
        <v>12247</v>
      </c>
      <c r="N408" s="9">
        <v>0.42909999999999998</v>
      </c>
      <c r="O408" s="7" t="s">
        <v>1967</v>
      </c>
      <c r="P408" s="7" t="s">
        <v>32</v>
      </c>
      <c r="Q408" s="7">
        <v>45</v>
      </c>
      <c r="R408" s="7" t="s">
        <v>61</v>
      </c>
      <c r="S408" s="7" t="s">
        <v>62</v>
      </c>
      <c r="T408" s="7" t="s">
        <v>1968</v>
      </c>
      <c r="U408" s="7" t="s">
        <v>1969</v>
      </c>
      <c r="V408" s="7" t="s">
        <v>37</v>
      </c>
      <c r="W408" s="7" t="s">
        <v>557</v>
      </c>
      <c r="X408" s="7" t="s">
        <v>39</v>
      </c>
      <c r="Y408" s="10" t="s">
        <v>90</v>
      </c>
    </row>
    <row r="409" spans="1:25" ht="12.75">
      <c r="A409" s="11">
        <v>2612703</v>
      </c>
      <c r="B409" s="12" t="s">
        <v>1938</v>
      </c>
      <c r="C409" s="12" t="s">
        <v>26</v>
      </c>
      <c r="D409" s="12">
        <v>170002123636</v>
      </c>
      <c r="E409" s="12">
        <v>43</v>
      </c>
      <c r="F409" s="12" t="s">
        <v>1970</v>
      </c>
      <c r="G409" s="12" t="s">
        <v>1971</v>
      </c>
      <c r="H409" s="12"/>
      <c r="I409" s="12" t="s">
        <v>1970</v>
      </c>
      <c r="J409" s="12" t="s">
        <v>82</v>
      </c>
      <c r="K409" s="12" t="s">
        <v>43</v>
      </c>
      <c r="L409" s="12" t="s">
        <v>30</v>
      </c>
      <c r="M409" s="13">
        <v>5478</v>
      </c>
      <c r="N409" s="14">
        <v>0.57779999999999998</v>
      </c>
      <c r="O409" s="12" t="s">
        <v>1972</v>
      </c>
      <c r="P409" s="12" t="s">
        <v>32</v>
      </c>
      <c r="Q409" s="12">
        <v>43</v>
      </c>
      <c r="R409" s="12" t="s">
        <v>383</v>
      </c>
      <c r="S409" s="12" t="s">
        <v>384</v>
      </c>
      <c r="T409" s="12" t="s">
        <v>1973</v>
      </c>
      <c r="U409" s="12" t="s">
        <v>1974</v>
      </c>
      <c r="V409" s="12" t="s">
        <v>37</v>
      </c>
      <c r="W409" s="12" t="s">
        <v>50</v>
      </c>
      <c r="X409" s="12" t="s">
        <v>39</v>
      </c>
      <c r="Y409" s="15" t="s">
        <v>109</v>
      </c>
    </row>
    <row r="410" spans="1:25" ht="12.75">
      <c r="A410" s="6">
        <v>2612802</v>
      </c>
      <c r="B410" s="7" t="s">
        <v>1948</v>
      </c>
      <c r="C410" s="7" t="s">
        <v>26</v>
      </c>
      <c r="D410" s="7">
        <v>170002214552</v>
      </c>
      <c r="E410" s="7">
        <v>20</v>
      </c>
      <c r="F410" s="7" t="s">
        <v>1975</v>
      </c>
      <c r="G410" s="7"/>
      <c r="H410" s="7"/>
      <c r="I410" s="7" t="s">
        <v>1975</v>
      </c>
      <c r="J410" s="7" t="s">
        <v>28</v>
      </c>
      <c r="K410" s="7" t="s">
        <v>29</v>
      </c>
      <c r="L410" s="7" t="s">
        <v>30</v>
      </c>
      <c r="M410" s="8">
        <v>5438</v>
      </c>
      <c r="N410" s="9">
        <v>0.85609999999999997</v>
      </c>
      <c r="O410" s="7" t="s">
        <v>1976</v>
      </c>
      <c r="P410" s="7" t="s">
        <v>32</v>
      </c>
      <c r="Q410" s="7">
        <v>20</v>
      </c>
      <c r="R410" s="7" t="s">
        <v>98</v>
      </c>
      <c r="S410" s="7" t="s">
        <v>99</v>
      </c>
      <c r="T410" s="7" t="s">
        <v>1977</v>
      </c>
      <c r="U410" s="7" t="s">
        <v>1978</v>
      </c>
      <c r="V410" s="7" t="s">
        <v>37</v>
      </c>
      <c r="W410" s="7" t="s">
        <v>50</v>
      </c>
      <c r="X410" s="7" t="s">
        <v>58</v>
      </c>
      <c r="Y410" s="10" t="s">
        <v>26</v>
      </c>
    </row>
    <row r="411" spans="1:25" ht="12.75">
      <c r="A411" s="11">
        <v>2613107</v>
      </c>
      <c r="B411" s="12" t="s">
        <v>1979</v>
      </c>
      <c r="C411" s="12" t="s">
        <v>26</v>
      </c>
      <c r="D411" s="12">
        <v>170002062127</v>
      </c>
      <c r="E411" s="12">
        <v>65</v>
      </c>
      <c r="F411" s="12" t="s">
        <v>1980</v>
      </c>
      <c r="G411" s="12"/>
      <c r="H411" s="12"/>
      <c r="I411" s="12" t="s">
        <v>1980</v>
      </c>
      <c r="J411" s="12" t="s">
        <v>42</v>
      </c>
      <c r="K411" s="12" t="s">
        <v>43</v>
      </c>
      <c r="L411" s="12" t="s">
        <v>44</v>
      </c>
      <c r="M411" s="13">
        <v>2153</v>
      </c>
      <c r="N411" s="14">
        <v>8.8599999999999998E-2</v>
      </c>
      <c r="O411" s="12" t="s">
        <v>1981</v>
      </c>
      <c r="P411" s="12" t="s">
        <v>32</v>
      </c>
      <c r="Q411" s="12">
        <v>65</v>
      </c>
      <c r="R411" s="12" t="s">
        <v>1900</v>
      </c>
      <c r="S411" s="12" t="s">
        <v>1901</v>
      </c>
      <c r="T411" s="12" t="s">
        <v>1982</v>
      </c>
      <c r="U411" s="12" t="s">
        <v>1983</v>
      </c>
      <c r="V411" s="12" t="s">
        <v>37</v>
      </c>
      <c r="W411" s="12" t="s">
        <v>38</v>
      </c>
      <c r="X411" s="12" t="s">
        <v>39</v>
      </c>
      <c r="Y411" s="15" t="s">
        <v>127</v>
      </c>
    </row>
    <row r="412" spans="1:25" ht="12.75">
      <c r="A412" s="6">
        <v>2613206</v>
      </c>
      <c r="B412" s="7" t="s">
        <v>1984</v>
      </c>
      <c r="C412" s="7" t="s">
        <v>26</v>
      </c>
      <c r="D412" s="7">
        <v>170002187890</v>
      </c>
      <c r="E412" s="7">
        <v>10</v>
      </c>
      <c r="F412" s="7" t="s">
        <v>1985</v>
      </c>
      <c r="G412" s="7"/>
      <c r="H412" s="7"/>
      <c r="I412" s="7" t="s">
        <v>1986</v>
      </c>
      <c r="J412" s="7" t="s">
        <v>42</v>
      </c>
      <c r="K412" s="7" t="s">
        <v>43</v>
      </c>
      <c r="L412" s="7" t="s">
        <v>44</v>
      </c>
      <c r="M412" s="8">
        <v>5497</v>
      </c>
      <c r="N412" s="9">
        <v>0.37890000000000001</v>
      </c>
      <c r="O412" s="7" t="s">
        <v>1987</v>
      </c>
      <c r="P412" s="7" t="s">
        <v>32</v>
      </c>
      <c r="Q412" s="7">
        <v>10</v>
      </c>
      <c r="R412" s="7" t="s">
        <v>124</v>
      </c>
      <c r="S412" s="7" t="s">
        <v>124</v>
      </c>
      <c r="T412" s="7" t="s">
        <v>1988</v>
      </c>
      <c r="U412" s="7" t="s">
        <v>1989</v>
      </c>
      <c r="V412" s="7" t="s">
        <v>37</v>
      </c>
      <c r="W412" s="7" t="s">
        <v>38</v>
      </c>
      <c r="X412" s="7" t="s">
        <v>58</v>
      </c>
      <c r="Y412" s="10" t="s">
        <v>246</v>
      </c>
    </row>
    <row r="413" spans="1:25" ht="12.75">
      <c r="A413" s="11">
        <v>2612901</v>
      </c>
      <c r="B413" s="12" t="s">
        <v>1958</v>
      </c>
      <c r="C413" s="12" t="s">
        <v>26</v>
      </c>
      <c r="D413" s="12">
        <v>170002214303</v>
      </c>
      <c r="E413" s="12">
        <v>11</v>
      </c>
      <c r="F413" s="12" t="s">
        <v>1990</v>
      </c>
      <c r="G413" s="12"/>
      <c r="H413" s="12"/>
      <c r="I413" s="12" t="s">
        <v>1991</v>
      </c>
      <c r="J413" s="12" t="s">
        <v>82</v>
      </c>
      <c r="K413" s="12" t="s">
        <v>29</v>
      </c>
      <c r="L413" s="12" t="s">
        <v>30</v>
      </c>
      <c r="M413" s="13">
        <v>3980</v>
      </c>
      <c r="N413" s="14">
        <v>0.65249999999999997</v>
      </c>
      <c r="O413" s="12" t="s">
        <v>1992</v>
      </c>
      <c r="P413" s="12" t="s">
        <v>32</v>
      </c>
      <c r="Q413" s="12">
        <v>11</v>
      </c>
      <c r="R413" s="12" t="s">
        <v>168</v>
      </c>
      <c r="S413" s="12" t="s">
        <v>169</v>
      </c>
      <c r="T413" s="12" t="s">
        <v>1993</v>
      </c>
      <c r="U413" s="12" t="s">
        <v>1994</v>
      </c>
      <c r="V413" s="12" t="s">
        <v>37</v>
      </c>
      <c r="W413" s="12" t="s">
        <v>635</v>
      </c>
      <c r="X413" s="12" t="s">
        <v>1338</v>
      </c>
      <c r="Y413" s="15" t="s">
        <v>1995</v>
      </c>
    </row>
    <row r="414" spans="1:25" ht="12.75">
      <c r="A414" s="6">
        <v>2613008</v>
      </c>
      <c r="B414" s="7" t="s">
        <v>1964</v>
      </c>
      <c r="C414" s="7" t="s">
        <v>26</v>
      </c>
      <c r="D414" s="7">
        <v>170002064743</v>
      </c>
      <c r="E414" s="7">
        <v>15</v>
      </c>
      <c r="F414" s="7" t="s">
        <v>1996</v>
      </c>
      <c r="G414" s="7"/>
      <c r="H414" s="7"/>
      <c r="I414" s="7" t="s">
        <v>1996</v>
      </c>
      <c r="J414" s="7" t="s">
        <v>28</v>
      </c>
      <c r="K414" s="7" t="s">
        <v>29</v>
      </c>
      <c r="L414" s="7" t="s">
        <v>30</v>
      </c>
      <c r="M414" s="8">
        <v>16297</v>
      </c>
      <c r="N414" s="9">
        <v>0.57089999999999996</v>
      </c>
      <c r="O414" s="7" t="s">
        <v>1997</v>
      </c>
      <c r="P414" s="7" t="s">
        <v>32</v>
      </c>
      <c r="Q414" s="7">
        <v>15</v>
      </c>
      <c r="R414" s="7" t="s">
        <v>85</v>
      </c>
      <c r="S414" s="7" t="s">
        <v>86</v>
      </c>
      <c r="T414" s="7" t="s">
        <v>1998</v>
      </c>
      <c r="U414" s="7" t="s">
        <v>1999</v>
      </c>
      <c r="V414" s="7" t="s">
        <v>37</v>
      </c>
      <c r="W414" s="7" t="s">
        <v>50</v>
      </c>
      <c r="X414" s="7" t="s">
        <v>39</v>
      </c>
      <c r="Y414" s="10" t="s">
        <v>26</v>
      </c>
    </row>
    <row r="415" spans="1:25" ht="12.75">
      <c r="A415" s="11">
        <v>2613305</v>
      </c>
      <c r="B415" s="12" t="s">
        <v>2000</v>
      </c>
      <c r="C415" s="12" t="s">
        <v>26</v>
      </c>
      <c r="D415" s="12">
        <v>170002021666</v>
      </c>
      <c r="E415" s="12">
        <v>10</v>
      </c>
      <c r="F415" s="12" t="s">
        <v>2001</v>
      </c>
      <c r="G415" s="12"/>
      <c r="H415" s="12"/>
      <c r="I415" s="12" t="s">
        <v>2001</v>
      </c>
      <c r="J415" s="12" t="s">
        <v>42</v>
      </c>
      <c r="K415" s="12" t="s">
        <v>43</v>
      </c>
      <c r="L415" s="12" t="s">
        <v>44</v>
      </c>
      <c r="M415" s="13">
        <v>1852</v>
      </c>
      <c r="N415" s="14">
        <v>0.13850000000000001</v>
      </c>
      <c r="O415" s="12" t="s">
        <v>2002</v>
      </c>
      <c r="P415" s="12" t="s">
        <v>32</v>
      </c>
      <c r="Q415" s="12">
        <v>10</v>
      </c>
      <c r="R415" s="12" t="s">
        <v>124</v>
      </c>
      <c r="S415" s="12" t="s">
        <v>124</v>
      </c>
      <c r="T415" s="12" t="s">
        <v>2003</v>
      </c>
      <c r="U415" s="12" t="s">
        <v>2004</v>
      </c>
      <c r="V415" s="12" t="s">
        <v>37</v>
      </c>
      <c r="W415" s="12" t="s">
        <v>38</v>
      </c>
      <c r="X415" s="12" t="s">
        <v>39</v>
      </c>
      <c r="Y415" s="15" t="s">
        <v>165</v>
      </c>
    </row>
    <row r="416" spans="1:25" ht="12.75">
      <c r="A416" s="6">
        <v>2613404</v>
      </c>
      <c r="B416" s="7" t="s">
        <v>2005</v>
      </c>
      <c r="C416" s="7" t="s">
        <v>26</v>
      </c>
      <c r="D416" s="7">
        <v>170002006130</v>
      </c>
      <c r="E416" s="7">
        <v>40</v>
      </c>
      <c r="F416" s="7" t="s">
        <v>2006</v>
      </c>
      <c r="G416" s="7"/>
      <c r="H416" s="7"/>
      <c r="I416" s="7" t="s">
        <v>2006</v>
      </c>
      <c r="J416" s="7" t="s">
        <v>42</v>
      </c>
      <c r="K416" s="7" t="s">
        <v>29</v>
      </c>
      <c r="L416" s="7" t="s">
        <v>44</v>
      </c>
      <c r="M416" s="8">
        <v>6802</v>
      </c>
      <c r="N416" s="9">
        <v>0.46110000000000001</v>
      </c>
      <c r="O416" s="7" t="s">
        <v>2007</v>
      </c>
      <c r="P416" s="7" t="s">
        <v>32</v>
      </c>
      <c r="Q416" s="7">
        <v>40</v>
      </c>
      <c r="R416" s="7" t="s">
        <v>33</v>
      </c>
      <c r="S416" s="7" t="s">
        <v>34</v>
      </c>
      <c r="T416" s="7" t="s">
        <v>2008</v>
      </c>
      <c r="U416" s="7" t="s">
        <v>2009</v>
      </c>
      <c r="V416" s="7" t="s">
        <v>37</v>
      </c>
      <c r="W416" s="7" t="s">
        <v>114</v>
      </c>
      <c r="X416" s="7" t="s">
        <v>58</v>
      </c>
      <c r="Y416" s="10" t="s">
        <v>370</v>
      </c>
    </row>
    <row r="417" spans="1:25" ht="12.75">
      <c r="A417" s="11">
        <v>2613107</v>
      </c>
      <c r="B417" s="12" t="s">
        <v>1979</v>
      </c>
      <c r="C417" s="12" t="s">
        <v>26</v>
      </c>
      <c r="D417" s="12">
        <v>170001954882</v>
      </c>
      <c r="E417" s="12">
        <v>44</v>
      </c>
      <c r="F417" s="12" t="s">
        <v>2010</v>
      </c>
      <c r="G417" s="12"/>
      <c r="H417" s="12"/>
      <c r="I417" s="12" t="s">
        <v>2010</v>
      </c>
      <c r="J417" s="12" t="s">
        <v>28</v>
      </c>
      <c r="K417" s="12" t="s">
        <v>29</v>
      </c>
      <c r="L417" s="12" t="s">
        <v>30</v>
      </c>
      <c r="M417" s="13">
        <v>22155</v>
      </c>
      <c r="N417" s="14">
        <v>0.91139999999999999</v>
      </c>
      <c r="O417" s="12" t="s">
        <v>2011</v>
      </c>
      <c r="P417" s="12" t="s">
        <v>32</v>
      </c>
      <c r="Q417" s="12">
        <v>44</v>
      </c>
      <c r="R417" s="12" t="s">
        <v>314</v>
      </c>
      <c r="S417" s="12" t="s">
        <v>315</v>
      </c>
      <c r="T417" s="12" t="s">
        <v>1087</v>
      </c>
      <c r="U417" s="12" t="s">
        <v>2012</v>
      </c>
      <c r="V417" s="12" t="s">
        <v>37</v>
      </c>
      <c r="W417" s="12" t="s">
        <v>38</v>
      </c>
      <c r="X417" s="12" t="s">
        <v>58</v>
      </c>
      <c r="Y417" s="15" t="s">
        <v>90</v>
      </c>
    </row>
    <row r="418" spans="1:25" ht="12.75">
      <c r="A418" s="6">
        <v>2613404</v>
      </c>
      <c r="B418" s="7" t="s">
        <v>2005</v>
      </c>
      <c r="C418" s="7" t="s">
        <v>26</v>
      </c>
      <c r="D418" s="7">
        <v>170002005863</v>
      </c>
      <c r="E418" s="7">
        <v>22</v>
      </c>
      <c r="F418" s="7" t="s">
        <v>2013</v>
      </c>
      <c r="G418" s="7"/>
      <c r="H418" s="7"/>
      <c r="I418" s="7" t="s">
        <v>2013</v>
      </c>
      <c r="J418" s="7" t="s">
        <v>42</v>
      </c>
      <c r="K418" s="7" t="s">
        <v>43</v>
      </c>
      <c r="L418" s="7" t="s">
        <v>44</v>
      </c>
      <c r="M418" s="8">
        <v>292</v>
      </c>
      <c r="N418" s="9">
        <v>1.9800000000000002E-2</v>
      </c>
      <c r="O418" s="7" t="s">
        <v>2014</v>
      </c>
      <c r="P418" s="7" t="s">
        <v>46</v>
      </c>
      <c r="Q418" s="7">
        <v>22</v>
      </c>
      <c r="R418" s="7" t="s">
        <v>321</v>
      </c>
      <c r="S418" s="7" t="s">
        <v>322</v>
      </c>
      <c r="T418" s="7" t="s">
        <v>46</v>
      </c>
      <c r="U418" s="7" t="s">
        <v>2015</v>
      </c>
      <c r="V418" s="7" t="s">
        <v>37</v>
      </c>
      <c r="W418" s="7" t="s">
        <v>38</v>
      </c>
      <c r="X418" s="7" t="s">
        <v>89</v>
      </c>
      <c r="Y418" s="10" t="s">
        <v>2016</v>
      </c>
    </row>
    <row r="419" spans="1:25" ht="12.75">
      <c r="A419" s="11">
        <v>2613404</v>
      </c>
      <c r="B419" s="12" t="s">
        <v>2005</v>
      </c>
      <c r="C419" s="12" t="s">
        <v>26</v>
      </c>
      <c r="D419" s="12">
        <v>170002311768</v>
      </c>
      <c r="E419" s="12">
        <v>13</v>
      </c>
      <c r="F419" s="12" t="s">
        <v>2017</v>
      </c>
      <c r="G419" s="12"/>
      <c r="H419" s="12"/>
      <c r="I419" s="12" t="s">
        <v>2018</v>
      </c>
      <c r="J419" s="12" t="s">
        <v>42</v>
      </c>
      <c r="K419" s="12" t="s">
        <v>43</v>
      </c>
      <c r="L419" s="12" t="s">
        <v>44</v>
      </c>
      <c r="M419" s="13">
        <v>195</v>
      </c>
      <c r="N419" s="14">
        <v>1.32E-2</v>
      </c>
      <c r="O419" s="12" t="s">
        <v>2019</v>
      </c>
      <c r="P419" s="12" t="s">
        <v>54</v>
      </c>
      <c r="Q419" s="12">
        <v>13</v>
      </c>
      <c r="R419" s="12" t="s">
        <v>130</v>
      </c>
      <c r="S419" s="12" t="s">
        <v>131</v>
      </c>
      <c r="T419" s="12" t="s">
        <v>54</v>
      </c>
      <c r="U419" s="12" t="s">
        <v>2020</v>
      </c>
      <c r="V419" s="12" t="s">
        <v>37</v>
      </c>
      <c r="W419" s="12" t="s">
        <v>102</v>
      </c>
      <c r="X419" s="12" t="s">
        <v>58</v>
      </c>
      <c r="Y419" s="15" t="s">
        <v>246</v>
      </c>
    </row>
    <row r="420" spans="1:25" ht="12.75">
      <c r="A420" s="6">
        <v>2613503</v>
      </c>
      <c r="B420" s="7" t="s">
        <v>2021</v>
      </c>
      <c r="C420" s="7" t="s">
        <v>26</v>
      </c>
      <c r="D420" s="7">
        <v>170002257793</v>
      </c>
      <c r="E420" s="7">
        <v>36</v>
      </c>
      <c r="F420" s="7" t="s">
        <v>2022</v>
      </c>
      <c r="G420" s="7"/>
      <c r="H420" s="7"/>
      <c r="I420" s="7" t="s">
        <v>2022</v>
      </c>
      <c r="J420" s="7" t="s">
        <v>42</v>
      </c>
      <c r="K420" s="7" t="s">
        <v>43</v>
      </c>
      <c r="L420" s="7" t="s">
        <v>44</v>
      </c>
      <c r="M420" s="8">
        <v>730</v>
      </c>
      <c r="N420" s="9">
        <v>3.5700000000000003E-2</v>
      </c>
      <c r="O420" s="7" t="s">
        <v>2023</v>
      </c>
      <c r="P420" s="7" t="s">
        <v>46</v>
      </c>
      <c r="Q420" s="7">
        <v>36</v>
      </c>
      <c r="R420" s="7" t="s">
        <v>195</v>
      </c>
      <c r="S420" s="7" t="s">
        <v>195</v>
      </c>
      <c r="T420" s="7" t="s">
        <v>46</v>
      </c>
      <c r="U420" s="7" t="s">
        <v>2024</v>
      </c>
      <c r="V420" s="7" t="s">
        <v>160</v>
      </c>
      <c r="W420" s="7" t="s">
        <v>38</v>
      </c>
      <c r="X420" s="7" t="s">
        <v>39</v>
      </c>
      <c r="Y420" s="10" t="s">
        <v>109</v>
      </c>
    </row>
    <row r="421" spans="1:25" ht="12.75">
      <c r="A421" s="11">
        <v>2613503</v>
      </c>
      <c r="B421" s="12" t="s">
        <v>2021</v>
      </c>
      <c r="C421" s="12" t="s">
        <v>26</v>
      </c>
      <c r="D421" s="12">
        <v>170002350325</v>
      </c>
      <c r="E421" s="12">
        <v>50</v>
      </c>
      <c r="F421" s="12" t="s">
        <v>2025</v>
      </c>
      <c r="G421" s="12"/>
      <c r="H421" s="12"/>
      <c r="I421" s="12" t="s">
        <v>2025</v>
      </c>
      <c r="J421" s="12" t="s">
        <v>42</v>
      </c>
      <c r="K421" s="12" t="s">
        <v>43</v>
      </c>
      <c r="L421" s="12" t="s">
        <v>44</v>
      </c>
      <c r="M421" s="13">
        <v>4373</v>
      </c>
      <c r="N421" s="14">
        <v>0.21379999999999999</v>
      </c>
      <c r="O421" s="12" t="s">
        <v>2026</v>
      </c>
      <c r="P421" s="12" t="s">
        <v>54</v>
      </c>
      <c r="Q421" s="12">
        <v>50</v>
      </c>
      <c r="R421" s="12" t="s">
        <v>153</v>
      </c>
      <c r="S421" s="12" t="s">
        <v>154</v>
      </c>
      <c r="T421" s="12" t="s">
        <v>54</v>
      </c>
      <c r="U421" s="12" t="s">
        <v>2027</v>
      </c>
      <c r="V421" s="12" t="s">
        <v>160</v>
      </c>
      <c r="W421" s="12" t="s">
        <v>38</v>
      </c>
      <c r="X421" s="12" t="s">
        <v>58</v>
      </c>
      <c r="Y421" s="15" t="s">
        <v>2028</v>
      </c>
    </row>
    <row r="422" spans="1:25" ht="12.75">
      <c r="A422" s="6">
        <v>2613206</v>
      </c>
      <c r="B422" s="7" t="s">
        <v>1984</v>
      </c>
      <c r="C422" s="7" t="s">
        <v>26</v>
      </c>
      <c r="D422" s="7">
        <v>170002053893</v>
      </c>
      <c r="E422" s="7">
        <v>11</v>
      </c>
      <c r="F422" s="7" t="s">
        <v>2029</v>
      </c>
      <c r="G422" s="7"/>
      <c r="H422" s="7"/>
      <c r="I422" s="7" t="s">
        <v>2029</v>
      </c>
      <c r="J422" s="7" t="s">
        <v>28</v>
      </c>
      <c r="K422" s="7" t="s">
        <v>29</v>
      </c>
      <c r="L422" s="7" t="s">
        <v>30</v>
      </c>
      <c r="M422" s="8">
        <v>9011</v>
      </c>
      <c r="N422" s="9">
        <v>0.62109999999999999</v>
      </c>
      <c r="O422" s="7" t="s">
        <v>2030</v>
      </c>
      <c r="P422" s="7" t="s">
        <v>32</v>
      </c>
      <c r="Q422" s="7">
        <v>11</v>
      </c>
      <c r="R422" s="7" t="s">
        <v>168</v>
      </c>
      <c r="S422" s="7" t="s">
        <v>169</v>
      </c>
      <c r="T422" s="7" t="s">
        <v>2031</v>
      </c>
      <c r="U422" s="7" t="s">
        <v>2032</v>
      </c>
      <c r="V422" s="7" t="s">
        <v>37</v>
      </c>
      <c r="W422" s="7" t="s">
        <v>38</v>
      </c>
      <c r="X422" s="7" t="s">
        <v>58</v>
      </c>
      <c r="Y422" s="10" t="s">
        <v>90</v>
      </c>
    </row>
    <row r="423" spans="1:25" ht="12.75">
      <c r="A423" s="11">
        <v>2613305</v>
      </c>
      <c r="B423" s="12" t="s">
        <v>2000</v>
      </c>
      <c r="C423" s="12" t="s">
        <v>26</v>
      </c>
      <c r="D423" s="12">
        <v>170001915613</v>
      </c>
      <c r="E423" s="12">
        <v>45</v>
      </c>
      <c r="F423" s="12" t="s">
        <v>2033</v>
      </c>
      <c r="G423" s="12"/>
      <c r="H423" s="12"/>
      <c r="I423" s="12" t="s">
        <v>2034</v>
      </c>
      <c r="J423" s="12" t="s">
        <v>28</v>
      </c>
      <c r="K423" s="12" t="s">
        <v>29</v>
      </c>
      <c r="L423" s="12" t="s">
        <v>30</v>
      </c>
      <c r="M423" s="13">
        <v>11524</v>
      </c>
      <c r="N423" s="14">
        <v>0.86150000000000004</v>
      </c>
      <c r="O423" s="12" t="s">
        <v>2035</v>
      </c>
      <c r="P423" s="12" t="s">
        <v>32</v>
      </c>
      <c r="Q423" s="12">
        <v>45</v>
      </c>
      <c r="R423" s="12" t="s">
        <v>61</v>
      </c>
      <c r="S423" s="12" t="s">
        <v>62</v>
      </c>
      <c r="T423" s="12" t="s">
        <v>2036</v>
      </c>
      <c r="U423" s="12" t="s">
        <v>2037</v>
      </c>
      <c r="V423" s="12" t="s">
        <v>37</v>
      </c>
      <c r="W423" s="12" t="s">
        <v>50</v>
      </c>
      <c r="X423" s="12" t="s">
        <v>58</v>
      </c>
      <c r="Y423" s="15" t="s">
        <v>26</v>
      </c>
    </row>
    <row r="424" spans="1:25" ht="12.75">
      <c r="A424" s="6">
        <v>2613602</v>
      </c>
      <c r="B424" s="7" t="s">
        <v>2038</v>
      </c>
      <c r="C424" s="7" t="s">
        <v>26</v>
      </c>
      <c r="D424" s="7">
        <v>170002261360</v>
      </c>
      <c r="E424" s="7">
        <v>40</v>
      </c>
      <c r="F424" s="7" t="s">
        <v>2039</v>
      </c>
      <c r="G424" s="7"/>
      <c r="H424" s="7"/>
      <c r="I424" s="7" t="s">
        <v>2039</v>
      </c>
      <c r="J424" s="7" t="s">
        <v>42</v>
      </c>
      <c r="K424" s="7" t="s">
        <v>29</v>
      </c>
      <c r="L424" s="7" t="s">
        <v>44</v>
      </c>
      <c r="M424" s="8">
        <v>8799</v>
      </c>
      <c r="N424" s="9">
        <v>0.45540000000000003</v>
      </c>
      <c r="O424" s="7" t="s">
        <v>2040</v>
      </c>
      <c r="P424" s="7" t="s">
        <v>32</v>
      </c>
      <c r="Q424" s="7">
        <v>40</v>
      </c>
      <c r="R424" s="7" t="s">
        <v>33</v>
      </c>
      <c r="S424" s="7" t="s">
        <v>34</v>
      </c>
      <c r="T424" s="7" t="s">
        <v>2041</v>
      </c>
      <c r="U424" s="7" t="s">
        <v>2042</v>
      </c>
      <c r="V424" s="7" t="s">
        <v>37</v>
      </c>
      <c r="W424" s="7" t="s">
        <v>38</v>
      </c>
      <c r="X424" s="7" t="s">
        <v>39</v>
      </c>
      <c r="Y424" s="10" t="s">
        <v>328</v>
      </c>
    </row>
    <row r="425" spans="1:25" ht="12.75">
      <c r="A425" s="11">
        <v>2613701</v>
      </c>
      <c r="B425" s="12" t="s">
        <v>2043</v>
      </c>
      <c r="C425" s="12" t="s">
        <v>26</v>
      </c>
      <c r="D425" s="12">
        <v>170002276454</v>
      </c>
      <c r="E425" s="12">
        <v>45</v>
      </c>
      <c r="F425" s="12" t="s">
        <v>2044</v>
      </c>
      <c r="G425" s="12"/>
      <c r="H425" s="12"/>
      <c r="I425" s="12" t="s">
        <v>2044</v>
      </c>
      <c r="J425" s="12" t="s">
        <v>42</v>
      </c>
      <c r="K425" s="12" t="s">
        <v>43</v>
      </c>
      <c r="L425" s="12" t="s">
        <v>44</v>
      </c>
      <c r="M425" s="13">
        <v>7484</v>
      </c>
      <c r="N425" s="14">
        <v>0.11609999999999999</v>
      </c>
      <c r="O425" s="12" t="s">
        <v>2045</v>
      </c>
      <c r="P425" s="12" t="s">
        <v>32</v>
      </c>
      <c r="Q425" s="12">
        <v>45</v>
      </c>
      <c r="R425" s="12" t="s">
        <v>61</v>
      </c>
      <c r="S425" s="12" t="s">
        <v>62</v>
      </c>
      <c r="T425" s="12" t="s">
        <v>2046</v>
      </c>
      <c r="U425" s="12" t="s">
        <v>2047</v>
      </c>
      <c r="V425" s="12" t="s">
        <v>37</v>
      </c>
      <c r="W425" s="12" t="s">
        <v>38</v>
      </c>
      <c r="X425" s="12" t="s">
        <v>39</v>
      </c>
      <c r="Y425" s="15" t="s">
        <v>65</v>
      </c>
    </row>
    <row r="426" spans="1:25" ht="12.75">
      <c r="A426" s="6">
        <v>2613404</v>
      </c>
      <c r="B426" s="7" t="s">
        <v>2005</v>
      </c>
      <c r="C426" s="7" t="s">
        <v>26</v>
      </c>
      <c r="D426" s="7">
        <v>170002047824</v>
      </c>
      <c r="E426" s="7">
        <v>55</v>
      </c>
      <c r="F426" s="7" t="s">
        <v>2048</v>
      </c>
      <c r="G426" s="7" t="s">
        <v>2049</v>
      </c>
      <c r="H426" s="7"/>
      <c r="I426" s="7" t="s">
        <v>2048</v>
      </c>
      <c r="J426" s="7" t="s">
        <v>82</v>
      </c>
      <c r="K426" s="7" t="s">
        <v>43</v>
      </c>
      <c r="L426" s="7" t="s">
        <v>30</v>
      </c>
      <c r="M426" s="8">
        <v>7463</v>
      </c>
      <c r="N426" s="9">
        <v>0.50590000000000002</v>
      </c>
      <c r="O426" s="7" t="s">
        <v>2050</v>
      </c>
      <c r="P426" s="7" t="s">
        <v>32</v>
      </c>
      <c r="Q426" s="7">
        <v>55</v>
      </c>
      <c r="R426" s="7" t="s">
        <v>74</v>
      </c>
      <c r="S426" s="7" t="s">
        <v>75</v>
      </c>
      <c r="T426" s="7" t="s">
        <v>2051</v>
      </c>
      <c r="U426" s="7" t="s">
        <v>2052</v>
      </c>
      <c r="V426" s="7" t="s">
        <v>37</v>
      </c>
      <c r="W426" s="7" t="s">
        <v>38</v>
      </c>
      <c r="X426" s="7" t="s">
        <v>39</v>
      </c>
      <c r="Y426" s="10" t="s">
        <v>90</v>
      </c>
    </row>
    <row r="427" spans="1:25" ht="12.75">
      <c r="A427" s="11">
        <v>2613800</v>
      </c>
      <c r="B427" s="12" t="s">
        <v>2053</v>
      </c>
      <c r="C427" s="12" t="s">
        <v>26</v>
      </c>
      <c r="D427" s="12">
        <v>170002128389</v>
      </c>
      <c r="E427" s="12">
        <v>15</v>
      </c>
      <c r="F427" s="12" t="s">
        <v>2054</v>
      </c>
      <c r="G427" s="12"/>
      <c r="H427" s="12"/>
      <c r="I427" s="12" t="s">
        <v>2055</v>
      </c>
      <c r="J427" s="12" t="s">
        <v>42</v>
      </c>
      <c r="K427" s="12" t="s">
        <v>43</v>
      </c>
      <c r="L427" s="12" t="s">
        <v>44</v>
      </c>
      <c r="M427" s="13">
        <v>4448</v>
      </c>
      <c r="N427" s="14">
        <v>0.37959999999999999</v>
      </c>
      <c r="O427" s="12" t="s">
        <v>2056</v>
      </c>
      <c r="P427" s="12" t="s">
        <v>32</v>
      </c>
      <c r="Q427" s="12">
        <v>15</v>
      </c>
      <c r="R427" s="12" t="s">
        <v>85</v>
      </c>
      <c r="S427" s="12" t="s">
        <v>86</v>
      </c>
      <c r="T427" s="12" t="s">
        <v>2057</v>
      </c>
      <c r="U427" s="12" t="s">
        <v>2058</v>
      </c>
      <c r="V427" s="12" t="s">
        <v>37</v>
      </c>
      <c r="W427" s="12" t="s">
        <v>50</v>
      </c>
      <c r="X427" s="12" t="s">
        <v>39</v>
      </c>
      <c r="Y427" s="15" t="s">
        <v>95</v>
      </c>
    </row>
    <row r="428" spans="1:25" ht="12.75">
      <c r="A428" s="6">
        <v>2613503</v>
      </c>
      <c r="B428" s="7" t="s">
        <v>2021</v>
      </c>
      <c r="C428" s="7" t="s">
        <v>26</v>
      </c>
      <c r="D428" s="7">
        <v>170001993852</v>
      </c>
      <c r="E428" s="7">
        <v>40</v>
      </c>
      <c r="F428" s="7" t="s">
        <v>2059</v>
      </c>
      <c r="G428" s="7"/>
      <c r="H428" s="7"/>
      <c r="I428" s="7" t="s">
        <v>2059</v>
      </c>
      <c r="J428" s="7" t="s">
        <v>82</v>
      </c>
      <c r="K428" s="7" t="s">
        <v>29</v>
      </c>
      <c r="L428" s="7" t="s">
        <v>30</v>
      </c>
      <c r="M428" s="8">
        <v>15349</v>
      </c>
      <c r="N428" s="9">
        <v>0.75049999999999994</v>
      </c>
      <c r="O428" s="7" t="s">
        <v>2060</v>
      </c>
      <c r="P428" s="7" t="s">
        <v>32</v>
      </c>
      <c r="Q428" s="7">
        <v>40</v>
      </c>
      <c r="R428" s="7" t="s">
        <v>33</v>
      </c>
      <c r="S428" s="7" t="s">
        <v>34</v>
      </c>
      <c r="T428" s="7" t="s">
        <v>2061</v>
      </c>
      <c r="U428" s="7" t="s">
        <v>2062</v>
      </c>
      <c r="V428" s="7" t="s">
        <v>37</v>
      </c>
      <c r="W428" s="7" t="s">
        <v>38</v>
      </c>
      <c r="X428" s="7" t="s">
        <v>58</v>
      </c>
      <c r="Y428" s="10" t="s">
        <v>78</v>
      </c>
    </row>
    <row r="429" spans="1:25" ht="12.75">
      <c r="A429" s="11">
        <v>2613909</v>
      </c>
      <c r="B429" s="12" t="s">
        <v>991</v>
      </c>
      <c r="C429" s="12" t="s">
        <v>26</v>
      </c>
      <c r="D429" s="12">
        <v>170002105453</v>
      </c>
      <c r="E429" s="12">
        <v>22</v>
      </c>
      <c r="F429" s="12" t="s">
        <v>2063</v>
      </c>
      <c r="G429" s="12"/>
      <c r="H429" s="12"/>
      <c r="I429" s="12" t="s">
        <v>2063</v>
      </c>
      <c r="J429" s="12" t="s">
        <v>42</v>
      </c>
      <c r="K429" s="12" t="s">
        <v>43</v>
      </c>
      <c r="L429" s="12" t="s">
        <v>44</v>
      </c>
      <c r="M429" s="13">
        <v>1922</v>
      </c>
      <c r="N429" s="14">
        <v>3.9699999999999999E-2</v>
      </c>
      <c r="O429" s="12" t="s">
        <v>2064</v>
      </c>
      <c r="P429" s="12" t="s">
        <v>46</v>
      </c>
      <c r="Q429" s="12">
        <v>22</v>
      </c>
      <c r="R429" s="12" t="s">
        <v>321</v>
      </c>
      <c r="S429" s="12" t="s">
        <v>322</v>
      </c>
      <c r="T429" s="12" t="s">
        <v>46</v>
      </c>
      <c r="U429" s="12" t="s">
        <v>2065</v>
      </c>
      <c r="V429" s="12" t="s">
        <v>37</v>
      </c>
      <c r="W429" s="12" t="s">
        <v>50</v>
      </c>
      <c r="X429" s="12" t="s">
        <v>58</v>
      </c>
      <c r="Y429" s="15" t="s">
        <v>1040</v>
      </c>
    </row>
    <row r="430" spans="1:25" ht="12.75">
      <c r="A430" s="6">
        <v>2613909</v>
      </c>
      <c r="B430" s="7" t="s">
        <v>991</v>
      </c>
      <c r="C430" s="7" t="s">
        <v>26</v>
      </c>
      <c r="D430" s="7">
        <v>170002338338</v>
      </c>
      <c r="E430" s="7">
        <v>50</v>
      </c>
      <c r="F430" s="7" t="s">
        <v>2066</v>
      </c>
      <c r="G430" s="7"/>
      <c r="H430" s="7"/>
      <c r="I430" s="7" t="s">
        <v>2067</v>
      </c>
      <c r="J430" s="7" t="s">
        <v>42</v>
      </c>
      <c r="K430" s="7" t="s">
        <v>43</v>
      </c>
      <c r="L430" s="7" t="s">
        <v>44</v>
      </c>
      <c r="M430" s="8">
        <v>395</v>
      </c>
      <c r="N430" s="9">
        <v>8.2000000000000007E-3</v>
      </c>
      <c r="O430" s="7" t="s">
        <v>2068</v>
      </c>
      <c r="P430" s="7" t="s">
        <v>32</v>
      </c>
      <c r="Q430" s="7">
        <v>50</v>
      </c>
      <c r="R430" s="7" t="s">
        <v>153</v>
      </c>
      <c r="S430" s="7" t="s">
        <v>154</v>
      </c>
      <c r="T430" s="7" t="s">
        <v>2069</v>
      </c>
      <c r="U430" s="7" t="s">
        <v>2070</v>
      </c>
      <c r="V430" s="7" t="s">
        <v>37</v>
      </c>
      <c r="W430" s="7" t="s">
        <v>38</v>
      </c>
      <c r="X430" s="7" t="s">
        <v>58</v>
      </c>
      <c r="Y430" s="10" t="s">
        <v>65</v>
      </c>
    </row>
    <row r="431" spans="1:25" ht="12.75">
      <c r="A431" s="11">
        <v>2613602</v>
      </c>
      <c r="B431" s="12" t="s">
        <v>2038</v>
      </c>
      <c r="C431" s="12" t="s">
        <v>26</v>
      </c>
      <c r="D431" s="12">
        <v>170002117114</v>
      </c>
      <c r="E431" s="12">
        <v>10</v>
      </c>
      <c r="F431" s="12" t="s">
        <v>2071</v>
      </c>
      <c r="G431" s="17" t="s">
        <v>2072</v>
      </c>
      <c r="H431" s="12"/>
      <c r="I431" s="12" t="s">
        <v>2071</v>
      </c>
      <c r="J431" s="12" t="s">
        <v>82</v>
      </c>
      <c r="K431" s="12" t="s">
        <v>43</v>
      </c>
      <c r="L431" s="12" t="s">
        <v>30</v>
      </c>
      <c r="M431" s="13">
        <v>10523</v>
      </c>
      <c r="N431" s="14">
        <v>0.54459999999999997</v>
      </c>
      <c r="O431" s="12" t="s">
        <v>2073</v>
      </c>
      <c r="P431" s="12" t="s">
        <v>32</v>
      </c>
      <c r="Q431" s="12">
        <v>10</v>
      </c>
      <c r="R431" s="12" t="s">
        <v>124</v>
      </c>
      <c r="S431" s="12" t="s">
        <v>124</v>
      </c>
      <c r="T431" s="12" t="s">
        <v>2074</v>
      </c>
      <c r="U431" s="12" t="s">
        <v>2075</v>
      </c>
      <c r="V431" s="12" t="s">
        <v>37</v>
      </c>
      <c r="W431" s="12" t="s">
        <v>38</v>
      </c>
      <c r="X431" s="12" t="s">
        <v>39</v>
      </c>
      <c r="Y431" s="15" t="s">
        <v>90</v>
      </c>
    </row>
    <row r="432" spans="1:25" ht="12.75">
      <c r="A432" s="6">
        <v>2613909</v>
      </c>
      <c r="B432" s="7" t="s">
        <v>991</v>
      </c>
      <c r="C432" s="7" t="s">
        <v>26</v>
      </c>
      <c r="D432" s="7">
        <v>170001914660</v>
      </c>
      <c r="E432" s="7">
        <v>20</v>
      </c>
      <c r="F432" s="7" t="s">
        <v>2076</v>
      </c>
      <c r="G432" s="7"/>
      <c r="H432" s="7"/>
      <c r="I432" s="7" t="s">
        <v>2076</v>
      </c>
      <c r="J432" s="7" t="s">
        <v>42</v>
      </c>
      <c r="K432" s="7" t="s">
        <v>43</v>
      </c>
      <c r="L432" s="7" t="s">
        <v>44</v>
      </c>
      <c r="M432" s="8">
        <v>18191</v>
      </c>
      <c r="N432" s="9">
        <v>0.37540000000000001</v>
      </c>
      <c r="O432" s="7" t="s">
        <v>2077</v>
      </c>
      <c r="P432" s="7" t="s">
        <v>32</v>
      </c>
      <c r="Q432" s="7">
        <v>20</v>
      </c>
      <c r="R432" s="7" t="s">
        <v>98</v>
      </c>
      <c r="S432" s="7" t="s">
        <v>99</v>
      </c>
      <c r="T432" s="7" t="s">
        <v>2078</v>
      </c>
      <c r="U432" s="7" t="s">
        <v>2079</v>
      </c>
      <c r="V432" s="7" t="s">
        <v>37</v>
      </c>
      <c r="W432" s="7" t="s">
        <v>38</v>
      </c>
      <c r="X432" s="7" t="s">
        <v>39</v>
      </c>
      <c r="Y432" s="10" t="s">
        <v>127</v>
      </c>
    </row>
    <row r="433" spans="1:33" ht="12.75">
      <c r="A433" s="11">
        <v>2614006</v>
      </c>
      <c r="B433" s="12" t="s">
        <v>2080</v>
      </c>
      <c r="C433" s="12" t="s">
        <v>26</v>
      </c>
      <c r="D433" s="12">
        <v>170002104777</v>
      </c>
      <c r="E433" s="12">
        <v>55</v>
      </c>
      <c r="F433" s="12" t="s">
        <v>2081</v>
      </c>
      <c r="G433" s="12"/>
      <c r="H433" s="12"/>
      <c r="I433" s="12" t="s">
        <v>2082</v>
      </c>
      <c r="J433" s="12" t="s">
        <v>42</v>
      </c>
      <c r="K433" s="12" t="s">
        <v>43</v>
      </c>
      <c r="L433" s="12" t="s">
        <v>44</v>
      </c>
      <c r="M433" s="13">
        <v>6034</v>
      </c>
      <c r="N433" s="14">
        <v>0.44209999999999999</v>
      </c>
      <c r="O433" s="12" t="s">
        <v>2083</v>
      </c>
      <c r="P433" s="12" t="s">
        <v>32</v>
      </c>
      <c r="Q433" s="12">
        <v>55</v>
      </c>
      <c r="R433" s="12" t="s">
        <v>74</v>
      </c>
      <c r="S433" s="12" t="s">
        <v>75</v>
      </c>
      <c r="T433" s="12" t="s">
        <v>2084</v>
      </c>
      <c r="U433" s="12" t="s">
        <v>2085</v>
      </c>
      <c r="V433" s="12" t="s">
        <v>160</v>
      </c>
      <c r="W433" s="12" t="s">
        <v>38</v>
      </c>
      <c r="X433" s="12" t="s">
        <v>39</v>
      </c>
      <c r="Y433" s="15" t="s">
        <v>90</v>
      </c>
    </row>
    <row r="434" spans="1:33" ht="12.75">
      <c r="A434" s="6">
        <v>2613701</v>
      </c>
      <c r="B434" s="7" t="s">
        <v>2043</v>
      </c>
      <c r="C434" s="7" t="s">
        <v>26</v>
      </c>
      <c r="D434" s="7">
        <v>170001991551</v>
      </c>
      <c r="E434" s="7">
        <v>40</v>
      </c>
      <c r="F434" s="7" t="s">
        <v>2086</v>
      </c>
      <c r="G434" s="7"/>
      <c r="H434" s="7"/>
      <c r="I434" s="7" t="s">
        <v>2086</v>
      </c>
      <c r="J434" s="7" t="s">
        <v>28</v>
      </c>
      <c r="K434" s="7" t="s">
        <v>29</v>
      </c>
      <c r="L434" s="7" t="s">
        <v>30</v>
      </c>
      <c r="M434" s="8">
        <v>56964</v>
      </c>
      <c r="N434" s="9">
        <v>0.88390000000000002</v>
      </c>
      <c r="O434" s="7" t="s">
        <v>2086</v>
      </c>
      <c r="P434" s="7" t="s">
        <v>32</v>
      </c>
      <c r="Q434" s="7">
        <v>40</v>
      </c>
      <c r="R434" s="7" t="s">
        <v>33</v>
      </c>
      <c r="S434" s="7" t="s">
        <v>34</v>
      </c>
      <c r="T434" s="7" t="s">
        <v>2087</v>
      </c>
      <c r="U434" s="7" t="s">
        <v>2088</v>
      </c>
      <c r="V434" s="7" t="s">
        <v>37</v>
      </c>
      <c r="W434" s="7" t="s">
        <v>114</v>
      </c>
      <c r="X434" s="7" t="s">
        <v>39</v>
      </c>
      <c r="Y434" s="10" t="s">
        <v>90</v>
      </c>
    </row>
    <row r="435" spans="1:33" ht="12.75">
      <c r="A435" s="11">
        <v>2613800</v>
      </c>
      <c r="B435" s="12" t="s">
        <v>2053</v>
      </c>
      <c r="C435" s="12" t="s">
        <v>26</v>
      </c>
      <c r="D435" s="12">
        <v>170002288239</v>
      </c>
      <c r="E435" s="12">
        <v>11</v>
      </c>
      <c r="F435" s="12" t="s">
        <v>2089</v>
      </c>
      <c r="G435" s="12"/>
      <c r="H435" s="12"/>
      <c r="I435" s="12" t="s">
        <v>2089</v>
      </c>
      <c r="J435" s="12" t="s">
        <v>28</v>
      </c>
      <c r="K435" s="12" t="s">
        <v>29</v>
      </c>
      <c r="L435" s="12" t="s">
        <v>30</v>
      </c>
      <c r="M435" s="13">
        <v>7270</v>
      </c>
      <c r="N435" s="14">
        <v>0.62039999999999995</v>
      </c>
      <c r="O435" s="12" t="s">
        <v>2090</v>
      </c>
      <c r="P435" s="12" t="s">
        <v>32</v>
      </c>
      <c r="Q435" s="12">
        <v>11</v>
      </c>
      <c r="R435" s="12" t="s">
        <v>168</v>
      </c>
      <c r="S435" s="12" t="s">
        <v>169</v>
      </c>
      <c r="T435" s="12" t="s">
        <v>2091</v>
      </c>
      <c r="U435" s="12" t="s">
        <v>2092</v>
      </c>
      <c r="V435" s="12" t="s">
        <v>37</v>
      </c>
      <c r="W435" s="12" t="s">
        <v>50</v>
      </c>
      <c r="X435" s="12" t="s">
        <v>58</v>
      </c>
      <c r="Y435" s="15" t="s">
        <v>246</v>
      </c>
    </row>
    <row r="436" spans="1:33" ht="12.75">
      <c r="A436" s="6">
        <v>2614105</v>
      </c>
      <c r="B436" s="7" t="s">
        <v>1199</v>
      </c>
      <c r="C436" s="7" t="s">
        <v>26</v>
      </c>
      <c r="D436" s="7">
        <v>170002097927</v>
      </c>
      <c r="E436" s="7">
        <v>40</v>
      </c>
      <c r="F436" s="7" t="s">
        <v>2093</v>
      </c>
      <c r="G436" s="7"/>
      <c r="H436" s="7"/>
      <c r="I436" s="7" t="s">
        <v>2093</v>
      </c>
      <c r="J436" s="7" t="s">
        <v>42</v>
      </c>
      <c r="K436" s="7" t="s">
        <v>29</v>
      </c>
      <c r="L436" s="7" t="s">
        <v>44</v>
      </c>
      <c r="M436" s="8">
        <v>9067</v>
      </c>
      <c r="N436" s="18">
        <v>0.44130000000000003</v>
      </c>
      <c r="O436" s="7" t="s">
        <v>2094</v>
      </c>
      <c r="P436" s="7" t="s">
        <v>32</v>
      </c>
      <c r="Q436" s="7">
        <v>40</v>
      </c>
      <c r="R436" s="7" t="s">
        <v>33</v>
      </c>
      <c r="S436" s="7" t="s">
        <v>34</v>
      </c>
      <c r="T436" s="7" t="s">
        <v>2095</v>
      </c>
      <c r="U436" s="7" t="s">
        <v>2096</v>
      </c>
      <c r="V436" s="7" t="s">
        <v>160</v>
      </c>
      <c r="W436" s="7" t="s">
        <v>50</v>
      </c>
      <c r="X436" s="7" t="s">
        <v>58</v>
      </c>
      <c r="Y436" s="10" t="s">
        <v>165</v>
      </c>
    </row>
    <row r="437" spans="1:33" ht="12.75">
      <c r="A437" s="11">
        <v>2614204</v>
      </c>
      <c r="B437" s="12" t="s">
        <v>2097</v>
      </c>
      <c r="C437" s="12" t="s">
        <v>26</v>
      </c>
      <c r="D437" s="12">
        <v>170002197529</v>
      </c>
      <c r="E437" s="12">
        <v>11</v>
      </c>
      <c r="F437" s="12" t="s">
        <v>2098</v>
      </c>
      <c r="G437" s="12"/>
      <c r="H437" s="12"/>
      <c r="I437" s="12" t="s">
        <v>2098</v>
      </c>
      <c r="J437" s="12" t="s">
        <v>189</v>
      </c>
      <c r="K437" s="12" t="s">
        <v>29</v>
      </c>
      <c r="L437" s="12" t="s">
        <v>44</v>
      </c>
      <c r="M437" s="13">
        <v>10955</v>
      </c>
      <c r="N437" s="14">
        <v>0.47849999999999998</v>
      </c>
      <c r="O437" s="12" t="s">
        <v>2099</v>
      </c>
      <c r="P437" s="12" t="s">
        <v>32</v>
      </c>
      <c r="Q437" s="12">
        <v>11</v>
      </c>
      <c r="R437" s="12" t="s">
        <v>168</v>
      </c>
      <c r="S437" s="12" t="s">
        <v>169</v>
      </c>
      <c r="T437" s="12" t="s">
        <v>2100</v>
      </c>
      <c r="U437" s="12" t="s">
        <v>2101</v>
      </c>
      <c r="V437" s="12" t="s">
        <v>160</v>
      </c>
      <c r="W437" s="12" t="s">
        <v>38</v>
      </c>
      <c r="X437" s="12" t="s">
        <v>39</v>
      </c>
      <c r="Y437" s="15" t="s">
        <v>26</v>
      </c>
    </row>
    <row r="438" spans="1:33" ht="12.75">
      <c r="A438" s="6">
        <v>2604205</v>
      </c>
      <c r="B438" s="7" t="s">
        <v>683</v>
      </c>
      <c r="C438" s="7" t="s">
        <v>26</v>
      </c>
      <c r="D438" s="7">
        <v>170001950651</v>
      </c>
      <c r="E438" s="7">
        <v>45</v>
      </c>
      <c r="F438" s="7" t="s">
        <v>2102</v>
      </c>
      <c r="G438" s="7"/>
      <c r="H438" s="7"/>
      <c r="I438" s="7" t="s">
        <v>2102</v>
      </c>
      <c r="J438" s="7" t="s">
        <v>28</v>
      </c>
      <c r="K438" s="7" t="s">
        <v>29</v>
      </c>
      <c r="L438" s="7" t="s">
        <v>30</v>
      </c>
      <c r="M438" s="8">
        <v>10531</v>
      </c>
      <c r="N438" s="9">
        <v>0.49740000000000001</v>
      </c>
      <c r="O438" s="7" t="s">
        <v>2103</v>
      </c>
      <c r="P438" s="7" t="s">
        <v>32</v>
      </c>
      <c r="Q438" s="7">
        <v>45</v>
      </c>
      <c r="R438" s="7" t="s">
        <v>61</v>
      </c>
      <c r="S438" s="7" t="s">
        <v>62</v>
      </c>
      <c r="T438" s="7" t="s">
        <v>2104</v>
      </c>
      <c r="U438" s="7" t="s">
        <v>2105</v>
      </c>
      <c r="V438" s="7" t="s">
        <v>160</v>
      </c>
      <c r="W438" s="7" t="s">
        <v>50</v>
      </c>
      <c r="X438" s="7" t="s">
        <v>39</v>
      </c>
      <c r="Y438" s="10" t="s">
        <v>90</v>
      </c>
    </row>
    <row r="439" spans="1:33" ht="12.75">
      <c r="A439" s="11">
        <v>2614204</v>
      </c>
      <c r="B439" s="12" t="s">
        <v>2097</v>
      </c>
      <c r="C439" s="12" t="s">
        <v>26</v>
      </c>
      <c r="D439" s="12">
        <v>170002040809</v>
      </c>
      <c r="E439" s="12">
        <v>44</v>
      </c>
      <c r="F439" s="12" t="s">
        <v>2106</v>
      </c>
      <c r="G439" s="12"/>
      <c r="H439" s="12"/>
      <c r="I439" s="12" t="s">
        <v>2106</v>
      </c>
      <c r="J439" s="12" t="s">
        <v>42</v>
      </c>
      <c r="K439" s="12" t="s">
        <v>43</v>
      </c>
      <c r="L439" s="12" t="s">
        <v>44</v>
      </c>
      <c r="M439" s="13">
        <v>252</v>
      </c>
      <c r="N439" s="18">
        <v>1.0999999999999999E-2</v>
      </c>
      <c r="O439" s="12" t="s">
        <v>2107</v>
      </c>
      <c r="P439" s="12" t="s">
        <v>46</v>
      </c>
      <c r="Q439" s="12">
        <v>44</v>
      </c>
      <c r="R439" s="12" t="s">
        <v>314</v>
      </c>
      <c r="S439" s="12" t="s">
        <v>315</v>
      </c>
      <c r="T439" s="12" t="s">
        <v>46</v>
      </c>
      <c r="U439" s="12" t="s">
        <v>2108</v>
      </c>
      <c r="V439" s="12" t="s">
        <v>160</v>
      </c>
      <c r="W439" s="12" t="s">
        <v>114</v>
      </c>
      <c r="X439" s="12" t="s">
        <v>58</v>
      </c>
      <c r="Y439" s="15" t="s">
        <v>90</v>
      </c>
      <c r="Z439" s="26"/>
      <c r="AA439" s="26"/>
      <c r="AB439" s="26"/>
      <c r="AC439" s="26"/>
      <c r="AD439" s="26"/>
      <c r="AE439" s="26"/>
      <c r="AF439" s="26"/>
      <c r="AG439" s="26"/>
    </row>
    <row r="440" spans="1:33" ht="12.75">
      <c r="A440" s="6">
        <v>2614006</v>
      </c>
      <c r="B440" s="7" t="s">
        <v>2080</v>
      </c>
      <c r="C440" s="7" t="s">
        <v>26</v>
      </c>
      <c r="D440" s="7">
        <v>170001917497</v>
      </c>
      <c r="E440" s="7">
        <v>15</v>
      </c>
      <c r="F440" s="7" t="s">
        <v>2109</v>
      </c>
      <c r="G440" s="7"/>
      <c r="H440" s="7"/>
      <c r="I440" s="7" t="s">
        <v>2110</v>
      </c>
      <c r="J440" s="7" t="s">
        <v>28</v>
      </c>
      <c r="K440" s="7" t="s">
        <v>29</v>
      </c>
      <c r="L440" s="7" t="s">
        <v>30</v>
      </c>
      <c r="M440" s="8">
        <v>7615</v>
      </c>
      <c r="N440" s="9">
        <v>0.55789999999999995</v>
      </c>
      <c r="O440" s="7" t="s">
        <v>2111</v>
      </c>
      <c r="P440" s="7" t="s">
        <v>32</v>
      </c>
      <c r="Q440" s="7">
        <v>15</v>
      </c>
      <c r="R440" s="7" t="s">
        <v>85</v>
      </c>
      <c r="S440" s="7" t="s">
        <v>86</v>
      </c>
      <c r="T440" s="7" t="s">
        <v>2112</v>
      </c>
      <c r="U440" s="7" t="s">
        <v>2113</v>
      </c>
      <c r="V440" s="7" t="s">
        <v>37</v>
      </c>
      <c r="W440" s="7" t="s">
        <v>50</v>
      </c>
      <c r="X440" s="7" t="s">
        <v>58</v>
      </c>
      <c r="Y440" s="10" t="s">
        <v>26</v>
      </c>
    </row>
    <row r="441" spans="1:33" ht="12.75">
      <c r="A441" s="11">
        <v>2609501</v>
      </c>
      <c r="B441" s="12" t="s">
        <v>1451</v>
      </c>
      <c r="C441" s="12" t="s">
        <v>26</v>
      </c>
      <c r="D441" s="12">
        <v>170001915020</v>
      </c>
      <c r="E441" s="12">
        <v>45</v>
      </c>
      <c r="F441" s="12" t="s">
        <v>2114</v>
      </c>
      <c r="G441" s="17" t="s">
        <v>2115</v>
      </c>
      <c r="H441" s="12"/>
      <c r="I441" s="12" t="s">
        <v>2114</v>
      </c>
      <c r="J441" s="12" t="s">
        <v>82</v>
      </c>
      <c r="K441" s="19" t="s">
        <v>43</v>
      </c>
      <c r="L441" s="12" t="s">
        <v>30</v>
      </c>
      <c r="M441" s="13">
        <v>10102</v>
      </c>
      <c r="N441" s="14">
        <v>0.47699999999999998</v>
      </c>
      <c r="O441" s="12" t="s">
        <v>2116</v>
      </c>
      <c r="P441" s="12" t="s">
        <v>32</v>
      </c>
      <c r="Q441" s="12">
        <v>45</v>
      </c>
      <c r="R441" s="12" t="s">
        <v>61</v>
      </c>
      <c r="S441" s="12" t="s">
        <v>62</v>
      </c>
      <c r="T441" s="12" t="s">
        <v>2117</v>
      </c>
      <c r="U441" s="12" t="s">
        <v>2118</v>
      </c>
      <c r="V441" s="12" t="s">
        <v>160</v>
      </c>
      <c r="W441" s="12" t="s">
        <v>38</v>
      </c>
      <c r="X441" s="12" t="s">
        <v>39</v>
      </c>
      <c r="Y441" s="15" t="s">
        <v>90</v>
      </c>
    </row>
    <row r="442" spans="1:33" ht="12.75">
      <c r="A442" s="6">
        <v>2614501</v>
      </c>
      <c r="B442" s="7" t="s">
        <v>2119</v>
      </c>
      <c r="C442" s="7" t="s">
        <v>26</v>
      </c>
      <c r="D442" s="7">
        <v>170002220384</v>
      </c>
      <c r="E442" s="7">
        <v>22</v>
      </c>
      <c r="F442" s="7" t="s">
        <v>2120</v>
      </c>
      <c r="G442" s="7"/>
      <c r="H442" s="7"/>
      <c r="I442" s="7" t="s">
        <v>2120</v>
      </c>
      <c r="J442" s="7" t="s">
        <v>42</v>
      </c>
      <c r="K442" s="7" t="s">
        <v>43</v>
      </c>
      <c r="L442" s="7" t="s">
        <v>44</v>
      </c>
      <c r="M442" s="8">
        <v>309</v>
      </c>
      <c r="N442" s="9">
        <v>7.9000000000000008E-3</v>
      </c>
      <c r="O442" s="7" t="s">
        <v>2121</v>
      </c>
      <c r="P442" s="7" t="s">
        <v>46</v>
      </c>
      <c r="Q442" s="7">
        <v>22</v>
      </c>
      <c r="R442" s="7" t="s">
        <v>321</v>
      </c>
      <c r="S442" s="7" t="s">
        <v>322</v>
      </c>
      <c r="T442" s="7" t="s">
        <v>46</v>
      </c>
      <c r="U442" s="7" t="s">
        <v>2122</v>
      </c>
      <c r="V442" s="7" t="s">
        <v>37</v>
      </c>
      <c r="W442" s="7" t="s">
        <v>102</v>
      </c>
      <c r="X442" s="7" t="s">
        <v>39</v>
      </c>
      <c r="Y442" s="10" t="s">
        <v>51</v>
      </c>
      <c r="Z442" s="27"/>
      <c r="AA442" s="27"/>
      <c r="AB442" s="27"/>
      <c r="AC442" s="27"/>
      <c r="AD442" s="27"/>
      <c r="AE442" s="27"/>
      <c r="AF442" s="27"/>
      <c r="AG442" s="27"/>
    </row>
    <row r="443" spans="1:33" ht="12.75">
      <c r="A443" s="11">
        <v>2614501</v>
      </c>
      <c r="B443" s="12" t="s">
        <v>2119</v>
      </c>
      <c r="C443" s="12" t="s">
        <v>26</v>
      </c>
      <c r="D443" s="12">
        <v>170001985447</v>
      </c>
      <c r="E443" s="12">
        <v>77</v>
      </c>
      <c r="F443" s="12" t="s">
        <v>2123</v>
      </c>
      <c r="G443" s="12"/>
      <c r="H443" s="12"/>
      <c r="I443" s="12" t="s">
        <v>2124</v>
      </c>
      <c r="J443" s="12" t="s">
        <v>42</v>
      </c>
      <c r="K443" s="12" t="s">
        <v>43</v>
      </c>
      <c r="L443" s="12" t="s">
        <v>44</v>
      </c>
      <c r="M443" s="13">
        <v>2798</v>
      </c>
      <c r="N443" s="14">
        <v>7.1300000000000002E-2</v>
      </c>
      <c r="O443" s="12" t="s">
        <v>2125</v>
      </c>
      <c r="P443" s="12" t="s">
        <v>32</v>
      </c>
      <c r="Q443" s="12">
        <v>77</v>
      </c>
      <c r="R443" s="12" t="s">
        <v>287</v>
      </c>
      <c r="S443" s="12" t="s">
        <v>287</v>
      </c>
      <c r="T443" s="12" t="s">
        <v>1504</v>
      </c>
      <c r="U443" s="12" t="s">
        <v>2126</v>
      </c>
      <c r="V443" s="12" t="s">
        <v>37</v>
      </c>
      <c r="W443" s="12" t="s">
        <v>102</v>
      </c>
      <c r="X443" s="12" t="s">
        <v>39</v>
      </c>
      <c r="Y443" s="15" t="s">
        <v>65</v>
      </c>
    </row>
    <row r="444" spans="1:33" ht="12.75">
      <c r="A444" s="6">
        <v>2614501</v>
      </c>
      <c r="B444" s="7" t="s">
        <v>2119</v>
      </c>
      <c r="C444" s="7" t="s">
        <v>26</v>
      </c>
      <c r="D444" s="7">
        <v>170001962561</v>
      </c>
      <c r="E444" s="7">
        <v>40</v>
      </c>
      <c r="F444" s="7" t="s">
        <v>2127</v>
      </c>
      <c r="G444" s="7"/>
      <c r="H444" s="7"/>
      <c r="I444" s="7" t="s">
        <v>2127</v>
      </c>
      <c r="J444" s="7" t="s">
        <v>42</v>
      </c>
      <c r="K444" s="7" t="s">
        <v>29</v>
      </c>
      <c r="L444" s="7" t="s">
        <v>44</v>
      </c>
      <c r="M444" s="8">
        <v>17642</v>
      </c>
      <c r="N444" s="9">
        <v>0.44950000000000001</v>
      </c>
      <c r="O444" s="7" t="s">
        <v>2128</v>
      </c>
      <c r="P444" s="7" t="s">
        <v>32</v>
      </c>
      <c r="Q444" s="7">
        <v>40</v>
      </c>
      <c r="R444" s="7" t="s">
        <v>33</v>
      </c>
      <c r="S444" s="7" t="s">
        <v>34</v>
      </c>
      <c r="T444" s="7" t="s">
        <v>2129</v>
      </c>
      <c r="U444" s="7" t="s">
        <v>2130</v>
      </c>
      <c r="V444" s="7" t="s">
        <v>160</v>
      </c>
      <c r="W444" s="7" t="s">
        <v>102</v>
      </c>
      <c r="X444" s="7" t="s">
        <v>39</v>
      </c>
      <c r="Y444" s="10" t="s">
        <v>165</v>
      </c>
    </row>
    <row r="445" spans="1:33" ht="12.75">
      <c r="A445" s="11">
        <v>2614204</v>
      </c>
      <c r="B445" s="12" t="s">
        <v>2097</v>
      </c>
      <c r="C445" s="12" t="s">
        <v>26</v>
      </c>
      <c r="D445" s="12">
        <v>170002040601</v>
      </c>
      <c r="E445" s="12">
        <v>20</v>
      </c>
      <c r="F445" s="12" t="s">
        <v>2131</v>
      </c>
      <c r="G445" s="17" t="s">
        <v>2132</v>
      </c>
      <c r="H445" s="12"/>
      <c r="I445" s="12" t="s">
        <v>2131</v>
      </c>
      <c r="J445" s="12" t="s">
        <v>82</v>
      </c>
      <c r="K445" s="12" t="s">
        <v>43</v>
      </c>
      <c r="L445" s="12" t="s">
        <v>30</v>
      </c>
      <c r="M445" s="13">
        <v>11686</v>
      </c>
      <c r="N445" s="14">
        <v>0.51049999999999995</v>
      </c>
      <c r="O445" s="12" t="s">
        <v>2133</v>
      </c>
      <c r="P445" s="12" t="s">
        <v>32</v>
      </c>
      <c r="Q445" s="12">
        <v>20</v>
      </c>
      <c r="R445" s="12" t="s">
        <v>98</v>
      </c>
      <c r="S445" s="12" t="s">
        <v>99</v>
      </c>
      <c r="T445" s="12" t="s">
        <v>2134</v>
      </c>
      <c r="U445" s="12" t="s">
        <v>2135</v>
      </c>
      <c r="V445" s="12" t="s">
        <v>37</v>
      </c>
      <c r="W445" s="12" t="s">
        <v>156</v>
      </c>
      <c r="X445" s="12" t="s">
        <v>58</v>
      </c>
      <c r="Y445" s="15" t="s">
        <v>90</v>
      </c>
    </row>
    <row r="446" spans="1:33" ht="12.75">
      <c r="A446" s="6">
        <v>2614600</v>
      </c>
      <c r="B446" s="7" t="s">
        <v>2136</v>
      </c>
      <c r="C446" s="7" t="s">
        <v>26</v>
      </c>
      <c r="D446" s="7">
        <v>170002043676</v>
      </c>
      <c r="E446" s="7">
        <v>11</v>
      </c>
      <c r="F446" s="7" t="s">
        <v>2137</v>
      </c>
      <c r="G446" s="7"/>
      <c r="H446" s="7"/>
      <c r="I446" s="7" t="s">
        <v>2138</v>
      </c>
      <c r="J446" s="7" t="s">
        <v>189</v>
      </c>
      <c r="K446" s="7" t="s">
        <v>29</v>
      </c>
      <c r="L446" s="7" t="s">
        <v>44</v>
      </c>
      <c r="M446" s="8">
        <v>8657</v>
      </c>
      <c r="N446" s="9">
        <v>0.48180000000000001</v>
      </c>
      <c r="O446" s="7" t="s">
        <v>2139</v>
      </c>
      <c r="P446" s="7" t="s">
        <v>32</v>
      </c>
      <c r="Q446" s="7">
        <v>11</v>
      </c>
      <c r="R446" s="7" t="s">
        <v>168</v>
      </c>
      <c r="S446" s="7" t="s">
        <v>169</v>
      </c>
      <c r="T446" s="7" t="s">
        <v>2140</v>
      </c>
      <c r="U446" s="7" t="s">
        <v>2141</v>
      </c>
      <c r="V446" s="7" t="s">
        <v>160</v>
      </c>
      <c r="W446" s="7" t="s">
        <v>38</v>
      </c>
      <c r="X446" s="7" t="s">
        <v>39</v>
      </c>
      <c r="Y446" s="10" t="s">
        <v>26</v>
      </c>
    </row>
    <row r="447" spans="1:33" ht="12.75">
      <c r="A447" s="11">
        <v>2614709</v>
      </c>
      <c r="B447" s="12" t="s">
        <v>1348</v>
      </c>
      <c r="C447" s="12" t="s">
        <v>26</v>
      </c>
      <c r="D447" s="12">
        <v>170002054536</v>
      </c>
      <c r="E447" s="12">
        <v>13</v>
      </c>
      <c r="F447" s="12" t="s">
        <v>2142</v>
      </c>
      <c r="G447" s="12"/>
      <c r="H447" s="12"/>
      <c r="I447" s="12" t="s">
        <v>2143</v>
      </c>
      <c r="J447" s="12" t="s">
        <v>42</v>
      </c>
      <c r="K447" s="12" t="s">
        <v>29</v>
      </c>
      <c r="L447" s="12" t="s">
        <v>44</v>
      </c>
      <c r="M447" s="13">
        <v>4290</v>
      </c>
      <c r="N447" s="14">
        <v>0.47510000000000002</v>
      </c>
      <c r="O447" s="12" t="s">
        <v>2144</v>
      </c>
      <c r="P447" s="12" t="s">
        <v>32</v>
      </c>
      <c r="Q447" s="12">
        <v>13</v>
      </c>
      <c r="R447" s="12" t="s">
        <v>130</v>
      </c>
      <c r="S447" s="12" t="s">
        <v>131</v>
      </c>
      <c r="T447" s="12" t="s">
        <v>2145</v>
      </c>
      <c r="U447" s="12" t="s">
        <v>2146</v>
      </c>
      <c r="V447" s="12" t="s">
        <v>37</v>
      </c>
      <c r="W447" s="12" t="s">
        <v>102</v>
      </c>
      <c r="X447" s="12" t="s">
        <v>58</v>
      </c>
      <c r="Y447" s="15" t="s">
        <v>95</v>
      </c>
    </row>
    <row r="448" spans="1:33" ht="12.75">
      <c r="A448" s="6">
        <v>2614402</v>
      </c>
      <c r="B448" s="7" t="s">
        <v>2147</v>
      </c>
      <c r="C448" s="7" t="s">
        <v>26</v>
      </c>
      <c r="D448" s="7">
        <v>170002147297</v>
      </c>
      <c r="E448" s="7">
        <v>40</v>
      </c>
      <c r="F448" s="7" t="s">
        <v>2148</v>
      </c>
      <c r="G448" s="7"/>
      <c r="H448" s="7"/>
      <c r="I448" s="7" t="s">
        <v>2148</v>
      </c>
      <c r="J448" s="7" t="s">
        <v>82</v>
      </c>
      <c r="K448" s="7" t="s">
        <v>29</v>
      </c>
      <c r="L448" s="7" t="s">
        <v>30</v>
      </c>
      <c r="M448" s="8">
        <v>4207</v>
      </c>
      <c r="N448" s="9">
        <v>1</v>
      </c>
      <c r="O448" s="7" t="s">
        <v>2149</v>
      </c>
      <c r="P448" s="7" t="s">
        <v>32</v>
      </c>
      <c r="Q448" s="7">
        <v>40</v>
      </c>
      <c r="R448" s="7" t="s">
        <v>33</v>
      </c>
      <c r="S448" s="7" t="s">
        <v>34</v>
      </c>
      <c r="T448" s="7" t="s">
        <v>2150</v>
      </c>
      <c r="U448" s="7" t="s">
        <v>2151</v>
      </c>
      <c r="V448" s="7" t="s">
        <v>37</v>
      </c>
      <c r="W448" s="7" t="s">
        <v>38</v>
      </c>
      <c r="X448" s="7" t="s">
        <v>58</v>
      </c>
      <c r="Y448" s="10" t="s">
        <v>90</v>
      </c>
    </row>
    <row r="449" spans="1:25" ht="12.75">
      <c r="A449" s="11">
        <v>2614808</v>
      </c>
      <c r="B449" s="12" t="s">
        <v>2152</v>
      </c>
      <c r="C449" s="12" t="s">
        <v>26</v>
      </c>
      <c r="D449" s="12">
        <v>170002004972</v>
      </c>
      <c r="E449" s="12">
        <v>40</v>
      </c>
      <c r="F449" s="12" t="s">
        <v>2153</v>
      </c>
      <c r="G449" s="12"/>
      <c r="H449" s="12"/>
      <c r="I449" s="12" t="s">
        <v>2154</v>
      </c>
      <c r="J449" s="12" t="s">
        <v>42</v>
      </c>
      <c r="K449" s="12" t="s">
        <v>43</v>
      </c>
      <c r="L449" s="12" t="s">
        <v>44</v>
      </c>
      <c r="M449" s="13">
        <v>7101</v>
      </c>
      <c r="N449" s="14">
        <v>0.47099999999999997</v>
      </c>
      <c r="O449" s="12" t="s">
        <v>2155</v>
      </c>
      <c r="P449" s="12" t="s">
        <v>32</v>
      </c>
      <c r="Q449" s="12">
        <v>40</v>
      </c>
      <c r="R449" s="12" t="s">
        <v>33</v>
      </c>
      <c r="S449" s="12" t="s">
        <v>34</v>
      </c>
      <c r="T449" s="12" t="s">
        <v>2156</v>
      </c>
      <c r="U449" s="12" t="s">
        <v>2157</v>
      </c>
      <c r="V449" s="12" t="s">
        <v>37</v>
      </c>
      <c r="W449" s="12" t="s">
        <v>50</v>
      </c>
      <c r="X449" s="12" t="s">
        <v>621</v>
      </c>
      <c r="Y449" s="15" t="s">
        <v>90</v>
      </c>
    </row>
    <row r="450" spans="1:25" ht="12.75">
      <c r="A450" s="6">
        <v>2614501</v>
      </c>
      <c r="B450" s="7" t="s">
        <v>2119</v>
      </c>
      <c r="C450" s="7" t="s">
        <v>26</v>
      </c>
      <c r="D450" s="7">
        <v>170002060981</v>
      </c>
      <c r="E450" s="7">
        <v>44</v>
      </c>
      <c r="F450" s="7" t="s">
        <v>2158</v>
      </c>
      <c r="G450" s="7" t="s">
        <v>2159</v>
      </c>
      <c r="H450" s="7"/>
      <c r="I450" s="7" t="s">
        <v>2160</v>
      </c>
      <c r="J450" s="7" t="s">
        <v>82</v>
      </c>
      <c r="K450" s="7" t="s">
        <v>43</v>
      </c>
      <c r="L450" s="7" t="s">
        <v>30</v>
      </c>
      <c r="M450" s="8">
        <v>18500</v>
      </c>
      <c r="N450" s="9">
        <v>0.4713</v>
      </c>
      <c r="O450" s="7" t="s">
        <v>2161</v>
      </c>
      <c r="P450" s="7" t="s">
        <v>32</v>
      </c>
      <c r="Q450" s="7">
        <v>44</v>
      </c>
      <c r="R450" s="7" t="s">
        <v>314</v>
      </c>
      <c r="S450" s="7" t="s">
        <v>315</v>
      </c>
      <c r="T450" s="7" t="s">
        <v>2162</v>
      </c>
      <c r="U450" s="7" t="s">
        <v>2163</v>
      </c>
      <c r="V450" s="7" t="s">
        <v>37</v>
      </c>
      <c r="W450" s="7" t="s">
        <v>50</v>
      </c>
      <c r="X450" s="7" t="s">
        <v>39</v>
      </c>
      <c r="Y450" s="10" t="s">
        <v>660</v>
      </c>
    </row>
    <row r="451" spans="1:25" ht="12.75">
      <c r="A451" s="11">
        <v>2614600</v>
      </c>
      <c r="B451" s="12" t="s">
        <v>2136</v>
      </c>
      <c r="C451" s="12" t="s">
        <v>26</v>
      </c>
      <c r="D451" s="12">
        <v>170002195128</v>
      </c>
      <c r="E451" s="12">
        <v>13</v>
      </c>
      <c r="F451" s="12" t="s">
        <v>2164</v>
      </c>
      <c r="G451" s="17" t="s">
        <v>2165</v>
      </c>
      <c r="H451" s="12"/>
      <c r="I451" s="12" t="s">
        <v>2166</v>
      </c>
      <c r="J451" s="12" t="s">
        <v>82</v>
      </c>
      <c r="K451" s="12" t="s">
        <v>43</v>
      </c>
      <c r="L451" s="12" t="s">
        <v>30</v>
      </c>
      <c r="M451" s="13">
        <v>9310</v>
      </c>
      <c r="N451" s="14">
        <v>0.51819999999999999</v>
      </c>
      <c r="O451" s="12" t="s">
        <v>2167</v>
      </c>
      <c r="P451" s="12" t="s">
        <v>32</v>
      </c>
      <c r="Q451" s="12">
        <v>13</v>
      </c>
      <c r="R451" s="12" t="s">
        <v>130</v>
      </c>
      <c r="S451" s="12" t="s">
        <v>131</v>
      </c>
      <c r="T451" s="12" t="s">
        <v>2168</v>
      </c>
      <c r="U451" s="12" t="s">
        <v>2169</v>
      </c>
      <c r="V451" s="12" t="s">
        <v>37</v>
      </c>
      <c r="W451" s="12" t="s">
        <v>38</v>
      </c>
      <c r="X451" s="12" t="s">
        <v>58</v>
      </c>
      <c r="Y451" s="15" t="s">
        <v>127</v>
      </c>
    </row>
    <row r="452" spans="1:25" ht="12.75">
      <c r="A452" s="6">
        <v>2614857</v>
      </c>
      <c r="B452" s="7" t="s">
        <v>2170</v>
      </c>
      <c r="C452" s="7" t="s">
        <v>26</v>
      </c>
      <c r="D452" s="7">
        <v>170002197886</v>
      </c>
      <c r="E452" s="7">
        <v>55</v>
      </c>
      <c r="F452" s="7" t="s">
        <v>2171</v>
      </c>
      <c r="G452" s="7"/>
      <c r="H452" s="7"/>
      <c r="I452" s="7" t="s">
        <v>2172</v>
      </c>
      <c r="J452" s="7" t="s">
        <v>42</v>
      </c>
      <c r="K452" s="7" t="s">
        <v>43</v>
      </c>
      <c r="L452" s="7" t="s">
        <v>44</v>
      </c>
      <c r="M452" s="8">
        <v>7154</v>
      </c>
      <c r="N452" s="9">
        <v>0.42170000000000002</v>
      </c>
      <c r="O452" s="7" t="s">
        <v>2173</v>
      </c>
      <c r="P452" s="7" t="s">
        <v>32</v>
      </c>
      <c r="Q452" s="7">
        <v>55</v>
      </c>
      <c r="R452" s="7" t="s">
        <v>74</v>
      </c>
      <c r="S452" s="7" t="s">
        <v>75</v>
      </c>
      <c r="T452" s="7" t="s">
        <v>2174</v>
      </c>
      <c r="U452" s="7" t="s">
        <v>2175</v>
      </c>
      <c r="V452" s="7" t="s">
        <v>37</v>
      </c>
      <c r="W452" s="7" t="s">
        <v>114</v>
      </c>
      <c r="X452" s="7" t="s">
        <v>58</v>
      </c>
      <c r="Y452" s="10" t="s">
        <v>90</v>
      </c>
    </row>
    <row r="453" spans="1:25" ht="12.75">
      <c r="A453" s="11">
        <v>2615003</v>
      </c>
      <c r="B453" s="12" t="s">
        <v>2176</v>
      </c>
      <c r="C453" s="12" t="s">
        <v>26</v>
      </c>
      <c r="D453" s="12">
        <v>170002246255</v>
      </c>
      <c r="E453" s="12">
        <v>45</v>
      </c>
      <c r="F453" s="12" t="s">
        <v>2177</v>
      </c>
      <c r="G453" s="12"/>
      <c r="H453" s="12"/>
      <c r="I453" s="12" t="s">
        <v>2177</v>
      </c>
      <c r="J453" s="12" t="s">
        <v>42</v>
      </c>
      <c r="K453" s="12" t="s">
        <v>29</v>
      </c>
      <c r="L453" s="12" t="s">
        <v>44</v>
      </c>
      <c r="M453" s="13">
        <v>6755</v>
      </c>
      <c r="N453" s="14">
        <v>0.36209999999999998</v>
      </c>
      <c r="O453" s="12" t="s">
        <v>2178</v>
      </c>
      <c r="P453" s="12" t="s">
        <v>32</v>
      </c>
      <c r="Q453" s="12">
        <v>45</v>
      </c>
      <c r="R453" s="12" t="s">
        <v>61</v>
      </c>
      <c r="S453" s="12" t="s">
        <v>62</v>
      </c>
      <c r="T453" s="12" t="s">
        <v>2179</v>
      </c>
      <c r="U453" s="12" t="s">
        <v>2180</v>
      </c>
      <c r="V453" s="12" t="s">
        <v>37</v>
      </c>
      <c r="W453" s="12" t="s">
        <v>50</v>
      </c>
      <c r="X453" s="12" t="s">
        <v>89</v>
      </c>
      <c r="Y453" s="15" t="s">
        <v>51</v>
      </c>
    </row>
    <row r="454" spans="1:25" ht="12.75">
      <c r="A454" s="6">
        <v>2604809</v>
      </c>
      <c r="B454" s="7" t="s">
        <v>759</v>
      </c>
      <c r="C454" s="7" t="s">
        <v>26</v>
      </c>
      <c r="D454" s="7">
        <v>170001973565</v>
      </c>
      <c r="E454" s="7">
        <v>45</v>
      </c>
      <c r="F454" s="7" t="s">
        <v>2181</v>
      </c>
      <c r="G454" s="7"/>
      <c r="H454" s="7"/>
      <c r="I454" s="7" t="s">
        <v>2181</v>
      </c>
      <c r="J454" s="7" t="s">
        <v>28</v>
      </c>
      <c r="K454" s="7" t="s">
        <v>29</v>
      </c>
      <c r="L454" s="7" t="s">
        <v>30</v>
      </c>
      <c r="M454" s="8">
        <v>3910</v>
      </c>
      <c r="N454" s="9">
        <v>0.42820000000000003</v>
      </c>
      <c r="O454" s="7" t="s">
        <v>2182</v>
      </c>
      <c r="P454" s="7" t="s">
        <v>32</v>
      </c>
      <c r="Q454" s="7">
        <v>45</v>
      </c>
      <c r="R454" s="7" t="s">
        <v>61</v>
      </c>
      <c r="S454" s="7" t="s">
        <v>62</v>
      </c>
      <c r="T454" s="7" t="s">
        <v>2183</v>
      </c>
      <c r="U454" s="7" t="s">
        <v>2184</v>
      </c>
      <c r="V454" s="7" t="s">
        <v>160</v>
      </c>
      <c r="W454" s="7" t="s">
        <v>38</v>
      </c>
      <c r="X454" s="7" t="s">
        <v>39</v>
      </c>
      <c r="Y454" s="10" t="s">
        <v>257</v>
      </c>
    </row>
    <row r="455" spans="1:25" ht="12.75">
      <c r="A455" s="11">
        <v>2615003</v>
      </c>
      <c r="B455" s="12" t="s">
        <v>2176</v>
      </c>
      <c r="C455" s="12" t="s">
        <v>26</v>
      </c>
      <c r="D455" s="12">
        <v>170001950328</v>
      </c>
      <c r="E455" s="12">
        <v>55</v>
      </c>
      <c r="F455" s="12" t="s">
        <v>2185</v>
      </c>
      <c r="G455" s="12"/>
      <c r="H455" s="12"/>
      <c r="I455" s="12" t="s">
        <v>2186</v>
      </c>
      <c r="J455" s="12" t="s">
        <v>42</v>
      </c>
      <c r="K455" s="12" t="s">
        <v>43</v>
      </c>
      <c r="L455" s="12" t="s">
        <v>44</v>
      </c>
      <c r="M455" s="13">
        <v>1976</v>
      </c>
      <c r="N455" s="14">
        <v>0.10589999999999999</v>
      </c>
      <c r="O455" s="12" t="s">
        <v>2187</v>
      </c>
      <c r="P455" s="12" t="s">
        <v>32</v>
      </c>
      <c r="Q455" s="12">
        <v>55</v>
      </c>
      <c r="R455" s="12" t="s">
        <v>74</v>
      </c>
      <c r="S455" s="12" t="s">
        <v>75</v>
      </c>
      <c r="T455" s="12" t="s">
        <v>2188</v>
      </c>
      <c r="U455" s="12" t="s">
        <v>2189</v>
      </c>
      <c r="V455" s="12" t="s">
        <v>37</v>
      </c>
      <c r="W455" s="12" t="s">
        <v>38</v>
      </c>
      <c r="X455" s="12" t="s">
        <v>39</v>
      </c>
      <c r="Y455" s="15" t="s">
        <v>127</v>
      </c>
    </row>
    <row r="456" spans="1:25" ht="12.75">
      <c r="A456" s="6">
        <v>2615003</v>
      </c>
      <c r="B456" s="7" t="s">
        <v>2176</v>
      </c>
      <c r="C456" s="7" t="s">
        <v>26</v>
      </c>
      <c r="D456" s="7">
        <v>170001981446</v>
      </c>
      <c r="E456" s="7">
        <v>44</v>
      </c>
      <c r="F456" s="7" t="s">
        <v>2190</v>
      </c>
      <c r="G456" s="7"/>
      <c r="H456" s="7"/>
      <c r="I456" s="7" t="s">
        <v>2191</v>
      </c>
      <c r="J456" s="7" t="s">
        <v>42</v>
      </c>
      <c r="K456" s="7" t="s">
        <v>43</v>
      </c>
      <c r="L456" s="7" t="s">
        <v>44</v>
      </c>
      <c r="M456" s="8">
        <v>2385</v>
      </c>
      <c r="N456" s="9">
        <v>0.1278</v>
      </c>
      <c r="O456" s="7" t="s">
        <v>2192</v>
      </c>
      <c r="P456" s="7" t="s">
        <v>32</v>
      </c>
      <c r="Q456" s="7">
        <v>44</v>
      </c>
      <c r="R456" s="7" t="s">
        <v>314</v>
      </c>
      <c r="S456" s="7" t="s">
        <v>315</v>
      </c>
      <c r="T456" s="7" t="s">
        <v>2193</v>
      </c>
      <c r="U456" s="7" t="s">
        <v>2194</v>
      </c>
      <c r="V456" s="7" t="s">
        <v>37</v>
      </c>
      <c r="W456" s="7" t="s">
        <v>38</v>
      </c>
      <c r="X456" s="7" t="s">
        <v>39</v>
      </c>
      <c r="Y456" s="10" t="s">
        <v>90</v>
      </c>
    </row>
    <row r="457" spans="1:25" ht="12.75">
      <c r="A457" s="11">
        <v>2615102</v>
      </c>
      <c r="B457" s="12" t="s">
        <v>2195</v>
      </c>
      <c r="C457" s="12" t="s">
        <v>26</v>
      </c>
      <c r="D457" s="12">
        <v>170001964200</v>
      </c>
      <c r="E457" s="12">
        <v>55</v>
      </c>
      <c r="F457" s="12" t="s">
        <v>2196</v>
      </c>
      <c r="G457" s="12"/>
      <c r="H457" s="12"/>
      <c r="I457" s="12" t="s">
        <v>2196</v>
      </c>
      <c r="J457" s="12" t="s">
        <v>42</v>
      </c>
      <c r="K457" s="12" t="s">
        <v>43</v>
      </c>
      <c r="L457" s="12" t="s">
        <v>44</v>
      </c>
      <c r="M457" s="13">
        <v>2663</v>
      </c>
      <c r="N457" s="14">
        <v>0.49209999999999998</v>
      </c>
      <c r="O457" s="12" t="s">
        <v>2197</v>
      </c>
      <c r="P457" s="12" t="s">
        <v>32</v>
      </c>
      <c r="Q457" s="12">
        <v>55</v>
      </c>
      <c r="R457" s="12" t="s">
        <v>74</v>
      </c>
      <c r="S457" s="12" t="s">
        <v>75</v>
      </c>
      <c r="T457" s="12" t="s">
        <v>2198</v>
      </c>
      <c r="U457" s="12" t="s">
        <v>2199</v>
      </c>
      <c r="V457" s="12" t="s">
        <v>37</v>
      </c>
      <c r="W457" s="12" t="s">
        <v>38</v>
      </c>
      <c r="X457" s="12" t="s">
        <v>58</v>
      </c>
      <c r="Y457" s="15" t="s">
        <v>401</v>
      </c>
    </row>
    <row r="458" spans="1:25" ht="12.75">
      <c r="A458" s="6">
        <v>2614808</v>
      </c>
      <c r="B458" s="7" t="s">
        <v>2152</v>
      </c>
      <c r="C458" s="7" t="s">
        <v>26</v>
      </c>
      <c r="D458" s="7">
        <v>170001959188</v>
      </c>
      <c r="E458" s="7">
        <v>15</v>
      </c>
      <c r="F458" s="7" t="s">
        <v>2200</v>
      </c>
      <c r="G458" s="7"/>
      <c r="H458" s="7"/>
      <c r="I458" s="7" t="s">
        <v>2201</v>
      </c>
      <c r="J458" s="7" t="s">
        <v>28</v>
      </c>
      <c r="K458" s="7" t="s">
        <v>29</v>
      </c>
      <c r="L458" s="7" t="s">
        <v>30</v>
      </c>
      <c r="M458" s="8">
        <v>7976</v>
      </c>
      <c r="N458" s="9">
        <v>0.52900000000000003</v>
      </c>
      <c r="O458" s="7" t="s">
        <v>2202</v>
      </c>
      <c r="P458" s="7" t="s">
        <v>32</v>
      </c>
      <c r="Q458" s="7">
        <v>15</v>
      </c>
      <c r="R458" s="7" t="s">
        <v>85</v>
      </c>
      <c r="S458" s="7" t="s">
        <v>86</v>
      </c>
      <c r="T458" s="7" t="s">
        <v>2203</v>
      </c>
      <c r="U458" s="7" t="s">
        <v>2204</v>
      </c>
      <c r="V458" s="7" t="s">
        <v>37</v>
      </c>
      <c r="W458" s="7" t="s">
        <v>50</v>
      </c>
      <c r="X458" s="7" t="s">
        <v>58</v>
      </c>
      <c r="Y458" s="10" t="s">
        <v>26</v>
      </c>
    </row>
    <row r="459" spans="1:25" ht="12.75">
      <c r="A459" s="11">
        <v>2614857</v>
      </c>
      <c r="B459" s="12" t="s">
        <v>2170</v>
      </c>
      <c r="C459" s="12" t="s">
        <v>26</v>
      </c>
      <c r="D459" s="12">
        <v>170002327184</v>
      </c>
      <c r="E459" s="12">
        <v>10</v>
      </c>
      <c r="F459" s="12" t="s">
        <v>2205</v>
      </c>
      <c r="G459" s="12"/>
      <c r="H459" s="12"/>
      <c r="I459" s="12" t="s">
        <v>2205</v>
      </c>
      <c r="J459" s="12" t="s">
        <v>28</v>
      </c>
      <c r="K459" s="12" t="s">
        <v>29</v>
      </c>
      <c r="L459" s="12" t="s">
        <v>30</v>
      </c>
      <c r="M459" s="13">
        <v>9810</v>
      </c>
      <c r="N459" s="14">
        <v>0.57830000000000004</v>
      </c>
      <c r="O459" s="12" t="s">
        <v>2206</v>
      </c>
      <c r="P459" s="12" t="s">
        <v>32</v>
      </c>
      <c r="Q459" s="12">
        <v>10</v>
      </c>
      <c r="R459" s="12" t="s">
        <v>124</v>
      </c>
      <c r="S459" s="12" t="s">
        <v>124</v>
      </c>
      <c r="T459" s="12" t="s">
        <v>2207</v>
      </c>
      <c r="U459" s="12" t="s">
        <v>2208</v>
      </c>
      <c r="V459" s="12" t="s">
        <v>37</v>
      </c>
      <c r="W459" s="12" t="s">
        <v>156</v>
      </c>
      <c r="X459" s="12" t="s">
        <v>89</v>
      </c>
      <c r="Y459" s="15" t="s">
        <v>26</v>
      </c>
    </row>
    <row r="460" spans="1:25" ht="12.75">
      <c r="A460" s="6">
        <v>2615201</v>
      </c>
      <c r="B460" s="7" t="s">
        <v>2209</v>
      </c>
      <c r="C460" s="7" t="s">
        <v>26</v>
      </c>
      <c r="D460" s="7">
        <v>170002261348</v>
      </c>
      <c r="E460" s="7">
        <v>44</v>
      </c>
      <c r="F460" s="7" t="s">
        <v>2210</v>
      </c>
      <c r="G460" s="7"/>
      <c r="H460" s="7"/>
      <c r="I460" s="7" t="s">
        <v>2211</v>
      </c>
      <c r="J460" s="7" t="s">
        <v>42</v>
      </c>
      <c r="K460" s="7" t="s">
        <v>43</v>
      </c>
      <c r="L460" s="7" t="s">
        <v>44</v>
      </c>
      <c r="M460" s="8">
        <v>2908</v>
      </c>
      <c r="N460" s="9">
        <v>0.38179999999999997</v>
      </c>
      <c r="O460" s="7" t="s">
        <v>2212</v>
      </c>
      <c r="P460" s="7" t="s">
        <v>32</v>
      </c>
      <c r="Q460" s="7">
        <v>44</v>
      </c>
      <c r="R460" s="7" t="s">
        <v>314</v>
      </c>
      <c r="S460" s="7" t="s">
        <v>315</v>
      </c>
      <c r="T460" s="7" t="s">
        <v>2213</v>
      </c>
      <c r="U460" s="7" t="s">
        <v>2214</v>
      </c>
      <c r="V460" s="7" t="s">
        <v>37</v>
      </c>
      <c r="W460" s="7" t="s">
        <v>50</v>
      </c>
      <c r="X460" s="7" t="s">
        <v>58</v>
      </c>
      <c r="Y460" s="10" t="s">
        <v>95</v>
      </c>
    </row>
    <row r="461" spans="1:25" ht="12.75">
      <c r="A461" s="11">
        <v>2615300</v>
      </c>
      <c r="B461" s="12" t="s">
        <v>2215</v>
      </c>
      <c r="C461" s="12" t="s">
        <v>26</v>
      </c>
      <c r="D461" s="12">
        <v>170001961317</v>
      </c>
      <c r="E461" s="12">
        <v>44</v>
      </c>
      <c r="F461" s="12" t="s">
        <v>2216</v>
      </c>
      <c r="G461" s="12"/>
      <c r="H461" s="12"/>
      <c r="I461" s="12" t="s">
        <v>2216</v>
      </c>
      <c r="J461" s="12" t="s">
        <v>42</v>
      </c>
      <c r="K461" s="12" t="s">
        <v>43</v>
      </c>
      <c r="L461" s="12" t="s">
        <v>44</v>
      </c>
      <c r="M461" s="13">
        <v>7117</v>
      </c>
      <c r="N461" s="14">
        <v>0.21890000000000001</v>
      </c>
      <c r="O461" s="12" t="s">
        <v>2217</v>
      </c>
      <c r="P461" s="12" t="s">
        <v>32</v>
      </c>
      <c r="Q461" s="12">
        <v>44</v>
      </c>
      <c r="R461" s="12" t="s">
        <v>314</v>
      </c>
      <c r="S461" s="12" t="s">
        <v>315</v>
      </c>
      <c r="T461" s="12" t="s">
        <v>2218</v>
      </c>
      <c r="U461" s="12" t="s">
        <v>2219</v>
      </c>
      <c r="V461" s="12" t="s">
        <v>37</v>
      </c>
      <c r="W461" s="12" t="s">
        <v>38</v>
      </c>
      <c r="X461" s="12" t="s">
        <v>39</v>
      </c>
      <c r="Y461" s="15" t="s">
        <v>328</v>
      </c>
    </row>
    <row r="462" spans="1:25" ht="12.75">
      <c r="A462" s="6">
        <v>2615300</v>
      </c>
      <c r="B462" s="7" t="s">
        <v>2215</v>
      </c>
      <c r="C462" s="7" t="s">
        <v>26</v>
      </c>
      <c r="D462" s="7">
        <v>170002042529</v>
      </c>
      <c r="E462" s="7">
        <v>45</v>
      </c>
      <c r="F462" s="7" t="s">
        <v>2220</v>
      </c>
      <c r="G462" s="7"/>
      <c r="H462" s="7"/>
      <c r="I462" s="7" t="s">
        <v>2221</v>
      </c>
      <c r="J462" s="7" t="s">
        <v>42</v>
      </c>
      <c r="K462" s="7" t="s">
        <v>43</v>
      </c>
      <c r="L462" s="7" t="s">
        <v>44</v>
      </c>
      <c r="M462" s="8">
        <v>918</v>
      </c>
      <c r="N462" s="9">
        <v>2.8199999999999999E-2</v>
      </c>
      <c r="O462" s="7" t="s">
        <v>2222</v>
      </c>
      <c r="P462" s="7" t="s">
        <v>32</v>
      </c>
      <c r="Q462" s="7">
        <v>45</v>
      </c>
      <c r="R462" s="7" t="s">
        <v>61</v>
      </c>
      <c r="S462" s="7" t="s">
        <v>62</v>
      </c>
      <c r="T462" s="7" t="s">
        <v>2223</v>
      </c>
      <c r="U462" s="7" t="s">
        <v>2224</v>
      </c>
      <c r="V462" s="7" t="s">
        <v>160</v>
      </c>
      <c r="W462" s="7" t="s">
        <v>38</v>
      </c>
      <c r="X462" s="7" t="s">
        <v>58</v>
      </c>
      <c r="Y462" s="10" t="s">
        <v>165</v>
      </c>
    </row>
    <row r="463" spans="1:25" ht="12.75">
      <c r="A463" s="11">
        <v>2615003</v>
      </c>
      <c r="B463" s="12" t="s">
        <v>2176</v>
      </c>
      <c r="C463" s="12" t="s">
        <v>26</v>
      </c>
      <c r="D463" s="12">
        <v>170002180448</v>
      </c>
      <c r="E463" s="12">
        <v>11</v>
      </c>
      <c r="F463" s="12" t="s">
        <v>2225</v>
      </c>
      <c r="G463" s="17" t="s">
        <v>2226</v>
      </c>
      <c r="H463" s="12"/>
      <c r="I463" s="12" t="s">
        <v>2225</v>
      </c>
      <c r="J463" s="12" t="s">
        <v>82</v>
      </c>
      <c r="K463" s="12" t="s">
        <v>43</v>
      </c>
      <c r="L463" s="12" t="s">
        <v>30</v>
      </c>
      <c r="M463" s="13">
        <v>7541</v>
      </c>
      <c r="N463" s="14">
        <v>0.4042</v>
      </c>
      <c r="O463" s="12" t="s">
        <v>2227</v>
      </c>
      <c r="P463" s="12" t="s">
        <v>32</v>
      </c>
      <c r="Q463" s="12">
        <v>11</v>
      </c>
      <c r="R463" s="12" t="s">
        <v>168</v>
      </c>
      <c r="S463" s="12" t="s">
        <v>169</v>
      </c>
      <c r="T463" s="12" t="s">
        <v>2228</v>
      </c>
      <c r="U463" s="12" t="s">
        <v>2229</v>
      </c>
      <c r="V463" s="12" t="s">
        <v>37</v>
      </c>
      <c r="W463" s="12" t="s">
        <v>50</v>
      </c>
      <c r="X463" s="12" t="s">
        <v>58</v>
      </c>
      <c r="Y463" s="15" t="s">
        <v>90</v>
      </c>
    </row>
    <row r="464" spans="1:25" ht="12.75">
      <c r="A464" s="6">
        <v>2615300</v>
      </c>
      <c r="B464" s="7" t="s">
        <v>2215</v>
      </c>
      <c r="C464" s="7" t="s">
        <v>26</v>
      </c>
      <c r="D464" s="7">
        <v>170002142328</v>
      </c>
      <c r="E464" s="7">
        <v>10</v>
      </c>
      <c r="F464" s="7" t="s">
        <v>2230</v>
      </c>
      <c r="G464" s="7"/>
      <c r="H464" s="7"/>
      <c r="I464" s="7" t="s">
        <v>2230</v>
      </c>
      <c r="J464" s="7" t="s">
        <v>42</v>
      </c>
      <c r="K464" s="7" t="s">
        <v>43</v>
      </c>
      <c r="L464" s="7" t="s">
        <v>44</v>
      </c>
      <c r="M464" s="8">
        <v>9642</v>
      </c>
      <c r="N464" s="9">
        <v>0.29649999999999999</v>
      </c>
      <c r="O464" s="7" t="s">
        <v>2231</v>
      </c>
      <c r="P464" s="7" t="s">
        <v>32</v>
      </c>
      <c r="Q464" s="7">
        <v>10</v>
      </c>
      <c r="R464" s="7" t="s">
        <v>124</v>
      </c>
      <c r="S464" s="7" t="s">
        <v>124</v>
      </c>
      <c r="T464" s="7" t="s">
        <v>2232</v>
      </c>
      <c r="U464" s="7" t="s">
        <v>2233</v>
      </c>
      <c r="V464" s="7" t="s">
        <v>37</v>
      </c>
      <c r="W464" s="7" t="s">
        <v>50</v>
      </c>
      <c r="X464" s="7" t="s">
        <v>58</v>
      </c>
      <c r="Y464" s="10" t="s">
        <v>109</v>
      </c>
    </row>
    <row r="465" spans="1:25" ht="12.75">
      <c r="A465" s="11">
        <v>2615409</v>
      </c>
      <c r="B465" s="12" t="s">
        <v>2234</v>
      </c>
      <c r="C465" s="12" t="s">
        <v>26</v>
      </c>
      <c r="D465" s="12">
        <v>170002315684</v>
      </c>
      <c r="E465" s="12">
        <v>13</v>
      </c>
      <c r="F465" s="12" t="s">
        <v>2235</v>
      </c>
      <c r="G465" s="12"/>
      <c r="H465" s="12"/>
      <c r="I465" s="12" t="s">
        <v>2236</v>
      </c>
      <c r="J465" s="12" t="s">
        <v>42</v>
      </c>
      <c r="K465" s="12" t="s">
        <v>43</v>
      </c>
      <c r="L465" s="12" t="s">
        <v>44</v>
      </c>
      <c r="M465" s="13">
        <v>150</v>
      </c>
      <c r="N465" s="14">
        <v>5.3E-3</v>
      </c>
      <c r="O465" s="12" t="s">
        <v>2237</v>
      </c>
      <c r="P465" s="12" t="s">
        <v>32</v>
      </c>
      <c r="Q465" s="12">
        <v>13</v>
      </c>
      <c r="R465" s="12" t="s">
        <v>130</v>
      </c>
      <c r="S465" s="12" t="s">
        <v>131</v>
      </c>
      <c r="T465" s="12" t="s">
        <v>2238</v>
      </c>
      <c r="U465" s="12" t="s">
        <v>2239</v>
      </c>
      <c r="V465" s="12" t="s">
        <v>37</v>
      </c>
      <c r="W465" s="12" t="s">
        <v>38</v>
      </c>
      <c r="X465" s="12" t="s">
        <v>39</v>
      </c>
      <c r="Y465" s="15" t="s">
        <v>51</v>
      </c>
    </row>
    <row r="466" spans="1:25" ht="12.75">
      <c r="A466" s="6">
        <v>2615409</v>
      </c>
      <c r="B466" s="7" t="s">
        <v>2234</v>
      </c>
      <c r="C466" s="7" t="s">
        <v>26</v>
      </c>
      <c r="D466" s="7">
        <v>170002019347</v>
      </c>
      <c r="E466" s="7">
        <v>45</v>
      </c>
      <c r="F466" s="7" t="s">
        <v>2240</v>
      </c>
      <c r="G466" s="7"/>
      <c r="H466" s="7"/>
      <c r="I466" s="7" t="s">
        <v>2240</v>
      </c>
      <c r="J466" s="7" t="s">
        <v>42</v>
      </c>
      <c r="K466" s="7" t="s">
        <v>43</v>
      </c>
      <c r="L466" s="7" t="s">
        <v>44</v>
      </c>
      <c r="M466" s="8">
        <v>9151</v>
      </c>
      <c r="N466" s="9">
        <v>0.32550000000000001</v>
      </c>
      <c r="O466" s="7" t="s">
        <v>2241</v>
      </c>
      <c r="P466" s="7" t="s">
        <v>32</v>
      </c>
      <c r="Q466" s="7">
        <v>45</v>
      </c>
      <c r="R466" s="7" t="s">
        <v>61</v>
      </c>
      <c r="S466" s="7" t="s">
        <v>62</v>
      </c>
      <c r="T466" s="7" t="s">
        <v>2242</v>
      </c>
      <c r="U466" s="7" t="s">
        <v>2243</v>
      </c>
      <c r="V466" s="7" t="s">
        <v>37</v>
      </c>
      <c r="W466" s="7" t="s">
        <v>38</v>
      </c>
      <c r="X466" s="7" t="s">
        <v>39</v>
      </c>
      <c r="Y466" s="10" t="s">
        <v>51</v>
      </c>
    </row>
    <row r="467" spans="1:25" ht="12.75">
      <c r="A467" s="11">
        <v>2615102</v>
      </c>
      <c r="B467" s="12" t="s">
        <v>2195</v>
      </c>
      <c r="C467" s="12" t="s">
        <v>26</v>
      </c>
      <c r="D467" s="12">
        <v>170002111755</v>
      </c>
      <c r="E467" s="12">
        <v>10</v>
      </c>
      <c r="F467" s="12" t="s">
        <v>2244</v>
      </c>
      <c r="G467" s="12"/>
      <c r="H467" s="12"/>
      <c r="I467" s="12" t="s">
        <v>2244</v>
      </c>
      <c r="J467" s="12" t="s">
        <v>82</v>
      </c>
      <c r="K467" s="12" t="s">
        <v>29</v>
      </c>
      <c r="L467" s="12" t="s">
        <v>30</v>
      </c>
      <c r="M467" s="13">
        <v>2748</v>
      </c>
      <c r="N467" s="14">
        <v>0.50790000000000002</v>
      </c>
      <c r="O467" s="12" t="s">
        <v>2245</v>
      </c>
      <c r="P467" s="12" t="s">
        <v>32</v>
      </c>
      <c r="Q467" s="12">
        <v>10</v>
      </c>
      <c r="R467" s="12" t="s">
        <v>124</v>
      </c>
      <c r="S467" s="12" t="s">
        <v>124</v>
      </c>
      <c r="T467" s="12" t="s">
        <v>2246</v>
      </c>
      <c r="U467" s="12" t="s">
        <v>2247</v>
      </c>
      <c r="V467" s="12" t="s">
        <v>37</v>
      </c>
      <c r="W467" s="12" t="s">
        <v>102</v>
      </c>
      <c r="X467" s="12" t="s">
        <v>39</v>
      </c>
      <c r="Y467" s="15" t="s">
        <v>90</v>
      </c>
    </row>
    <row r="468" spans="1:25" ht="12.75">
      <c r="A468" s="6">
        <v>2615201</v>
      </c>
      <c r="B468" s="7" t="s">
        <v>2209</v>
      </c>
      <c r="C468" s="7" t="s">
        <v>26</v>
      </c>
      <c r="D468" s="7">
        <v>170001982770</v>
      </c>
      <c r="E468" s="7">
        <v>70</v>
      </c>
      <c r="F468" s="7" t="s">
        <v>2248</v>
      </c>
      <c r="G468" s="7"/>
      <c r="H468" s="7"/>
      <c r="I468" s="7" t="s">
        <v>2249</v>
      </c>
      <c r="J468" s="7" t="s">
        <v>82</v>
      </c>
      <c r="K468" s="7" t="s">
        <v>29</v>
      </c>
      <c r="L468" s="7" t="s">
        <v>30</v>
      </c>
      <c r="M468" s="8">
        <v>4709</v>
      </c>
      <c r="N468" s="9">
        <v>0.61819999999999997</v>
      </c>
      <c r="O468" s="7" t="s">
        <v>2250</v>
      </c>
      <c r="P468" s="7" t="s">
        <v>32</v>
      </c>
      <c r="Q468" s="7">
        <v>70</v>
      </c>
      <c r="R468" s="7" t="s">
        <v>177</v>
      </c>
      <c r="S468" s="7" t="s">
        <v>177</v>
      </c>
      <c r="T468" s="7" t="s">
        <v>2251</v>
      </c>
      <c r="U468" s="7" t="s">
        <v>2252</v>
      </c>
      <c r="V468" s="7" t="s">
        <v>37</v>
      </c>
      <c r="W468" s="7" t="s">
        <v>38</v>
      </c>
      <c r="X468" s="7" t="s">
        <v>39</v>
      </c>
      <c r="Y468" s="10" t="s">
        <v>65</v>
      </c>
    </row>
    <row r="469" spans="1:25" ht="12.75">
      <c r="A469" s="11">
        <v>2615508</v>
      </c>
      <c r="B469" s="12" t="s">
        <v>2253</v>
      </c>
      <c r="C469" s="12" t="s">
        <v>26</v>
      </c>
      <c r="D469" s="12">
        <v>170002084564</v>
      </c>
      <c r="E469" s="12">
        <v>40</v>
      </c>
      <c r="F469" s="12" t="s">
        <v>2254</v>
      </c>
      <c r="G469" s="12"/>
      <c r="H469" s="12"/>
      <c r="I469" s="12" t="s">
        <v>2254</v>
      </c>
      <c r="J469" s="12" t="s">
        <v>42</v>
      </c>
      <c r="K469" s="12" t="s">
        <v>43</v>
      </c>
      <c r="L469" s="12" t="s">
        <v>44</v>
      </c>
      <c r="M469" s="13">
        <v>3145</v>
      </c>
      <c r="N469" s="14">
        <v>0.30649999999999999</v>
      </c>
      <c r="O469" s="12" t="s">
        <v>2255</v>
      </c>
      <c r="P469" s="12" t="s">
        <v>32</v>
      </c>
      <c r="Q469" s="12">
        <v>40</v>
      </c>
      <c r="R469" s="12" t="s">
        <v>33</v>
      </c>
      <c r="S469" s="12" t="s">
        <v>34</v>
      </c>
      <c r="T469" s="12" t="s">
        <v>2256</v>
      </c>
      <c r="U469" s="12" t="s">
        <v>2257</v>
      </c>
      <c r="V469" s="12" t="s">
        <v>37</v>
      </c>
      <c r="W469" s="12" t="s">
        <v>50</v>
      </c>
      <c r="X469" s="12" t="s">
        <v>39</v>
      </c>
      <c r="Y469" s="15" t="s">
        <v>246</v>
      </c>
    </row>
    <row r="470" spans="1:25" ht="12.75">
      <c r="A470" s="6">
        <v>2615508</v>
      </c>
      <c r="B470" s="7" t="s">
        <v>2253</v>
      </c>
      <c r="C470" s="7" t="s">
        <v>26</v>
      </c>
      <c r="D470" s="7">
        <v>170002197853</v>
      </c>
      <c r="E470" s="7">
        <v>50</v>
      </c>
      <c r="F470" s="7" t="s">
        <v>2258</v>
      </c>
      <c r="G470" s="7"/>
      <c r="H470" s="7"/>
      <c r="I470" s="7" t="s">
        <v>2258</v>
      </c>
      <c r="J470" s="7" t="s">
        <v>42</v>
      </c>
      <c r="K470" s="7" t="s">
        <v>43</v>
      </c>
      <c r="L470" s="7" t="s">
        <v>44</v>
      </c>
      <c r="M470" s="8">
        <v>79</v>
      </c>
      <c r="N470" s="9">
        <v>7.7000000000000002E-3</v>
      </c>
      <c r="O470" s="7" t="s">
        <v>2259</v>
      </c>
      <c r="P470" s="7" t="s">
        <v>54</v>
      </c>
      <c r="Q470" s="7">
        <v>50</v>
      </c>
      <c r="R470" s="7" t="s">
        <v>153</v>
      </c>
      <c r="S470" s="7" t="s">
        <v>154</v>
      </c>
      <c r="T470" s="7" t="s">
        <v>54</v>
      </c>
      <c r="U470" s="7" t="s">
        <v>2260</v>
      </c>
      <c r="V470" s="7" t="s">
        <v>37</v>
      </c>
      <c r="W470" s="7" t="s">
        <v>50</v>
      </c>
      <c r="X470" s="7" t="s">
        <v>89</v>
      </c>
      <c r="Y470" s="10" t="s">
        <v>51</v>
      </c>
    </row>
    <row r="471" spans="1:25" ht="12.75">
      <c r="A471" s="11">
        <v>2615300</v>
      </c>
      <c r="B471" s="12" t="s">
        <v>2215</v>
      </c>
      <c r="C471" s="12" t="s">
        <v>26</v>
      </c>
      <c r="D471" s="12">
        <v>170002010774</v>
      </c>
      <c r="E471" s="12">
        <v>11</v>
      </c>
      <c r="F471" s="12" t="s">
        <v>2261</v>
      </c>
      <c r="G471" s="12"/>
      <c r="H471" s="12"/>
      <c r="I471" s="12" t="s">
        <v>2261</v>
      </c>
      <c r="J471" s="12" t="s">
        <v>28</v>
      </c>
      <c r="K471" s="12" t="s">
        <v>29</v>
      </c>
      <c r="L471" s="12" t="s">
        <v>30</v>
      </c>
      <c r="M471" s="13">
        <v>14839</v>
      </c>
      <c r="N471" s="14">
        <v>0.45639999999999997</v>
      </c>
      <c r="O471" s="12" t="s">
        <v>2262</v>
      </c>
      <c r="P471" s="12" t="s">
        <v>32</v>
      </c>
      <c r="Q471" s="12">
        <v>11</v>
      </c>
      <c r="R471" s="12" t="s">
        <v>168</v>
      </c>
      <c r="S471" s="12" t="s">
        <v>169</v>
      </c>
      <c r="T471" s="12" t="s">
        <v>2263</v>
      </c>
      <c r="U471" s="12" t="s">
        <v>2264</v>
      </c>
      <c r="V471" s="12" t="s">
        <v>37</v>
      </c>
      <c r="W471" s="12" t="s">
        <v>50</v>
      </c>
      <c r="X471" s="12" t="s">
        <v>39</v>
      </c>
      <c r="Y471" s="15" t="s">
        <v>90</v>
      </c>
    </row>
    <row r="472" spans="1:25" ht="12.75">
      <c r="A472" s="6">
        <v>2615607</v>
      </c>
      <c r="B472" s="7" t="s">
        <v>769</v>
      </c>
      <c r="C472" s="7" t="s">
        <v>26</v>
      </c>
      <c r="D472" s="7">
        <v>170002155726</v>
      </c>
      <c r="E472" s="7">
        <v>55</v>
      </c>
      <c r="F472" s="7" t="s">
        <v>2265</v>
      </c>
      <c r="G472" s="7"/>
      <c r="H472" s="7"/>
      <c r="I472" s="7" t="s">
        <v>2266</v>
      </c>
      <c r="J472" s="7" t="s">
        <v>42</v>
      </c>
      <c r="K472" s="7" t="s">
        <v>43</v>
      </c>
      <c r="L472" s="7" t="s">
        <v>44</v>
      </c>
      <c r="M472" s="8">
        <v>6492</v>
      </c>
      <c r="N472" s="9">
        <v>0.34470000000000001</v>
      </c>
      <c r="O472" s="7" t="s">
        <v>2267</v>
      </c>
      <c r="P472" s="7" t="s">
        <v>32</v>
      </c>
      <c r="Q472" s="7">
        <v>55</v>
      </c>
      <c r="R472" s="7" t="s">
        <v>74</v>
      </c>
      <c r="S472" s="7" t="s">
        <v>75</v>
      </c>
      <c r="T472" s="7" t="s">
        <v>2268</v>
      </c>
      <c r="U472" s="7" t="s">
        <v>2269</v>
      </c>
      <c r="V472" s="7" t="s">
        <v>37</v>
      </c>
      <c r="W472" s="7" t="s">
        <v>156</v>
      </c>
      <c r="X472" s="7" t="s">
        <v>39</v>
      </c>
      <c r="Y472" s="10" t="s">
        <v>90</v>
      </c>
    </row>
    <row r="473" spans="1:25" ht="12.75">
      <c r="A473" s="11">
        <v>2615706</v>
      </c>
      <c r="B473" s="12" t="s">
        <v>2270</v>
      </c>
      <c r="C473" s="12" t="s">
        <v>26</v>
      </c>
      <c r="D473" s="12">
        <v>170002042882</v>
      </c>
      <c r="E473" s="12">
        <v>20</v>
      </c>
      <c r="F473" s="12" t="s">
        <v>2271</v>
      </c>
      <c r="G473" s="12"/>
      <c r="H473" s="12"/>
      <c r="I473" s="12" t="s">
        <v>2272</v>
      </c>
      <c r="J473" s="12" t="s">
        <v>42</v>
      </c>
      <c r="K473" s="12" t="s">
        <v>43</v>
      </c>
      <c r="L473" s="12" t="s">
        <v>44</v>
      </c>
      <c r="M473" s="13">
        <v>4394</v>
      </c>
      <c r="N473" s="14">
        <v>0.44369999999999998</v>
      </c>
      <c r="O473" s="12" t="s">
        <v>2273</v>
      </c>
      <c r="P473" s="12" t="s">
        <v>32</v>
      </c>
      <c r="Q473" s="12">
        <v>20</v>
      </c>
      <c r="R473" s="12" t="s">
        <v>98</v>
      </c>
      <c r="S473" s="12" t="s">
        <v>99</v>
      </c>
      <c r="T473" s="12" t="s">
        <v>2274</v>
      </c>
      <c r="U473" s="12" t="s">
        <v>2275</v>
      </c>
      <c r="V473" s="12" t="s">
        <v>37</v>
      </c>
      <c r="W473" s="12" t="s">
        <v>38</v>
      </c>
      <c r="X473" s="12" t="s">
        <v>39</v>
      </c>
      <c r="Y473" s="15" t="s">
        <v>65</v>
      </c>
    </row>
    <row r="474" spans="1:25" ht="12.75">
      <c r="A474" s="6">
        <v>2615706</v>
      </c>
      <c r="B474" s="7" t="s">
        <v>2270</v>
      </c>
      <c r="C474" s="7" t="s">
        <v>26</v>
      </c>
      <c r="D474" s="7">
        <v>170001994188</v>
      </c>
      <c r="E474" s="7">
        <v>10</v>
      </c>
      <c r="F474" s="7" t="s">
        <v>2276</v>
      </c>
      <c r="G474" s="7"/>
      <c r="H474" s="7"/>
      <c r="I474" s="7" t="s">
        <v>2276</v>
      </c>
      <c r="J474" s="7" t="s">
        <v>42</v>
      </c>
      <c r="K474" s="7" t="s">
        <v>43</v>
      </c>
      <c r="L474" s="7" t="s">
        <v>44</v>
      </c>
      <c r="M474" s="8">
        <v>192</v>
      </c>
      <c r="N474" s="9">
        <v>1.9400000000000001E-2</v>
      </c>
      <c r="O474" s="7" t="s">
        <v>2277</v>
      </c>
      <c r="P474" s="7" t="s">
        <v>46</v>
      </c>
      <c r="Q474" s="7">
        <v>10</v>
      </c>
      <c r="R474" s="7" t="s">
        <v>124</v>
      </c>
      <c r="S474" s="7" t="s">
        <v>124</v>
      </c>
      <c r="T474" s="7" t="s">
        <v>46</v>
      </c>
      <c r="U474" s="7" t="s">
        <v>2278</v>
      </c>
      <c r="V474" s="7" t="s">
        <v>37</v>
      </c>
      <c r="W474" s="7" t="s">
        <v>50</v>
      </c>
      <c r="X474" s="7" t="s">
        <v>89</v>
      </c>
      <c r="Y474" s="10" t="s">
        <v>165</v>
      </c>
    </row>
    <row r="475" spans="1:25" ht="12.75">
      <c r="A475" s="11">
        <v>2615409</v>
      </c>
      <c r="B475" s="12" t="s">
        <v>2234</v>
      </c>
      <c r="C475" s="12" t="s">
        <v>26</v>
      </c>
      <c r="D475" s="12">
        <v>170001928097</v>
      </c>
      <c r="E475" s="12">
        <v>15</v>
      </c>
      <c r="F475" s="12" t="s">
        <v>2279</v>
      </c>
      <c r="G475" s="12"/>
      <c r="H475" s="12"/>
      <c r="I475" s="12" t="s">
        <v>2279</v>
      </c>
      <c r="J475" s="12" t="s">
        <v>82</v>
      </c>
      <c r="K475" s="12" t="s">
        <v>29</v>
      </c>
      <c r="L475" s="12" t="s">
        <v>30</v>
      </c>
      <c r="M475" s="13">
        <v>18816</v>
      </c>
      <c r="N475" s="14">
        <v>0.66920000000000002</v>
      </c>
      <c r="O475" s="12" t="s">
        <v>2280</v>
      </c>
      <c r="P475" s="12" t="s">
        <v>32</v>
      </c>
      <c r="Q475" s="12">
        <v>15</v>
      </c>
      <c r="R475" s="12" t="s">
        <v>85</v>
      </c>
      <c r="S475" s="12" t="s">
        <v>86</v>
      </c>
      <c r="T475" s="12" t="s">
        <v>2281</v>
      </c>
      <c r="U475" s="12" t="s">
        <v>2282</v>
      </c>
      <c r="V475" s="12" t="s">
        <v>37</v>
      </c>
      <c r="W475" s="12" t="s">
        <v>38</v>
      </c>
      <c r="X475" s="12" t="s">
        <v>39</v>
      </c>
      <c r="Y475" s="15" t="s">
        <v>109</v>
      </c>
    </row>
    <row r="476" spans="1:25" ht="12.75">
      <c r="A476" s="6">
        <v>2615805</v>
      </c>
      <c r="B476" s="7" t="s">
        <v>2283</v>
      </c>
      <c r="C476" s="7" t="s">
        <v>26</v>
      </c>
      <c r="D476" s="7">
        <v>170002025062</v>
      </c>
      <c r="E476" s="7">
        <v>13</v>
      </c>
      <c r="F476" s="7" t="s">
        <v>2284</v>
      </c>
      <c r="G476" s="7"/>
      <c r="H476" s="7"/>
      <c r="I476" s="7" t="s">
        <v>2284</v>
      </c>
      <c r="J476" s="7" t="s">
        <v>42</v>
      </c>
      <c r="K476" s="7" t="s">
        <v>43</v>
      </c>
      <c r="L476" s="7" t="s">
        <v>44</v>
      </c>
      <c r="M476" s="8">
        <v>2974</v>
      </c>
      <c r="N476" s="9">
        <v>0.2233</v>
      </c>
      <c r="O476" s="7" t="s">
        <v>2285</v>
      </c>
      <c r="P476" s="7" t="s">
        <v>32</v>
      </c>
      <c r="Q476" s="7">
        <v>13</v>
      </c>
      <c r="R476" s="7" t="s">
        <v>130</v>
      </c>
      <c r="S476" s="7" t="s">
        <v>131</v>
      </c>
      <c r="T476" s="7" t="s">
        <v>2286</v>
      </c>
      <c r="U476" s="7" t="s">
        <v>2287</v>
      </c>
      <c r="V476" s="7" t="s">
        <v>37</v>
      </c>
      <c r="W476" s="7" t="s">
        <v>38</v>
      </c>
      <c r="X476" s="7" t="s">
        <v>39</v>
      </c>
      <c r="Y476" s="10" t="s">
        <v>65</v>
      </c>
    </row>
    <row r="477" spans="1:25" ht="12.75">
      <c r="A477" s="11">
        <v>2615508</v>
      </c>
      <c r="B477" s="12" t="s">
        <v>2253</v>
      </c>
      <c r="C477" s="12" t="s">
        <v>26</v>
      </c>
      <c r="D477" s="12">
        <v>170001950325</v>
      </c>
      <c r="E477" s="12">
        <v>55</v>
      </c>
      <c r="F477" s="12" t="s">
        <v>2288</v>
      </c>
      <c r="G477" s="12"/>
      <c r="H477" s="12"/>
      <c r="I477" s="12" t="s">
        <v>2288</v>
      </c>
      <c r="J477" s="12" t="s">
        <v>28</v>
      </c>
      <c r="K477" s="12" t="s">
        <v>29</v>
      </c>
      <c r="L477" s="12" t="s">
        <v>30</v>
      </c>
      <c r="M477" s="13">
        <v>7038</v>
      </c>
      <c r="N477" s="14">
        <v>0.68579999999999997</v>
      </c>
      <c r="O477" s="12" t="s">
        <v>2289</v>
      </c>
      <c r="P477" s="12" t="s">
        <v>32</v>
      </c>
      <c r="Q477" s="12">
        <v>55</v>
      </c>
      <c r="R477" s="12" t="s">
        <v>74</v>
      </c>
      <c r="S477" s="12" t="s">
        <v>75</v>
      </c>
      <c r="T477" s="12" t="s">
        <v>2290</v>
      </c>
      <c r="U477" s="12" t="s">
        <v>2291</v>
      </c>
      <c r="V477" s="12" t="s">
        <v>37</v>
      </c>
      <c r="W477" s="12" t="s">
        <v>156</v>
      </c>
      <c r="X477" s="12" t="s">
        <v>89</v>
      </c>
      <c r="Y477" s="15" t="s">
        <v>26</v>
      </c>
    </row>
    <row r="478" spans="1:25" ht="12.75">
      <c r="A478" s="6">
        <v>2615805</v>
      </c>
      <c r="B478" s="7" t="s">
        <v>2283</v>
      </c>
      <c r="C478" s="7" t="s">
        <v>26</v>
      </c>
      <c r="D478" s="7">
        <v>170002025050</v>
      </c>
      <c r="E478" s="7">
        <v>55</v>
      </c>
      <c r="F478" s="7" t="s">
        <v>2292</v>
      </c>
      <c r="G478" s="7"/>
      <c r="H478" s="7"/>
      <c r="I478" s="7" t="s">
        <v>2292</v>
      </c>
      <c r="J478" s="7" t="s">
        <v>42</v>
      </c>
      <c r="K478" s="7" t="s">
        <v>43</v>
      </c>
      <c r="L478" s="7" t="s">
        <v>44</v>
      </c>
      <c r="M478" s="8">
        <v>4722</v>
      </c>
      <c r="N478" s="9">
        <v>0.35449999999999998</v>
      </c>
      <c r="O478" s="7" t="s">
        <v>2293</v>
      </c>
      <c r="P478" s="7" t="s">
        <v>32</v>
      </c>
      <c r="Q478" s="7">
        <v>55</v>
      </c>
      <c r="R478" s="7" t="s">
        <v>74</v>
      </c>
      <c r="S478" s="7" t="s">
        <v>75</v>
      </c>
      <c r="T478" s="7" t="s">
        <v>2294</v>
      </c>
      <c r="U478" s="7" t="s">
        <v>2295</v>
      </c>
      <c r="V478" s="7" t="s">
        <v>37</v>
      </c>
      <c r="W478" s="7" t="s">
        <v>102</v>
      </c>
      <c r="X478" s="7" t="s">
        <v>58</v>
      </c>
      <c r="Y478" s="10" t="s">
        <v>145</v>
      </c>
    </row>
    <row r="479" spans="1:25" ht="12.75">
      <c r="A479" s="11">
        <v>2615904</v>
      </c>
      <c r="B479" s="12" t="s">
        <v>2296</v>
      </c>
      <c r="C479" s="12" t="s">
        <v>26</v>
      </c>
      <c r="D479" s="12">
        <v>170002140671</v>
      </c>
      <c r="E479" s="12">
        <v>70</v>
      </c>
      <c r="F479" s="12" t="s">
        <v>2297</v>
      </c>
      <c r="G479" s="12"/>
      <c r="H479" s="12"/>
      <c r="I479" s="12" t="s">
        <v>2297</v>
      </c>
      <c r="J479" s="12" t="s">
        <v>42</v>
      </c>
      <c r="K479" s="12" t="s">
        <v>43</v>
      </c>
      <c r="L479" s="12" t="s">
        <v>44</v>
      </c>
      <c r="M479" s="13">
        <v>3078</v>
      </c>
      <c r="N479" s="14">
        <v>0.45619999999999999</v>
      </c>
      <c r="O479" s="12" t="s">
        <v>2298</v>
      </c>
      <c r="P479" s="12" t="s">
        <v>32</v>
      </c>
      <c r="Q479" s="12">
        <v>70</v>
      </c>
      <c r="R479" s="12" t="s">
        <v>177</v>
      </c>
      <c r="S479" s="12" t="s">
        <v>177</v>
      </c>
      <c r="T479" s="12" t="s">
        <v>2299</v>
      </c>
      <c r="U479" s="12" t="s">
        <v>2300</v>
      </c>
      <c r="V479" s="12" t="s">
        <v>37</v>
      </c>
      <c r="W479" s="12" t="s">
        <v>50</v>
      </c>
      <c r="X479" s="12" t="s">
        <v>39</v>
      </c>
      <c r="Y479" s="15" t="s">
        <v>165</v>
      </c>
    </row>
    <row r="480" spans="1:25" ht="12.75">
      <c r="A480" s="6">
        <v>2604007</v>
      </c>
      <c r="B480" s="7" t="s">
        <v>626</v>
      </c>
      <c r="C480" s="7" t="s">
        <v>26</v>
      </c>
      <c r="D480" s="7">
        <v>170001964412</v>
      </c>
      <c r="E480" s="7">
        <v>20</v>
      </c>
      <c r="F480" s="7" t="s">
        <v>2301</v>
      </c>
      <c r="G480" s="16" t="s">
        <v>2302</v>
      </c>
      <c r="H480" s="7"/>
      <c r="I480" s="7" t="s">
        <v>2301</v>
      </c>
      <c r="J480" s="7" t="s">
        <v>82</v>
      </c>
      <c r="K480" s="7" t="s">
        <v>43</v>
      </c>
      <c r="L480" s="7" t="s">
        <v>30</v>
      </c>
      <c r="M480" s="8">
        <v>15758</v>
      </c>
      <c r="N480" s="9">
        <v>0.32500000000000001</v>
      </c>
      <c r="O480" s="7" t="s">
        <v>2303</v>
      </c>
      <c r="P480" s="7" t="s">
        <v>32</v>
      </c>
      <c r="Q480" s="7">
        <v>20</v>
      </c>
      <c r="R480" s="7" t="s">
        <v>98</v>
      </c>
      <c r="S480" s="7" t="s">
        <v>99</v>
      </c>
      <c r="T480" s="7" t="s">
        <v>2304</v>
      </c>
      <c r="U480" s="7" t="s">
        <v>2305</v>
      </c>
      <c r="V480" s="7" t="s">
        <v>160</v>
      </c>
      <c r="W480" s="7" t="s">
        <v>50</v>
      </c>
      <c r="X480" s="7" t="s">
        <v>39</v>
      </c>
      <c r="Y480" s="10" t="s">
        <v>90</v>
      </c>
    </row>
    <row r="481" spans="1:25" ht="12.75">
      <c r="A481" s="11">
        <v>2615904</v>
      </c>
      <c r="B481" s="12" t="s">
        <v>2296</v>
      </c>
      <c r="C481" s="12" t="s">
        <v>26</v>
      </c>
      <c r="D481" s="12">
        <v>170002259035</v>
      </c>
      <c r="E481" s="12">
        <v>13</v>
      </c>
      <c r="F481" s="12" t="s">
        <v>2306</v>
      </c>
      <c r="G481" s="12"/>
      <c r="H481" s="12"/>
      <c r="I481" s="12" t="s">
        <v>2307</v>
      </c>
      <c r="J481" s="12" t="s">
        <v>42</v>
      </c>
      <c r="K481" s="12" t="s">
        <v>43</v>
      </c>
      <c r="L481" s="12" t="s">
        <v>44</v>
      </c>
      <c r="M481" s="13">
        <v>50</v>
      </c>
      <c r="N481" s="14">
        <v>7.4000000000000003E-3</v>
      </c>
      <c r="O481" s="12" t="s">
        <v>2308</v>
      </c>
      <c r="P481" s="12" t="s">
        <v>54</v>
      </c>
      <c r="Q481" s="12">
        <v>13</v>
      </c>
      <c r="R481" s="12" t="s">
        <v>130</v>
      </c>
      <c r="S481" s="12" t="s">
        <v>131</v>
      </c>
      <c r="T481" s="12" t="s">
        <v>54</v>
      </c>
      <c r="U481" s="12" t="s">
        <v>2309</v>
      </c>
      <c r="V481" s="12" t="s">
        <v>37</v>
      </c>
      <c r="W481" s="12" t="s">
        <v>38</v>
      </c>
      <c r="X481" s="12" t="s">
        <v>58</v>
      </c>
      <c r="Y481" s="15" t="s">
        <v>656</v>
      </c>
    </row>
    <row r="482" spans="1:25" ht="12.75">
      <c r="A482" s="6">
        <v>2616001</v>
      </c>
      <c r="B482" s="7" t="s">
        <v>2310</v>
      </c>
      <c r="C482" s="7" t="s">
        <v>26</v>
      </c>
      <c r="D482" s="7">
        <v>170002149854</v>
      </c>
      <c r="E482" s="7">
        <v>10</v>
      </c>
      <c r="F482" s="7" t="s">
        <v>2311</v>
      </c>
      <c r="G482" s="7"/>
      <c r="H482" s="7"/>
      <c r="I482" s="7" t="s">
        <v>2311</v>
      </c>
      <c r="J482" s="7" t="s">
        <v>42</v>
      </c>
      <c r="K482" s="7" t="s">
        <v>43</v>
      </c>
      <c r="L482" s="7" t="s">
        <v>44</v>
      </c>
      <c r="M482" s="8">
        <v>5848</v>
      </c>
      <c r="N482" s="9">
        <v>0.45710000000000001</v>
      </c>
      <c r="O482" s="7" t="s">
        <v>2312</v>
      </c>
      <c r="P482" s="7" t="s">
        <v>32</v>
      </c>
      <c r="Q482" s="7">
        <v>10</v>
      </c>
      <c r="R482" s="7" t="s">
        <v>124</v>
      </c>
      <c r="S482" s="7" t="s">
        <v>124</v>
      </c>
      <c r="T482" s="7" t="s">
        <v>2313</v>
      </c>
      <c r="U482" s="7" t="s">
        <v>2314</v>
      </c>
      <c r="V482" s="7" t="s">
        <v>37</v>
      </c>
      <c r="W482" s="7" t="s">
        <v>50</v>
      </c>
      <c r="X482" s="7" t="s">
        <v>39</v>
      </c>
      <c r="Y482" s="10" t="s">
        <v>90</v>
      </c>
    </row>
    <row r="483" spans="1:25" ht="12.75">
      <c r="A483" s="11">
        <v>2616001</v>
      </c>
      <c r="B483" s="12" t="s">
        <v>2310</v>
      </c>
      <c r="C483" s="12" t="s">
        <v>26</v>
      </c>
      <c r="D483" s="12">
        <v>170002322452</v>
      </c>
      <c r="E483" s="12">
        <v>22</v>
      </c>
      <c r="F483" s="12" t="s">
        <v>2315</v>
      </c>
      <c r="G483" s="12"/>
      <c r="H483" s="12"/>
      <c r="I483" s="12" t="s">
        <v>2315</v>
      </c>
      <c r="J483" s="12" t="s">
        <v>42</v>
      </c>
      <c r="K483" s="12" t="s">
        <v>43</v>
      </c>
      <c r="L483" s="12" t="s">
        <v>44</v>
      </c>
      <c r="M483" s="13">
        <v>304</v>
      </c>
      <c r="N483" s="14">
        <v>2.3800000000000002E-2</v>
      </c>
      <c r="O483" s="12" t="s">
        <v>2316</v>
      </c>
      <c r="P483" s="12" t="s">
        <v>46</v>
      </c>
      <c r="Q483" s="12">
        <v>22</v>
      </c>
      <c r="R483" s="12" t="s">
        <v>321</v>
      </c>
      <c r="S483" s="12" t="s">
        <v>322</v>
      </c>
      <c r="T483" s="12" t="s">
        <v>46</v>
      </c>
      <c r="U483" s="12" t="s">
        <v>2317</v>
      </c>
      <c r="V483" s="12" t="s">
        <v>37</v>
      </c>
      <c r="W483" s="12" t="s">
        <v>50</v>
      </c>
      <c r="X483" s="12" t="s">
        <v>39</v>
      </c>
      <c r="Y483" s="15" t="s">
        <v>1687</v>
      </c>
    </row>
    <row r="484" spans="1:25" ht="12.75">
      <c r="A484" s="6">
        <v>2615706</v>
      </c>
      <c r="B484" s="7" t="s">
        <v>2270</v>
      </c>
      <c r="C484" s="7" t="s">
        <v>26</v>
      </c>
      <c r="D484" s="7">
        <v>170001983531</v>
      </c>
      <c r="E484" s="7">
        <v>45</v>
      </c>
      <c r="F484" s="7" t="s">
        <v>2318</v>
      </c>
      <c r="G484" s="7"/>
      <c r="H484" s="7"/>
      <c r="I484" s="7" t="s">
        <v>2318</v>
      </c>
      <c r="J484" s="7" t="s">
        <v>28</v>
      </c>
      <c r="K484" s="7" t="s">
        <v>29</v>
      </c>
      <c r="L484" s="7" t="s">
        <v>30</v>
      </c>
      <c r="M484" s="8">
        <v>5316</v>
      </c>
      <c r="N484" s="9">
        <v>0.53690000000000004</v>
      </c>
      <c r="O484" s="7" t="s">
        <v>2319</v>
      </c>
      <c r="P484" s="7" t="s">
        <v>32</v>
      </c>
      <c r="Q484" s="7">
        <v>45</v>
      </c>
      <c r="R484" s="7" t="s">
        <v>61</v>
      </c>
      <c r="S484" s="7" t="s">
        <v>62</v>
      </c>
      <c r="T484" s="7" t="s">
        <v>2320</v>
      </c>
      <c r="U484" s="7" t="s">
        <v>2321</v>
      </c>
      <c r="V484" s="7" t="s">
        <v>37</v>
      </c>
      <c r="W484" s="7" t="s">
        <v>38</v>
      </c>
      <c r="X484" s="7" t="s">
        <v>1338</v>
      </c>
      <c r="Y484" s="10" t="s">
        <v>65</v>
      </c>
    </row>
    <row r="485" spans="1:25" ht="12.75">
      <c r="A485" s="11">
        <v>2616100</v>
      </c>
      <c r="B485" s="12" t="s">
        <v>2322</v>
      </c>
      <c r="C485" s="12" t="s">
        <v>26</v>
      </c>
      <c r="D485" s="12">
        <v>170001926093</v>
      </c>
      <c r="E485" s="12">
        <v>55</v>
      </c>
      <c r="F485" s="12" t="s">
        <v>2323</v>
      </c>
      <c r="G485" s="12"/>
      <c r="H485" s="12"/>
      <c r="I485" s="12" t="s">
        <v>2324</v>
      </c>
      <c r="J485" s="12" t="s">
        <v>42</v>
      </c>
      <c r="K485" s="12" t="s">
        <v>43</v>
      </c>
      <c r="L485" s="12" t="s">
        <v>44</v>
      </c>
      <c r="M485" s="13">
        <v>2575</v>
      </c>
      <c r="N485" s="14">
        <v>0.37409999999999999</v>
      </c>
      <c r="O485" s="12" t="s">
        <v>2206</v>
      </c>
      <c r="P485" s="12" t="s">
        <v>32</v>
      </c>
      <c r="Q485" s="12">
        <v>55</v>
      </c>
      <c r="R485" s="12" t="s">
        <v>74</v>
      </c>
      <c r="S485" s="12" t="s">
        <v>75</v>
      </c>
      <c r="T485" s="12" t="s">
        <v>2325</v>
      </c>
      <c r="U485" s="12" t="s">
        <v>2326</v>
      </c>
      <c r="V485" s="12" t="s">
        <v>37</v>
      </c>
      <c r="W485" s="12" t="s">
        <v>38</v>
      </c>
      <c r="X485" s="12" t="s">
        <v>39</v>
      </c>
      <c r="Y485" s="15" t="s">
        <v>95</v>
      </c>
    </row>
    <row r="486" spans="1:25" ht="12.75">
      <c r="A486" s="6">
        <v>2615805</v>
      </c>
      <c r="B486" s="7" t="s">
        <v>2283</v>
      </c>
      <c r="C486" s="7" t="s">
        <v>26</v>
      </c>
      <c r="D486" s="7">
        <v>170002261603</v>
      </c>
      <c r="E486" s="7">
        <v>11</v>
      </c>
      <c r="F486" s="7" t="s">
        <v>2327</v>
      </c>
      <c r="G486" s="7"/>
      <c r="H486" s="7"/>
      <c r="I486" s="7" t="s">
        <v>2328</v>
      </c>
      <c r="J486" s="7" t="s">
        <v>82</v>
      </c>
      <c r="K486" s="7" t="s">
        <v>29</v>
      </c>
      <c r="L486" s="7" t="s">
        <v>30</v>
      </c>
      <c r="M486" s="8">
        <v>5596</v>
      </c>
      <c r="N486" s="9">
        <v>0.42009999999999997</v>
      </c>
      <c r="O486" s="7" t="s">
        <v>2329</v>
      </c>
      <c r="P486" s="7" t="s">
        <v>32</v>
      </c>
      <c r="Q486" s="7">
        <v>11</v>
      </c>
      <c r="R486" s="7" t="s">
        <v>168</v>
      </c>
      <c r="S486" s="7" t="s">
        <v>169</v>
      </c>
      <c r="T486" s="7" t="s">
        <v>2330</v>
      </c>
      <c r="U486" s="7" t="s">
        <v>2331</v>
      </c>
      <c r="V486" s="7" t="s">
        <v>37</v>
      </c>
      <c r="W486" s="7" t="s">
        <v>38</v>
      </c>
      <c r="X486" s="7" t="s">
        <v>39</v>
      </c>
      <c r="Y486" s="10" t="s">
        <v>401</v>
      </c>
    </row>
    <row r="487" spans="1:25" ht="12.75">
      <c r="A487" s="11">
        <v>2616183</v>
      </c>
      <c r="B487" s="12" t="s">
        <v>2332</v>
      </c>
      <c r="C487" s="12" t="s">
        <v>26</v>
      </c>
      <c r="D487" s="12">
        <v>170002064100</v>
      </c>
      <c r="E487" s="12">
        <v>11</v>
      </c>
      <c r="F487" s="12" t="s">
        <v>2333</v>
      </c>
      <c r="G487" s="12"/>
      <c r="H487" s="12"/>
      <c r="I487" s="12" t="s">
        <v>2334</v>
      </c>
      <c r="J487" s="12" t="s">
        <v>42</v>
      </c>
      <c r="K487" s="12" t="s">
        <v>43</v>
      </c>
      <c r="L487" s="12" t="s">
        <v>44</v>
      </c>
      <c r="M487" s="13">
        <v>3260</v>
      </c>
      <c r="N487" s="14">
        <v>0.46289999999999998</v>
      </c>
      <c r="O487" s="12" t="s">
        <v>2335</v>
      </c>
      <c r="P487" s="12" t="s">
        <v>32</v>
      </c>
      <c r="Q487" s="12">
        <v>11</v>
      </c>
      <c r="R487" s="12" t="s">
        <v>168</v>
      </c>
      <c r="S487" s="12" t="s">
        <v>169</v>
      </c>
      <c r="T487" s="12" t="s">
        <v>2336</v>
      </c>
      <c r="U487" s="12" t="s">
        <v>2337</v>
      </c>
      <c r="V487" s="12" t="s">
        <v>37</v>
      </c>
      <c r="W487" s="12" t="s">
        <v>50</v>
      </c>
      <c r="X487" s="12" t="s">
        <v>39</v>
      </c>
      <c r="Y487" s="15" t="s">
        <v>2338</v>
      </c>
    </row>
    <row r="488" spans="1:25" ht="12.75">
      <c r="A488" s="6">
        <v>2615904</v>
      </c>
      <c r="B488" s="7" t="s">
        <v>2296</v>
      </c>
      <c r="C488" s="7" t="s">
        <v>26</v>
      </c>
      <c r="D488" s="7">
        <v>170001901200</v>
      </c>
      <c r="E488" s="7">
        <v>45</v>
      </c>
      <c r="F488" s="7" t="s">
        <v>2339</v>
      </c>
      <c r="G488" s="7"/>
      <c r="H488" s="7"/>
      <c r="I488" s="7" t="s">
        <v>2340</v>
      </c>
      <c r="J488" s="7" t="s">
        <v>82</v>
      </c>
      <c r="K488" s="7" t="s">
        <v>29</v>
      </c>
      <c r="L488" s="7" t="s">
        <v>30</v>
      </c>
      <c r="M488" s="8">
        <v>3619</v>
      </c>
      <c r="N488" s="9">
        <v>0.53639999999999999</v>
      </c>
      <c r="O488" s="7" t="s">
        <v>2341</v>
      </c>
      <c r="P488" s="7" t="s">
        <v>32</v>
      </c>
      <c r="Q488" s="7">
        <v>45</v>
      </c>
      <c r="R488" s="7" t="s">
        <v>61</v>
      </c>
      <c r="S488" s="7" t="s">
        <v>62</v>
      </c>
      <c r="T488" s="7" t="s">
        <v>2342</v>
      </c>
      <c r="U488" s="7" t="s">
        <v>2343</v>
      </c>
      <c r="V488" s="7" t="s">
        <v>37</v>
      </c>
      <c r="W488" s="7" t="s">
        <v>38</v>
      </c>
      <c r="X488" s="7" t="s">
        <v>39</v>
      </c>
      <c r="Y488" s="10" t="s">
        <v>109</v>
      </c>
    </row>
    <row r="489" spans="1:25" ht="12.75">
      <c r="A489" s="11">
        <v>2616001</v>
      </c>
      <c r="B489" s="12" t="s">
        <v>2310</v>
      </c>
      <c r="C489" s="12" t="s">
        <v>26</v>
      </c>
      <c r="D489" s="12">
        <v>170002056232</v>
      </c>
      <c r="E489" s="12">
        <v>55</v>
      </c>
      <c r="F489" s="12" t="s">
        <v>2344</v>
      </c>
      <c r="G489" s="17" t="s">
        <v>2345</v>
      </c>
      <c r="H489" s="12"/>
      <c r="I489" s="12" t="s">
        <v>2344</v>
      </c>
      <c r="J489" s="12" t="s">
        <v>82</v>
      </c>
      <c r="K489" s="12" t="s">
        <v>83</v>
      </c>
      <c r="L489" s="12" t="s">
        <v>30</v>
      </c>
      <c r="M489" s="13">
        <v>6642</v>
      </c>
      <c r="N489" s="14">
        <v>0.51910000000000001</v>
      </c>
      <c r="O489" s="12" t="s">
        <v>2346</v>
      </c>
      <c r="P489" s="12" t="s">
        <v>32</v>
      </c>
      <c r="Q489" s="12">
        <v>55</v>
      </c>
      <c r="R489" s="12" t="s">
        <v>74</v>
      </c>
      <c r="S489" s="12" t="s">
        <v>75</v>
      </c>
      <c r="T489" s="12" t="s">
        <v>2347</v>
      </c>
      <c r="U489" s="12" t="s">
        <v>2348</v>
      </c>
      <c r="V489" s="12" t="s">
        <v>37</v>
      </c>
      <c r="W489" s="12" t="s">
        <v>38</v>
      </c>
      <c r="X489" s="12" t="s">
        <v>39</v>
      </c>
      <c r="Y489" s="15" t="s">
        <v>78</v>
      </c>
    </row>
    <row r="490" spans="1:25" ht="12.75">
      <c r="A490" s="6">
        <v>2616209</v>
      </c>
      <c r="B490" s="7" t="s">
        <v>2349</v>
      </c>
      <c r="C490" s="7" t="s">
        <v>26</v>
      </c>
      <c r="D490" s="7">
        <v>170001951099</v>
      </c>
      <c r="E490" s="7">
        <v>40</v>
      </c>
      <c r="F490" s="7" t="s">
        <v>2350</v>
      </c>
      <c r="G490" s="7"/>
      <c r="H490" s="7"/>
      <c r="I490" s="7" t="s">
        <v>2350</v>
      </c>
      <c r="J490" s="7" t="s">
        <v>42</v>
      </c>
      <c r="K490" s="7" t="s">
        <v>43</v>
      </c>
      <c r="L490" s="7" t="s">
        <v>44</v>
      </c>
      <c r="M490" s="8">
        <v>7003</v>
      </c>
      <c r="N490" s="9">
        <v>0.49330000000000002</v>
      </c>
      <c r="O490" s="7" t="s">
        <v>2351</v>
      </c>
      <c r="P490" s="7" t="s">
        <v>32</v>
      </c>
      <c r="Q490" s="7">
        <v>40</v>
      </c>
      <c r="R490" s="7" t="s">
        <v>33</v>
      </c>
      <c r="S490" s="7" t="s">
        <v>34</v>
      </c>
      <c r="T490" s="7" t="s">
        <v>2352</v>
      </c>
      <c r="U490" s="7" t="s">
        <v>2353</v>
      </c>
      <c r="V490" s="7" t="s">
        <v>37</v>
      </c>
      <c r="W490" s="7" t="s">
        <v>50</v>
      </c>
      <c r="X490" s="7" t="s">
        <v>58</v>
      </c>
      <c r="Y490" s="10" t="s">
        <v>2354</v>
      </c>
    </row>
    <row r="491" spans="1:25" ht="12.75">
      <c r="A491" s="11">
        <v>2616100</v>
      </c>
      <c r="B491" s="12" t="s">
        <v>2322</v>
      </c>
      <c r="C491" s="12" t="s">
        <v>26</v>
      </c>
      <c r="D491" s="12">
        <v>170001923538</v>
      </c>
      <c r="E491" s="12">
        <v>45</v>
      </c>
      <c r="F491" s="12" t="s">
        <v>2355</v>
      </c>
      <c r="G491" s="12"/>
      <c r="H491" s="12"/>
      <c r="I491" s="12" t="s">
        <v>2355</v>
      </c>
      <c r="J491" s="12" t="s">
        <v>82</v>
      </c>
      <c r="K491" s="12" t="s">
        <v>29</v>
      </c>
      <c r="L491" s="12" t="s">
        <v>30</v>
      </c>
      <c r="M491" s="13">
        <v>4309</v>
      </c>
      <c r="N491" s="14">
        <v>0.62590000000000001</v>
      </c>
      <c r="O491" s="12" t="s">
        <v>2356</v>
      </c>
      <c r="P491" s="12" t="s">
        <v>32</v>
      </c>
      <c r="Q491" s="12">
        <v>45</v>
      </c>
      <c r="R491" s="12" t="s">
        <v>61</v>
      </c>
      <c r="S491" s="12" t="s">
        <v>62</v>
      </c>
      <c r="T491" s="12" t="s">
        <v>2357</v>
      </c>
      <c r="U491" s="12" t="s">
        <v>2358</v>
      </c>
      <c r="V491" s="12" t="s">
        <v>37</v>
      </c>
      <c r="W491" s="12" t="s">
        <v>38</v>
      </c>
      <c r="X491" s="12" t="s">
        <v>58</v>
      </c>
      <c r="Y491" s="15" t="s">
        <v>272</v>
      </c>
    </row>
    <row r="492" spans="1:25" ht="12.75">
      <c r="A492" s="6">
        <v>2616308</v>
      </c>
      <c r="B492" s="7" t="s">
        <v>2359</v>
      </c>
      <c r="C492" s="7" t="s">
        <v>26</v>
      </c>
      <c r="D492" s="7">
        <v>170001986841</v>
      </c>
      <c r="E492" s="7">
        <v>40</v>
      </c>
      <c r="F492" s="7" t="s">
        <v>2360</v>
      </c>
      <c r="G492" s="7"/>
      <c r="H492" s="7"/>
      <c r="I492" s="7" t="s">
        <v>2360</v>
      </c>
      <c r="J492" s="7" t="s">
        <v>42</v>
      </c>
      <c r="K492" s="7" t="s">
        <v>43</v>
      </c>
      <c r="L492" s="7" t="s">
        <v>44</v>
      </c>
      <c r="M492" s="8">
        <v>8230</v>
      </c>
      <c r="N492" s="9">
        <v>0.45710000000000001</v>
      </c>
      <c r="O492" s="7" t="s">
        <v>2361</v>
      </c>
      <c r="P492" s="7" t="s">
        <v>32</v>
      </c>
      <c r="Q492" s="7">
        <v>40</v>
      </c>
      <c r="R492" s="7" t="s">
        <v>33</v>
      </c>
      <c r="S492" s="7" t="s">
        <v>34</v>
      </c>
      <c r="T492" s="7" t="s">
        <v>2362</v>
      </c>
      <c r="U492" s="7" t="s">
        <v>2363</v>
      </c>
      <c r="V492" s="7" t="s">
        <v>37</v>
      </c>
      <c r="W492" s="7" t="s">
        <v>50</v>
      </c>
      <c r="X492" s="7" t="s">
        <v>39</v>
      </c>
      <c r="Y492" s="10" t="s">
        <v>90</v>
      </c>
    </row>
    <row r="493" spans="1:25" ht="12.75">
      <c r="A493" s="11">
        <v>2616407</v>
      </c>
      <c r="B493" s="12" t="s">
        <v>2364</v>
      </c>
      <c r="C493" s="12" t="s">
        <v>26</v>
      </c>
      <c r="D493" s="12">
        <v>170002142143</v>
      </c>
      <c r="E493" s="12">
        <v>12</v>
      </c>
      <c r="F493" s="12" t="s">
        <v>2365</v>
      </c>
      <c r="G493" s="12"/>
      <c r="H493" s="12"/>
      <c r="I493" s="12" t="s">
        <v>2365</v>
      </c>
      <c r="J493" s="12" t="s">
        <v>42</v>
      </c>
      <c r="K493" s="12" t="s">
        <v>43</v>
      </c>
      <c r="L493" s="12" t="s">
        <v>44</v>
      </c>
      <c r="M493" s="13">
        <v>4949</v>
      </c>
      <c r="N493" s="14">
        <v>5.9299999999999999E-2</v>
      </c>
      <c r="O493" s="12" t="s">
        <v>2366</v>
      </c>
      <c r="P493" s="12" t="s">
        <v>32</v>
      </c>
      <c r="Q493" s="12">
        <v>12</v>
      </c>
      <c r="R493" s="12" t="s">
        <v>138</v>
      </c>
      <c r="S493" s="12" t="s">
        <v>139</v>
      </c>
      <c r="T493" s="12" t="s">
        <v>2367</v>
      </c>
      <c r="U493" s="12" t="s">
        <v>2368</v>
      </c>
      <c r="V493" s="12" t="s">
        <v>37</v>
      </c>
      <c r="W493" s="12" t="s">
        <v>38</v>
      </c>
      <c r="X493" s="12" t="s">
        <v>39</v>
      </c>
      <c r="Y493" s="15" t="s">
        <v>165</v>
      </c>
    </row>
    <row r="494" spans="1:25" ht="12.75">
      <c r="A494" s="6">
        <v>2616183</v>
      </c>
      <c r="B494" s="7" t="s">
        <v>2332</v>
      </c>
      <c r="C494" s="7" t="s">
        <v>26</v>
      </c>
      <c r="D494" s="7">
        <v>170002063929</v>
      </c>
      <c r="E494" s="7">
        <v>15</v>
      </c>
      <c r="F494" s="7" t="s">
        <v>2369</v>
      </c>
      <c r="G494" s="7"/>
      <c r="H494" s="7"/>
      <c r="I494" s="7" t="s">
        <v>2370</v>
      </c>
      <c r="J494" s="7" t="s">
        <v>82</v>
      </c>
      <c r="K494" s="7" t="s">
        <v>29</v>
      </c>
      <c r="L494" s="7" t="s">
        <v>30</v>
      </c>
      <c r="M494" s="8">
        <v>3783</v>
      </c>
      <c r="N494" s="9">
        <v>0.53710000000000002</v>
      </c>
      <c r="O494" s="7" t="s">
        <v>2371</v>
      </c>
      <c r="P494" s="7" t="s">
        <v>32</v>
      </c>
      <c r="Q494" s="7">
        <v>15</v>
      </c>
      <c r="R494" s="7" t="s">
        <v>85</v>
      </c>
      <c r="S494" s="7" t="s">
        <v>86</v>
      </c>
      <c r="T494" s="7" t="s">
        <v>2372</v>
      </c>
      <c r="U494" s="7" t="s">
        <v>2373</v>
      </c>
      <c r="V494" s="7" t="s">
        <v>37</v>
      </c>
      <c r="W494" s="7" t="s">
        <v>102</v>
      </c>
      <c r="X494" s="7" t="s">
        <v>58</v>
      </c>
      <c r="Y494" s="10" t="s">
        <v>65</v>
      </c>
    </row>
    <row r="495" spans="1:25" ht="12.75">
      <c r="A495" s="11">
        <v>2616407</v>
      </c>
      <c r="B495" s="12" t="s">
        <v>2364</v>
      </c>
      <c r="C495" s="12" t="s">
        <v>26</v>
      </c>
      <c r="D495" s="12">
        <v>170001919561</v>
      </c>
      <c r="E495" s="12">
        <v>40</v>
      </c>
      <c r="F495" s="12" t="s">
        <v>2374</v>
      </c>
      <c r="G495" s="12"/>
      <c r="H495" s="12"/>
      <c r="I495" s="12" t="s">
        <v>2374</v>
      </c>
      <c r="J495" s="12" t="s">
        <v>42</v>
      </c>
      <c r="K495" s="12" t="s">
        <v>43</v>
      </c>
      <c r="L495" s="12" t="s">
        <v>44</v>
      </c>
      <c r="M495" s="13">
        <v>13935</v>
      </c>
      <c r="N495" s="14">
        <v>0.16689999999999999</v>
      </c>
      <c r="O495" s="12" t="s">
        <v>2375</v>
      </c>
      <c r="P495" s="12" t="s">
        <v>32</v>
      </c>
      <c r="Q495" s="12">
        <v>40</v>
      </c>
      <c r="R495" s="12" t="s">
        <v>33</v>
      </c>
      <c r="S495" s="12" t="s">
        <v>34</v>
      </c>
      <c r="T495" s="12" t="s">
        <v>2376</v>
      </c>
      <c r="U495" s="12" t="s">
        <v>2377</v>
      </c>
      <c r="V495" s="12" t="s">
        <v>37</v>
      </c>
      <c r="W495" s="12" t="s">
        <v>38</v>
      </c>
      <c r="X495" s="12" t="s">
        <v>39</v>
      </c>
      <c r="Y495" s="15" t="s">
        <v>660</v>
      </c>
    </row>
    <row r="496" spans="1:25" ht="12.75">
      <c r="A496" s="6">
        <v>2616506</v>
      </c>
      <c r="B496" s="7" t="s">
        <v>2378</v>
      </c>
      <c r="C496" s="7" t="s">
        <v>26</v>
      </c>
      <c r="D496" s="7">
        <v>170002330014</v>
      </c>
      <c r="E496" s="7">
        <v>40</v>
      </c>
      <c r="F496" s="7" t="s">
        <v>2379</v>
      </c>
      <c r="G496" s="7"/>
      <c r="H496" s="7"/>
      <c r="I496" s="7" t="s">
        <v>2380</v>
      </c>
      <c r="J496" s="7" t="s">
        <v>42</v>
      </c>
      <c r="K496" s="7" t="s">
        <v>43</v>
      </c>
      <c r="L496" s="7" t="s">
        <v>44</v>
      </c>
      <c r="M496" s="8">
        <v>2202</v>
      </c>
      <c r="N496" s="9">
        <v>0.24970000000000001</v>
      </c>
      <c r="O496" s="7" t="s">
        <v>2381</v>
      </c>
      <c r="P496" s="7" t="s">
        <v>32</v>
      </c>
      <c r="Q496" s="7">
        <v>40</v>
      </c>
      <c r="R496" s="7" t="s">
        <v>33</v>
      </c>
      <c r="S496" s="7" t="s">
        <v>34</v>
      </c>
      <c r="T496" s="7" t="s">
        <v>2382</v>
      </c>
      <c r="U496" s="7" t="s">
        <v>2383</v>
      </c>
      <c r="V496" s="7" t="s">
        <v>37</v>
      </c>
      <c r="W496" s="7" t="s">
        <v>38</v>
      </c>
      <c r="X496" s="7" t="s">
        <v>58</v>
      </c>
      <c r="Y496" s="10" t="s">
        <v>257</v>
      </c>
    </row>
    <row r="497" spans="1:25" ht="12.75">
      <c r="A497" s="11">
        <v>2616209</v>
      </c>
      <c r="B497" s="12" t="s">
        <v>2349</v>
      </c>
      <c r="C497" s="12" t="s">
        <v>26</v>
      </c>
      <c r="D497" s="12">
        <v>170001970819</v>
      </c>
      <c r="E497" s="12">
        <v>45</v>
      </c>
      <c r="F497" s="12" t="s">
        <v>2384</v>
      </c>
      <c r="G497" s="12"/>
      <c r="H497" s="12"/>
      <c r="I497" s="12" t="s">
        <v>2384</v>
      </c>
      <c r="J497" s="12" t="s">
        <v>82</v>
      </c>
      <c r="K497" s="12" t="s">
        <v>29</v>
      </c>
      <c r="L497" s="12" t="s">
        <v>30</v>
      </c>
      <c r="M497" s="13">
        <v>7192</v>
      </c>
      <c r="N497" s="14">
        <v>0.50670000000000004</v>
      </c>
      <c r="O497" s="12" t="s">
        <v>2385</v>
      </c>
      <c r="P497" s="12" t="s">
        <v>32</v>
      </c>
      <c r="Q497" s="12">
        <v>45</v>
      </c>
      <c r="R497" s="12" t="s">
        <v>61</v>
      </c>
      <c r="S497" s="12" t="s">
        <v>62</v>
      </c>
      <c r="T497" s="12" t="s">
        <v>2386</v>
      </c>
      <c r="U497" s="12" t="s">
        <v>2387</v>
      </c>
      <c r="V497" s="12" t="s">
        <v>37</v>
      </c>
      <c r="W497" s="12" t="s">
        <v>50</v>
      </c>
      <c r="X497" s="12" t="s">
        <v>58</v>
      </c>
      <c r="Y497" s="15" t="s">
        <v>134</v>
      </c>
    </row>
    <row r="498" spans="1:25" ht="12.75">
      <c r="A498" s="6">
        <v>2616308</v>
      </c>
      <c r="B498" s="7" t="s">
        <v>2359</v>
      </c>
      <c r="C498" s="7" t="s">
        <v>26</v>
      </c>
      <c r="D498" s="7">
        <v>170001949424</v>
      </c>
      <c r="E498" s="7">
        <v>45</v>
      </c>
      <c r="F498" s="7" t="s">
        <v>2388</v>
      </c>
      <c r="G498" s="7"/>
      <c r="H498" s="7"/>
      <c r="I498" s="7" t="s">
        <v>2389</v>
      </c>
      <c r="J498" s="7" t="s">
        <v>82</v>
      </c>
      <c r="K498" s="7" t="s">
        <v>29</v>
      </c>
      <c r="L498" s="7" t="s">
        <v>30</v>
      </c>
      <c r="M498" s="8">
        <v>9775</v>
      </c>
      <c r="N498" s="9">
        <v>0.54290000000000005</v>
      </c>
      <c r="O498" s="7" t="s">
        <v>2390</v>
      </c>
      <c r="P498" s="7" t="s">
        <v>32</v>
      </c>
      <c r="Q498" s="7">
        <v>45</v>
      </c>
      <c r="R498" s="7" t="s">
        <v>61</v>
      </c>
      <c r="S498" s="7" t="s">
        <v>62</v>
      </c>
      <c r="T498" s="7" t="s">
        <v>2391</v>
      </c>
      <c r="U498" s="7" t="s">
        <v>2392</v>
      </c>
      <c r="V498" s="7" t="s">
        <v>37</v>
      </c>
      <c r="W498" s="7" t="s">
        <v>38</v>
      </c>
      <c r="X498" s="7" t="s">
        <v>58</v>
      </c>
      <c r="Y498" s="10" t="s">
        <v>1040</v>
      </c>
    </row>
    <row r="499" spans="1:25" ht="12.75">
      <c r="A499" s="11">
        <v>2616407</v>
      </c>
      <c r="B499" s="12" t="s">
        <v>2364</v>
      </c>
      <c r="C499" s="12" t="s">
        <v>26</v>
      </c>
      <c r="D499" s="12">
        <v>170002127894</v>
      </c>
      <c r="E499" s="12">
        <v>15</v>
      </c>
      <c r="F499" s="12" t="s">
        <v>2393</v>
      </c>
      <c r="G499" s="12"/>
      <c r="H499" s="12"/>
      <c r="I499" s="12" t="s">
        <v>2393</v>
      </c>
      <c r="J499" s="12" t="s">
        <v>28</v>
      </c>
      <c r="K499" s="12" t="s">
        <v>29</v>
      </c>
      <c r="L499" s="12" t="s">
        <v>30</v>
      </c>
      <c r="M499" s="13">
        <v>64589</v>
      </c>
      <c r="N499" s="14">
        <v>0.77380000000000004</v>
      </c>
      <c r="O499" s="12" t="s">
        <v>2394</v>
      </c>
      <c r="P499" s="12" t="s">
        <v>32</v>
      </c>
      <c r="Q499" s="12">
        <v>15</v>
      </c>
      <c r="R499" s="12" t="s">
        <v>85</v>
      </c>
      <c r="S499" s="12" t="s">
        <v>86</v>
      </c>
      <c r="T499" s="12" t="s">
        <v>2395</v>
      </c>
      <c r="U499" s="12" t="s">
        <v>2396</v>
      </c>
      <c r="V499" s="12" t="s">
        <v>37</v>
      </c>
      <c r="W499" s="12" t="s">
        <v>38</v>
      </c>
      <c r="X499" s="12" t="s">
        <v>39</v>
      </c>
      <c r="Y499" s="15" t="s">
        <v>90</v>
      </c>
    </row>
    <row r="500" spans="1:25" ht="12.75">
      <c r="A500" s="6">
        <v>2616506</v>
      </c>
      <c r="B500" s="7" t="s">
        <v>2378</v>
      </c>
      <c r="C500" s="7" t="s">
        <v>26</v>
      </c>
      <c r="D500" s="7">
        <v>170002132493</v>
      </c>
      <c r="E500" s="7">
        <v>55</v>
      </c>
      <c r="F500" s="7" t="s">
        <v>2397</v>
      </c>
      <c r="G500" s="7"/>
      <c r="H500" s="7"/>
      <c r="I500" s="7" t="s">
        <v>2398</v>
      </c>
      <c r="J500" s="7" t="s">
        <v>28</v>
      </c>
      <c r="K500" s="7" t="s">
        <v>29</v>
      </c>
      <c r="L500" s="7" t="s">
        <v>30</v>
      </c>
      <c r="M500" s="8">
        <v>6617</v>
      </c>
      <c r="N500" s="9">
        <v>0.75029999999999997</v>
      </c>
      <c r="O500" s="7" t="s">
        <v>2399</v>
      </c>
      <c r="P500" s="7" t="s">
        <v>32</v>
      </c>
      <c r="Q500" s="7">
        <v>55</v>
      </c>
      <c r="R500" s="7" t="s">
        <v>74</v>
      </c>
      <c r="S500" s="7" t="s">
        <v>75</v>
      </c>
      <c r="T500" s="7" t="s">
        <v>2400</v>
      </c>
      <c r="U500" s="7" t="s">
        <v>2401</v>
      </c>
      <c r="V500" s="7" t="s">
        <v>37</v>
      </c>
      <c r="W500" s="7" t="s">
        <v>38</v>
      </c>
      <c r="X500" s="7" t="s">
        <v>58</v>
      </c>
      <c r="Y500" s="10" t="s">
        <v>26</v>
      </c>
    </row>
    <row r="501" spans="1:25" ht="12.75">
      <c r="A501" s="11">
        <v>2604155</v>
      </c>
      <c r="B501" s="12" t="s">
        <v>707</v>
      </c>
      <c r="C501" s="12" t="s">
        <v>26</v>
      </c>
      <c r="D501" s="12">
        <v>170002383561</v>
      </c>
      <c r="E501" s="12">
        <v>70</v>
      </c>
      <c r="F501" s="12" t="s">
        <v>2402</v>
      </c>
      <c r="G501" s="12"/>
      <c r="H501" s="12"/>
      <c r="I501" s="12" t="s">
        <v>2403</v>
      </c>
      <c r="J501" s="12" t="s">
        <v>42</v>
      </c>
      <c r="K501" s="12" t="s">
        <v>43</v>
      </c>
      <c r="L501" s="12" t="s">
        <v>44</v>
      </c>
      <c r="M501" s="13">
        <v>3068</v>
      </c>
      <c r="N501" s="14">
        <v>0.32529999999999998</v>
      </c>
      <c r="O501" s="12" t="s">
        <v>2404</v>
      </c>
      <c r="P501" s="12" t="s">
        <v>32</v>
      </c>
      <c r="Q501" s="12">
        <v>70</v>
      </c>
      <c r="R501" s="12" t="s">
        <v>177</v>
      </c>
      <c r="S501" s="12" t="s">
        <v>177</v>
      </c>
      <c r="T501" s="12" t="s">
        <v>2405</v>
      </c>
      <c r="U501" s="12" t="s">
        <v>2406</v>
      </c>
      <c r="V501" s="12" t="s">
        <v>37</v>
      </c>
      <c r="W501" s="12" t="s">
        <v>50</v>
      </c>
      <c r="X501" s="12" t="s">
        <v>39</v>
      </c>
      <c r="Y501" s="15" t="s">
        <v>145</v>
      </c>
    </row>
    <row r="502" spans="1:25" ht="12.75">
      <c r="A502" s="6">
        <v>2608057</v>
      </c>
      <c r="B502" s="7" t="s">
        <v>1219</v>
      </c>
      <c r="C502" s="7" t="s">
        <v>26</v>
      </c>
      <c r="D502" s="7">
        <v>170002392403</v>
      </c>
      <c r="E502" s="7">
        <v>50</v>
      </c>
      <c r="F502" s="7" t="s">
        <v>2407</v>
      </c>
      <c r="G502" s="7"/>
      <c r="H502" s="7"/>
      <c r="I502" s="7" t="s">
        <v>2407</v>
      </c>
      <c r="J502" s="7" t="s">
        <v>42</v>
      </c>
      <c r="K502" s="7" t="s">
        <v>43</v>
      </c>
      <c r="L502" s="7" t="s">
        <v>44</v>
      </c>
      <c r="M502" s="8">
        <v>58</v>
      </c>
      <c r="N502" s="9">
        <v>6.3E-3</v>
      </c>
      <c r="O502" s="7" t="s">
        <v>2408</v>
      </c>
      <c r="P502" s="7" t="s">
        <v>54</v>
      </c>
      <c r="Q502" s="7">
        <v>50</v>
      </c>
      <c r="R502" s="7" t="s">
        <v>153</v>
      </c>
      <c r="S502" s="7" t="s">
        <v>154</v>
      </c>
      <c r="T502" s="7" t="s">
        <v>2409</v>
      </c>
      <c r="U502" s="7" t="s">
        <v>2410</v>
      </c>
      <c r="V502" s="7" t="s">
        <v>37</v>
      </c>
      <c r="W502" s="7" t="s">
        <v>156</v>
      </c>
      <c r="X502" s="7" t="s">
        <v>621</v>
      </c>
      <c r="Y502" s="10" t="s">
        <v>95</v>
      </c>
    </row>
    <row r="503" spans="1:25" ht="12.75">
      <c r="A503" s="11">
        <v>2610202</v>
      </c>
      <c r="B503" s="12" t="s">
        <v>1573</v>
      </c>
      <c r="C503" s="12" t="s">
        <v>26</v>
      </c>
      <c r="D503" s="12">
        <v>170002386501</v>
      </c>
      <c r="E503" s="12">
        <v>20</v>
      </c>
      <c r="F503" s="12" t="s">
        <v>2411</v>
      </c>
      <c r="G503" s="12"/>
      <c r="H503" s="12"/>
      <c r="I503" s="12" t="s">
        <v>2412</v>
      </c>
      <c r="J503" s="12" t="s">
        <v>42</v>
      </c>
      <c r="K503" s="12" t="s">
        <v>43</v>
      </c>
      <c r="L503" s="12" t="s">
        <v>44</v>
      </c>
      <c r="M503" s="13">
        <v>2352</v>
      </c>
      <c r="N503" s="14">
        <v>0.1525</v>
      </c>
      <c r="O503" s="12" t="s">
        <v>2413</v>
      </c>
      <c r="P503" s="12" t="s">
        <v>32</v>
      </c>
      <c r="Q503" s="12">
        <v>20</v>
      </c>
      <c r="R503" s="12" t="s">
        <v>98</v>
      </c>
      <c r="S503" s="12" t="s">
        <v>99</v>
      </c>
      <c r="T503" s="12" t="s">
        <v>2414</v>
      </c>
      <c r="U503" s="12" t="s">
        <v>2415</v>
      </c>
      <c r="V503" s="12" t="s">
        <v>37</v>
      </c>
      <c r="W503" s="12" t="s">
        <v>38</v>
      </c>
      <c r="X503" s="12" t="s">
        <v>58</v>
      </c>
      <c r="Y503" s="15" t="s">
        <v>127</v>
      </c>
    </row>
    <row r="504" spans="1:25" ht="12.75">
      <c r="A504" s="28">
        <v>2615805</v>
      </c>
      <c r="B504" s="29" t="s">
        <v>2283</v>
      </c>
      <c r="C504" s="29" t="s">
        <v>26</v>
      </c>
      <c r="D504" s="29">
        <v>170002379378</v>
      </c>
      <c r="E504" s="29">
        <v>50</v>
      </c>
      <c r="F504" s="29" t="s">
        <v>2416</v>
      </c>
      <c r="G504" s="29"/>
      <c r="H504" s="29"/>
      <c r="I504" s="29" t="s">
        <v>2416</v>
      </c>
      <c r="J504" s="29" t="s">
        <v>42</v>
      </c>
      <c r="K504" s="29" t="s">
        <v>43</v>
      </c>
      <c r="L504" s="29" t="s">
        <v>44</v>
      </c>
      <c r="M504" s="30">
        <v>28</v>
      </c>
      <c r="N504" s="31">
        <v>2.0999999999999999E-3</v>
      </c>
      <c r="O504" s="29" t="s">
        <v>2417</v>
      </c>
      <c r="P504" s="29" t="s">
        <v>54</v>
      </c>
      <c r="Q504" s="29">
        <v>50</v>
      </c>
      <c r="R504" s="29" t="s">
        <v>153</v>
      </c>
      <c r="S504" s="29" t="s">
        <v>154</v>
      </c>
      <c r="T504" s="29" t="s">
        <v>2409</v>
      </c>
      <c r="U504" s="29" t="s">
        <v>2410</v>
      </c>
      <c r="V504" s="29" t="s">
        <v>37</v>
      </c>
      <c r="W504" s="29" t="s">
        <v>50</v>
      </c>
      <c r="X504" s="29" t="s">
        <v>39</v>
      </c>
      <c r="Y504" s="32" t="s">
        <v>95</v>
      </c>
    </row>
  </sheetData>
  <hyperlinks>
    <hyperlink ref="G8" r:id="rId1" xr:uid="{00000000-0004-0000-0000-000000000000}"/>
    <hyperlink ref="G14" r:id="rId2" xr:uid="{00000000-0004-0000-0000-000001000000}"/>
    <hyperlink ref="G28" r:id="rId3" xr:uid="{00000000-0004-0000-0000-000002000000}"/>
    <hyperlink ref="G35" r:id="rId4" xr:uid="{00000000-0004-0000-0000-000003000000}"/>
    <hyperlink ref="G37" r:id="rId5" xr:uid="{00000000-0004-0000-0000-000004000000}"/>
    <hyperlink ref="G47" r:id="rId6" xr:uid="{00000000-0004-0000-0000-000005000000}"/>
    <hyperlink ref="G48" r:id="rId7" xr:uid="{00000000-0004-0000-0000-000006000000}"/>
    <hyperlink ref="G54" r:id="rId8" xr:uid="{00000000-0004-0000-0000-000007000000}"/>
    <hyperlink ref="G63" r:id="rId9" xr:uid="{00000000-0004-0000-0000-000008000000}"/>
    <hyperlink ref="G72" r:id="rId10" xr:uid="{00000000-0004-0000-0000-000009000000}"/>
    <hyperlink ref="G92" r:id="rId11" xr:uid="{00000000-0004-0000-0000-00000A000000}"/>
    <hyperlink ref="G142" r:id="rId12" xr:uid="{00000000-0004-0000-0000-00000B000000}"/>
    <hyperlink ref="G159" r:id="rId13" xr:uid="{00000000-0004-0000-0000-00000C000000}"/>
    <hyperlink ref="G180" r:id="rId14" xr:uid="{00000000-0004-0000-0000-00000D000000}"/>
    <hyperlink ref="G216" r:id="rId15" xr:uid="{00000000-0004-0000-0000-00000E000000}"/>
    <hyperlink ref="G225" r:id="rId16" xr:uid="{00000000-0004-0000-0000-00000F000000}"/>
    <hyperlink ref="G259" r:id="rId17" xr:uid="{00000000-0004-0000-0000-000010000000}"/>
    <hyperlink ref="G260" r:id="rId18" xr:uid="{00000000-0004-0000-0000-000011000000}"/>
    <hyperlink ref="G271" r:id="rId19" xr:uid="{00000000-0004-0000-0000-000012000000}"/>
    <hyperlink ref="G312" r:id="rId20" xr:uid="{00000000-0004-0000-0000-000013000000}"/>
    <hyperlink ref="G315" r:id="rId21" xr:uid="{00000000-0004-0000-0000-000014000000}"/>
    <hyperlink ref="G326" r:id="rId22" xr:uid="{00000000-0004-0000-0000-000015000000}"/>
    <hyperlink ref="G335" r:id="rId23" xr:uid="{00000000-0004-0000-0000-000016000000}"/>
    <hyperlink ref="G356" r:id="rId24" xr:uid="{00000000-0004-0000-0000-000017000000}"/>
    <hyperlink ref="G387" r:id="rId25" xr:uid="{00000000-0004-0000-0000-000018000000}"/>
    <hyperlink ref="G400" r:id="rId26" xr:uid="{00000000-0004-0000-0000-000019000000}"/>
    <hyperlink ref="G431" r:id="rId27" xr:uid="{00000000-0004-0000-0000-00001A000000}"/>
    <hyperlink ref="G441" r:id="rId28" xr:uid="{00000000-0004-0000-0000-00001B000000}"/>
    <hyperlink ref="G445" r:id="rId29" xr:uid="{00000000-0004-0000-0000-00001C000000}"/>
    <hyperlink ref="G451" r:id="rId30" xr:uid="{00000000-0004-0000-0000-00001D000000}"/>
    <hyperlink ref="G463" r:id="rId31" xr:uid="{00000000-0004-0000-0000-00001E000000}"/>
    <hyperlink ref="G480" r:id="rId32" xr:uid="{00000000-0004-0000-0000-00001F000000}"/>
    <hyperlink ref="G489" r:id="rId33" xr:uid="{00000000-0004-0000-0000-000020000000}"/>
  </hyperlinks>
  <pageMargins left="0.511811024" right="0.511811024" top="0.78740157499999996" bottom="0.78740157499999996" header="0.31496062000000002" footer="0.31496062000000002"/>
  <tableParts count="1">
    <tablePart r:id="rId3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9D34-2CE0-43D1-B59D-21A47A709842}">
  <dimension ref="A1:D186"/>
  <sheetViews>
    <sheetView tabSelected="1" workbookViewId="0">
      <selection activeCell="B133" sqref="B133"/>
    </sheetView>
  </sheetViews>
  <sheetFormatPr defaultRowHeight="12.75"/>
  <cols>
    <col min="1" max="1" width="27.73046875" bestFit="1" customWidth="1"/>
    <col min="2" max="2" width="18.1328125" style="102" bestFit="1" customWidth="1"/>
    <col min="3" max="3" width="17.19921875" bestFit="1" customWidth="1"/>
  </cols>
  <sheetData>
    <row r="1" spans="1:4">
      <c r="A1" t="s">
        <v>3948</v>
      </c>
      <c r="B1" t="s">
        <v>3949</v>
      </c>
      <c r="C1" t="s">
        <v>3950</v>
      </c>
    </row>
    <row r="2" spans="1:4" ht="13.9">
      <c r="A2" s="54" t="s">
        <v>25</v>
      </c>
      <c r="B2" s="102">
        <f>SUMIF(Tabela_10[NM_UE],A2,Tabela_10[VOTOS RECEBIDOS])</f>
        <v>58991</v>
      </c>
      <c r="C2" s="102">
        <v>58991</v>
      </c>
      <c r="D2" s="103">
        <f>B2-C2</f>
        <v>0</v>
      </c>
    </row>
    <row r="3" spans="1:4" ht="13.9">
      <c r="A3" s="59" t="s">
        <v>66</v>
      </c>
      <c r="B3" s="102">
        <f>SUMIF(Tabela_10[NM_UE],A3,Tabela_10[VOTOS RECEBIDOS])</f>
        <v>22670</v>
      </c>
      <c r="C3" s="102">
        <v>22670</v>
      </c>
      <c r="D3" s="103">
        <f t="shared" ref="D3:D66" si="0">B3-C3</f>
        <v>0</v>
      </c>
    </row>
    <row r="4" spans="1:4" ht="13.9">
      <c r="A4" s="54" t="s">
        <v>79</v>
      </c>
      <c r="B4" s="102">
        <f>SUMIF(Tabela_10[NM_UE],A4,Tabela_10[VOTOS RECEBIDOS])</f>
        <v>14472</v>
      </c>
      <c r="C4" s="102">
        <v>14472</v>
      </c>
      <c r="D4" s="103">
        <f t="shared" si="0"/>
        <v>0</v>
      </c>
    </row>
    <row r="5" spans="1:4" ht="13.9">
      <c r="A5" s="59" t="s">
        <v>103</v>
      </c>
      <c r="B5" s="102">
        <f>SUMIF(Tabela_10[NM_UE],A5,Tabela_10[VOTOS RECEBIDOS])</f>
        <v>17109</v>
      </c>
      <c r="C5" s="102">
        <v>17109</v>
      </c>
      <c r="D5" s="103">
        <f t="shared" si="0"/>
        <v>0</v>
      </c>
    </row>
    <row r="6" spans="1:4" ht="13.9">
      <c r="A6" s="104" t="s">
        <v>115</v>
      </c>
      <c r="B6" s="105">
        <f>SUMIF(Tabela_10[NM_UE],A6,Tabela_10[VOTOS RECEBIDOS])</f>
        <v>7997</v>
      </c>
      <c r="C6" s="105">
        <v>15931</v>
      </c>
      <c r="D6" s="106">
        <f t="shared" si="0"/>
        <v>-7934</v>
      </c>
    </row>
    <row r="7" spans="1:4" ht="13.9">
      <c r="A7" s="59" t="s">
        <v>119</v>
      </c>
      <c r="B7" s="102">
        <f>SUMIF(Tabela_10[NM_UE],A7,Tabela_10[VOTOS RECEBIDOS])</f>
        <v>24986</v>
      </c>
      <c r="C7" s="102">
        <v>24986</v>
      </c>
      <c r="D7" s="103">
        <f t="shared" si="0"/>
        <v>0</v>
      </c>
    </row>
    <row r="8" spans="1:4" ht="13.9">
      <c r="A8" s="54" t="s">
        <v>135</v>
      </c>
      <c r="B8" s="102">
        <f>SUMIF(Tabela_10[NM_UE],A8,Tabela_10[VOTOS RECEBIDOS])</f>
        <v>9738</v>
      </c>
      <c r="C8" s="102">
        <v>9738</v>
      </c>
      <c r="D8" s="103">
        <f t="shared" si="0"/>
        <v>0</v>
      </c>
    </row>
    <row r="9" spans="1:4" ht="13.9">
      <c r="A9" s="59" t="s">
        <v>150</v>
      </c>
      <c r="B9" s="102">
        <f>SUMIF(Tabela_10[NM_UE],A9,Tabela_10[VOTOS RECEBIDOS])</f>
        <v>21366</v>
      </c>
      <c r="C9" s="102">
        <v>21366</v>
      </c>
      <c r="D9" s="103">
        <f t="shared" si="0"/>
        <v>0</v>
      </c>
    </row>
    <row r="10" spans="1:4" ht="13.9">
      <c r="A10" s="54" t="s">
        <v>173</v>
      </c>
      <c r="B10" s="102">
        <f>SUMIF(Tabela_10[NM_UE],A10,Tabela_10[VOTOS RECEBIDOS])</f>
        <v>13985</v>
      </c>
      <c r="C10" s="102">
        <v>13985</v>
      </c>
      <c r="D10" s="103">
        <f t="shared" si="0"/>
        <v>0</v>
      </c>
    </row>
    <row r="11" spans="1:4" ht="13.9">
      <c r="A11" s="59" t="s">
        <v>187</v>
      </c>
      <c r="B11" s="102">
        <f>SUMIF(Tabela_10[NM_UE],A11,Tabela_10[VOTOS RECEBIDOS])</f>
        <v>14135</v>
      </c>
      <c r="C11" s="102">
        <v>14135</v>
      </c>
      <c r="D11" s="103">
        <f t="shared" si="0"/>
        <v>0</v>
      </c>
    </row>
    <row r="12" spans="1:4" ht="13.9">
      <c r="A12" s="54" t="s">
        <v>203</v>
      </c>
      <c r="B12" s="102">
        <f>SUMIF(Tabela_10[NM_UE],A12,Tabela_10[VOTOS RECEBIDOS])</f>
        <v>7749</v>
      </c>
      <c r="C12" s="102">
        <v>7749</v>
      </c>
      <c r="D12" s="103">
        <f t="shared" si="0"/>
        <v>0</v>
      </c>
    </row>
    <row r="13" spans="1:4" ht="13.9">
      <c r="A13" s="59" t="s">
        <v>213</v>
      </c>
      <c r="B13" s="102">
        <f>SUMIF(Tabela_10[NM_UE],A13,Tabela_10[VOTOS RECEBIDOS])</f>
        <v>15054</v>
      </c>
      <c r="C13" s="102">
        <v>15054</v>
      </c>
      <c r="D13" s="103">
        <f t="shared" si="0"/>
        <v>0</v>
      </c>
    </row>
    <row r="14" spans="1:4" ht="13.9">
      <c r="A14" s="54" t="s">
        <v>223</v>
      </c>
      <c r="B14" s="102">
        <f>SUMIF(Tabela_10[NM_UE],A14,Tabela_10[VOTOS RECEBIDOS])</f>
        <v>46711</v>
      </c>
      <c r="C14" s="102">
        <v>46711</v>
      </c>
      <c r="D14" s="103">
        <f t="shared" si="0"/>
        <v>0</v>
      </c>
    </row>
    <row r="15" spans="1:4" ht="13.9">
      <c r="A15" s="59" t="s">
        <v>238</v>
      </c>
      <c r="B15" s="102">
        <f>SUMIF(Tabela_10[NM_UE],A15,Tabela_10[VOTOS RECEBIDOS])</f>
        <v>39024</v>
      </c>
      <c r="C15" s="102">
        <v>39024</v>
      </c>
      <c r="D15" s="103">
        <f t="shared" si="0"/>
        <v>0</v>
      </c>
    </row>
    <row r="16" spans="1:4" ht="13.9">
      <c r="A16" s="54" t="s">
        <v>258</v>
      </c>
      <c r="B16" s="102">
        <f>SUMIF(Tabela_10[NM_UE],A16,Tabela_10[VOTOS RECEBIDOS])</f>
        <v>8326</v>
      </c>
      <c r="C16" s="102">
        <v>8326</v>
      </c>
      <c r="D16" s="103">
        <f t="shared" si="0"/>
        <v>0</v>
      </c>
    </row>
    <row r="17" spans="1:4" ht="13.9">
      <c r="A17" s="59" t="s">
        <v>267</v>
      </c>
      <c r="B17" s="102">
        <f>SUMIF(Tabela_10[NM_UE],A17,Tabela_10[VOTOS RECEBIDOS])</f>
        <v>22586</v>
      </c>
      <c r="C17" s="102">
        <v>22586</v>
      </c>
      <c r="D17" s="103">
        <f t="shared" si="0"/>
        <v>0</v>
      </c>
    </row>
    <row r="18" spans="1:4" ht="13.9">
      <c r="A18" s="54" t="s">
        <v>290</v>
      </c>
      <c r="B18" s="102">
        <f>SUMIF(Tabela_10[NM_UE],A18,Tabela_10[VOTOS RECEBIDOS])</f>
        <v>8029</v>
      </c>
      <c r="C18" s="102">
        <v>8029</v>
      </c>
      <c r="D18" s="103">
        <f t="shared" si="0"/>
        <v>0</v>
      </c>
    </row>
    <row r="19" spans="1:4" ht="13.9">
      <c r="A19" s="59" t="s">
        <v>300</v>
      </c>
      <c r="B19" s="102">
        <f>SUMIF(Tabela_10[NM_UE],A19,Tabela_10[VOTOS RECEBIDOS])</f>
        <v>12925</v>
      </c>
      <c r="C19" s="102">
        <v>12925</v>
      </c>
      <c r="D19" s="103">
        <f t="shared" si="0"/>
        <v>0</v>
      </c>
    </row>
    <row r="20" spans="1:4" ht="13.9">
      <c r="A20" s="54" t="s">
        <v>311</v>
      </c>
      <c r="B20" s="102">
        <f>SUMIF(Tabela_10[NM_UE],A20,Tabela_10[VOTOS RECEBIDOS])</f>
        <v>45570</v>
      </c>
      <c r="C20" s="102">
        <v>45570</v>
      </c>
      <c r="D20" s="103">
        <f t="shared" si="0"/>
        <v>0</v>
      </c>
    </row>
    <row r="21" spans="1:4" ht="13.9">
      <c r="A21" s="59" t="s">
        <v>329</v>
      </c>
      <c r="B21" s="102">
        <f>SUMIF(Tabela_10[NM_UE],A21,Tabela_10[VOTOS RECEBIDOS])</f>
        <v>8231</v>
      </c>
      <c r="C21" s="102">
        <v>8231</v>
      </c>
      <c r="D21" s="103">
        <f t="shared" si="0"/>
        <v>0</v>
      </c>
    </row>
    <row r="22" spans="1:4" ht="13.9">
      <c r="A22" s="54" t="s">
        <v>344</v>
      </c>
      <c r="B22" s="102">
        <f>SUMIF(Tabela_10[NM_UE],A22,Tabela_10[VOTOS RECEBIDOS])</f>
        <v>37898</v>
      </c>
      <c r="C22" s="102">
        <v>37898</v>
      </c>
      <c r="D22" s="103">
        <f t="shared" si="0"/>
        <v>0</v>
      </c>
    </row>
    <row r="23" spans="1:4" ht="13.9">
      <c r="A23" s="59" t="s">
        <v>358</v>
      </c>
      <c r="B23" s="102">
        <f>SUMIF(Tabela_10[NM_UE],A23,Tabela_10[VOTOS RECEBIDOS])</f>
        <v>23327</v>
      </c>
      <c r="C23" s="102">
        <v>23327</v>
      </c>
      <c r="D23" s="103">
        <f t="shared" si="0"/>
        <v>0</v>
      </c>
    </row>
    <row r="24" spans="1:4" ht="13.9">
      <c r="A24" s="54" t="s">
        <v>371</v>
      </c>
      <c r="B24" s="102">
        <f>SUMIF(Tabela_10[NM_UE],A24,Tabela_10[VOTOS RECEBIDOS])</f>
        <v>26076</v>
      </c>
      <c r="C24" s="102">
        <v>26076</v>
      </c>
      <c r="D24" s="103">
        <f t="shared" si="0"/>
        <v>0</v>
      </c>
    </row>
    <row r="25" spans="1:4" ht="13.9">
      <c r="A25" s="59" t="s">
        <v>391</v>
      </c>
      <c r="B25" s="102">
        <f>SUMIF(Tabela_10[NM_UE],A25,Tabela_10[VOTOS RECEBIDOS])</f>
        <v>23608</v>
      </c>
      <c r="C25" s="102">
        <v>23608</v>
      </c>
      <c r="D25" s="103">
        <f t="shared" si="0"/>
        <v>0</v>
      </c>
    </row>
    <row r="26" spans="1:4" ht="13.9">
      <c r="A26" s="54" t="s">
        <v>402</v>
      </c>
      <c r="B26" s="102">
        <f>SUMIF(Tabela_10[NM_UE],A26,Tabela_10[VOTOS RECEBIDOS])</f>
        <v>24582</v>
      </c>
      <c r="C26" s="102">
        <v>24582</v>
      </c>
      <c r="D26" s="103">
        <f t="shared" si="0"/>
        <v>0</v>
      </c>
    </row>
    <row r="27" spans="1:4" ht="13.9">
      <c r="A27" s="59" t="s">
        <v>416</v>
      </c>
      <c r="B27" s="102">
        <f>SUMIF(Tabela_10[NM_UE],A27,Tabela_10[VOTOS RECEBIDOS])</f>
        <v>8286</v>
      </c>
      <c r="C27" s="102">
        <v>8286</v>
      </c>
      <c r="D27" s="103">
        <f t="shared" si="0"/>
        <v>0</v>
      </c>
    </row>
    <row r="28" spans="1:4" ht="13.9">
      <c r="A28" s="54" t="s">
        <v>430</v>
      </c>
      <c r="B28" s="102">
        <f>SUMIF(Tabela_10[NM_UE],A28,Tabela_10[VOTOS RECEBIDOS])</f>
        <v>6353</v>
      </c>
      <c r="C28" s="102">
        <v>6353</v>
      </c>
      <c r="D28" s="103">
        <f t="shared" si="0"/>
        <v>0</v>
      </c>
    </row>
    <row r="29" spans="1:4" ht="13.9">
      <c r="A29" s="59" t="s">
        <v>438</v>
      </c>
      <c r="B29" s="102">
        <f>SUMIF(Tabela_10[NM_UE],A29,Tabela_10[VOTOS RECEBIDOS])</f>
        <v>26795</v>
      </c>
      <c r="C29" s="102">
        <v>26795</v>
      </c>
      <c r="D29" s="103">
        <f t="shared" si="0"/>
        <v>0</v>
      </c>
    </row>
    <row r="30" spans="1:4" ht="13.9">
      <c r="A30" s="54" t="s">
        <v>459</v>
      </c>
      <c r="B30" s="102">
        <f>SUMIF(Tabela_10[NM_UE],A30,Tabela_10[VOTOS RECEBIDOS])</f>
        <v>10336</v>
      </c>
      <c r="C30" s="102">
        <v>10336</v>
      </c>
      <c r="D30" s="103">
        <f t="shared" si="0"/>
        <v>0</v>
      </c>
    </row>
    <row r="31" spans="1:4" ht="13.9">
      <c r="A31" s="59" t="s">
        <v>469</v>
      </c>
      <c r="B31" s="102">
        <f>SUMIF(Tabela_10[NM_UE],A31,Tabela_10[VOTOS RECEBIDOS])</f>
        <v>29106</v>
      </c>
      <c r="C31" s="102">
        <v>29106</v>
      </c>
      <c r="D31" s="103">
        <f t="shared" si="0"/>
        <v>0</v>
      </c>
    </row>
    <row r="32" spans="1:4" ht="13.9">
      <c r="A32" s="54" t="s">
        <v>479</v>
      </c>
      <c r="B32" s="102">
        <f>SUMIF(Tabela_10[NM_UE],A32,Tabela_10[VOTOS RECEBIDOS])</f>
        <v>128879</v>
      </c>
      <c r="C32" s="102">
        <v>128879</v>
      </c>
      <c r="D32" s="103">
        <f t="shared" si="0"/>
        <v>0</v>
      </c>
    </row>
    <row r="33" spans="1:4" ht="13.9">
      <c r="A33" s="59" t="s">
        <v>501</v>
      </c>
      <c r="B33" s="102">
        <f>SUMIF(Tabela_10[NM_UE],A33,Tabela_10[VOTOS RECEBIDOS])</f>
        <v>20909</v>
      </c>
      <c r="C33" s="102">
        <v>20909</v>
      </c>
      <c r="D33" s="103">
        <f t="shared" si="0"/>
        <v>0</v>
      </c>
    </row>
    <row r="34" spans="1:4" ht="13.9">
      <c r="A34" s="54" t="s">
        <v>513</v>
      </c>
      <c r="B34" s="102">
        <f>SUMIF(Tabela_10[NM_UE],A34,Tabela_10[VOTOS RECEBIDOS])</f>
        <v>13253</v>
      </c>
      <c r="C34" s="102">
        <v>13253</v>
      </c>
      <c r="D34" s="103">
        <f t="shared" si="0"/>
        <v>0</v>
      </c>
    </row>
    <row r="35" spans="1:4" ht="13.9">
      <c r="A35" s="59" t="s">
        <v>525</v>
      </c>
      <c r="B35" s="102">
        <f>SUMIF(Tabela_10[NM_UE],A35,Tabela_10[VOTOS RECEBIDOS])</f>
        <v>14356</v>
      </c>
      <c r="C35" s="102">
        <v>14356</v>
      </c>
      <c r="D35" s="103">
        <f t="shared" si="0"/>
        <v>0</v>
      </c>
    </row>
    <row r="36" spans="1:4" ht="13.9">
      <c r="A36" s="54" t="s">
        <v>533</v>
      </c>
      <c r="B36" s="102">
        <f>SUMIF(Tabela_10[NM_UE],A36,Tabela_10[VOTOS RECEBIDOS])</f>
        <v>6722</v>
      </c>
      <c r="C36" s="102">
        <v>6722</v>
      </c>
      <c r="D36" s="103">
        <f t="shared" si="0"/>
        <v>0</v>
      </c>
    </row>
    <row r="37" spans="1:4" ht="13.9">
      <c r="A37" s="59" t="s">
        <v>541</v>
      </c>
      <c r="B37" s="102">
        <f>SUMIF(Tabela_10[NM_UE],A37,Tabela_10[VOTOS RECEBIDOS])</f>
        <v>6174</v>
      </c>
      <c r="C37" s="102">
        <v>6174</v>
      </c>
      <c r="D37" s="103">
        <f t="shared" si="0"/>
        <v>0</v>
      </c>
    </row>
    <row r="38" spans="1:4" ht="13.9">
      <c r="A38" s="54" t="s">
        <v>549</v>
      </c>
      <c r="B38" s="102">
        <f>SUMIF(Tabela_10[NM_UE],A38,Tabela_10[VOTOS RECEBIDOS])</f>
        <v>92463</v>
      </c>
      <c r="C38" s="102">
        <v>92463</v>
      </c>
      <c r="D38" s="103">
        <f t="shared" si="0"/>
        <v>0</v>
      </c>
    </row>
    <row r="39" spans="1:4" ht="13.9">
      <c r="A39" s="59" t="s">
        <v>568</v>
      </c>
      <c r="B39" s="102">
        <f>SUMIF(Tabela_10[NM_UE],A39,Tabela_10[VOTOS RECEBIDOS])</f>
        <v>12346</v>
      </c>
      <c r="C39" s="102">
        <v>12346</v>
      </c>
      <c r="D39" s="103">
        <f t="shared" si="0"/>
        <v>0</v>
      </c>
    </row>
    <row r="40" spans="1:4" ht="13.9">
      <c r="A40" s="54" t="s">
        <v>578</v>
      </c>
      <c r="B40" s="102">
        <f>SUMIF(Tabela_10[NM_UE],A40,Tabela_10[VOTOS RECEBIDOS])</f>
        <v>6056</v>
      </c>
      <c r="C40" s="102">
        <v>6056</v>
      </c>
      <c r="D40" s="103">
        <f t="shared" si="0"/>
        <v>0</v>
      </c>
    </row>
    <row r="41" spans="1:4" ht="13.9">
      <c r="A41" s="59" t="s">
        <v>587</v>
      </c>
      <c r="B41" s="102">
        <f>SUMIF(Tabela_10[NM_UE],A41,Tabela_10[VOTOS RECEBIDOS])</f>
        <v>12773</v>
      </c>
      <c r="C41" s="102">
        <v>12773</v>
      </c>
      <c r="D41" s="103">
        <f t="shared" si="0"/>
        <v>0</v>
      </c>
    </row>
    <row r="42" spans="1:4" ht="13.9">
      <c r="A42" s="54" t="s">
        <v>596</v>
      </c>
      <c r="B42" s="102">
        <f>SUMIF(Tabela_10[NM_UE],A42,Tabela_10[VOTOS RECEBIDOS])</f>
        <v>11967</v>
      </c>
      <c r="C42" s="102">
        <v>11967</v>
      </c>
      <c r="D42" s="103">
        <f t="shared" si="0"/>
        <v>0</v>
      </c>
    </row>
    <row r="43" spans="1:4" ht="13.9">
      <c r="A43" s="59" t="s">
        <v>607</v>
      </c>
      <c r="B43" s="102">
        <f>SUMIF(Tabela_10[NM_UE],A43,Tabela_10[VOTOS RECEBIDOS])</f>
        <v>13755</v>
      </c>
      <c r="C43" s="102">
        <v>13755</v>
      </c>
      <c r="D43" s="103">
        <f t="shared" si="0"/>
        <v>0</v>
      </c>
    </row>
    <row r="44" spans="1:4" ht="13.9">
      <c r="A44" s="54" t="s">
        <v>616</v>
      </c>
      <c r="B44" s="102">
        <f>SUMIF(Tabela_10[NM_UE],A44,Tabela_10[VOTOS RECEBIDOS])</f>
        <v>10916</v>
      </c>
      <c r="C44" s="102">
        <v>10916</v>
      </c>
      <c r="D44" s="103">
        <f t="shared" si="0"/>
        <v>0</v>
      </c>
    </row>
    <row r="45" spans="1:4" ht="13.9">
      <c r="A45" s="59" t="s">
        <v>626</v>
      </c>
      <c r="B45" s="102">
        <f>SUMIF(Tabela_10[NM_UE],A45,Tabela_10[VOTOS RECEBIDOS])</f>
        <v>48489</v>
      </c>
      <c r="C45" s="102">
        <v>48489</v>
      </c>
      <c r="D45" s="103">
        <f t="shared" si="0"/>
        <v>0</v>
      </c>
    </row>
    <row r="46" spans="1:4" ht="13.9">
      <c r="A46" s="54" t="s">
        <v>651</v>
      </c>
      <c r="B46" s="102">
        <f>SUMIF(Tabela_10[NM_UE],A46,Tabela_10[VOTOS RECEBIDOS])</f>
        <v>193989</v>
      </c>
      <c r="C46" s="102">
        <v>193989</v>
      </c>
      <c r="D46" s="103">
        <f t="shared" si="0"/>
        <v>0</v>
      </c>
    </row>
    <row r="47" spans="1:4" ht="13.9">
      <c r="A47" s="59" t="s">
        <v>707</v>
      </c>
      <c r="B47" s="102">
        <f>SUMIF(Tabela_10[NM_UE],A47,Tabela_10[VOTOS RECEBIDOS])</f>
        <v>9432</v>
      </c>
      <c r="C47" s="102">
        <v>9432</v>
      </c>
      <c r="D47" s="103">
        <f t="shared" si="0"/>
        <v>0</v>
      </c>
    </row>
    <row r="48" spans="1:4" ht="13.9">
      <c r="A48" s="54" t="s">
        <v>683</v>
      </c>
      <c r="B48" s="102">
        <f>SUMIF(Tabela_10[NM_UE],A48,Tabela_10[VOTOS RECEBIDOS])</f>
        <v>21174</v>
      </c>
      <c r="C48" s="102">
        <v>21174</v>
      </c>
      <c r="D48" s="103">
        <f t="shared" si="0"/>
        <v>0</v>
      </c>
    </row>
    <row r="49" spans="1:4" ht="13.9">
      <c r="A49" s="59" t="s">
        <v>712</v>
      </c>
      <c r="B49" s="102">
        <f>SUMIF(Tabela_10[NM_UE],A49,Tabela_10[VOTOS RECEBIDOS])</f>
        <v>7841</v>
      </c>
      <c r="C49" s="102">
        <v>7841</v>
      </c>
      <c r="D49" s="103">
        <f t="shared" si="0"/>
        <v>0</v>
      </c>
    </row>
    <row r="50" spans="1:4" ht="13.9">
      <c r="A50" s="54" t="s">
        <v>717</v>
      </c>
      <c r="B50" s="102">
        <f>SUMIF(Tabela_10[NM_UE],A50,Tabela_10[VOTOS RECEBIDOS])</f>
        <v>9793</v>
      </c>
      <c r="C50" s="102">
        <v>9793</v>
      </c>
      <c r="D50" s="103">
        <f t="shared" si="0"/>
        <v>0</v>
      </c>
    </row>
    <row r="51" spans="1:4" ht="13.9">
      <c r="A51" s="59" t="s">
        <v>727</v>
      </c>
      <c r="B51" s="102">
        <f>SUMIF(Tabela_10[NM_UE],A51,Tabela_10[VOTOS RECEBIDOS])</f>
        <v>15555</v>
      </c>
      <c r="C51" s="102">
        <v>15555</v>
      </c>
      <c r="D51" s="103">
        <f t="shared" si="0"/>
        <v>0</v>
      </c>
    </row>
    <row r="52" spans="1:4" ht="13.9">
      <c r="A52" s="104" t="s">
        <v>737</v>
      </c>
      <c r="B52" s="105">
        <f>SUMIF(Tabela_10[NM_UE],A52,Tabela_10[VOTOS RECEBIDOS])</f>
        <v>16242</v>
      </c>
      <c r="C52" s="105">
        <v>9428</v>
      </c>
      <c r="D52" s="106">
        <f t="shared" si="0"/>
        <v>6814</v>
      </c>
    </row>
    <row r="53" spans="1:4" ht="13.9">
      <c r="A53" s="59" t="s">
        <v>750</v>
      </c>
      <c r="B53" s="102">
        <f>SUMIF(Tabela_10[NM_UE],A53,Tabela_10[VOTOS RECEBIDOS])</f>
        <v>11206</v>
      </c>
      <c r="C53" s="102">
        <v>11206</v>
      </c>
      <c r="D53" s="103">
        <f t="shared" si="0"/>
        <v>0</v>
      </c>
    </row>
    <row r="54" spans="1:4" ht="13.9">
      <c r="A54" s="54" t="s">
        <v>759</v>
      </c>
      <c r="B54" s="102">
        <f>SUMIF(Tabela_10[NM_UE],A54,Tabela_10[VOTOS RECEBIDOS])</f>
        <v>9132</v>
      </c>
      <c r="C54" s="102">
        <v>9132</v>
      </c>
      <c r="D54" s="103">
        <f t="shared" si="0"/>
        <v>0</v>
      </c>
    </row>
    <row r="55" spans="1:4" ht="13.9">
      <c r="A55" s="59" t="s">
        <v>780</v>
      </c>
      <c r="B55" s="102">
        <f>SUMIF(Tabela_10[NM_UE],A55,Tabela_10[VOTOS RECEBIDOS])</f>
        <v>11828</v>
      </c>
      <c r="C55" s="102">
        <v>11828</v>
      </c>
      <c r="D55" s="103">
        <f t="shared" si="0"/>
        <v>0</v>
      </c>
    </row>
    <row r="56" spans="1:4" ht="13.9">
      <c r="A56" s="54" t="s">
        <v>785</v>
      </c>
      <c r="B56" s="102">
        <f>SUMIF(Tabela_10[NM_UE],A56,Tabela_10[VOTOS RECEBIDOS])</f>
        <v>14946</v>
      </c>
      <c r="C56" s="102">
        <v>14946</v>
      </c>
      <c r="D56" s="103">
        <f t="shared" si="0"/>
        <v>0</v>
      </c>
    </row>
    <row r="57" spans="1:4" ht="13.9">
      <c r="A57" s="59" t="s">
        <v>798</v>
      </c>
      <c r="B57" s="102">
        <f>SUMIF(Tabela_10[NM_UE],A57,Tabela_10[VOTOS RECEBIDOS])</f>
        <v>22533</v>
      </c>
      <c r="C57" s="102">
        <v>22533</v>
      </c>
      <c r="D57" s="103">
        <f t="shared" si="0"/>
        <v>0</v>
      </c>
    </row>
    <row r="58" spans="1:4" ht="13.9">
      <c r="A58" s="54" t="s">
        <v>353</v>
      </c>
      <c r="B58" s="102">
        <f>SUMIF(Tabela_10[NM_UE],A58,Tabela_10[VOTOS RECEBIDOS])</f>
        <v>11727</v>
      </c>
      <c r="C58" s="102">
        <v>11727</v>
      </c>
      <c r="D58" s="103">
        <f t="shared" si="0"/>
        <v>0</v>
      </c>
    </row>
    <row r="59" spans="1:4" ht="13.9">
      <c r="A59" s="59" t="s">
        <v>813</v>
      </c>
      <c r="B59" s="102">
        <f>SUMIF(Tabela_10[NM_UE],A59,Tabela_10[VOTOS RECEBIDOS])</f>
        <v>38600</v>
      </c>
      <c r="C59" s="102">
        <v>38600</v>
      </c>
      <c r="D59" s="103">
        <f t="shared" si="0"/>
        <v>0</v>
      </c>
    </row>
    <row r="60" spans="1:4" ht="13.9">
      <c r="A60" s="54" t="s">
        <v>825</v>
      </c>
      <c r="B60" s="102">
        <f>SUMIF(Tabela_10[NM_UE],A60,Tabela_10[VOTOS RECEBIDOS])</f>
        <v>22845</v>
      </c>
      <c r="C60" s="102">
        <v>22845</v>
      </c>
      <c r="D60" s="103">
        <f t="shared" si="0"/>
        <v>0</v>
      </c>
    </row>
    <row r="61" spans="1:4" ht="13.9">
      <c r="A61" s="59" t="s">
        <v>837</v>
      </c>
      <c r="B61" s="102">
        <f>SUMIF(Tabela_10[NM_UE],A61,Tabela_10[VOTOS RECEBIDOS])</f>
        <v>14541</v>
      </c>
      <c r="C61" s="102">
        <v>14541</v>
      </c>
      <c r="D61" s="103">
        <f t="shared" si="0"/>
        <v>0</v>
      </c>
    </row>
    <row r="62" spans="1:4" ht="13.9">
      <c r="A62" s="54" t="s">
        <v>846</v>
      </c>
      <c r="B62" s="102">
        <f>SUMIF(Tabela_10[NM_UE],A62,Tabela_10[VOTOS RECEBIDOS])</f>
        <v>8527</v>
      </c>
      <c r="C62" s="102">
        <v>8527</v>
      </c>
      <c r="D62" s="103">
        <f t="shared" si="0"/>
        <v>0</v>
      </c>
    </row>
    <row r="63" spans="1:4" ht="13.9">
      <c r="A63" s="59" t="s">
        <v>858</v>
      </c>
      <c r="B63" s="102">
        <f>SUMIF(Tabela_10[NM_UE],A63,Tabela_10[VOTOS RECEBIDOS])</f>
        <v>12070</v>
      </c>
      <c r="C63" s="102">
        <v>12070</v>
      </c>
      <c r="D63" s="103">
        <f t="shared" si="0"/>
        <v>0</v>
      </c>
    </row>
    <row r="64" spans="1:4" ht="13.9">
      <c r="A64" s="54" t="s">
        <v>875</v>
      </c>
      <c r="B64" s="102">
        <f>SUMIF(Tabela_10[NM_UE],A64,Tabela_10[VOTOS RECEBIDOS])</f>
        <v>20134</v>
      </c>
      <c r="C64" s="102">
        <v>20134</v>
      </c>
      <c r="D64" s="103">
        <f t="shared" si="0"/>
        <v>0</v>
      </c>
    </row>
    <row r="65" spans="1:4" ht="13.9">
      <c r="A65" s="59" t="s">
        <v>880</v>
      </c>
      <c r="B65" s="102">
        <f>SUMIF(Tabela_10[NM_UE],A65,Tabela_10[VOTOS RECEBIDOS])</f>
        <v>11494</v>
      </c>
      <c r="C65" s="102">
        <v>11494</v>
      </c>
      <c r="D65" s="103">
        <f t="shared" si="0"/>
        <v>0</v>
      </c>
    </row>
    <row r="66" spans="1:4" ht="13.9">
      <c r="A66" s="54" t="s">
        <v>895</v>
      </c>
      <c r="B66" s="102">
        <f>SUMIF(Tabela_10[NM_UE],A66,Tabela_10[VOTOS RECEBIDOS])</f>
        <v>11927</v>
      </c>
      <c r="C66" s="102">
        <v>11927</v>
      </c>
      <c r="D66" s="103">
        <f t="shared" si="0"/>
        <v>0</v>
      </c>
    </row>
    <row r="67" spans="1:4" ht="13.9">
      <c r="A67" s="59" t="s">
        <v>913</v>
      </c>
      <c r="B67" s="102">
        <f>SUMIF(Tabela_10[NM_UE],A67,Tabela_10[VOTOS RECEBIDOS])</f>
        <v>69828</v>
      </c>
      <c r="C67" s="102">
        <v>69828</v>
      </c>
      <c r="D67" s="103">
        <f t="shared" ref="D67:D130" si="1">B67-C67</f>
        <v>0</v>
      </c>
    </row>
    <row r="68" spans="1:4">
      <c r="A68" s="101" t="s">
        <v>927</v>
      </c>
      <c r="B68" s="102">
        <f>SUMIF(Tabela_10[NM_UE],A68,Tabela_10[VOTOS RECEBIDOS])</f>
        <v>18298</v>
      </c>
      <c r="C68" s="102">
        <v>18298</v>
      </c>
      <c r="D68" s="103">
        <f t="shared" si="1"/>
        <v>0</v>
      </c>
    </row>
    <row r="69" spans="1:4" ht="13.9">
      <c r="A69" s="59" t="s">
        <v>937</v>
      </c>
      <c r="B69" s="102">
        <f>SUMIF(Tabela_10[NM_UE],A69,Tabela_10[VOTOS RECEBIDOS])</f>
        <v>53233</v>
      </c>
      <c r="C69" s="102">
        <v>53233</v>
      </c>
      <c r="D69" s="103">
        <f t="shared" si="1"/>
        <v>0</v>
      </c>
    </row>
    <row r="70" spans="1:4" ht="13.9">
      <c r="A70" s="54" t="s">
        <v>959</v>
      </c>
      <c r="B70" s="102">
        <f>SUMIF(Tabela_10[NM_UE],A70,Tabela_10[VOTOS RECEBIDOS])</f>
        <v>5989</v>
      </c>
      <c r="C70" s="102">
        <v>5989</v>
      </c>
      <c r="D70" s="103">
        <f t="shared" si="1"/>
        <v>0</v>
      </c>
    </row>
    <row r="71" spans="1:4" ht="13.9">
      <c r="A71" s="59" t="s">
        <v>968</v>
      </c>
      <c r="B71" s="102">
        <f>SUMIF(Tabela_10[NM_UE],A71,Tabela_10[VOTOS RECEBIDOS])</f>
        <v>52171</v>
      </c>
      <c r="C71" s="102">
        <v>52171</v>
      </c>
      <c r="D71" s="103">
        <f t="shared" si="1"/>
        <v>0</v>
      </c>
    </row>
    <row r="72" spans="1:4" ht="13.9">
      <c r="A72" s="54" t="s">
        <v>996</v>
      </c>
      <c r="B72" s="102">
        <f>SUMIF(Tabela_10[NM_UE],A72,Tabela_10[VOTOS RECEBIDOS])</f>
        <v>11778</v>
      </c>
      <c r="C72" s="102">
        <v>11778</v>
      </c>
      <c r="D72" s="103">
        <f t="shared" si="1"/>
        <v>0</v>
      </c>
    </row>
    <row r="73" spans="1:4" ht="13.9">
      <c r="A73" s="59" t="s">
        <v>1005</v>
      </c>
      <c r="B73" s="102">
        <f>SUMIF(Tabela_10[NM_UE],A73,Tabela_10[VOTOS RECEBIDOS])</f>
        <v>16471</v>
      </c>
      <c r="C73" s="102">
        <v>16471</v>
      </c>
      <c r="D73" s="103">
        <f t="shared" si="1"/>
        <v>0</v>
      </c>
    </row>
    <row r="74" spans="1:4" ht="13.9">
      <c r="A74" s="54" t="s">
        <v>1015</v>
      </c>
      <c r="B74" s="102">
        <f>SUMIF(Tabela_10[NM_UE],A74,Tabela_10[VOTOS RECEBIDOS])</f>
        <v>5678</v>
      </c>
      <c r="C74" s="102">
        <v>5678</v>
      </c>
      <c r="D74" s="103">
        <f t="shared" si="1"/>
        <v>0</v>
      </c>
    </row>
    <row r="75" spans="1:4" ht="13.9">
      <c r="A75" s="59" t="s">
        <v>870</v>
      </c>
      <c r="B75" s="102">
        <f>SUMIF(Tabela_10[NM_UE],A75,Tabela_10[VOTOS RECEBIDOS])</f>
        <v>70398</v>
      </c>
      <c r="C75" s="102">
        <v>70398</v>
      </c>
      <c r="D75" s="103">
        <f t="shared" si="1"/>
        <v>0</v>
      </c>
    </row>
    <row r="76" spans="1:4" ht="13.9">
      <c r="A76" s="54" t="s">
        <v>1034</v>
      </c>
      <c r="B76" s="102">
        <f>SUMIF(Tabela_10[NM_UE],A76,Tabela_10[VOTOS RECEBIDOS])</f>
        <v>7444</v>
      </c>
      <c r="C76" s="102">
        <v>7444</v>
      </c>
      <c r="D76" s="103">
        <f t="shared" si="1"/>
        <v>0</v>
      </c>
    </row>
    <row r="77" spans="1:4" ht="13.9">
      <c r="A77" s="59" t="s">
        <v>1065</v>
      </c>
      <c r="B77" s="102">
        <f>SUMIF(Tabela_10[NM_UE],A77,Tabela_10[VOTOS RECEBIDOS])</f>
        <v>12258</v>
      </c>
      <c r="C77" s="102">
        <v>12258</v>
      </c>
      <c r="D77" s="103">
        <f t="shared" si="1"/>
        <v>0</v>
      </c>
    </row>
    <row r="78" spans="1:4" ht="13.9">
      <c r="A78" s="54" t="s">
        <v>1076</v>
      </c>
      <c r="B78" s="102">
        <f>SUMIF(Tabela_10[NM_UE],A78,Tabela_10[VOTOS RECEBIDOS])</f>
        <v>3742</v>
      </c>
      <c r="C78" s="102">
        <v>3742</v>
      </c>
      <c r="D78" s="103">
        <f t="shared" si="1"/>
        <v>0</v>
      </c>
    </row>
    <row r="79" spans="1:4" ht="13.9">
      <c r="A79" s="59" t="s">
        <v>1084</v>
      </c>
      <c r="B79" s="102">
        <f>SUMIF(Tabela_10[NM_UE],A79,Tabela_10[VOTOS RECEBIDOS])</f>
        <v>71931</v>
      </c>
      <c r="C79" s="102">
        <v>71931</v>
      </c>
      <c r="D79" s="103">
        <f t="shared" si="1"/>
        <v>0</v>
      </c>
    </row>
    <row r="80" spans="1:4" ht="13.9">
      <c r="A80" s="54" t="s">
        <v>1098</v>
      </c>
      <c r="B80" s="102">
        <f>SUMIF(Tabela_10[NM_UE],A80,Tabela_10[VOTOS RECEBIDOS])</f>
        <v>18834</v>
      </c>
      <c r="C80" s="102">
        <v>18834</v>
      </c>
      <c r="D80" s="103">
        <f t="shared" si="1"/>
        <v>0</v>
      </c>
    </row>
    <row r="81" spans="1:4" ht="13.9">
      <c r="A81" s="59" t="s">
        <v>1108</v>
      </c>
      <c r="B81" s="102">
        <f>SUMIF(Tabela_10[NM_UE],A81,Tabela_10[VOTOS RECEBIDOS])</f>
        <v>4497</v>
      </c>
      <c r="C81" s="102">
        <v>4497</v>
      </c>
      <c r="D81" s="103">
        <f t="shared" si="1"/>
        <v>0</v>
      </c>
    </row>
    <row r="82" spans="1:4" ht="13.9">
      <c r="A82" s="54" t="s">
        <v>1117</v>
      </c>
      <c r="B82" s="102">
        <f>SUMIF(Tabela_10[NM_UE],A82,Tabela_10[VOTOS RECEBIDOS])</f>
        <v>16367</v>
      </c>
      <c r="C82" s="102">
        <v>16367</v>
      </c>
      <c r="D82" s="103">
        <f t="shared" si="1"/>
        <v>0</v>
      </c>
    </row>
    <row r="83" spans="1:4" ht="13.9">
      <c r="A83" s="59" t="s">
        <v>1044</v>
      </c>
      <c r="B83" s="102">
        <f>SUMIF(Tabela_10[NM_UE],A83,Tabela_10[VOTOS RECEBIDOS])</f>
        <v>14473</v>
      </c>
      <c r="C83" s="102">
        <v>14473</v>
      </c>
      <c r="D83" s="103">
        <f t="shared" si="1"/>
        <v>0</v>
      </c>
    </row>
    <row r="84" spans="1:4" ht="13.9">
      <c r="A84" s="54" t="s">
        <v>1131</v>
      </c>
      <c r="B84" s="102">
        <f>SUMIF(Tabela_10[NM_UE],A84,Tabela_10[VOTOS RECEBIDOS])</f>
        <v>19505</v>
      </c>
      <c r="C84" s="102">
        <v>19505</v>
      </c>
      <c r="D84" s="103">
        <f t="shared" si="1"/>
        <v>0</v>
      </c>
    </row>
    <row r="85" spans="1:4" ht="13.9">
      <c r="A85" s="59" t="s">
        <v>808</v>
      </c>
      <c r="B85" s="102">
        <f>SUMIF(Tabela_10[NM_UE],A85,Tabela_10[VOTOS RECEBIDOS])</f>
        <v>9837</v>
      </c>
      <c r="C85" s="102">
        <v>9837</v>
      </c>
      <c r="D85" s="103">
        <f t="shared" si="1"/>
        <v>0</v>
      </c>
    </row>
    <row r="86" spans="1:4" ht="13.9">
      <c r="A86" s="54" t="s">
        <v>1155</v>
      </c>
      <c r="B86" s="102">
        <f>SUMIF(Tabela_10[NM_UE],A86,Tabela_10[VOTOS RECEBIDOS])</f>
        <v>18619</v>
      </c>
      <c r="C86" s="102">
        <v>18619</v>
      </c>
      <c r="D86" s="103">
        <f t="shared" si="1"/>
        <v>0</v>
      </c>
    </row>
    <row r="87" spans="1:4" ht="13.9">
      <c r="A87" s="59" t="s">
        <v>1165</v>
      </c>
      <c r="B87" s="102">
        <f>SUMIF(Tabela_10[NM_UE],A87,Tabela_10[VOTOS RECEBIDOS])</f>
        <v>10966</v>
      </c>
      <c r="C87" s="102">
        <v>10966</v>
      </c>
      <c r="D87" s="103">
        <f t="shared" si="1"/>
        <v>0</v>
      </c>
    </row>
    <row r="88" spans="1:4" ht="13.9">
      <c r="A88" s="54" t="s">
        <v>1179</v>
      </c>
      <c r="B88" s="102">
        <f>SUMIF(Tabela_10[NM_UE],A88,Tabela_10[VOTOS RECEBIDOS])</f>
        <v>323282</v>
      </c>
      <c r="C88" s="102">
        <v>323282</v>
      </c>
      <c r="D88" s="103">
        <f t="shared" si="1"/>
        <v>0</v>
      </c>
    </row>
    <row r="89" spans="1:4" ht="13.9">
      <c r="A89" s="59" t="s">
        <v>582</v>
      </c>
      <c r="B89" s="102">
        <f>SUMIF(Tabela_10[NM_UE],A89,Tabela_10[VOTOS RECEBIDOS])</f>
        <v>7430</v>
      </c>
      <c r="C89" s="102">
        <v>7430</v>
      </c>
      <c r="D89" s="103">
        <f t="shared" si="1"/>
        <v>0</v>
      </c>
    </row>
    <row r="90" spans="1:4" ht="13.9">
      <c r="A90" s="54" t="s">
        <v>819</v>
      </c>
      <c r="B90" s="102">
        <f>SUMIF(Tabela_10[NM_UE],A90,Tabela_10[VOTOS RECEBIDOS])</f>
        <v>12103</v>
      </c>
      <c r="C90" s="102">
        <v>12103</v>
      </c>
      <c r="D90" s="103">
        <f t="shared" si="1"/>
        <v>0</v>
      </c>
    </row>
    <row r="91" spans="1:4" ht="13.9">
      <c r="A91" s="59" t="s">
        <v>1219</v>
      </c>
      <c r="B91" s="102">
        <f>SUMIF(Tabela_10[NM_UE],A91,Tabela_10[VOTOS RECEBIDOS])</f>
        <v>9275</v>
      </c>
      <c r="C91" s="102">
        <v>9275</v>
      </c>
      <c r="D91" s="103">
        <f t="shared" si="1"/>
        <v>0</v>
      </c>
    </row>
    <row r="92" spans="1:4" ht="13.9">
      <c r="A92" s="104" t="s">
        <v>1228</v>
      </c>
      <c r="B92" s="105">
        <f>SUMIF(Tabela_10[NM_UE],A92,Tabela_10[VOTOS RECEBIDOS])</f>
        <v>19758</v>
      </c>
      <c r="C92" s="105">
        <v>19874</v>
      </c>
      <c r="D92" s="103">
        <f t="shared" si="1"/>
        <v>-116</v>
      </c>
    </row>
    <row r="93" spans="1:4" ht="13.9">
      <c r="A93" s="59" t="s">
        <v>1238</v>
      </c>
      <c r="B93" s="102">
        <f>SUMIF(Tabela_10[NM_UE],A93,Tabela_10[VOTOS RECEBIDOS])</f>
        <v>12232</v>
      </c>
      <c r="C93" s="102">
        <v>12232</v>
      </c>
      <c r="D93" s="103">
        <f t="shared" si="1"/>
        <v>0</v>
      </c>
    </row>
    <row r="94" spans="1:4" ht="13.9">
      <c r="A94" s="54" t="s">
        <v>1247</v>
      </c>
      <c r="B94" s="102">
        <f>SUMIF(Tabela_10[NM_UE],A94,Tabela_10[VOTOS RECEBIDOS])</f>
        <v>7914</v>
      </c>
      <c r="C94" s="102">
        <v>7914</v>
      </c>
      <c r="D94" s="103">
        <f t="shared" si="1"/>
        <v>0</v>
      </c>
    </row>
    <row r="95" spans="1:4" ht="13.9">
      <c r="A95" s="59" t="s">
        <v>774</v>
      </c>
      <c r="B95" s="102">
        <f>SUMIF(Tabela_10[NM_UE],A95,Tabela_10[VOTOS RECEBIDOS])</f>
        <v>10509</v>
      </c>
      <c r="C95" s="102">
        <v>10509</v>
      </c>
      <c r="D95" s="103">
        <f t="shared" si="1"/>
        <v>0</v>
      </c>
    </row>
    <row r="96" spans="1:4" ht="13.9">
      <c r="A96" s="54" t="s">
        <v>1265</v>
      </c>
      <c r="B96" s="102">
        <f>SUMIF(Tabela_10[NM_UE],A96,Tabela_10[VOTOS RECEBIDOS])</f>
        <v>9822</v>
      </c>
      <c r="C96" s="102">
        <v>9822</v>
      </c>
      <c r="D96" s="103">
        <f t="shared" si="1"/>
        <v>0</v>
      </c>
    </row>
    <row r="97" spans="1:4" ht="13.9">
      <c r="A97" s="59" t="s">
        <v>1285</v>
      </c>
      <c r="B97" s="102">
        <f>SUMIF(Tabela_10[NM_UE],A97,Tabela_10[VOTOS RECEBIDOS])</f>
        <v>13584</v>
      </c>
      <c r="C97" s="102">
        <v>13584</v>
      </c>
      <c r="D97" s="103">
        <f t="shared" si="1"/>
        <v>0</v>
      </c>
    </row>
    <row r="98" spans="1:4" ht="13.9">
      <c r="A98" s="54" t="s">
        <v>1271</v>
      </c>
      <c r="B98" s="102">
        <f>SUMIF(Tabela_10[NM_UE],A98,Tabela_10[VOTOS RECEBIDOS])</f>
        <v>15662</v>
      </c>
      <c r="C98" s="102">
        <v>15662</v>
      </c>
      <c r="D98" s="103">
        <f t="shared" si="1"/>
        <v>0</v>
      </c>
    </row>
    <row r="99" spans="1:4" ht="13.9">
      <c r="A99" s="59" t="s">
        <v>1303</v>
      </c>
      <c r="B99" s="102">
        <f>SUMIF(Tabela_10[NM_UE],A99,Tabela_10[VOTOS RECEBIDOS])</f>
        <v>9003</v>
      </c>
      <c r="C99" s="102">
        <v>9003</v>
      </c>
      <c r="D99" s="103">
        <f t="shared" si="1"/>
        <v>0</v>
      </c>
    </row>
    <row r="100" spans="1:4" ht="13.9">
      <c r="A100" s="54" t="s">
        <v>1308</v>
      </c>
      <c r="B100" s="102">
        <f>SUMIF(Tabela_10[NM_UE],A100,Tabela_10[VOTOS RECEBIDOS])</f>
        <v>9258</v>
      </c>
      <c r="C100" s="102">
        <v>9258</v>
      </c>
      <c r="D100" s="103">
        <f t="shared" si="1"/>
        <v>0</v>
      </c>
    </row>
    <row r="101" spans="1:4" ht="13.9">
      <c r="A101" s="59" t="s">
        <v>677</v>
      </c>
      <c r="B101" s="102">
        <f>SUMIF(Tabela_10[NM_UE],A101,Tabela_10[VOTOS RECEBIDOS])</f>
        <v>15929</v>
      </c>
      <c r="C101" s="102">
        <v>15929</v>
      </c>
      <c r="D101" s="103">
        <f t="shared" si="1"/>
        <v>0</v>
      </c>
    </row>
    <row r="102" spans="1:4" ht="13.9">
      <c r="A102" s="54" t="s">
        <v>1324</v>
      </c>
      <c r="B102" s="102">
        <f>SUMIF(Tabela_10[NM_UE],A102,Tabela_10[VOTOS RECEBIDOS])</f>
        <v>26329</v>
      </c>
      <c r="C102" s="102">
        <v>26329</v>
      </c>
      <c r="D102" s="103">
        <f t="shared" si="1"/>
        <v>0</v>
      </c>
    </row>
    <row r="103" spans="1:4" ht="13.9">
      <c r="A103" s="59" t="s">
        <v>1339</v>
      </c>
      <c r="B103" s="102">
        <f>SUMIF(Tabela_10[NM_UE],A103,Tabela_10[VOTOS RECEBIDOS])</f>
        <v>35538</v>
      </c>
      <c r="C103" s="102">
        <v>35538</v>
      </c>
      <c r="D103" s="103">
        <f t="shared" si="1"/>
        <v>0</v>
      </c>
    </row>
    <row r="104" spans="1:4" ht="13.9">
      <c r="A104" s="54" t="s">
        <v>1354</v>
      </c>
      <c r="B104" s="102">
        <f>SUMIF(Tabela_10[NM_UE],A104,Tabela_10[VOTOS RECEBIDOS])</f>
        <v>15701</v>
      </c>
      <c r="C104" s="102">
        <v>15701</v>
      </c>
      <c r="D104" s="103">
        <f t="shared" si="1"/>
        <v>0</v>
      </c>
    </row>
    <row r="105" spans="1:4" ht="13.9">
      <c r="A105" s="59" t="s">
        <v>1372</v>
      </c>
      <c r="B105" s="102">
        <f>SUMIF(Tabela_10[NM_UE],A105,Tabela_10[VOTOS RECEBIDOS])</f>
        <v>9110</v>
      </c>
      <c r="C105" s="102">
        <v>9110</v>
      </c>
      <c r="D105" s="103">
        <f t="shared" si="1"/>
        <v>0</v>
      </c>
    </row>
    <row r="106" spans="1:4" ht="13.9">
      <c r="A106" s="54" t="s">
        <v>1390</v>
      </c>
      <c r="B106" s="102">
        <f>SUMIF(Tabela_10[NM_UE],A106,Tabela_10[VOTOS RECEBIDOS])</f>
        <v>10905</v>
      </c>
      <c r="C106" s="102">
        <v>10905</v>
      </c>
      <c r="D106" s="103">
        <f t="shared" si="1"/>
        <v>0</v>
      </c>
    </row>
    <row r="107" spans="1:4" ht="13.9">
      <c r="A107" s="59" t="s">
        <v>1400</v>
      </c>
      <c r="B107" s="102">
        <f>SUMIF(Tabela_10[NM_UE],A107,Tabela_10[VOTOS RECEBIDOS])</f>
        <v>6720</v>
      </c>
      <c r="C107" s="102">
        <v>6720</v>
      </c>
      <c r="D107" s="103">
        <f t="shared" si="1"/>
        <v>0</v>
      </c>
    </row>
    <row r="108" spans="1:4" ht="13.9">
      <c r="A108" s="54" t="s">
        <v>1410</v>
      </c>
      <c r="B108" s="102">
        <f>SUMIF(Tabela_10[NM_UE],A108,Tabela_10[VOTOS RECEBIDOS])</f>
        <v>9597</v>
      </c>
      <c r="C108" s="102">
        <v>9597</v>
      </c>
      <c r="D108" s="103">
        <f t="shared" si="1"/>
        <v>0</v>
      </c>
    </row>
    <row r="109" spans="1:4" ht="13.9">
      <c r="A109" s="59" t="s">
        <v>1419</v>
      </c>
      <c r="B109" s="102">
        <f>SUMIF(Tabela_10[NM_UE],A109,Tabela_10[VOTOS RECEBIDOS])</f>
        <v>7975</v>
      </c>
      <c r="C109" s="102">
        <v>7975</v>
      </c>
      <c r="D109" s="103">
        <f t="shared" si="1"/>
        <v>0</v>
      </c>
    </row>
    <row r="110" spans="1:4" ht="13.9">
      <c r="A110" s="54" t="s">
        <v>1432</v>
      </c>
      <c r="B110" s="102">
        <f>SUMIF(Tabela_10[NM_UE],A110,Tabela_10[VOTOS RECEBIDOS])</f>
        <v>37401</v>
      </c>
      <c r="C110" s="102">
        <v>37401</v>
      </c>
      <c r="D110" s="103">
        <f t="shared" si="1"/>
        <v>0</v>
      </c>
    </row>
    <row r="111" spans="1:4" ht="13.9">
      <c r="A111" s="59" t="s">
        <v>1451</v>
      </c>
      <c r="B111" s="102">
        <f>SUMIF(Tabela_10[NM_UE],A111,Tabela_10[VOTOS RECEBIDOS])</f>
        <v>21179</v>
      </c>
      <c r="C111" s="102">
        <v>21179</v>
      </c>
      <c r="D111" s="103">
        <f t="shared" si="1"/>
        <v>0</v>
      </c>
    </row>
    <row r="112" spans="1:4" ht="13.9">
      <c r="A112" s="54" t="s">
        <v>1461</v>
      </c>
      <c r="B112" s="102">
        <f>SUMIF(Tabela_10[NM_UE],A112,Tabela_10[VOTOS RECEBIDOS])</f>
        <v>217229</v>
      </c>
      <c r="C112" s="102">
        <v>217229</v>
      </c>
      <c r="D112" s="103">
        <f t="shared" si="1"/>
        <v>0</v>
      </c>
    </row>
    <row r="113" spans="1:4" ht="13.9">
      <c r="A113" s="59" t="s">
        <v>1492</v>
      </c>
      <c r="B113" s="102">
        <f>SUMIF(Tabela_10[NM_UE],A113,Tabela_10[VOTOS RECEBIDOS])</f>
        <v>14467</v>
      </c>
      <c r="C113" s="102">
        <v>14467</v>
      </c>
      <c r="D113" s="103">
        <f t="shared" si="1"/>
        <v>0</v>
      </c>
    </row>
    <row r="114" spans="1:4" ht="13.9">
      <c r="A114" s="54" t="s">
        <v>1506</v>
      </c>
      <c r="B114" s="102">
        <f>SUMIF(Tabela_10[NM_UE],A114,Tabela_10[VOTOS RECEBIDOS])</f>
        <v>10485</v>
      </c>
      <c r="C114" s="102">
        <v>10485</v>
      </c>
      <c r="D114" s="103">
        <f t="shared" si="1"/>
        <v>0</v>
      </c>
    </row>
    <row r="115" spans="1:4" ht="13.9">
      <c r="A115" s="59" t="s">
        <v>1515</v>
      </c>
      <c r="B115" s="102">
        <f>SUMIF(Tabela_10[NM_UE],A115,Tabela_10[VOTOS RECEBIDOS])</f>
        <v>38650</v>
      </c>
      <c r="C115" s="102">
        <v>38650</v>
      </c>
      <c r="D115" s="103">
        <f t="shared" si="1"/>
        <v>0</v>
      </c>
    </row>
    <row r="116" spans="1:4" ht="13.9">
      <c r="A116" s="54" t="s">
        <v>1527</v>
      </c>
      <c r="B116" s="102">
        <f>SUMIF(Tabela_10[NM_UE],A116,Tabela_10[VOTOS RECEBIDOS])</f>
        <v>31045</v>
      </c>
      <c r="C116" s="102">
        <v>31045</v>
      </c>
      <c r="D116" s="103">
        <f t="shared" si="1"/>
        <v>0</v>
      </c>
    </row>
    <row r="117" spans="1:4" ht="13.9">
      <c r="A117" s="59" t="s">
        <v>1022</v>
      </c>
      <c r="B117" s="102">
        <f>SUMIF(Tabela_10[NM_UE],A117,Tabela_10[VOTOS RECEBIDOS])</f>
        <v>4569</v>
      </c>
      <c r="C117" s="102">
        <v>4569</v>
      </c>
      <c r="D117" s="103">
        <f t="shared" si="1"/>
        <v>0</v>
      </c>
    </row>
    <row r="118" spans="1:4" ht="13.9">
      <c r="A118" s="54" t="s">
        <v>1573</v>
      </c>
      <c r="B118" s="102">
        <f>SUMIF(Tabela_10[NM_UE],A118,Tabela_10[VOTOS RECEBIDOS])</f>
        <v>15420</v>
      </c>
      <c r="C118" s="102">
        <v>15420</v>
      </c>
      <c r="D118" s="103">
        <f t="shared" si="1"/>
        <v>0</v>
      </c>
    </row>
    <row r="119" spans="1:4" ht="13.9">
      <c r="A119" s="59" t="s">
        <v>1563</v>
      </c>
      <c r="B119" s="102">
        <f>SUMIF(Tabela_10[NM_UE],A119,Tabela_10[VOTOS RECEBIDOS])</f>
        <v>9710</v>
      </c>
      <c r="C119" s="102">
        <v>9710</v>
      </c>
      <c r="D119" s="103">
        <f t="shared" si="1"/>
        <v>0</v>
      </c>
    </row>
    <row r="120" spans="1:4" ht="13.9">
      <c r="A120" s="54" t="s">
        <v>1568</v>
      </c>
      <c r="B120" s="102">
        <f>SUMIF(Tabela_10[NM_UE],A120,Tabela_10[VOTOS RECEBIDOS])</f>
        <v>15279</v>
      </c>
      <c r="C120" s="102">
        <v>15279</v>
      </c>
      <c r="D120" s="103">
        <f t="shared" si="1"/>
        <v>0</v>
      </c>
    </row>
    <row r="121" spans="1:4" ht="13.9">
      <c r="A121" s="59" t="s">
        <v>1578</v>
      </c>
      <c r="B121" s="102">
        <f>SUMIF(Tabela_10[NM_UE],A121,Tabela_10[VOTOS RECEBIDOS])</f>
        <v>20616</v>
      </c>
      <c r="C121" s="102">
        <v>20616</v>
      </c>
      <c r="D121" s="103">
        <f t="shared" si="1"/>
        <v>0</v>
      </c>
    </row>
    <row r="122" spans="1:4" ht="13.9">
      <c r="A122" s="54" t="s">
        <v>693</v>
      </c>
      <c r="B122" s="102">
        <f>SUMIF(Tabela_10[NM_UE],A122,Tabela_10[VOTOS RECEBIDOS])</f>
        <v>35291</v>
      </c>
      <c r="C122" s="102">
        <v>35291</v>
      </c>
      <c r="D122" s="103">
        <f t="shared" si="1"/>
        <v>0</v>
      </c>
    </row>
    <row r="123" spans="1:4" ht="13.9">
      <c r="A123" s="59" t="s">
        <v>1605</v>
      </c>
      <c r="B123" s="102">
        <f>SUMIF(Tabela_10[NM_UE],A123,Tabela_10[VOTOS RECEBIDOS])</f>
        <v>163884</v>
      </c>
      <c r="C123" s="102">
        <v>163884</v>
      </c>
      <c r="D123" s="103">
        <f t="shared" si="1"/>
        <v>0</v>
      </c>
    </row>
    <row r="124" spans="1:4" ht="13.9">
      <c r="A124" s="54" t="s">
        <v>1635</v>
      </c>
      <c r="B124" s="102">
        <f>SUMIF(Tabela_10[NM_UE],A124,Tabela_10[VOTOS RECEBIDOS])</f>
        <v>14628</v>
      </c>
      <c r="C124" s="102">
        <v>14628</v>
      </c>
      <c r="D124" s="103">
        <f t="shared" si="1"/>
        <v>0</v>
      </c>
    </row>
    <row r="125" spans="1:4" ht="13.9">
      <c r="A125" s="59" t="s">
        <v>1654</v>
      </c>
      <c r="B125" s="102">
        <f>SUMIF(Tabela_10[NM_UE],A125,Tabela_10[VOTOS RECEBIDOS])</f>
        <v>38344</v>
      </c>
      <c r="C125" s="102">
        <v>38344</v>
      </c>
      <c r="D125" s="103">
        <f t="shared" si="1"/>
        <v>0</v>
      </c>
    </row>
    <row r="126" spans="1:4" ht="13.9">
      <c r="A126" s="54" t="s">
        <v>1665</v>
      </c>
      <c r="B126" s="102">
        <f>SUMIF(Tabela_10[NM_UE],A126,Tabela_10[VOTOS RECEBIDOS])</f>
        <v>18779</v>
      </c>
      <c r="C126" s="102">
        <v>18779</v>
      </c>
      <c r="D126" s="103">
        <f t="shared" si="1"/>
        <v>0</v>
      </c>
    </row>
    <row r="127" spans="1:4" ht="13.9">
      <c r="A127" s="59" t="s">
        <v>1669</v>
      </c>
      <c r="B127" s="102">
        <f>SUMIF(Tabela_10[NM_UE],A127,Tabela_10[VOTOS RECEBIDOS])</f>
        <v>182214</v>
      </c>
      <c r="C127" s="102">
        <v>182214</v>
      </c>
      <c r="D127" s="103">
        <f t="shared" si="1"/>
        <v>0</v>
      </c>
    </row>
    <row r="128" spans="1:4" ht="13.9">
      <c r="A128" s="54" t="s">
        <v>1696</v>
      </c>
      <c r="B128" s="102">
        <f>SUMIF(Tabela_10[NM_UE],A128,Tabela_10[VOTOS RECEBIDOS])</f>
        <v>7246</v>
      </c>
      <c r="C128" s="102">
        <v>7246</v>
      </c>
      <c r="D128" s="103">
        <f t="shared" si="1"/>
        <v>0</v>
      </c>
    </row>
    <row r="129" spans="1:4" ht="13.9">
      <c r="A129" s="59" t="s">
        <v>1705</v>
      </c>
      <c r="B129" s="102">
        <f>SUMIF(Tabela_10[NM_UE],A129,Tabela_10[VOTOS RECEBIDOS])</f>
        <v>16933</v>
      </c>
      <c r="C129" s="102">
        <v>16933</v>
      </c>
      <c r="D129" s="103">
        <f t="shared" si="1"/>
        <v>0</v>
      </c>
    </row>
    <row r="130" spans="1:4" ht="13.9">
      <c r="A130" s="54" t="s">
        <v>1723</v>
      </c>
      <c r="B130" s="102">
        <f>SUMIF(Tabela_10[NM_UE],A130,Tabela_10[VOTOS RECEBIDOS])</f>
        <v>9092</v>
      </c>
      <c r="C130" s="102">
        <v>9092</v>
      </c>
      <c r="D130" s="103">
        <f t="shared" si="1"/>
        <v>0</v>
      </c>
    </row>
    <row r="131" spans="1:4" ht="13.9">
      <c r="A131" s="59" t="s">
        <v>1737</v>
      </c>
      <c r="B131" s="102">
        <f>SUMIF(Tabela_10[NM_UE],A131,Tabela_10[VOTOS RECEBIDOS])</f>
        <v>11869</v>
      </c>
      <c r="C131" s="102">
        <v>11869</v>
      </c>
      <c r="D131" s="103">
        <f t="shared" ref="D131:D185" si="2">B131-C131</f>
        <v>0</v>
      </c>
    </row>
    <row r="132" spans="1:4" ht="13.9">
      <c r="A132" s="54" t="s">
        <v>1748</v>
      </c>
      <c r="B132" s="102">
        <f>SUMIF(Tabela_10[NM_UE],A132,Tabela_10[VOTOS RECEBIDOS])</f>
        <v>5034</v>
      </c>
      <c r="C132" s="102">
        <v>5034</v>
      </c>
      <c r="D132" s="103">
        <f t="shared" si="2"/>
        <v>0</v>
      </c>
    </row>
    <row r="133" spans="1:4" ht="13.9">
      <c r="A133" s="59" t="s">
        <v>1752</v>
      </c>
      <c r="B133" s="102">
        <f>SUMIF(Tabela_10[NM_UE],A133,Tabela_10[VOTOS RECEBIDOS])</f>
        <v>929154</v>
      </c>
      <c r="C133" s="102">
        <v>929154</v>
      </c>
      <c r="D133" s="103">
        <f t="shared" si="2"/>
        <v>0</v>
      </c>
    </row>
    <row r="134" spans="1:4" ht="13.9">
      <c r="A134" s="54" t="s">
        <v>1782</v>
      </c>
      <c r="B134" s="102">
        <f>SUMIF(Tabela_10[NM_UE],A134,Tabela_10[VOTOS RECEBIDOS])</f>
        <v>18314</v>
      </c>
      <c r="C134" s="102">
        <v>18314</v>
      </c>
      <c r="D134" s="103">
        <f t="shared" si="2"/>
        <v>0</v>
      </c>
    </row>
    <row r="135" spans="1:4" ht="13.9">
      <c r="A135" s="59" t="s">
        <v>1209</v>
      </c>
      <c r="B135" s="102">
        <f>SUMIF(Tabela_10[NM_UE],A135,Tabela_10[VOTOS RECEBIDOS])</f>
        <v>22508</v>
      </c>
      <c r="C135" s="102">
        <v>22508</v>
      </c>
      <c r="D135" s="103">
        <f t="shared" si="2"/>
        <v>0</v>
      </c>
    </row>
    <row r="136" spans="1:4" ht="13.9">
      <c r="A136" s="54" t="s">
        <v>1807</v>
      </c>
      <c r="B136" s="102">
        <f>SUMIF(Tabela_10[NM_UE],A136,Tabela_10[VOTOS RECEBIDOS])</f>
        <v>13599</v>
      </c>
      <c r="C136" s="102">
        <v>13599</v>
      </c>
      <c r="D136" s="103">
        <f t="shared" si="2"/>
        <v>0</v>
      </c>
    </row>
    <row r="137" spans="1:4" ht="13.9">
      <c r="A137" s="59" t="s">
        <v>1829</v>
      </c>
      <c r="B137" s="102">
        <f>SUMIF(Tabela_10[NM_UE],A137,Tabela_10[VOTOS RECEBIDOS])</f>
        <v>8875</v>
      </c>
      <c r="C137" s="102">
        <v>8875</v>
      </c>
      <c r="D137" s="103">
        <f t="shared" si="2"/>
        <v>0</v>
      </c>
    </row>
    <row r="138" spans="1:4" ht="13.9">
      <c r="A138" s="54" t="s">
        <v>1839</v>
      </c>
      <c r="B138" s="102">
        <f>SUMIF(Tabela_10[NM_UE],A138,Tabela_10[VOTOS RECEBIDOS])</f>
        <v>5939</v>
      </c>
      <c r="C138" s="102">
        <v>5939</v>
      </c>
      <c r="D138" s="103">
        <f t="shared" si="2"/>
        <v>0</v>
      </c>
    </row>
    <row r="139" spans="1:4" ht="13.9">
      <c r="A139" s="59" t="s">
        <v>1843</v>
      </c>
      <c r="B139" s="102">
        <f>SUMIF(Tabela_10[NM_UE],A139,Tabela_10[VOTOS RECEBIDOS])</f>
        <v>33940</v>
      </c>
      <c r="C139" s="102">
        <v>33940</v>
      </c>
      <c r="D139" s="103">
        <f t="shared" si="2"/>
        <v>0</v>
      </c>
    </row>
    <row r="140" spans="1:4" ht="13.9">
      <c r="A140" s="54" t="s">
        <v>1860</v>
      </c>
      <c r="B140" s="102">
        <f>SUMIF(Tabela_10[NM_UE],A140,Tabela_10[VOTOS RECEBIDOS])</f>
        <v>8857</v>
      </c>
      <c r="C140" s="102">
        <v>8857</v>
      </c>
      <c r="D140" s="103">
        <f t="shared" si="2"/>
        <v>0</v>
      </c>
    </row>
    <row r="141" spans="1:4" ht="13.9">
      <c r="A141" s="59" t="s">
        <v>1870</v>
      </c>
      <c r="B141" s="102">
        <f>SUMIF(Tabela_10[NM_UE],A141,Tabela_10[VOTOS RECEBIDOS])</f>
        <v>12449</v>
      </c>
      <c r="C141" s="102">
        <v>12449</v>
      </c>
      <c r="D141" s="103">
        <f t="shared" si="2"/>
        <v>0</v>
      </c>
    </row>
    <row r="142" spans="1:4" ht="13.9">
      <c r="A142" s="54" t="s">
        <v>1879</v>
      </c>
      <c r="B142" s="102">
        <f>SUMIF(Tabela_10[NM_UE],A142,Tabela_10[VOTOS RECEBIDOS])</f>
        <v>10752</v>
      </c>
      <c r="C142" s="102">
        <v>10752</v>
      </c>
      <c r="D142" s="103">
        <f t="shared" si="2"/>
        <v>0</v>
      </c>
    </row>
    <row r="143" spans="1:4" ht="13.9">
      <c r="A143" s="59" t="s">
        <v>1883</v>
      </c>
      <c r="B143" s="102">
        <f>SUMIF(Tabela_10[NM_UE],A143,Tabela_10[VOTOS RECEBIDOS])</f>
        <v>8375</v>
      </c>
      <c r="C143" s="102">
        <v>8375</v>
      </c>
      <c r="D143" s="103">
        <f t="shared" si="2"/>
        <v>0</v>
      </c>
    </row>
    <row r="144" spans="1:4" ht="13.9">
      <c r="A144" s="54" t="s">
        <v>1889</v>
      </c>
      <c r="B144" s="102">
        <f>SUMIF(Tabela_10[NM_UE],A144,Tabela_10[VOTOS RECEBIDOS])</f>
        <v>52031</v>
      </c>
      <c r="C144" s="102">
        <v>52031</v>
      </c>
      <c r="D144" s="103">
        <f t="shared" si="2"/>
        <v>0</v>
      </c>
    </row>
    <row r="145" spans="1:4" ht="13.9">
      <c r="A145" s="59" t="s">
        <v>1907</v>
      </c>
      <c r="B145" s="102">
        <f>SUMIF(Tabela_10[NM_UE],A145,Tabela_10[VOTOS RECEBIDOS])</f>
        <v>10917</v>
      </c>
      <c r="C145" s="102">
        <v>10917</v>
      </c>
      <c r="D145" s="103">
        <f t="shared" si="2"/>
        <v>0</v>
      </c>
    </row>
    <row r="146" spans="1:4" ht="13.9">
      <c r="A146" s="54" t="s">
        <v>1920</v>
      </c>
      <c r="B146" s="102">
        <f>SUMIF(Tabela_10[NM_UE],A146,Tabela_10[VOTOS RECEBIDOS])</f>
        <v>25579</v>
      </c>
      <c r="C146" s="102">
        <v>25579</v>
      </c>
      <c r="D146" s="103">
        <f t="shared" si="2"/>
        <v>0</v>
      </c>
    </row>
    <row r="147" spans="1:4" ht="13.9">
      <c r="A147" s="59" t="s">
        <v>1938</v>
      </c>
      <c r="B147" s="102">
        <f>SUMIF(Tabela_10[NM_UE],A147,Tabela_10[VOTOS RECEBIDOS])</f>
        <v>9480</v>
      </c>
      <c r="C147" s="102">
        <v>9480</v>
      </c>
      <c r="D147" s="103">
        <f t="shared" si="2"/>
        <v>0</v>
      </c>
    </row>
    <row r="148" spans="1:4" ht="13.9">
      <c r="A148" s="54" t="s">
        <v>1948</v>
      </c>
      <c r="B148" s="102">
        <f>SUMIF(Tabela_10[NM_UE],A148,Tabela_10[VOTOS RECEBIDOS])</f>
        <v>6352</v>
      </c>
      <c r="C148" s="102">
        <v>6352</v>
      </c>
      <c r="D148" s="103">
        <f t="shared" si="2"/>
        <v>0</v>
      </c>
    </row>
    <row r="149" spans="1:4" ht="13.9">
      <c r="A149" s="59" t="s">
        <v>1958</v>
      </c>
      <c r="B149" s="102">
        <f>SUMIF(Tabela_10[NM_UE],A149,Tabela_10[VOTOS RECEBIDOS])</f>
        <v>6100</v>
      </c>
      <c r="C149" s="102">
        <v>6100</v>
      </c>
      <c r="D149" s="103">
        <f t="shared" si="2"/>
        <v>0</v>
      </c>
    </row>
    <row r="150" spans="1:4" ht="13.9">
      <c r="A150" s="54" t="s">
        <v>1964</v>
      </c>
      <c r="B150" s="102">
        <f>SUMIF(Tabela_10[NM_UE],A150,Tabela_10[VOTOS RECEBIDOS])</f>
        <v>28544</v>
      </c>
      <c r="C150" s="102">
        <v>28544</v>
      </c>
      <c r="D150" s="103">
        <f t="shared" si="2"/>
        <v>0</v>
      </c>
    </row>
    <row r="151" spans="1:4" ht="13.9">
      <c r="A151" s="59" t="s">
        <v>1979</v>
      </c>
      <c r="B151" s="102">
        <f>SUMIF(Tabela_10[NM_UE],A151,Tabela_10[VOTOS RECEBIDOS])</f>
        <v>24308</v>
      </c>
      <c r="C151" s="102">
        <v>24308</v>
      </c>
      <c r="D151" s="103">
        <f t="shared" si="2"/>
        <v>0</v>
      </c>
    </row>
    <row r="152" spans="1:4" ht="13.9">
      <c r="A152" s="54" t="s">
        <v>1984</v>
      </c>
      <c r="B152" s="102">
        <f>SUMIF(Tabela_10[NM_UE],A152,Tabela_10[VOTOS RECEBIDOS])</f>
        <v>14508</v>
      </c>
      <c r="C152" s="102">
        <v>14508</v>
      </c>
      <c r="D152" s="103">
        <f t="shared" si="2"/>
        <v>0</v>
      </c>
    </row>
    <row r="153" spans="1:4" ht="13.9">
      <c r="A153" s="59" t="s">
        <v>2000</v>
      </c>
      <c r="B153" s="102">
        <f>SUMIF(Tabela_10[NM_UE],A153,Tabela_10[VOTOS RECEBIDOS])</f>
        <v>13376</v>
      </c>
      <c r="C153" s="102">
        <v>13376</v>
      </c>
      <c r="D153" s="103">
        <f t="shared" si="2"/>
        <v>0</v>
      </c>
    </row>
    <row r="154" spans="1:4" ht="13.9">
      <c r="A154" s="54" t="s">
        <v>2005</v>
      </c>
      <c r="B154" s="102">
        <f>SUMIF(Tabela_10[NM_UE],A154,Tabela_10[VOTOS RECEBIDOS])</f>
        <v>14752</v>
      </c>
      <c r="C154" s="102">
        <v>14752</v>
      </c>
      <c r="D154" s="103">
        <f t="shared" si="2"/>
        <v>0</v>
      </c>
    </row>
    <row r="155" spans="1:4" ht="13.9">
      <c r="A155" s="59" t="s">
        <v>2021</v>
      </c>
      <c r="B155" s="102">
        <f>SUMIF(Tabela_10[NM_UE],A155,Tabela_10[VOTOS RECEBIDOS])</f>
        <v>20452</v>
      </c>
      <c r="C155" s="102">
        <v>20452</v>
      </c>
      <c r="D155" s="103">
        <f t="shared" si="2"/>
        <v>0</v>
      </c>
    </row>
    <row r="156" spans="1:4" ht="13.9">
      <c r="A156" s="54" t="s">
        <v>2038</v>
      </c>
      <c r="B156" s="102">
        <f>SUMIF(Tabela_10[NM_UE],A156,Tabela_10[VOTOS RECEBIDOS])</f>
        <v>19322</v>
      </c>
      <c r="C156" s="102">
        <v>19322</v>
      </c>
      <c r="D156" s="103">
        <f t="shared" si="2"/>
        <v>0</v>
      </c>
    </row>
    <row r="157" spans="1:4" ht="13.9">
      <c r="A157" s="59" t="s">
        <v>2043</v>
      </c>
      <c r="B157" s="102">
        <f>SUMIF(Tabela_10[NM_UE],A157,Tabela_10[VOTOS RECEBIDOS])</f>
        <v>64448</v>
      </c>
      <c r="C157" s="102">
        <v>64448</v>
      </c>
      <c r="D157" s="103">
        <f t="shared" si="2"/>
        <v>0</v>
      </c>
    </row>
    <row r="158" spans="1:4" ht="13.9">
      <c r="A158" s="54" t="s">
        <v>2053</v>
      </c>
      <c r="B158" s="102">
        <f>SUMIF(Tabela_10[NM_UE],A158,Tabela_10[VOTOS RECEBIDOS])</f>
        <v>11718</v>
      </c>
      <c r="C158" s="102">
        <v>11718</v>
      </c>
      <c r="D158" s="103">
        <f t="shared" si="2"/>
        <v>0</v>
      </c>
    </row>
    <row r="159" spans="1:4" ht="13.9">
      <c r="A159" s="59" t="s">
        <v>991</v>
      </c>
      <c r="B159" s="102">
        <f>SUMIF(Tabela_10[NM_UE],A159,Tabela_10[VOTOS RECEBIDOS])</f>
        <v>48460</v>
      </c>
      <c r="C159" s="102">
        <v>48460</v>
      </c>
      <c r="D159" s="103">
        <f t="shared" si="2"/>
        <v>0</v>
      </c>
    </row>
    <row r="160" spans="1:4" ht="13.9">
      <c r="A160" s="54" t="s">
        <v>2080</v>
      </c>
      <c r="B160" s="102">
        <f>SUMIF(Tabela_10[NM_UE],A160,Tabela_10[VOTOS RECEBIDOS])</f>
        <v>13649</v>
      </c>
      <c r="C160" s="102">
        <v>13649</v>
      </c>
      <c r="D160" s="103">
        <f t="shared" si="2"/>
        <v>0</v>
      </c>
    </row>
    <row r="161" spans="1:4" ht="13.9">
      <c r="A161" s="59" t="s">
        <v>1199</v>
      </c>
      <c r="B161" s="102">
        <f>SUMIF(Tabela_10[NM_UE],A161,Tabela_10[VOTOS RECEBIDOS])</f>
        <v>20545</v>
      </c>
      <c r="C161" s="102">
        <v>20545</v>
      </c>
      <c r="D161" s="103">
        <f t="shared" si="2"/>
        <v>0</v>
      </c>
    </row>
    <row r="162" spans="1:4" ht="13.9">
      <c r="A162" s="54" t="s">
        <v>2097</v>
      </c>
      <c r="B162" s="102">
        <f>SUMIF(Tabela_10[NM_UE],A162,Tabela_10[VOTOS RECEBIDOS])</f>
        <v>22893</v>
      </c>
      <c r="C162" s="102">
        <v>22893</v>
      </c>
      <c r="D162" s="103">
        <f t="shared" si="2"/>
        <v>0</v>
      </c>
    </row>
    <row r="163" spans="1:4" ht="13.9">
      <c r="A163" s="59" t="s">
        <v>2147</v>
      </c>
      <c r="B163" s="102">
        <f>SUMIF(Tabela_10[NM_UE],A163,Tabela_10[VOTOS RECEBIDOS])</f>
        <v>4207</v>
      </c>
      <c r="C163" s="102">
        <v>4207</v>
      </c>
      <c r="D163" s="103">
        <f t="shared" si="2"/>
        <v>0</v>
      </c>
    </row>
    <row r="164" spans="1:4" ht="13.9">
      <c r="A164" s="54" t="s">
        <v>2119</v>
      </c>
      <c r="B164" s="102">
        <f>SUMIF(Tabela_10[NM_UE],A164,Tabela_10[VOTOS RECEBIDOS])</f>
        <v>39249</v>
      </c>
      <c r="C164" s="102">
        <v>39249</v>
      </c>
      <c r="D164" s="103">
        <f t="shared" si="2"/>
        <v>0</v>
      </c>
    </row>
    <row r="165" spans="1:4" ht="13.9">
      <c r="A165" s="59" t="s">
        <v>2136</v>
      </c>
      <c r="B165" s="102">
        <f>SUMIF(Tabela_10[NM_UE],A165,Tabela_10[VOTOS RECEBIDOS])</f>
        <v>17967</v>
      </c>
      <c r="C165" s="102">
        <v>17967</v>
      </c>
      <c r="D165" s="103">
        <f t="shared" si="2"/>
        <v>0</v>
      </c>
    </row>
    <row r="166" spans="1:4" ht="13.9">
      <c r="A166" s="54" t="s">
        <v>1348</v>
      </c>
      <c r="B166" s="102">
        <f>SUMIF(Tabela_10[NM_UE],A166,Tabela_10[VOTOS RECEBIDOS])</f>
        <v>9030</v>
      </c>
      <c r="C166" s="102">
        <v>9030</v>
      </c>
      <c r="D166" s="103">
        <f t="shared" si="2"/>
        <v>0</v>
      </c>
    </row>
    <row r="167" spans="1:4" ht="13.9">
      <c r="A167" s="59" t="s">
        <v>2152</v>
      </c>
      <c r="B167" s="102">
        <f>SUMIF(Tabela_10[NM_UE],A167,Tabela_10[VOTOS RECEBIDOS])</f>
        <v>15077</v>
      </c>
      <c r="C167" s="102">
        <v>15077</v>
      </c>
      <c r="D167" s="103">
        <f t="shared" si="2"/>
        <v>0</v>
      </c>
    </row>
    <row r="168" spans="1:4" ht="13.9">
      <c r="A168" s="54" t="s">
        <v>2170</v>
      </c>
      <c r="B168" s="102">
        <f>SUMIF(Tabela_10[NM_UE],A168,Tabela_10[VOTOS RECEBIDOS])</f>
        <v>16964</v>
      </c>
      <c r="C168" s="102">
        <v>16964</v>
      </c>
      <c r="D168" s="103">
        <f t="shared" si="2"/>
        <v>0</v>
      </c>
    </row>
    <row r="169" spans="1:4" ht="13.9">
      <c r="A169" s="59" t="s">
        <v>2176</v>
      </c>
      <c r="B169" s="102">
        <f>SUMIF(Tabela_10[NM_UE],A169,Tabela_10[VOTOS RECEBIDOS])</f>
        <v>18657</v>
      </c>
      <c r="C169" s="102">
        <v>18657</v>
      </c>
      <c r="D169" s="103">
        <f t="shared" si="2"/>
        <v>0</v>
      </c>
    </row>
    <row r="170" spans="1:4" ht="13.9">
      <c r="A170" s="54" t="s">
        <v>2195</v>
      </c>
      <c r="B170" s="102">
        <f>SUMIF(Tabela_10[NM_UE],A170,Tabela_10[VOTOS RECEBIDOS])</f>
        <v>5411</v>
      </c>
      <c r="C170" s="102">
        <v>5411</v>
      </c>
      <c r="D170" s="103">
        <f t="shared" si="2"/>
        <v>0</v>
      </c>
    </row>
    <row r="171" spans="1:4" ht="13.9">
      <c r="A171" s="59" t="s">
        <v>2209</v>
      </c>
      <c r="B171" s="102">
        <f>SUMIF(Tabela_10[NM_UE],A171,Tabela_10[VOTOS RECEBIDOS])</f>
        <v>7617</v>
      </c>
      <c r="C171" s="102">
        <v>7617</v>
      </c>
      <c r="D171" s="103">
        <f t="shared" si="2"/>
        <v>0</v>
      </c>
    </row>
    <row r="172" spans="1:4" ht="13.9">
      <c r="A172" s="54" t="s">
        <v>2215</v>
      </c>
      <c r="B172" s="102">
        <f>SUMIF(Tabela_10[NM_UE],A172,Tabela_10[VOTOS RECEBIDOS])</f>
        <v>32516</v>
      </c>
      <c r="C172" s="102">
        <v>32516</v>
      </c>
      <c r="D172" s="103">
        <f t="shared" si="2"/>
        <v>0</v>
      </c>
    </row>
    <row r="173" spans="1:4" ht="13.9">
      <c r="A173" s="59" t="s">
        <v>2234</v>
      </c>
      <c r="B173" s="102">
        <f>SUMIF(Tabela_10[NM_UE],A173,Tabela_10[VOTOS RECEBIDOS])</f>
        <v>28117</v>
      </c>
      <c r="C173" s="102">
        <v>28117</v>
      </c>
      <c r="D173" s="103">
        <f t="shared" si="2"/>
        <v>0</v>
      </c>
    </row>
    <row r="174" spans="1:4" ht="13.9">
      <c r="A174" s="54" t="s">
        <v>2253</v>
      </c>
      <c r="B174" s="102">
        <f>SUMIF(Tabela_10[NM_UE],A174,Tabela_10[VOTOS RECEBIDOS])</f>
        <v>10262</v>
      </c>
      <c r="C174" s="102">
        <v>10262</v>
      </c>
      <c r="D174" s="103">
        <f t="shared" si="2"/>
        <v>0</v>
      </c>
    </row>
    <row r="175" spans="1:4" ht="13.9">
      <c r="A175" s="59" t="s">
        <v>769</v>
      </c>
      <c r="B175" s="102">
        <f>SUMIF(Tabela_10[NM_UE],A175,Tabela_10[VOTOS RECEBIDOS])</f>
        <v>18833</v>
      </c>
      <c r="C175" s="102">
        <v>18833</v>
      </c>
      <c r="D175" s="103">
        <f t="shared" si="2"/>
        <v>0</v>
      </c>
    </row>
    <row r="176" spans="1:4" ht="13.9">
      <c r="A176" s="54" t="s">
        <v>2270</v>
      </c>
      <c r="B176" s="102">
        <f>SUMIF(Tabela_10[NM_UE],A176,Tabela_10[VOTOS RECEBIDOS])</f>
        <v>9902</v>
      </c>
      <c r="C176" s="102">
        <v>9902</v>
      </c>
      <c r="D176" s="103">
        <f t="shared" si="2"/>
        <v>0</v>
      </c>
    </row>
    <row r="177" spans="1:4" ht="13.9">
      <c r="A177" s="59" t="s">
        <v>2283</v>
      </c>
      <c r="B177" s="102">
        <f>SUMIF(Tabela_10[NM_UE],A177,Tabela_10[VOTOS RECEBIDOS])</f>
        <v>13320</v>
      </c>
      <c r="C177" s="102">
        <v>13320</v>
      </c>
      <c r="D177" s="103">
        <f t="shared" si="2"/>
        <v>0</v>
      </c>
    </row>
    <row r="178" spans="1:4" ht="13.9">
      <c r="A178" s="54" t="s">
        <v>2296</v>
      </c>
      <c r="B178" s="102">
        <f>SUMIF(Tabela_10[NM_UE],A178,Tabela_10[VOTOS RECEBIDOS])</f>
        <v>6747</v>
      </c>
      <c r="C178" s="102">
        <v>6747</v>
      </c>
      <c r="D178" s="103">
        <f t="shared" si="2"/>
        <v>0</v>
      </c>
    </row>
    <row r="179" spans="1:4" ht="13.9">
      <c r="A179" s="59" t="s">
        <v>2310</v>
      </c>
      <c r="B179" s="102">
        <f>SUMIF(Tabela_10[NM_UE],A179,Tabela_10[VOTOS RECEBIDOS])</f>
        <v>12794</v>
      </c>
      <c r="C179" s="102">
        <v>12794</v>
      </c>
      <c r="D179" s="103">
        <f t="shared" si="2"/>
        <v>0</v>
      </c>
    </row>
    <row r="180" spans="1:4" ht="13.9">
      <c r="A180" s="54" t="s">
        <v>2322</v>
      </c>
      <c r="B180" s="102">
        <f>SUMIF(Tabela_10[NM_UE],A180,Tabela_10[VOTOS RECEBIDOS])</f>
        <v>6884</v>
      </c>
      <c r="C180" s="102">
        <v>6884</v>
      </c>
      <c r="D180" s="103">
        <f t="shared" si="2"/>
        <v>0</v>
      </c>
    </row>
    <row r="181" spans="1:4" ht="13.9">
      <c r="A181" s="59" t="s">
        <v>2332</v>
      </c>
      <c r="B181" s="102">
        <f>SUMIF(Tabela_10[NM_UE],A181,Tabela_10[VOTOS RECEBIDOS])</f>
        <v>7043</v>
      </c>
      <c r="C181" s="102">
        <v>7043</v>
      </c>
      <c r="D181" s="103">
        <f t="shared" si="2"/>
        <v>0</v>
      </c>
    </row>
    <row r="182" spans="1:4" ht="13.9">
      <c r="A182" s="54" t="s">
        <v>2349</v>
      </c>
      <c r="B182" s="102">
        <f>SUMIF(Tabela_10[NM_UE],A182,Tabela_10[VOTOS RECEBIDOS])</f>
        <v>14195</v>
      </c>
      <c r="C182" s="102">
        <v>14195</v>
      </c>
      <c r="D182" s="103">
        <f t="shared" si="2"/>
        <v>0</v>
      </c>
    </row>
    <row r="183" spans="1:4" ht="13.9">
      <c r="A183" s="59" t="s">
        <v>2359</v>
      </c>
      <c r="B183" s="102">
        <f>SUMIF(Tabela_10[NM_UE],A183,Tabela_10[VOTOS RECEBIDOS])</f>
        <v>18005</v>
      </c>
      <c r="C183" s="102">
        <v>18005</v>
      </c>
      <c r="D183" s="103">
        <f t="shared" si="2"/>
        <v>0</v>
      </c>
    </row>
    <row r="184" spans="1:4" ht="13.9">
      <c r="A184" s="54" t="s">
        <v>2364</v>
      </c>
      <c r="B184" s="102">
        <f>SUMIF(Tabela_10[NM_UE],A184,Tabela_10[VOTOS RECEBIDOS])</f>
        <v>83473</v>
      </c>
      <c r="C184" s="102">
        <v>83473</v>
      </c>
      <c r="D184" s="103">
        <f t="shared" si="2"/>
        <v>0</v>
      </c>
    </row>
    <row r="185" spans="1:4" ht="13.9">
      <c r="A185" s="96" t="s">
        <v>2378</v>
      </c>
      <c r="B185" s="102">
        <f>SUMIF(Tabela_10[NM_UE],A185,Tabela_10[VOTOS RECEBIDOS])</f>
        <v>8819</v>
      </c>
      <c r="C185" s="102">
        <v>8819</v>
      </c>
      <c r="D185" s="103">
        <f t="shared" si="2"/>
        <v>0</v>
      </c>
    </row>
    <row r="186" spans="1:4">
      <c r="B186" s="102">
        <f>SUM(B2:B185)</f>
        <v>5485217</v>
      </c>
      <c r="C186" s="102">
        <f>SUM(C2:C185)</f>
        <v>5486453</v>
      </c>
      <c r="D186" s="103">
        <f>C186-B186</f>
        <v>1236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4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.75" customHeight="1"/>
  <cols>
    <col min="1" max="1" width="13.1328125" customWidth="1"/>
    <col min="3" max="3" width="13.73046875" customWidth="1"/>
    <col min="4" max="5" width="17.46484375" customWidth="1"/>
    <col min="6" max="6" width="35.3984375" customWidth="1"/>
    <col min="8" max="8" width="13.46484375" customWidth="1"/>
    <col min="9" max="9" width="35.3984375" customWidth="1"/>
    <col min="10" max="10" width="23.265625" customWidth="1"/>
    <col min="11" max="11" width="18.3984375" customWidth="1"/>
    <col min="12" max="12" width="14.46484375" customWidth="1"/>
    <col min="13" max="13" width="23.1328125" customWidth="1"/>
    <col min="14" max="14" width="37.59765625" customWidth="1"/>
    <col min="15" max="15" width="23.59765625" customWidth="1"/>
    <col min="16" max="16" width="18.73046875" customWidth="1"/>
    <col min="17" max="17" width="15.1328125" customWidth="1"/>
    <col min="18" max="18" width="15" customWidth="1"/>
    <col min="19" max="21" width="37.59765625" customWidth="1"/>
    <col min="22" max="22" width="14.73046875" customWidth="1"/>
    <col min="23" max="23" width="24.3984375" customWidth="1"/>
    <col min="24" max="24" width="16.59765625" customWidth="1"/>
    <col min="25" max="25" width="37.59765625" customWidth="1"/>
  </cols>
  <sheetData>
    <row r="1" spans="1:25">
      <c r="A1" s="33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4" t="s">
        <v>14</v>
      </c>
      <c r="P1" s="34" t="s">
        <v>15</v>
      </c>
      <c r="Q1" s="34" t="s">
        <v>16</v>
      </c>
      <c r="R1" s="34" t="s">
        <v>17</v>
      </c>
      <c r="S1" s="34" t="s">
        <v>18</v>
      </c>
      <c r="T1" s="34" t="s">
        <v>19</v>
      </c>
      <c r="U1" s="34" t="s">
        <v>20</v>
      </c>
      <c r="V1" s="34" t="s">
        <v>21</v>
      </c>
      <c r="W1" s="34" t="s">
        <v>22</v>
      </c>
      <c r="X1" s="34" t="s">
        <v>23</v>
      </c>
      <c r="Y1" s="36" t="s">
        <v>24</v>
      </c>
    </row>
    <row r="2" spans="1:25">
      <c r="A2" s="6">
        <v>2609600</v>
      </c>
      <c r="B2" s="7" t="s">
        <v>1461</v>
      </c>
      <c r="C2" s="7" t="s">
        <v>26</v>
      </c>
      <c r="D2" s="7">
        <v>170001980384</v>
      </c>
      <c r="E2" s="7">
        <v>28</v>
      </c>
      <c r="F2" s="7" t="s">
        <v>1462</v>
      </c>
      <c r="G2" s="7"/>
      <c r="H2" s="7"/>
      <c r="I2" s="7" t="s">
        <v>1463</v>
      </c>
      <c r="J2" s="7" t="s">
        <v>42</v>
      </c>
      <c r="K2" s="7" t="s">
        <v>43</v>
      </c>
      <c r="L2" s="7" t="s">
        <v>44</v>
      </c>
      <c r="M2" s="8">
        <v>3124</v>
      </c>
      <c r="N2" s="9">
        <v>1.5100000000000001E-2</v>
      </c>
      <c r="O2" s="7" t="s">
        <v>1464</v>
      </c>
      <c r="P2" s="7" t="s">
        <v>32</v>
      </c>
      <c r="Q2" s="7">
        <v>28</v>
      </c>
      <c r="R2" s="7" t="s">
        <v>1465</v>
      </c>
      <c r="S2" s="7" t="s">
        <v>1466</v>
      </c>
      <c r="T2" s="7" t="s">
        <v>1467</v>
      </c>
      <c r="U2" s="7" t="s">
        <v>1468</v>
      </c>
      <c r="V2" s="7" t="s">
        <v>37</v>
      </c>
      <c r="W2" s="7" t="s">
        <v>38</v>
      </c>
      <c r="X2" s="7" t="s">
        <v>58</v>
      </c>
      <c r="Y2" s="10" t="s">
        <v>127</v>
      </c>
    </row>
    <row r="3" spans="1:25">
      <c r="A3" s="37">
        <v>2609600</v>
      </c>
      <c r="B3" s="38" t="s">
        <v>1461</v>
      </c>
      <c r="C3" s="38" t="s">
        <v>26</v>
      </c>
      <c r="D3" s="38">
        <v>170002327085</v>
      </c>
      <c r="E3" s="38">
        <v>29</v>
      </c>
      <c r="F3" s="38" t="s">
        <v>1469</v>
      </c>
      <c r="G3" s="38"/>
      <c r="H3" s="38"/>
      <c r="I3" s="38" t="s">
        <v>1470</v>
      </c>
      <c r="J3" s="38" t="s">
        <v>42</v>
      </c>
      <c r="K3" s="38" t="s">
        <v>43</v>
      </c>
      <c r="L3" s="38" t="s">
        <v>44</v>
      </c>
      <c r="M3" s="39">
        <v>166</v>
      </c>
      <c r="N3" s="40">
        <v>8.0000000000000004E-4</v>
      </c>
      <c r="O3" s="38" t="s">
        <v>1471</v>
      </c>
      <c r="P3" s="38" t="s">
        <v>46</v>
      </c>
      <c r="Q3" s="38">
        <v>29</v>
      </c>
      <c r="R3" s="38" t="s">
        <v>1472</v>
      </c>
      <c r="S3" s="38" t="s">
        <v>1473</v>
      </c>
      <c r="T3" s="38" t="s">
        <v>46</v>
      </c>
      <c r="U3" s="38" t="s">
        <v>1474</v>
      </c>
      <c r="V3" s="38" t="s">
        <v>37</v>
      </c>
      <c r="W3" s="38" t="s">
        <v>635</v>
      </c>
      <c r="X3" s="38" t="s">
        <v>89</v>
      </c>
      <c r="Y3" s="41" t="s">
        <v>1475</v>
      </c>
    </row>
    <row r="4" spans="1:25">
      <c r="A4" s="6">
        <v>2609600</v>
      </c>
      <c r="B4" s="7" t="s">
        <v>1461</v>
      </c>
      <c r="C4" s="7" t="s">
        <v>26</v>
      </c>
      <c r="D4" s="7">
        <v>170002095597</v>
      </c>
      <c r="E4" s="7">
        <v>22</v>
      </c>
      <c r="F4" s="7" t="s">
        <v>1476</v>
      </c>
      <c r="G4" s="7"/>
      <c r="H4" s="7"/>
      <c r="I4" s="7" t="s">
        <v>1476</v>
      </c>
      <c r="J4" s="7" t="s">
        <v>42</v>
      </c>
      <c r="K4" s="7" t="s">
        <v>43</v>
      </c>
      <c r="L4" s="7" t="s">
        <v>44</v>
      </c>
      <c r="M4" s="8">
        <v>51526</v>
      </c>
      <c r="N4" s="9">
        <v>0.24829999999999999</v>
      </c>
      <c r="O4" s="7" t="s">
        <v>1477</v>
      </c>
      <c r="P4" s="7" t="s">
        <v>32</v>
      </c>
      <c r="Q4" s="7">
        <v>22</v>
      </c>
      <c r="R4" s="7" t="s">
        <v>321</v>
      </c>
      <c r="S4" s="7" t="s">
        <v>322</v>
      </c>
      <c r="T4" s="7" t="s">
        <v>1478</v>
      </c>
      <c r="U4" s="7" t="s">
        <v>1479</v>
      </c>
      <c r="V4" s="7" t="s">
        <v>160</v>
      </c>
      <c r="W4" s="7" t="s">
        <v>38</v>
      </c>
      <c r="X4" s="7" t="s">
        <v>39</v>
      </c>
      <c r="Y4" s="10" t="s">
        <v>280</v>
      </c>
    </row>
    <row r="5" spans="1:25">
      <c r="A5" s="37">
        <v>2609600</v>
      </c>
      <c r="B5" s="38" t="s">
        <v>1461</v>
      </c>
      <c r="C5" s="38" t="s">
        <v>26</v>
      </c>
      <c r="D5" s="38">
        <v>170002024354</v>
      </c>
      <c r="E5" s="38">
        <v>11</v>
      </c>
      <c r="F5" s="38" t="s">
        <v>1480</v>
      </c>
      <c r="G5" s="38"/>
      <c r="H5" s="38"/>
      <c r="I5" s="38" t="s">
        <v>1481</v>
      </c>
      <c r="J5" s="38" t="s">
        <v>42</v>
      </c>
      <c r="K5" s="38" t="s">
        <v>43</v>
      </c>
      <c r="L5" s="38" t="s">
        <v>44</v>
      </c>
      <c r="M5" s="39">
        <v>9989</v>
      </c>
      <c r="N5" s="40">
        <v>4.8099999999999997E-2</v>
      </c>
      <c r="O5" s="38" t="s">
        <v>1482</v>
      </c>
      <c r="P5" s="38" t="s">
        <v>46</v>
      </c>
      <c r="Q5" s="38">
        <v>11</v>
      </c>
      <c r="R5" s="38" t="s">
        <v>168</v>
      </c>
      <c r="S5" s="38" t="s">
        <v>169</v>
      </c>
      <c r="T5" s="38" t="s">
        <v>46</v>
      </c>
      <c r="U5" s="38" t="s">
        <v>1483</v>
      </c>
      <c r="V5" s="38" t="s">
        <v>37</v>
      </c>
      <c r="W5" s="38" t="s">
        <v>38</v>
      </c>
      <c r="X5" s="38" t="s">
        <v>58</v>
      </c>
      <c r="Y5" s="41" t="s">
        <v>51</v>
      </c>
    </row>
    <row r="6" spans="1:25">
      <c r="A6" s="6">
        <v>2609600</v>
      </c>
      <c r="B6" s="7" t="s">
        <v>1461</v>
      </c>
      <c r="C6" s="7" t="s">
        <v>26</v>
      </c>
      <c r="D6" s="7">
        <v>170002095626</v>
      </c>
      <c r="E6" s="7">
        <v>13</v>
      </c>
      <c r="F6" s="7" t="s">
        <v>1488</v>
      </c>
      <c r="G6" s="7"/>
      <c r="H6" s="7"/>
      <c r="I6" s="7" t="s">
        <v>1488</v>
      </c>
      <c r="J6" s="7" t="s">
        <v>42</v>
      </c>
      <c r="K6" s="7" t="s">
        <v>43</v>
      </c>
      <c r="L6" s="7" t="s">
        <v>44</v>
      </c>
      <c r="M6" s="8">
        <v>80422</v>
      </c>
      <c r="N6" s="9">
        <v>0.38750000000000001</v>
      </c>
      <c r="O6" s="7" t="s">
        <v>1489</v>
      </c>
      <c r="P6" s="7" t="s">
        <v>32</v>
      </c>
      <c r="Q6" s="7">
        <v>13</v>
      </c>
      <c r="R6" s="7" t="s">
        <v>130</v>
      </c>
      <c r="S6" s="7" t="s">
        <v>131</v>
      </c>
      <c r="T6" s="7" t="s">
        <v>1490</v>
      </c>
      <c r="U6" s="7" t="s">
        <v>1491</v>
      </c>
      <c r="V6" s="7" t="s">
        <v>37</v>
      </c>
      <c r="W6" s="7" t="s">
        <v>38</v>
      </c>
      <c r="X6" s="7" t="s">
        <v>89</v>
      </c>
      <c r="Y6" s="10" t="s">
        <v>127</v>
      </c>
    </row>
    <row r="7" spans="1:25">
      <c r="A7" s="37">
        <v>2609600</v>
      </c>
      <c r="B7" s="38" t="s">
        <v>1461</v>
      </c>
      <c r="C7" s="38" t="s">
        <v>26</v>
      </c>
      <c r="D7" s="38">
        <v>170001959444</v>
      </c>
      <c r="E7" s="38">
        <v>55</v>
      </c>
      <c r="F7" s="38" t="s">
        <v>1502</v>
      </c>
      <c r="G7" s="38"/>
      <c r="H7" s="38"/>
      <c r="I7" s="38" t="s">
        <v>1502</v>
      </c>
      <c r="J7" s="38" t="s">
        <v>82</v>
      </c>
      <c r="K7" s="38" t="s">
        <v>29</v>
      </c>
      <c r="L7" s="38" t="s">
        <v>30</v>
      </c>
      <c r="M7" s="39">
        <v>62289</v>
      </c>
      <c r="N7" s="40">
        <v>0.30020000000000002</v>
      </c>
      <c r="O7" s="38" t="s">
        <v>1503</v>
      </c>
      <c r="P7" s="38" t="s">
        <v>32</v>
      </c>
      <c r="Q7" s="38">
        <v>55</v>
      </c>
      <c r="R7" s="38" t="s">
        <v>74</v>
      </c>
      <c r="S7" s="38" t="s">
        <v>75</v>
      </c>
      <c r="T7" s="38" t="s">
        <v>1504</v>
      </c>
      <c r="U7" s="38" t="s">
        <v>1505</v>
      </c>
      <c r="V7" s="38" t="s">
        <v>160</v>
      </c>
      <c r="W7" s="38" t="s">
        <v>38</v>
      </c>
      <c r="X7" s="38" t="s">
        <v>58</v>
      </c>
      <c r="Y7" s="41" t="s">
        <v>109</v>
      </c>
    </row>
    <row r="8" spans="1:25">
      <c r="A8" s="6">
        <v>2610707</v>
      </c>
      <c r="B8" s="7" t="s">
        <v>1605</v>
      </c>
      <c r="C8" s="7" t="s">
        <v>26</v>
      </c>
      <c r="D8" s="7">
        <v>170001938923</v>
      </c>
      <c r="E8" s="7">
        <v>22</v>
      </c>
      <c r="F8" s="7" t="s">
        <v>1606</v>
      </c>
      <c r="G8" s="7"/>
      <c r="H8" s="7"/>
      <c r="I8" s="7" t="s">
        <v>1606</v>
      </c>
      <c r="J8" s="7" t="s">
        <v>42</v>
      </c>
      <c r="K8" s="7" t="s">
        <v>43</v>
      </c>
      <c r="L8" s="7" t="s">
        <v>44</v>
      </c>
      <c r="M8" s="8">
        <v>15328</v>
      </c>
      <c r="N8" s="9">
        <v>9.1800000000000007E-2</v>
      </c>
      <c r="O8" s="7" t="s">
        <v>1607</v>
      </c>
      <c r="P8" s="7" t="s">
        <v>46</v>
      </c>
      <c r="Q8" s="7">
        <v>22</v>
      </c>
      <c r="R8" s="7" t="s">
        <v>321</v>
      </c>
      <c r="S8" s="7" t="s">
        <v>322</v>
      </c>
      <c r="T8" s="7" t="s">
        <v>46</v>
      </c>
      <c r="U8" s="7" t="s">
        <v>1608</v>
      </c>
      <c r="V8" s="7" t="s">
        <v>37</v>
      </c>
      <c r="W8" s="7" t="s">
        <v>50</v>
      </c>
      <c r="X8" s="7" t="s">
        <v>58</v>
      </c>
      <c r="Y8" s="10" t="s">
        <v>165</v>
      </c>
    </row>
    <row r="9" spans="1:25">
      <c r="A9" s="37">
        <v>2610707</v>
      </c>
      <c r="B9" s="38" t="s">
        <v>1605</v>
      </c>
      <c r="C9" s="38" t="s">
        <v>26</v>
      </c>
      <c r="D9" s="38">
        <v>170002204243</v>
      </c>
      <c r="E9" s="38">
        <v>12</v>
      </c>
      <c r="F9" s="38" t="s">
        <v>1609</v>
      </c>
      <c r="G9" s="38"/>
      <c r="H9" s="38"/>
      <c r="I9" s="38" t="s">
        <v>1609</v>
      </c>
      <c r="J9" s="38" t="s">
        <v>42</v>
      </c>
      <c r="K9" s="38" t="s">
        <v>43</v>
      </c>
      <c r="L9" s="38" t="s">
        <v>44</v>
      </c>
      <c r="M9" s="39">
        <v>6742</v>
      </c>
      <c r="N9" s="40">
        <v>4.0399999999999998E-2</v>
      </c>
      <c r="O9" s="38" t="s">
        <v>1610</v>
      </c>
      <c r="P9" s="38" t="s">
        <v>32</v>
      </c>
      <c r="Q9" s="38">
        <v>12</v>
      </c>
      <c r="R9" s="38" t="s">
        <v>138</v>
      </c>
      <c r="S9" s="38" t="s">
        <v>139</v>
      </c>
      <c r="T9" s="38" t="s">
        <v>1611</v>
      </c>
      <c r="U9" s="38" t="s">
        <v>1612</v>
      </c>
      <c r="V9" s="38" t="s">
        <v>37</v>
      </c>
      <c r="W9" s="38" t="s">
        <v>38</v>
      </c>
      <c r="X9" s="38" t="s">
        <v>58</v>
      </c>
      <c r="Y9" s="41" t="s">
        <v>127</v>
      </c>
    </row>
    <row r="10" spans="1:25">
      <c r="A10" s="6">
        <v>2610707</v>
      </c>
      <c r="B10" s="7" t="s">
        <v>1605</v>
      </c>
      <c r="C10" s="7" t="s">
        <v>26</v>
      </c>
      <c r="D10" s="7">
        <v>170002082118</v>
      </c>
      <c r="E10" s="7">
        <v>40</v>
      </c>
      <c r="F10" s="7" t="s">
        <v>1613</v>
      </c>
      <c r="G10" s="7"/>
      <c r="H10" s="7"/>
      <c r="I10" s="7" t="s">
        <v>1614</v>
      </c>
      <c r="J10" s="7" t="s">
        <v>42</v>
      </c>
      <c r="K10" s="7" t="s">
        <v>43</v>
      </c>
      <c r="L10" s="7" t="s">
        <v>44</v>
      </c>
      <c r="M10" s="8">
        <v>51213</v>
      </c>
      <c r="N10" s="9">
        <v>0.30659999999999998</v>
      </c>
      <c r="O10" s="7" t="s">
        <v>1615</v>
      </c>
      <c r="P10" s="7" t="s">
        <v>32</v>
      </c>
      <c r="Q10" s="7">
        <v>40</v>
      </c>
      <c r="R10" s="7" t="s">
        <v>33</v>
      </c>
      <c r="S10" s="7" t="s">
        <v>34</v>
      </c>
      <c r="T10" s="7" t="s">
        <v>1616</v>
      </c>
      <c r="U10" s="7" t="s">
        <v>1617</v>
      </c>
      <c r="V10" s="7" t="s">
        <v>37</v>
      </c>
      <c r="W10" s="7" t="s">
        <v>38</v>
      </c>
      <c r="X10" s="7" t="s">
        <v>58</v>
      </c>
      <c r="Y10" s="10" t="s">
        <v>51</v>
      </c>
    </row>
    <row r="11" spans="1:25">
      <c r="A11" s="37">
        <v>2610707</v>
      </c>
      <c r="B11" s="38" t="s">
        <v>1605</v>
      </c>
      <c r="C11" s="38" t="s">
        <v>26</v>
      </c>
      <c r="D11" s="38">
        <v>170001938881</v>
      </c>
      <c r="E11" s="38">
        <v>33</v>
      </c>
      <c r="F11" s="38" t="s">
        <v>1618</v>
      </c>
      <c r="G11" s="38"/>
      <c r="H11" s="38"/>
      <c r="I11" s="38" t="s">
        <v>1619</v>
      </c>
      <c r="J11" s="38" t="s">
        <v>42</v>
      </c>
      <c r="K11" s="38" t="s">
        <v>43</v>
      </c>
      <c r="L11" s="38" t="s">
        <v>44</v>
      </c>
      <c r="M11" s="39">
        <v>3651</v>
      </c>
      <c r="N11" s="40">
        <v>2.1899999999999999E-2</v>
      </c>
      <c r="O11" s="38" t="s">
        <v>1620</v>
      </c>
      <c r="P11" s="38" t="s">
        <v>46</v>
      </c>
      <c r="Q11" s="38">
        <v>33</v>
      </c>
      <c r="R11" s="38" t="s">
        <v>47</v>
      </c>
      <c r="S11" s="38" t="s">
        <v>48</v>
      </c>
      <c r="T11" s="38" t="s">
        <v>46</v>
      </c>
      <c r="U11" s="38" t="s">
        <v>1621</v>
      </c>
      <c r="V11" s="38" t="s">
        <v>37</v>
      </c>
      <c r="W11" s="38" t="s">
        <v>50</v>
      </c>
      <c r="X11" s="38" t="s">
        <v>89</v>
      </c>
      <c r="Y11" s="41" t="s">
        <v>1622</v>
      </c>
    </row>
    <row r="12" spans="1:25">
      <c r="A12" s="6">
        <v>2610707</v>
      </c>
      <c r="B12" s="7" t="s">
        <v>1605</v>
      </c>
      <c r="C12" s="7" t="s">
        <v>26</v>
      </c>
      <c r="D12" s="7">
        <v>170002036647</v>
      </c>
      <c r="E12" s="7">
        <v>11</v>
      </c>
      <c r="F12" s="7" t="s">
        <v>1623</v>
      </c>
      <c r="G12" s="7"/>
      <c r="H12" s="7"/>
      <c r="I12" s="7" t="s">
        <v>1624</v>
      </c>
      <c r="J12" s="7" t="s">
        <v>42</v>
      </c>
      <c r="K12" s="7" t="s">
        <v>43</v>
      </c>
      <c r="L12" s="7" t="s">
        <v>44</v>
      </c>
      <c r="M12" s="8">
        <v>15784</v>
      </c>
      <c r="N12" s="9">
        <v>9.4500000000000001E-2</v>
      </c>
      <c r="O12" s="7" t="s">
        <v>1625</v>
      </c>
      <c r="P12" s="7" t="s">
        <v>46</v>
      </c>
      <c r="Q12" s="7">
        <v>11</v>
      </c>
      <c r="R12" s="7" t="s">
        <v>168</v>
      </c>
      <c r="S12" s="7" t="s">
        <v>169</v>
      </c>
      <c r="T12" s="7" t="s">
        <v>46</v>
      </c>
      <c r="U12" s="7" t="s">
        <v>1626</v>
      </c>
      <c r="V12" s="7" t="s">
        <v>160</v>
      </c>
      <c r="W12" s="7" t="s">
        <v>38</v>
      </c>
      <c r="X12" s="7" t="s">
        <v>58</v>
      </c>
      <c r="Y12" s="10" t="s">
        <v>1456</v>
      </c>
    </row>
    <row r="13" spans="1:25">
      <c r="A13" s="37">
        <v>2610707</v>
      </c>
      <c r="B13" s="38" t="s">
        <v>1605</v>
      </c>
      <c r="C13" s="38" t="s">
        <v>26</v>
      </c>
      <c r="D13" s="38">
        <v>170002372757</v>
      </c>
      <c r="E13" s="38">
        <v>28</v>
      </c>
      <c r="F13" s="38" t="s">
        <v>1627</v>
      </c>
      <c r="G13" s="38"/>
      <c r="H13" s="38"/>
      <c r="I13" s="38" t="s">
        <v>1628</v>
      </c>
      <c r="J13" s="38" t="s">
        <v>42</v>
      </c>
      <c r="K13" s="38" t="s">
        <v>43</v>
      </c>
      <c r="L13" s="38" t="s">
        <v>44</v>
      </c>
      <c r="M13" s="39">
        <v>209</v>
      </c>
      <c r="N13" s="40">
        <v>1.2999999999999999E-3</v>
      </c>
      <c r="O13" s="38" t="s">
        <v>1629</v>
      </c>
      <c r="P13" s="38" t="s">
        <v>46</v>
      </c>
      <c r="Q13" s="38">
        <v>28</v>
      </c>
      <c r="R13" s="38" t="s">
        <v>1465</v>
      </c>
      <c r="S13" s="38" t="s">
        <v>1466</v>
      </c>
      <c r="T13" s="38" t="s">
        <v>46</v>
      </c>
      <c r="U13" s="38" t="s">
        <v>1630</v>
      </c>
      <c r="V13" s="38" t="s">
        <v>37</v>
      </c>
      <c r="W13" s="38" t="s">
        <v>38</v>
      </c>
      <c r="X13" s="38" t="s">
        <v>621</v>
      </c>
      <c r="Y13" s="41" t="s">
        <v>90</v>
      </c>
    </row>
    <row r="14" spans="1:25">
      <c r="A14" s="28">
        <v>2610707</v>
      </c>
      <c r="B14" s="29" t="s">
        <v>1605</v>
      </c>
      <c r="C14" s="29" t="s">
        <v>26</v>
      </c>
      <c r="D14" s="29">
        <v>170002082073</v>
      </c>
      <c r="E14" s="29">
        <v>45</v>
      </c>
      <c r="F14" s="29" t="s">
        <v>1650</v>
      </c>
      <c r="G14" s="29"/>
      <c r="H14" s="29"/>
      <c r="I14" s="29" t="s">
        <v>1650</v>
      </c>
      <c r="J14" s="29" t="s">
        <v>82</v>
      </c>
      <c r="K14" s="29" t="s">
        <v>29</v>
      </c>
      <c r="L14" s="29" t="s">
        <v>30</v>
      </c>
      <c r="M14" s="30">
        <v>74092</v>
      </c>
      <c r="N14" s="31">
        <v>0.44359999999999999</v>
      </c>
      <c r="O14" s="29" t="s">
        <v>1651</v>
      </c>
      <c r="P14" s="29" t="s">
        <v>32</v>
      </c>
      <c r="Q14" s="29">
        <v>45</v>
      </c>
      <c r="R14" s="29" t="s">
        <v>61</v>
      </c>
      <c r="S14" s="29" t="s">
        <v>62</v>
      </c>
      <c r="T14" s="29" t="s">
        <v>1652</v>
      </c>
      <c r="U14" s="29" t="s">
        <v>1653</v>
      </c>
      <c r="V14" s="29" t="s">
        <v>37</v>
      </c>
      <c r="W14" s="29" t="s">
        <v>50</v>
      </c>
      <c r="X14" s="29" t="s">
        <v>58</v>
      </c>
      <c r="Y14" s="32" t="s">
        <v>650</v>
      </c>
    </row>
  </sheetData>
  <dataValidations count="1">
    <dataValidation type="custom" allowBlank="1" showDropDown="1" sqref="M2:N14" xr:uid="{00000000-0002-0000-0100-000000000000}">
      <formula1>AND(ISNUMBER(M2),(NOT(OR(NOT(ISERROR(DATEVALUE(M2))), AND(ISNUMBER(M2), LEFT(CELL("format", M2))="D")))))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982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.75" customHeight="1"/>
  <cols>
    <col min="1" max="1" width="14.73046875" customWidth="1"/>
    <col min="2" max="3" width="22.73046875" customWidth="1"/>
    <col min="4" max="4" width="15.73046875" customWidth="1"/>
    <col min="5" max="5" width="31.59765625" customWidth="1"/>
    <col min="6" max="6" width="37" customWidth="1"/>
    <col min="7" max="7" width="66.3984375" customWidth="1"/>
  </cols>
  <sheetData>
    <row r="1" spans="1:7">
      <c r="A1" s="42" t="s">
        <v>2418</v>
      </c>
      <c r="B1" s="43" t="s">
        <v>2419</v>
      </c>
      <c r="C1" s="43" t="s">
        <v>2420</v>
      </c>
      <c r="D1" s="43" t="s">
        <v>2421</v>
      </c>
      <c r="E1" s="43" t="s">
        <v>2422</v>
      </c>
      <c r="F1" s="43" t="s">
        <v>2423</v>
      </c>
      <c r="G1" s="43" t="s">
        <v>2424</v>
      </c>
    </row>
    <row r="2" spans="1:7">
      <c r="A2" s="42" t="s">
        <v>2425</v>
      </c>
      <c r="B2" s="44" t="s">
        <v>2426</v>
      </c>
      <c r="C2" s="45" t="s">
        <v>2427</v>
      </c>
      <c r="D2" s="46" t="str">
        <f ca="1">IFERROR(__xludf.DUMMYFUNCTION("REGEXEXTRACT(C2, ""\d+"")"),"170001959188")</f>
        <v>170001959188</v>
      </c>
      <c r="E2" s="44" t="s">
        <v>2428</v>
      </c>
      <c r="F2" s="47" t="str">
        <f ca="1">IFERROR(__xludf.DUMMYFUNCTION("REGEXEXTRACT(B2, ""id=([a-zA-Z0-9-_]+)&amp;usp"")"),"1-_TZiNAm3fq0oPTHhDpbYRzziDKyDDWl")</f>
        <v>1-_TZiNAm3fq0oPTHhDpbYRzziDKyDDWl</v>
      </c>
      <c r="G2" s="48" t="e">
        <f t="shared" ref="G2:G256" ca="1" si="0">_xludf.CONCAT(E2,F2)</f>
        <v>#NAME?</v>
      </c>
    </row>
    <row r="3" spans="1:7">
      <c r="A3" s="42" t="s">
        <v>2429</v>
      </c>
      <c r="B3" s="49" t="s">
        <v>2430</v>
      </c>
      <c r="C3" s="50" t="s">
        <v>2431</v>
      </c>
      <c r="D3" s="46" t="str">
        <f ca="1">IFERROR(__xludf.DUMMYFUNCTION("REGEXEXTRACT(C3, ""\d+"")"),"170001925080")</f>
        <v>170001925080</v>
      </c>
      <c r="E3" s="44" t="s">
        <v>2428</v>
      </c>
      <c r="F3" s="51" t="str">
        <f ca="1">IFERROR(__xludf.DUMMYFUNCTION("REGEXEXTRACT(B3, ""id=([a-zA-Z0-9-_]+)&amp;usp"")"),"101dS08BKnvzudnNl492IUGZ3fbLOkwXv")</f>
        <v>101dS08BKnvzudnNl492IUGZ3fbLOkwXv</v>
      </c>
      <c r="G3" s="52" t="e">
        <f t="shared" ca="1" si="0"/>
        <v>#NAME?</v>
      </c>
    </row>
    <row r="4" spans="1:7">
      <c r="A4" s="42" t="s">
        <v>2432</v>
      </c>
      <c r="B4" s="49" t="s">
        <v>2433</v>
      </c>
      <c r="C4" s="50" t="s">
        <v>2434</v>
      </c>
      <c r="D4" s="46" t="str">
        <f ca="1">IFERROR(__xludf.DUMMYFUNCTION("REGEXEXTRACT(C4, ""\d+"")"),"170001961728")</f>
        <v>170001961728</v>
      </c>
      <c r="E4" s="44" t="s">
        <v>2428</v>
      </c>
      <c r="F4" s="51" t="str">
        <f ca="1">IFERROR(__xludf.DUMMYFUNCTION("REGEXEXTRACT(B4, ""id=([a-zA-Z0-9-_]+)&amp;usp"")"),"14m72j3uZb5-vPCvnnbwuj14BcTcy-_Rf")</f>
        <v>14m72j3uZb5-vPCvnnbwuj14BcTcy-_Rf</v>
      </c>
      <c r="G4" s="52" t="e">
        <f t="shared" ca="1" si="0"/>
        <v>#NAME?</v>
      </c>
    </row>
    <row r="5" spans="1:7">
      <c r="A5" s="42" t="s">
        <v>2435</v>
      </c>
      <c r="B5" s="49" t="s">
        <v>2436</v>
      </c>
      <c r="C5" s="50" t="s">
        <v>2437</v>
      </c>
      <c r="D5" s="46" t="str">
        <f ca="1">IFERROR(__xludf.DUMMYFUNCTION("REGEXEXTRACT(C5, ""\d+"")"),"170001885332")</f>
        <v>170001885332</v>
      </c>
      <c r="E5" s="44" t="s">
        <v>2428</v>
      </c>
      <c r="F5" s="51" t="str">
        <f ca="1">IFERROR(__xludf.DUMMYFUNCTION("REGEXEXTRACT(B5, ""id=([a-zA-Z0-9-_]+)&amp;usp"")"),"14rwzY13Be6g2Qb_HCRDjcGqVaM4YTO-Y")</f>
        <v>14rwzY13Be6g2Qb_HCRDjcGqVaM4YTO-Y</v>
      </c>
      <c r="G5" s="52" t="e">
        <f t="shared" ca="1" si="0"/>
        <v>#NAME?</v>
      </c>
    </row>
    <row r="6" spans="1:7">
      <c r="A6" s="42" t="s">
        <v>2438</v>
      </c>
      <c r="B6" s="49" t="s">
        <v>2439</v>
      </c>
      <c r="C6" s="50" t="s">
        <v>2440</v>
      </c>
      <c r="D6" s="46" t="str">
        <f ca="1">IFERROR(__xludf.DUMMYFUNCTION("REGEXEXTRACT(C6, ""\d+"")"),"170001918058")</f>
        <v>170001918058</v>
      </c>
      <c r="E6" s="44" t="s">
        <v>2428</v>
      </c>
      <c r="F6" s="46" t="str">
        <f ca="1">IFERROR(__xludf.DUMMYFUNCTION("REGEXEXTRACT(B6, ""id=([a-zA-Z0-9-_]+)&amp;usp"")"),"15jQX9-nCtfJhrzbtHmYS3ecVskdDPc2l")</f>
        <v>15jQX9-nCtfJhrzbtHmYS3ecVskdDPc2l</v>
      </c>
      <c r="G6" s="53" t="e">
        <f t="shared" ca="1" si="0"/>
        <v>#NAME?</v>
      </c>
    </row>
    <row r="7" spans="1:7">
      <c r="A7" s="42" t="s">
        <v>2441</v>
      </c>
      <c r="B7" s="49" t="s">
        <v>2442</v>
      </c>
      <c r="C7" s="50" t="s">
        <v>2443</v>
      </c>
      <c r="D7" s="46" t="str">
        <f ca="1">IFERROR(__xludf.DUMMYFUNCTION("REGEXEXTRACT(C7, ""\d+"")"),"170001951099")</f>
        <v>170001951099</v>
      </c>
      <c r="E7" s="44" t="s">
        <v>2428</v>
      </c>
      <c r="F7" s="46" t="str">
        <f ca="1">IFERROR(__xludf.DUMMYFUNCTION("REGEXEXTRACT(B7, ""id=([a-zA-Z0-9-_]+)&amp;usp"")"),"16Bq1xo_vGYjvOVhp1SbJ2HooTikf7w95")</f>
        <v>16Bq1xo_vGYjvOVhp1SbJ2HooTikf7w95</v>
      </c>
      <c r="G7" s="53" t="e">
        <f t="shared" ca="1" si="0"/>
        <v>#NAME?</v>
      </c>
    </row>
    <row r="8" spans="1:7">
      <c r="A8" s="42" t="s">
        <v>2444</v>
      </c>
      <c r="B8" s="49" t="s">
        <v>2445</v>
      </c>
      <c r="C8" s="50" t="s">
        <v>2446</v>
      </c>
      <c r="D8" s="46" t="str">
        <f ca="1">IFERROR(__xludf.DUMMYFUNCTION("REGEXEXTRACT(C8, ""\d+"")"),"170001967985")</f>
        <v>170001967985</v>
      </c>
      <c r="E8" s="44" t="s">
        <v>2428</v>
      </c>
      <c r="F8" s="46" t="str">
        <f ca="1">IFERROR(__xludf.DUMMYFUNCTION("REGEXEXTRACT(B8, ""id=([a-zA-Z0-9-_]+)&amp;usp"")"),"18KIPhUzWXOf1YJs_TM2hal-6UPJI-mt6")</f>
        <v>18KIPhUzWXOf1YJs_TM2hal-6UPJI-mt6</v>
      </c>
      <c r="G8" s="53" t="e">
        <f t="shared" ca="1" si="0"/>
        <v>#NAME?</v>
      </c>
    </row>
    <row r="9" spans="1:7">
      <c r="A9" s="42" t="s">
        <v>2447</v>
      </c>
      <c r="B9" s="49" t="s">
        <v>2448</v>
      </c>
      <c r="C9" s="50" t="s">
        <v>2449</v>
      </c>
      <c r="D9" s="46" t="str">
        <f ca="1">IFERROR(__xludf.DUMMYFUNCTION("REGEXEXTRACT(C9, ""\d+"")"),"170001967091")</f>
        <v>170001967091</v>
      </c>
      <c r="E9" s="44" t="s">
        <v>2428</v>
      </c>
      <c r="F9" s="46" t="str">
        <f ca="1">IFERROR(__xludf.DUMMYFUNCTION("REGEXEXTRACT(B9, ""id=([a-zA-Z0-9-_]+)&amp;usp"")"),"18poR1JmOsGWnIRvUOUZzYlPxXmH7VwNr")</f>
        <v>18poR1JmOsGWnIRvUOUZzYlPxXmH7VwNr</v>
      </c>
      <c r="G9" s="53" t="e">
        <f t="shared" ca="1" si="0"/>
        <v>#NAME?</v>
      </c>
    </row>
    <row r="10" spans="1:7">
      <c r="A10" s="42" t="s">
        <v>2450</v>
      </c>
      <c r="B10" s="49" t="s">
        <v>2451</v>
      </c>
      <c r="C10" s="50" t="s">
        <v>2452</v>
      </c>
      <c r="D10" s="46" t="str">
        <f ca="1">IFERROR(__xludf.DUMMYFUNCTION("REGEXEXTRACT(C10, ""\d+"")"),"170001966318")</f>
        <v>170001966318</v>
      </c>
      <c r="E10" s="44" t="s">
        <v>2428</v>
      </c>
      <c r="F10" s="46" t="str">
        <f ca="1">IFERROR(__xludf.DUMMYFUNCTION("REGEXEXTRACT(B10, ""id=([a-zA-Z0-9-_]+)&amp;usp"")"),"19eJP_xhgyr4_EevR4TMn-iEJ3jwHpFXM")</f>
        <v>19eJP_xhgyr4_EevR4TMn-iEJ3jwHpFXM</v>
      </c>
      <c r="G10" s="53" t="e">
        <f t="shared" ca="1" si="0"/>
        <v>#NAME?</v>
      </c>
    </row>
    <row r="11" spans="1:7">
      <c r="A11" s="42" t="s">
        <v>2453</v>
      </c>
      <c r="B11" s="49" t="s">
        <v>2454</v>
      </c>
      <c r="C11" s="50" t="s">
        <v>2455</v>
      </c>
      <c r="D11" s="46" t="str">
        <f ca="1">IFERROR(__xludf.DUMMYFUNCTION("REGEXEXTRACT(C11, ""\d+"")"),"170001924419")</f>
        <v>170001924419</v>
      </c>
      <c r="E11" s="44" t="s">
        <v>2428</v>
      </c>
      <c r="F11" s="46" t="str">
        <f ca="1">IFERROR(__xludf.DUMMYFUNCTION("REGEXEXTRACT(B11, ""id=([a-zA-Z0-9-_]+)&amp;usp"")"),"1EnbTfrHoBcysU7BvrkSM6U5l-I3IiiE0")</f>
        <v>1EnbTfrHoBcysU7BvrkSM6U5l-I3IiiE0</v>
      </c>
      <c r="G11" s="53" t="e">
        <f t="shared" ca="1" si="0"/>
        <v>#NAME?</v>
      </c>
    </row>
    <row r="12" spans="1:7">
      <c r="A12" s="42" t="s">
        <v>2456</v>
      </c>
      <c r="B12" s="49" t="s">
        <v>2457</v>
      </c>
      <c r="C12" s="50" t="s">
        <v>2458</v>
      </c>
      <c r="D12" s="46" t="str">
        <f ca="1">IFERROR(__xludf.DUMMYFUNCTION("REGEXEXTRACT(C12, ""\d+"")"),"170001950791")</f>
        <v>170001950791</v>
      </c>
      <c r="E12" s="44" t="s">
        <v>2428</v>
      </c>
      <c r="F12" s="46" t="str">
        <f ca="1">IFERROR(__xludf.DUMMYFUNCTION("REGEXEXTRACT(B12, ""id=([a-zA-Z0-9-_]+)&amp;usp"")"),"1EszjHYXw-iHJcaY3CHY0cWHkG3umDA12")</f>
        <v>1EszjHYXw-iHJcaY3CHY0cWHkG3umDA12</v>
      </c>
      <c r="G12" s="53" t="e">
        <f t="shared" ca="1" si="0"/>
        <v>#NAME?</v>
      </c>
    </row>
    <row r="13" spans="1:7">
      <c r="A13" s="42" t="s">
        <v>2459</v>
      </c>
      <c r="B13" s="49" t="s">
        <v>2460</v>
      </c>
      <c r="C13" s="50" t="s">
        <v>2461</v>
      </c>
      <c r="D13" s="46" t="str">
        <f ca="1">IFERROR(__xludf.DUMMYFUNCTION("REGEXEXTRACT(C13, ""\d+"")"),"170001898713")</f>
        <v>170001898713</v>
      </c>
      <c r="E13" s="44" t="s">
        <v>2428</v>
      </c>
      <c r="F13" s="46" t="str">
        <f ca="1">IFERROR(__xludf.DUMMYFUNCTION("REGEXEXTRACT(B13, ""id=([a-zA-Z0-9-_]+)&amp;usp"")"),"1FL_ytPdsTa_Fcm-VFSlNE9ctSYdijgIq")</f>
        <v>1FL_ytPdsTa_Fcm-VFSlNE9ctSYdijgIq</v>
      </c>
      <c r="G13" s="53" t="e">
        <f t="shared" ca="1" si="0"/>
        <v>#NAME?</v>
      </c>
    </row>
    <row r="14" spans="1:7">
      <c r="A14" s="42" t="s">
        <v>2462</v>
      </c>
      <c r="B14" s="49" t="s">
        <v>2463</v>
      </c>
      <c r="C14" s="50" t="s">
        <v>2464</v>
      </c>
      <c r="D14" s="46" t="str">
        <f ca="1">IFERROR(__xludf.DUMMYFUNCTION("REGEXEXTRACT(C14, ""\d+"")"),"170001950230")</f>
        <v>170001950230</v>
      </c>
      <c r="E14" s="44" t="s">
        <v>2428</v>
      </c>
      <c r="F14" s="46" t="str">
        <f ca="1">IFERROR(__xludf.DUMMYFUNCTION("REGEXEXTRACT(B14, ""id=([a-zA-Z0-9-_]+)&amp;usp"")"),"1FmfTqFl0XyPCTcrbq9_E84n5jXNFl0z3")</f>
        <v>1FmfTqFl0XyPCTcrbq9_E84n5jXNFl0z3</v>
      </c>
      <c r="G14" s="53" t="e">
        <f t="shared" ca="1" si="0"/>
        <v>#NAME?</v>
      </c>
    </row>
    <row r="15" spans="1:7">
      <c r="A15" s="42" t="s">
        <v>2465</v>
      </c>
      <c r="B15" s="49" t="s">
        <v>2466</v>
      </c>
      <c r="C15" s="50" t="s">
        <v>2467</v>
      </c>
      <c r="D15" s="46" t="str">
        <f ca="1">IFERROR(__xludf.DUMMYFUNCTION("REGEXEXTRACT(C15, ""\d+"")"),"170001951716")</f>
        <v>170001951716</v>
      </c>
      <c r="E15" s="44" t="s">
        <v>2428</v>
      </c>
      <c r="F15" s="46" t="str">
        <f ca="1">IFERROR(__xludf.DUMMYFUNCTION("REGEXEXTRACT(B15, ""id=([a-zA-Z0-9-_]+)&amp;usp"")"),"1HtbFpQEpJUQ135f0Y790A3f3_CHPJyD4")</f>
        <v>1HtbFpQEpJUQ135f0Y790A3f3_CHPJyD4</v>
      </c>
      <c r="G15" s="53" t="e">
        <f t="shared" ca="1" si="0"/>
        <v>#NAME?</v>
      </c>
    </row>
    <row r="16" spans="1:7">
      <c r="A16" s="42" t="s">
        <v>2468</v>
      </c>
      <c r="B16" s="49" t="s">
        <v>2469</v>
      </c>
      <c r="C16" s="50" t="s">
        <v>2470</v>
      </c>
      <c r="D16" s="46" t="str">
        <f ca="1">IFERROR(__xludf.DUMMYFUNCTION("REGEXEXTRACT(C16, ""\d+"")"),"170001970819")</f>
        <v>170001970819</v>
      </c>
      <c r="E16" s="44" t="s">
        <v>2428</v>
      </c>
      <c r="F16" s="46" t="str">
        <f ca="1">IFERROR(__xludf.DUMMYFUNCTION("REGEXEXTRACT(B16, ""id=([a-zA-Z0-9-_]+)&amp;usp"")"),"1K-49J6Q8SZwEWiFdnF5IJ1_VoWJDsPVi")</f>
        <v>1K-49J6Q8SZwEWiFdnF5IJ1_VoWJDsPVi</v>
      </c>
      <c r="G16" s="53" t="e">
        <f t="shared" ca="1" si="0"/>
        <v>#NAME?</v>
      </c>
    </row>
    <row r="17" spans="1:7">
      <c r="A17" s="42" t="s">
        <v>2471</v>
      </c>
      <c r="B17" s="49" t="s">
        <v>2472</v>
      </c>
      <c r="C17" s="50" t="s">
        <v>2473</v>
      </c>
      <c r="D17" s="46" t="str">
        <f ca="1">IFERROR(__xludf.DUMMYFUNCTION("REGEXEXTRACT(C17, ""\d+"")"),"170001919373")</f>
        <v>170001919373</v>
      </c>
      <c r="E17" s="44" t="s">
        <v>2428</v>
      </c>
      <c r="F17" s="46" t="str">
        <f ca="1">IFERROR(__xludf.DUMMYFUNCTION("REGEXEXTRACT(B17, ""id=([a-zA-Z0-9-_]+)&amp;usp"")"),"1LX939mNz9sQOS4XOIu8GC8aCW77U01r7")</f>
        <v>1LX939mNz9sQOS4XOIu8GC8aCW77U01r7</v>
      </c>
      <c r="G17" s="53" t="e">
        <f t="shared" ca="1" si="0"/>
        <v>#NAME?</v>
      </c>
    </row>
    <row r="18" spans="1:7">
      <c r="A18" s="42" t="s">
        <v>2474</v>
      </c>
      <c r="B18" s="49" t="s">
        <v>2475</v>
      </c>
      <c r="C18" s="50" t="s">
        <v>2476</v>
      </c>
      <c r="D18" s="46" t="str">
        <f ca="1">IFERROR(__xludf.DUMMYFUNCTION("REGEXEXTRACT(C18, ""\d+"")"),"170001900209")</f>
        <v>170001900209</v>
      </c>
      <c r="E18" s="44" t="s">
        <v>2428</v>
      </c>
      <c r="F18" s="46" t="str">
        <f ca="1">IFERROR(__xludf.DUMMYFUNCTION("REGEXEXTRACT(B18, ""id=([a-zA-Z0-9-_]+)&amp;usp"")"),"1M8f3_L0Inc8Y_GcDIxwCIeEtsBx3LQPn")</f>
        <v>1M8f3_L0Inc8Y_GcDIxwCIeEtsBx3LQPn</v>
      </c>
      <c r="G18" s="53" t="e">
        <f t="shared" ca="1" si="0"/>
        <v>#NAME?</v>
      </c>
    </row>
    <row r="19" spans="1:7">
      <c r="A19" s="42" t="s">
        <v>2477</v>
      </c>
      <c r="B19" s="49" t="s">
        <v>2478</v>
      </c>
      <c r="C19" s="50" t="s">
        <v>2479</v>
      </c>
      <c r="D19" s="46" t="str">
        <f ca="1">IFERROR(__xludf.DUMMYFUNCTION("REGEXEXTRACT(C19, ""\d+"")"),"170001923538")</f>
        <v>170001923538</v>
      </c>
      <c r="E19" s="44" t="s">
        <v>2428</v>
      </c>
      <c r="F19" s="46" t="str">
        <f ca="1">IFERROR(__xludf.DUMMYFUNCTION("REGEXEXTRACT(B19, ""id=([a-zA-Z0-9-_]+)&amp;usp"")"),"1MHFIFiYFLQoMFUj4EYL0gAvceOO9K6mv")</f>
        <v>1MHFIFiYFLQoMFUj4EYL0gAvceOO9K6mv</v>
      </c>
      <c r="G19" s="53" t="e">
        <f t="shared" ca="1" si="0"/>
        <v>#NAME?</v>
      </c>
    </row>
    <row r="20" spans="1:7">
      <c r="A20" s="42" t="s">
        <v>2480</v>
      </c>
      <c r="B20" s="49" t="s">
        <v>2481</v>
      </c>
      <c r="C20" s="50" t="s">
        <v>2482</v>
      </c>
      <c r="D20" s="46" t="str">
        <f ca="1">IFERROR(__xludf.DUMMYFUNCTION("REGEXEXTRACT(C20, ""\d+"")"),"170001915525")</f>
        <v>170001915525</v>
      </c>
      <c r="E20" s="44" t="s">
        <v>2428</v>
      </c>
      <c r="F20" s="46" t="str">
        <f ca="1">IFERROR(__xludf.DUMMYFUNCTION("REGEXEXTRACT(B20, ""id=([a-zA-Z0-9-_]+)&amp;usp"")"),"1MZJJCRbI_M70H6a_Zm-Dc7A8zYqdYotK")</f>
        <v>1MZJJCRbI_M70H6a_Zm-Dc7A8zYqdYotK</v>
      </c>
      <c r="G20" s="53" t="e">
        <f t="shared" ca="1" si="0"/>
        <v>#NAME?</v>
      </c>
    </row>
    <row r="21" spans="1:7">
      <c r="A21" s="42" t="s">
        <v>2483</v>
      </c>
      <c r="B21" s="49" t="s">
        <v>2484</v>
      </c>
      <c r="C21" s="50" t="s">
        <v>2485</v>
      </c>
      <c r="D21" s="46" t="str">
        <f ca="1">IFERROR(__xludf.DUMMYFUNCTION("REGEXEXTRACT(C21, ""\d+"")"),"170001883334")</f>
        <v>170001883334</v>
      </c>
      <c r="E21" s="44" t="s">
        <v>2428</v>
      </c>
      <c r="F21" s="46" t="str">
        <f ca="1">IFERROR(__xludf.DUMMYFUNCTION("REGEXEXTRACT(B21, ""id=([a-zA-Z0-9-_]+)&amp;usp"")"),"1PEkX5kK1nCveyYCRvxwQqjVYG5WLaomA")</f>
        <v>1PEkX5kK1nCveyYCRvxwQqjVYG5WLaomA</v>
      </c>
      <c r="G21" s="53" t="e">
        <f t="shared" ca="1" si="0"/>
        <v>#NAME?</v>
      </c>
    </row>
    <row r="22" spans="1:7">
      <c r="A22" s="42" t="s">
        <v>2486</v>
      </c>
      <c r="B22" s="49" t="s">
        <v>2487</v>
      </c>
      <c r="C22" s="50" t="s">
        <v>2488</v>
      </c>
      <c r="D22" s="46" t="str">
        <f ca="1">IFERROR(__xludf.DUMMYFUNCTION("REGEXEXTRACT(C22, ""\d+"")"),"170001970081")</f>
        <v>170001970081</v>
      </c>
      <c r="E22" s="44" t="s">
        <v>2428</v>
      </c>
      <c r="F22" s="46" t="str">
        <f ca="1">IFERROR(__xludf.DUMMYFUNCTION("REGEXEXTRACT(B22, ""id=([a-zA-Z0-9-_]+)&amp;usp"")"),"1Pc1AIsgLAU1vKw1nKEZmrc1Z7iwEGvp7")</f>
        <v>1Pc1AIsgLAU1vKw1nKEZmrc1Z7iwEGvp7</v>
      </c>
      <c r="G22" s="53" t="e">
        <f t="shared" ca="1" si="0"/>
        <v>#NAME?</v>
      </c>
    </row>
    <row r="23" spans="1:7">
      <c r="A23" s="42" t="s">
        <v>2489</v>
      </c>
      <c r="B23" s="49" t="s">
        <v>2490</v>
      </c>
      <c r="C23" s="50" t="s">
        <v>2491</v>
      </c>
      <c r="D23" s="46" t="str">
        <f ca="1">IFERROR(__xludf.DUMMYFUNCTION("REGEXEXTRACT(C23, ""\d+"")"),"170001938678")</f>
        <v>170001938678</v>
      </c>
      <c r="E23" s="44" t="s">
        <v>2428</v>
      </c>
      <c r="F23" s="46" t="str">
        <f ca="1">IFERROR(__xludf.DUMMYFUNCTION("REGEXEXTRACT(B23, ""id=([a-zA-Z0-9-_]+)&amp;usp"")"),"1-InHSAfRwKvoHMIO9MNaaM7rSk99MQHi")</f>
        <v>1-InHSAfRwKvoHMIO9MNaaM7rSk99MQHi</v>
      </c>
      <c r="G23" s="53" t="e">
        <f t="shared" ca="1" si="0"/>
        <v>#NAME?</v>
      </c>
    </row>
    <row r="24" spans="1:7">
      <c r="A24" s="42" t="s">
        <v>2492</v>
      </c>
      <c r="B24" s="49" t="s">
        <v>2493</v>
      </c>
      <c r="C24" s="50" t="s">
        <v>2494</v>
      </c>
      <c r="D24" s="46" t="str">
        <f ca="1">IFERROR(__xludf.DUMMYFUNCTION("REGEXEXTRACT(C24, ""\d+"")"),"170001959156")</f>
        <v>170001959156</v>
      </c>
      <c r="E24" s="44" t="s">
        <v>2428</v>
      </c>
      <c r="F24" s="46" t="str">
        <f ca="1">IFERROR(__xludf.DUMMYFUNCTION("REGEXEXTRACT(B24, ""id=([a-zA-Z0-9-_]+)&amp;usp"")"),"11QaBIWsTqD3JvPx5W7B_k1RdfWHWjBks")</f>
        <v>11QaBIWsTqD3JvPx5W7B_k1RdfWHWjBks</v>
      </c>
      <c r="G24" s="53" t="e">
        <f t="shared" ca="1" si="0"/>
        <v>#NAME?</v>
      </c>
    </row>
    <row r="25" spans="1:7">
      <c r="A25" s="42" t="s">
        <v>2495</v>
      </c>
      <c r="B25" s="49" t="s">
        <v>2496</v>
      </c>
      <c r="C25" s="50" t="s">
        <v>2497</v>
      </c>
      <c r="D25" s="46" t="str">
        <f ca="1">IFERROR(__xludf.DUMMYFUNCTION("REGEXEXTRACT(C25, ""\d+"")"),"170001914506")</f>
        <v>170001914506</v>
      </c>
      <c r="E25" s="44" t="s">
        <v>2428</v>
      </c>
      <c r="F25" s="46" t="str">
        <f ca="1">IFERROR(__xludf.DUMMYFUNCTION("REGEXEXTRACT(B25, ""id=([a-zA-Z0-9-_]+)&amp;usp"")"),"11otrG8WaN1aFt8-dzc7D_OS2Zu3_0r7S")</f>
        <v>11otrG8WaN1aFt8-dzc7D_OS2Zu3_0r7S</v>
      </c>
      <c r="G25" s="53" t="e">
        <f t="shared" ca="1" si="0"/>
        <v>#NAME?</v>
      </c>
    </row>
    <row r="26" spans="1:7">
      <c r="A26" s="42" t="s">
        <v>2498</v>
      </c>
      <c r="B26" s="49" t="s">
        <v>2499</v>
      </c>
      <c r="C26" s="50" t="s">
        <v>2500</v>
      </c>
      <c r="D26" s="46" t="str">
        <f ca="1">IFERROR(__xludf.DUMMYFUNCTION("REGEXEXTRACT(C26, ""\d+"")"),"170001916577")</f>
        <v>170001916577</v>
      </c>
      <c r="E26" s="44" t="s">
        <v>2428</v>
      </c>
      <c r="F26" s="46" t="str">
        <f ca="1">IFERROR(__xludf.DUMMYFUNCTION("REGEXEXTRACT(B26, ""id=([a-zA-Z0-9-_]+)&amp;usp"")"),"13BJbIpmtMxWNUyXnr3pyFp0nd4S0Wecu")</f>
        <v>13BJbIpmtMxWNUyXnr3pyFp0nd4S0Wecu</v>
      </c>
      <c r="G26" s="53" t="e">
        <f t="shared" ca="1" si="0"/>
        <v>#NAME?</v>
      </c>
    </row>
    <row r="27" spans="1:7">
      <c r="A27" s="42" t="s">
        <v>2501</v>
      </c>
      <c r="B27" s="49" t="s">
        <v>2502</v>
      </c>
      <c r="C27" s="50" t="s">
        <v>2503</v>
      </c>
      <c r="D27" s="46" t="str">
        <f ca="1">IFERROR(__xludf.DUMMYFUNCTION("REGEXEXTRACT(C27, ""\d+"")"),"170001898275")</f>
        <v>170001898275</v>
      </c>
      <c r="E27" s="44" t="s">
        <v>2428</v>
      </c>
      <c r="F27" s="46" t="str">
        <f ca="1">IFERROR(__xludf.DUMMYFUNCTION("REGEXEXTRACT(B27, ""id=([a-zA-Z0-9-_]+)&amp;usp"")"),"13RqTvEgEisW1zTNPs4zwViXNaE0VOT38")</f>
        <v>13RqTvEgEisW1zTNPs4zwViXNaE0VOT38</v>
      </c>
      <c r="G27" s="53" t="e">
        <f t="shared" ca="1" si="0"/>
        <v>#NAME?</v>
      </c>
    </row>
    <row r="28" spans="1:7">
      <c r="A28" s="42" t="s">
        <v>2504</v>
      </c>
      <c r="B28" s="49" t="s">
        <v>2505</v>
      </c>
      <c r="C28" s="50" t="s">
        <v>2506</v>
      </c>
      <c r="D28" s="46" t="str">
        <f ca="1">IFERROR(__xludf.DUMMYFUNCTION("REGEXEXTRACT(C28, ""\d+"")"),"170001883054")</f>
        <v>170001883054</v>
      </c>
      <c r="E28" s="44" t="s">
        <v>2428</v>
      </c>
      <c r="F28" s="46" t="str">
        <f ca="1">IFERROR(__xludf.DUMMYFUNCTION("REGEXEXTRACT(B28, ""id=([a-zA-Z0-9-_]+)&amp;usp"")"),"13TCLBtj9Lri6peyVSe7dMED0FkseExLq")</f>
        <v>13TCLBtj9Lri6peyVSe7dMED0FkseExLq</v>
      </c>
      <c r="G28" s="53" t="e">
        <f t="shared" ca="1" si="0"/>
        <v>#NAME?</v>
      </c>
    </row>
    <row r="29" spans="1:7">
      <c r="A29" s="42" t="s">
        <v>2507</v>
      </c>
      <c r="B29" s="49" t="s">
        <v>2508</v>
      </c>
      <c r="C29" s="50" t="s">
        <v>2509</v>
      </c>
      <c r="D29" s="46" t="str">
        <f ca="1">IFERROR(__xludf.DUMMYFUNCTION("REGEXEXTRACT(C29, ""\d+"")"),"170001940161")</f>
        <v>170001940161</v>
      </c>
      <c r="E29" s="44" t="s">
        <v>2428</v>
      </c>
      <c r="F29" s="46" t="str">
        <f ca="1">IFERROR(__xludf.DUMMYFUNCTION("REGEXEXTRACT(B29, ""id=([a-zA-Z0-9-_]+)&amp;usp"")"),"15IXDeBgIba_zHaVQQFY5F62Csx77oJuI")</f>
        <v>15IXDeBgIba_zHaVQQFY5F62Csx77oJuI</v>
      </c>
      <c r="G29" s="53" t="e">
        <f t="shared" ca="1" si="0"/>
        <v>#NAME?</v>
      </c>
    </row>
    <row r="30" spans="1:7">
      <c r="A30" s="42" t="s">
        <v>2510</v>
      </c>
      <c r="B30" s="49" t="s">
        <v>2511</v>
      </c>
      <c r="C30" s="50" t="s">
        <v>2512</v>
      </c>
      <c r="D30" s="46" t="str">
        <f ca="1">IFERROR(__xludf.DUMMYFUNCTION("REGEXEXTRACT(C30, ""\d+"")"),"170001970852")</f>
        <v>170001970852</v>
      </c>
      <c r="E30" s="44" t="s">
        <v>2428</v>
      </c>
      <c r="F30" s="46" t="str">
        <f ca="1">IFERROR(__xludf.DUMMYFUNCTION("REGEXEXTRACT(B30, ""id=([a-zA-Z0-9-_]+)&amp;usp"")"),"173gl4YvH5iUk4xTd5UKJYtkDqyPVEOjA")</f>
        <v>173gl4YvH5iUk4xTd5UKJYtkDqyPVEOjA</v>
      </c>
      <c r="G30" s="53" t="e">
        <f t="shared" ca="1" si="0"/>
        <v>#NAME?</v>
      </c>
    </row>
    <row r="31" spans="1:7">
      <c r="A31" s="42" t="s">
        <v>2513</v>
      </c>
      <c r="B31" s="49" t="s">
        <v>2514</v>
      </c>
      <c r="C31" s="50" t="s">
        <v>2515</v>
      </c>
      <c r="D31" s="46" t="str">
        <f ca="1">IFERROR(__xludf.DUMMYFUNCTION("REGEXEXTRACT(C31, ""\d+"")"),"170001956368")</f>
        <v>170001956368</v>
      </c>
      <c r="E31" s="44" t="s">
        <v>2428</v>
      </c>
      <c r="F31" s="46" t="str">
        <f ca="1">IFERROR(__xludf.DUMMYFUNCTION("REGEXEXTRACT(B31, ""id=([a-zA-Z0-9-_]+)&amp;usp"")"),"19pTyKF5AX4DWldIeup1fD3dJ6UheAqhG")</f>
        <v>19pTyKF5AX4DWldIeup1fD3dJ6UheAqhG</v>
      </c>
      <c r="G31" s="53" t="e">
        <f t="shared" ca="1" si="0"/>
        <v>#NAME?</v>
      </c>
    </row>
    <row r="32" spans="1:7">
      <c r="A32" s="42" t="s">
        <v>2516</v>
      </c>
      <c r="B32" s="49" t="s">
        <v>2517</v>
      </c>
      <c r="C32" s="50" t="s">
        <v>2518</v>
      </c>
      <c r="D32" s="46" t="str">
        <f ca="1">IFERROR(__xludf.DUMMYFUNCTION("REGEXEXTRACT(C32, ""\d+"")"),"170001914477")</f>
        <v>170001914477</v>
      </c>
      <c r="E32" s="44" t="s">
        <v>2428</v>
      </c>
      <c r="F32" s="46" t="str">
        <f ca="1">IFERROR(__xludf.DUMMYFUNCTION("REGEXEXTRACT(B32, ""id=([a-zA-Z0-9-_]+)&amp;usp"")"),"19rtSAKID8snqMlJZtbCWUm4JFS5hVtto")</f>
        <v>19rtSAKID8snqMlJZtbCWUm4JFS5hVtto</v>
      </c>
      <c r="G32" s="53" t="e">
        <f t="shared" ca="1" si="0"/>
        <v>#NAME?</v>
      </c>
    </row>
    <row r="33" spans="1:7">
      <c r="A33" s="42" t="s">
        <v>2519</v>
      </c>
      <c r="B33" s="49" t="s">
        <v>2520</v>
      </c>
      <c r="C33" s="50" t="s">
        <v>2521</v>
      </c>
      <c r="D33" s="46" t="str">
        <f ca="1">IFERROR(__xludf.DUMMYFUNCTION("REGEXEXTRACT(C33, ""\d+"")"),"170001964412")</f>
        <v>170001964412</v>
      </c>
      <c r="E33" s="44" t="s">
        <v>2428</v>
      </c>
      <c r="F33" s="46" t="str">
        <f ca="1">IFERROR(__xludf.DUMMYFUNCTION("REGEXEXTRACT(B33, ""id=([a-zA-Z0-9-_]+)&amp;usp"")"),"1AIiUTn7dDD309yLkITKn_0852GxXptO0")</f>
        <v>1AIiUTn7dDD309yLkITKn_0852GxXptO0</v>
      </c>
      <c r="G33" s="53" t="e">
        <f t="shared" ca="1" si="0"/>
        <v>#NAME?</v>
      </c>
    </row>
    <row r="34" spans="1:7">
      <c r="A34" s="42" t="s">
        <v>2522</v>
      </c>
      <c r="B34" s="49" t="s">
        <v>2523</v>
      </c>
      <c r="C34" s="50" t="s">
        <v>2524</v>
      </c>
      <c r="D34" s="46" t="str">
        <f ca="1">IFERROR(__xludf.DUMMYFUNCTION("REGEXEXTRACT(C34, ""\d+"")"),"170001915078")</f>
        <v>170001915078</v>
      </c>
      <c r="E34" s="44" t="s">
        <v>2428</v>
      </c>
      <c r="F34" s="46" t="str">
        <f ca="1">IFERROR(__xludf.DUMMYFUNCTION("REGEXEXTRACT(B34, ""id=([a-zA-Z0-9-_]+)&amp;usp"")"),"1AvYjLblYNuPPv3fwIAi7lcN7GImcSoyR")</f>
        <v>1AvYjLblYNuPPv3fwIAi7lcN7GImcSoyR</v>
      </c>
      <c r="G34" s="53" t="e">
        <f t="shared" ca="1" si="0"/>
        <v>#NAME?</v>
      </c>
    </row>
    <row r="35" spans="1:7">
      <c r="A35" s="42" t="s">
        <v>2525</v>
      </c>
      <c r="B35" s="49" t="s">
        <v>2526</v>
      </c>
      <c r="C35" s="50" t="s">
        <v>2527</v>
      </c>
      <c r="D35" s="46" t="str">
        <f ca="1">IFERROR(__xludf.DUMMYFUNCTION("REGEXEXTRACT(C35, ""\d+"")"),"170001950360")</f>
        <v>170001950360</v>
      </c>
      <c r="E35" s="44" t="s">
        <v>2428</v>
      </c>
      <c r="F35" s="46" t="str">
        <f ca="1">IFERROR(__xludf.DUMMYFUNCTION("REGEXEXTRACT(B35, ""id=([a-zA-Z0-9-_]+)&amp;usp"")"),"1BHA-DXjFO4LDqhOvNzV9vBdpHZzOasQk")</f>
        <v>1BHA-DXjFO4LDqhOvNzV9vBdpHZzOasQk</v>
      </c>
      <c r="G35" s="53" t="e">
        <f t="shared" ca="1" si="0"/>
        <v>#NAME?</v>
      </c>
    </row>
    <row r="36" spans="1:7">
      <c r="A36" s="42" t="s">
        <v>2528</v>
      </c>
      <c r="B36" s="49" t="s">
        <v>2529</v>
      </c>
      <c r="C36" s="50" t="s">
        <v>2530</v>
      </c>
      <c r="D36" s="46" t="str">
        <f ca="1">IFERROR(__xludf.DUMMYFUNCTION("REGEXEXTRACT(C36, ""\d+"")"),"170001976558")</f>
        <v>170001976558</v>
      </c>
      <c r="E36" s="44" t="s">
        <v>2428</v>
      </c>
      <c r="F36" s="46" t="str">
        <f ca="1">IFERROR(__xludf.DUMMYFUNCTION("REGEXEXTRACT(B36, ""id=([a-zA-Z0-9-_]+)&amp;usp"")"),"1F7sGMWW2dTRElGwUD8JDypngW3UPdZAE")</f>
        <v>1F7sGMWW2dTRElGwUD8JDypngW3UPdZAE</v>
      </c>
      <c r="G36" s="53" t="e">
        <f t="shared" ca="1" si="0"/>
        <v>#NAME?</v>
      </c>
    </row>
    <row r="37" spans="1:7">
      <c r="A37" s="42" t="s">
        <v>2531</v>
      </c>
      <c r="B37" s="49" t="s">
        <v>2532</v>
      </c>
      <c r="C37" s="50" t="s">
        <v>2533</v>
      </c>
      <c r="D37" s="46" t="str">
        <f ca="1">IFERROR(__xludf.DUMMYFUNCTION("REGEXEXTRACT(C37, ""\d+"")"),"170001952102")</f>
        <v>170001952102</v>
      </c>
      <c r="E37" s="44" t="s">
        <v>2428</v>
      </c>
      <c r="F37" s="46" t="str">
        <f ca="1">IFERROR(__xludf.DUMMYFUNCTION("REGEXEXTRACT(B37, ""id=([a-zA-Z0-9-_]+)&amp;usp"")"),"1FAyqJYuHUWw7CkE6z51T1F7BsqqC4ni8")</f>
        <v>1FAyqJYuHUWw7CkE6z51T1F7BsqqC4ni8</v>
      </c>
      <c r="G37" s="53" t="e">
        <f t="shared" ca="1" si="0"/>
        <v>#NAME?</v>
      </c>
    </row>
    <row r="38" spans="1:7">
      <c r="A38" s="42" t="s">
        <v>2534</v>
      </c>
      <c r="B38" s="49" t="s">
        <v>2535</v>
      </c>
      <c r="C38" s="50" t="s">
        <v>2536</v>
      </c>
      <c r="D38" s="46" t="str">
        <f ca="1">IFERROR(__xludf.DUMMYFUNCTION("REGEXEXTRACT(C38, ""\d+"")"),"170001929078")</f>
        <v>170001929078</v>
      </c>
      <c r="E38" s="44" t="s">
        <v>2428</v>
      </c>
      <c r="F38" s="46" t="str">
        <f ca="1">IFERROR(__xludf.DUMMYFUNCTION("REGEXEXTRACT(B38, ""id=([a-zA-Z0-9-_]+)&amp;usp"")"),"1FVB35aYWoVsunTt9qluc2KPsSRn7VTyM")</f>
        <v>1FVB35aYWoVsunTt9qluc2KPsSRn7VTyM</v>
      </c>
      <c r="G38" s="53" t="e">
        <f t="shared" ca="1" si="0"/>
        <v>#NAME?</v>
      </c>
    </row>
    <row r="39" spans="1:7">
      <c r="A39" s="42" t="s">
        <v>2537</v>
      </c>
      <c r="B39" s="49" t="s">
        <v>2538</v>
      </c>
      <c r="C39" s="50" t="s">
        <v>2539</v>
      </c>
      <c r="D39" s="46" t="str">
        <f ca="1">IFERROR(__xludf.DUMMYFUNCTION("REGEXEXTRACT(C39, ""\d+"")"),"170001950328")</f>
        <v>170001950328</v>
      </c>
      <c r="E39" s="44" t="s">
        <v>2428</v>
      </c>
      <c r="F39" s="46" t="str">
        <f ca="1">IFERROR(__xludf.DUMMYFUNCTION("REGEXEXTRACT(B39, ""id=([a-zA-Z0-9-_]+)&amp;usp"")"),"1GCQI_4WADQwr4-WXYH9yja49lR-v_zKM")</f>
        <v>1GCQI_4WADQwr4-WXYH9yja49lR-v_zKM</v>
      </c>
      <c r="G39" s="53" t="e">
        <f t="shared" ca="1" si="0"/>
        <v>#NAME?</v>
      </c>
    </row>
    <row r="40" spans="1:7">
      <c r="A40" s="42" t="s">
        <v>2540</v>
      </c>
      <c r="B40" s="49" t="s">
        <v>2541</v>
      </c>
      <c r="C40" s="50" t="s">
        <v>2542</v>
      </c>
      <c r="D40" s="46" t="str">
        <f ca="1">IFERROR(__xludf.DUMMYFUNCTION("REGEXEXTRACT(C40, ""\d+"")"),"170001962561")</f>
        <v>170001962561</v>
      </c>
      <c r="E40" s="44" t="s">
        <v>2428</v>
      </c>
      <c r="F40" s="46" t="str">
        <f ca="1">IFERROR(__xludf.DUMMYFUNCTION("REGEXEXTRACT(B40, ""id=([a-zA-Z0-9-_]+)&amp;usp"")"),"1GGOspEJxKjDIgIBRW1Mwi8k5-EYZJvh-")</f>
        <v>1GGOspEJxKjDIgIBRW1Mwi8k5-EYZJvh-</v>
      </c>
      <c r="G40" s="53" t="e">
        <f t="shared" ca="1" si="0"/>
        <v>#NAME?</v>
      </c>
    </row>
    <row r="41" spans="1:7">
      <c r="A41" s="42" t="s">
        <v>2543</v>
      </c>
      <c r="B41" s="49" t="s">
        <v>2544</v>
      </c>
      <c r="C41" s="50" t="s">
        <v>2545</v>
      </c>
      <c r="D41" s="46" t="str">
        <f ca="1">IFERROR(__xludf.DUMMYFUNCTION("REGEXEXTRACT(C41, ""\d+"")"),"170001971191")</f>
        <v>170001971191</v>
      </c>
      <c r="E41" s="44" t="s">
        <v>2428</v>
      </c>
      <c r="F41" s="46" t="str">
        <f ca="1">IFERROR(__xludf.DUMMYFUNCTION("REGEXEXTRACT(B41, ""id=([a-zA-Z0-9-_]+)&amp;usp"")"),"1H2ITrpqijKP9i3nbWrMoLynXzXcTUeqD")</f>
        <v>1H2ITrpqijKP9i3nbWrMoLynXzXcTUeqD</v>
      </c>
      <c r="G41" s="53" t="e">
        <f t="shared" ca="1" si="0"/>
        <v>#NAME?</v>
      </c>
    </row>
    <row r="42" spans="1:7">
      <c r="A42" s="42" t="s">
        <v>2546</v>
      </c>
      <c r="B42" s="49" t="s">
        <v>2547</v>
      </c>
      <c r="C42" s="50" t="s">
        <v>2548</v>
      </c>
      <c r="D42" s="46" t="str">
        <f ca="1">IFERROR(__xludf.DUMMYFUNCTION("REGEXEXTRACT(C42, ""\d+"")"),"170001932452")</f>
        <v>170001932452</v>
      </c>
      <c r="E42" s="44" t="s">
        <v>2428</v>
      </c>
      <c r="F42" s="46" t="str">
        <f ca="1">IFERROR(__xludf.DUMMYFUNCTION("REGEXEXTRACT(B42, ""id=([a-zA-Z0-9-_]+)&amp;usp"")"),"1J4YGXEggQtwPtkjGpqNpPL9NXvpIqn50")</f>
        <v>1J4YGXEggQtwPtkjGpqNpPL9NXvpIqn50</v>
      </c>
      <c r="G42" s="53" t="e">
        <f t="shared" ca="1" si="0"/>
        <v>#NAME?</v>
      </c>
    </row>
    <row r="43" spans="1:7">
      <c r="A43" s="42" t="s">
        <v>2549</v>
      </c>
      <c r="B43" s="49" t="s">
        <v>2550</v>
      </c>
      <c r="C43" s="50" t="s">
        <v>2551</v>
      </c>
      <c r="D43" s="46" t="str">
        <f ca="1">IFERROR(__xludf.DUMMYFUNCTION("REGEXEXTRACT(C43, ""\d+"")"),"170001915130")</f>
        <v>170001915130</v>
      </c>
      <c r="E43" s="44" t="s">
        <v>2428</v>
      </c>
      <c r="F43" s="46" t="str">
        <f ca="1">IFERROR(__xludf.DUMMYFUNCTION("REGEXEXTRACT(B43, ""id=([a-zA-Z0-9-_]+)&amp;usp"")"),"1JLR_n8LJxCgzUlr-8XAO08Xr61Xa52oX")</f>
        <v>1JLR_n8LJxCgzUlr-8XAO08Xr61Xa52oX</v>
      </c>
      <c r="G43" s="53" t="e">
        <f t="shared" ca="1" si="0"/>
        <v>#NAME?</v>
      </c>
    </row>
    <row r="44" spans="1:7">
      <c r="A44" s="42" t="s">
        <v>2552</v>
      </c>
      <c r="B44" s="49" t="s">
        <v>2553</v>
      </c>
      <c r="C44" s="50" t="s">
        <v>2554</v>
      </c>
      <c r="D44" s="46" t="str">
        <f ca="1">IFERROR(__xludf.DUMMYFUNCTION("REGEXEXTRACT(C44, ""\d+"")"),"170001901003")</f>
        <v>170001901003</v>
      </c>
      <c r="E44" s="44" t="s">
        <v>2428</v>
      </c>
      <c r="F44" s="46" t="str">
        <f ca="1">IFERROR(__xludf.DUMMYFUNCTION("REGEXEXTRACT(B44, ""id=([a-zA-Z0-9-_]+)&amp;usp"")"),"1L8LxyVkFotSU5AjqnxxRtPEs5qL-MwcG")</f>
        <v>1L8LxyVkFotSU5AjqnxxRtPEs5qL-MwcG</v>
      </c>
      <c r="G44" s="53" t="e">
        <f t="shared" ca="1" si="0"/>
        <v>#NAME?</v>
      </c>
    </row>
    <row r="45" spans="1:7">
      <c r="A45" s="42" t="s">
        <v>2555</v>
      </c>
      <c r="B45" s="49" t="s">
        <v>2556</v>
      </c>
      <c r="C45" s="50" t="s">
        <v>2557</v>
      </c>
      <c r="D45" s="46" t="str">
        <f ca="1">IFERROR(__xludf.DUMMYFUNCTION("REGEXEXTRACT(C45, ""\d+"")"),"170001950651")</f>
        <v>170001950651</v>
      </c>
      <c r="E45" s="44" t="s">
        <v>2428</v>
      </c>
      <c r="F45" s="46" t="str">
        <f ca="1">IFERROR(__xludf.DUMMYFUNCTION("REGEXEXTRACT(B45, ""id=([a-zA-Z0-9-_]+)&amp;usp"")"),"1NDLpE4TEyXzAmjNMwxMN4cf-Szt3zflq")</f>
        <v>1NDLpE4TEyXzAmjNMwxMN4cf-Szt3zflq</v>
      </c>
      <c r="G45" s="53" t="e">
        <f t="shared" ca="1" si="0"/>
        <v>#NAME?</v>
      </c>
    </row>
    <row r="46" spans="1:7">
      <c r="A46" s="42" t="s">
        <v>2558</v>
      </c>
      <c r="B46" s="49" t="s">
        <v>2559</v>
      </c>
      <c r="C46" s="50" t="s">
        <v>2560</v>
      </c>
      <c r="D46" s="46" t="str">
        <f ca="1">IFERROR(__xludf.DUMMYFUNCTION("REGEXEXTRACT(C46, ""\d+"")"),"170001915520")</f>
        <v>170001915520</v>
      </c>
      <c r="E46" s="44" t="s">
        <v>2428</v>
      </c>
      <c r="F46" s="46" t="str">
        <f ca="1">IFERROR(__xludf.DUMMYFUNCTION("REGEXEXTRACT(B46, ""id=([a-zA-Z0-9-_]+)&amp;usp"")"),"1OCzABevfq5FvvFV2JF4is-JVCYGd41sC")</f>
        <v>1OCzABevfq5FvvFV2JF4is-JVCYGd41sC</v>
      </c>
      <c r="G46" s="53" t="e">
        <f t="shared" ca="1" si="0"/>
        <v>#NAME?</v>
      </c>
    </row>
    <row r="47" spans="1:7">
      <c r="A47" s="42" t="s">
        <v>2561</v>
      </c>
      <c r="B47" s="49" t="s">
        <v>2562</v>
      </c>
      <c r="C47" s="50" t="s">
        <v>2563</v>
      </c>
      <c r="D47" s="46" t="str">
        <f ca="1">IFERROR(__xludf.DUMMYFUNCTION("REGEXEXTRACT(C47, ""\d+"")"),"170001951713")</f>
        <v>170001951713</v>
      </c>
      <c r="E47" s="44" t="s">
        <v>2428</v>
      </c>
      <c r="F47" s="46" t="str">
        <f ca="1">IFERROR(__xludf.DUMMYFUNCTION("REGEXEXTRACT(B47, ""id=([a-zA-Z0-9-_]+)&amp;usp"")"),"1OI2beoA4yRsYyzjVt06wwQwthddByDNe")</f>
        <v>1OI2beoA4yRsYyzjVt06wwQwthddByDNe</v>
      </c>
      <c r="G47" s="53" t="e">
        <f t="shared" ca="1" si="0"/>
        <v>#NAME?</v>
      </c>
    </row>
    <row r="48" spans="1:7">
      <c r="A48" s="42" t="s">
        <v>2564</v>
      </c>
      <c r="B48" s="49" t="s">
        <v>2565</v>
      </c>
      <c r="C48" s="50" t="s">
        <v>2566</v>
      </c>
      <c r="D48" s="46" t="str">
        <f ca="1">IFERROR(__xludf.DUMMYFUNCTION("REGEXEXTRACT(C48, ""\d+"")"),"170001935254")</f>
        <v>170001935254</v>
      </c>
      <c r="E48" s="44" t="s">
        <v>2428</v>
      </c>
      <c r="F48" s="46" t="str">
        <f ca="1">IFERROR(__xludf.DUMMYFUNCTION("REGEXEXTRACT(B48, ""id=([a-zA-Z0-9-_]+)&amp;usp"")"),"1PLmXYeMssYJLzX8XAEOK6hW7UAnTeF1P")</f>
        <v>1PLmXYeMssYJLzX8XAEOK6hW7UAnTeF1P</v>
      </c>
      <c r="G48" s="53" t="e">
        <f t="shared" ca="1" si="0"/>
        <v>#NAME?</v>
      </c>
    </row>
    <row r="49" spans="1:7">
      <c r="A49" s="42" t="s">
        <v>2567</v>
      </c>
      <c r="B49" s="49" t="s">
        <v>2568</v>
      </c>
      <c r="C49" s="50" t="s">
        <v>2569</v>
      </c>
      <c r="D49" s="46" t="str">
        <f ca="1">IFERROR(__xludf.DUMMYFUNCTION("REGEXEXTRACT(C49, ""\d+"")"),"170001915613")</f>
        <v>170001915613</v>
      </c>
      <c r="E49" s="44" t="s">
        <v>2428</v>
      </c>
      <c r="F49" s="46" t="str">
        <f ca="1">IFERROR(__xludf.DUMMYFUNCTION("REGEXEXTRACT(B49, ""id=([a-zA-Z0-9-_]+)&amp;usp"")"),"1PUi2_9wRckrigjzSaMbuBJbBiBzBsHBZ")</f>
        <v>1PUi2_9wRckrigjzSaMbuBJbBiBzBsHBZ</v>
      </c>
      <c r="G49" s="53" t="e">
        <f t="shared" ca="1" si="0"/>
        <v>#NAME?</v>
      </c>
    </row>
    <row r="50" spans="1:7">
      <c r="A50" s="42" t="s">
        <v>2570</v>
      </c>
      <c r="B50" s="49" t="s">
        <v>2571</v>
      </c>
      <c r="C50" s="50" t="s">
        <v>2572</v>
      </c>
      <c r="D50" s="46" t="str">
        <f ca="1">IFERROR(__xludf.DUMMYFUNCTION("REGEXEXTRACT(C50, ""\d+"")"),"170001966789")</f>
        <v>170001966789</v>
      </c>
      <c r="E50" s="44" t="s">
        <v>2428</v>
      </c>
      <c r="F50" s="46" t="str">
        <f ca="1">IFERROR(__xludf.DUMMYFUNCTION("REGEXEXTRACT(B50, ""id=([a-zA-Z0-9-_]+)&amp;usp"")"),"1PktfxVGHxNPnElcadKWXWvIEXi9u8pP1")</f>
        <v>1PktfxVGHxNPnElcadKWXWvIEXi9u8pP1</v>
      </c>
      <c r="G50" s="53" t="e">
        <f t="shared" ca="1" si="0"/>
        <v>#NAME?</v>
      </c>
    </row>
    <row r="51" spans="1:7">
      <c r="A51" s="42" t="s">
        <v>2573</v>
      </c>
      <c r="B51" s="49" t="s">
        <v>2574</v>
      </c>
      <c r="C51" s="50" t="s">
        <v>2575</v>
      </c>
      <c r="D51" s="46" t="str">
        <f ca="1">IFERROR(__xludf.DUMMYFUNCTION("REGEXEXTRACT(C51, ""\d+"")"),"170001928097")</f>
        <v>170001928097</v>
      </c>
      <c r="E51" s="44" t="s">
        <v>2428</v>
      </c>
      <c r="F51" s="46" t="str">
        <f ca="1">IFERROR(__xludf.DUMMYFUNCTION("REGEXEXTRACT(B51, ""id=([a-zA-Z0-9-_]+)&amp;usp"")"),"1PzaRN17yG_t8i91aUmtb7C5oHZExHOg3")</f>
        <v>1PzaRN17yG_t8i91aUmtb7C5oHZExHOg3</v>
      </c>
      <c r="G51" s="53" t="e">
        <f t="shared" ca="1" si="0"/>
        <v>#NAME?</v>
      </c>
    </row>
    <row r="52" spans="1:7">
      <c r="A52" s="42" t="s">
        <v>2576</v>
      </c>
      <c r="B52" s="49" t="s">
        <v>2577</v>
      </c>
      <c r="C52" s="50" t="s">
        <v>2578</v>
      </c>
      <c r="D52" s="46" t="str">
        <f ca="1">IFERROR(__xludf.DUMMYFUNCTION("REGEXEXTRACT(C52, ""\d+"")"),"170001915527")</f>
        <v>170001915527</v>
      </c>
      <c r="E52" s="44" t="s">
        <v>2428</v>
      </c>
      <c r="F52" s="46" t="str">
        <f ca="1">IFERROR(__xludf.DUMMYFUNCTION("REGEXEXTRACT(B52, ""id=([a-zA-Z0-9-_]+)&amp;usp"")"),"1QK1u21Cvlw509NRerCJKRsWK7g6v8H4y")</f>
        <v>1QK1u21Cvlw509NRerCJKRsWK7g6v8H4y</v>
      </c>
      <c r="G52" s="53" t="e">
        <f t="shared" ca="1" si="0"/>
        <v>#NAME?</v>
      </c>
    </row>
    <row r="53" spans="1:7">
      <c r="A53" s="42" t="s">
        <v>2579</v>
      </c>
      <c r="B53" s="49" t="s">
        <v>2580</v>
      </c>
      <c r="C53" s="50" t="s">
        <v>2581</v>
      </c>
      <c r="D53" s="46" t="str">
        <f ca="1">IFERROR(__xludf.DUMMYFUNCTION("REGEXEXTRACT(C53, ""\d+"")"),"170001943117")</f>
        <v>170001943117</v>
      </c>
      <c r="E53" s="44" t="s">
        <v>2428</v>
      </c>
      <c r="F53" s="46" t="str">
        <f ca="1">IFERROR(__xludf.DUMMYFUNCTION("REGEXEXTRACT(B53, ""id=([a-zA-Z0-9-_]+)&amp;usp"")"),"1QrIUHHL_SZ3uNQYkveSZHmc1aO3wLXX8")</f>
        <v>1QrIUHHL_SZ3uNQYkveSZHmc1aO3wLXX8</v>
      </c>
      <c r="G53" s="53" t="e">
        <f t="shared" ca="1" si="0"/>
        <v>#NAME?</v>
      </c>
    </row>
    <row r="54" spans="1:7">
      <c r="A54" s="42" t="s">
        <v>2582</v>
      </c>
      <c r="B54" s="49" t="s">
        <v>2583</v>
      </c>
      <c r="C54" s="50" t="s">
        <v>2584</v>
      </c>
      <c r="D54" s="46" t="str">
        <f ca="1">IFERROR(__xludf.DUMMYFUNCTION("REGEXEXTRACT(C54, ""\d+"")"),"170001964114")</f>
        <v>170001964114</v>
      </c>
      <c r="E54" s="44" t="s">
        <v>2428</v>
      </c>
      <c r="F54" s="46" t="str">
        <f ca="1">IFERROR(__xludf.DUMMYFUNCTION("REGEXEXTRACT(B54, ""id=([a-zA-Z0-9-_]+)&amp;usp"")"),"1RE8bdu251KhZyWOnD-T62vvWyH5EsRSg")</f>
        <v>1RE8bdu251KhZyWOnD-T62vvWyH5EsRSg</v>
      </c>
      <c r="G54" s="53" t="e">
        <f t="shared" ca="1" si="0"/>
        <v>#NAME?</v>
      </c>
    </row>
    <row r="55" spans="1:7">
      <c r="A55" s="42" t="s">
        <v>2585</v>
      </c>
      <c r="B55" s="49" t="s">
        <v>2586</v>
      </c>
      <c r="C55" s="50" t="s">
        <v>2587</v>
      </c>
      <c r="D55" s="46" t="str">
        <f ca="1">IFERROR(__xludf.DUMMYFUNCTION("REGEXEXTRACT(C55, ""\d+"")"),"170001952819")</f>
        <v>170001952819</v>
      </c>
      <c r="E55" s="44" t="s">
        <v>2428</v>
      </c>
      <c r="F55" s="46" t="str">
        <f ca="1">IFERROR(__xludf.DUMMYFUNCTION("REGEXEXTRACT(B55, ""id=([a-zA-Z0-9-_]+)&amp;usp"")"),"1RioJ-ISvPv_pW9K6lD57tYUbm1QjhQEl")</f>
        <v>1RioJ-ISvPv_pW9K6lD57tYUbm1QjhQEl</v>
      </c>
      <c r="G55" s="53" t="e">
        <f t="shared" ca="1" si="0"/>
        <v>#NAME?</v>
      </c>
    </row>
    <row r="56" spans="1:7">
      <c r="A56" s="42" t="s">
        <v>2588</v>
      </c>
      <c r="B56" s="49" t="s">
        <v>2589</v>
      </c>
      <c r="C56" s="50" t="s">
        <v>2590</v>
      </c>
      <c r="D56" s="46" t="str">
        <f ca="1">IFERROR(__xludf.DUMMYFUNCTION("REGEXEXTRACT(C56, ""\d+"")"),"170001964200")</f>
        <v>170001964200</v>
      </c>
      <c r="E56" s="44" t="s">
        <v>2428</v>
      </c>
      <c r="F56" s="46" t="str">
        <f ca="1">IFERROR(__xludf.DUMMYFUNCTION("REGEXEXTRACT(B56, ""id=([a-zA-Z0-9-_]+)&amp;usp"")"),"1S36N_WYXASfSDd7jHWF1l8kwWe2bnDBL")</f>
        <v>1S36N_WYXASfSDd7jHWF1l8kwWe2bnDBL</v>
      </c>
      <c r="G56" s="53" t="e">
        <f t="shared" ca="1" si="0"/>
        <v>#NAME?</v>
      </c>
    </row>
    <row r="57" spans="1:7">
      <c r="A57" s="42" t="s">
        <v>2591</v>
      </c>
      <c r="B57" s="49" t="s">
        <v>2592</v>
      </c>
      <c r="C57" s="50" t="s">
        <v>2593</v>
      </c>
      <c r="D57" s="46" t="str">
        <f ca="1">IFERROR(__xludf.DUMMYFUNCTION("REGEXEXTRACT(C57, ""\d+"")"),"170001967667")</f>
        <v>170001967667</v>
      </c>
      <c r="E57" s="44" t="s">
        <v>2428</v>
      </c>
      <c r="F57" s="46" t="str">
        <f ca="1">IFERROR(__xludf.DUMMYFUNCTION("REGEXEXTRACT(B57, ""id=([a-zA-Z0-9-_]+)&amp;usp"")"),"1S_dtz_Xly4Dw9YZ1g8ETbLRs4EoyrUTr")</f>
        <v>1S_dtz_Xly4Dw9YZ1g8ETbLRs4EoyrUTr</v>
      </c>
      <c r="G57" s="53" t="e">
        <f t="shared" ca="1" si="0"/>
        <v>#NAME?</v>
      </c>
    </row>
    <row r="58" spans="1:7">
      <c r="A58" s="42" t="s">
        <v>2594</v>
      </c>
      <c r="B58" s="49" t="s">
        <v>2595</v>
      </c>
      <c r="C58" s="50" t="s">
        <v>2596</v>
      </c>
      <c r="D58" s="46" t="str">
        <f ca="1">IFERROR(__xludf.DUMMYFUNCTION("REGEXEXTRACT(C58, ""\d+"")"),"170001957299")</f>
        <v>170001957299</v>
      </c>
      <c r="E58" s="44" t="s">
        <v>2428</v>
      </c>
      <c r="F58" s="46" t="str">
        <f ca="1">IFERROR(__xludf.DUMMYFUNCTION("REGEXEXTRACT(B58, ""id=([a-zA-Z0-9-_]+)&amp;usp"")"),"1SodQsEGFq7EjNnK9vS4k_ksf0aPQDTsB")</f>
        <v>1SodQsEGFq7EjNnK9vS4k_ksf0aPQDTsB</v>
      </c>
      <c r="G58" s="53" t="e">
        <f t="shared" ca="1" si="0"/>
        <v>#NAME?</v>
      </c>
    </row>
    <row r="59" spans="1:7">
      <c r="A59" s="42" t="s">
        <v>2597</v>
      </c>
      <c r="B59" s="49" t="s">
        <v>2598</v>
      </c>
      <c r="C59" s="50" t="s">
        <v>2599</v>
      </c>
      <c r="D59" s="46" t="str">
        <f ca="1">IFERROR(__xludf.DUMMYFUNCTION("REGEXEXTRACT(C59, ""\d+"")"),"170001898062")</f>
        <v>170001898062</v>
      </c>
      <c r="E59" s="44" t="s">
        <v>2428</v>
      </c>
      <c r="F59" s="46" t="str">
        <f ca="1">IFERROR(__xludf.DUMMYFUNCTION("REGEXEXTRACT(B59, ""id=([a-zA-Z0-9-_]+)&amp;usp"")"),"1Te464DxdvcaAq0qSPzCJACHvKWDPgcoh")</f>
        <v>1Te464DxdvcaAq0qSPzCJACHvKWDPgcoh</v>
      </c>
      <c r="G59" s="53" t="e">
        <f t="shared" ca="1" si="0"/>
        <v>#NAME?</v>
      </c>
    </row>
    <row r="60" spans="1:7">
      <c r="A60" s="42" t="s">
        <v>2600</v>
      </c>
      <c r="B60" s="49" t="s">
        <v>2601</v>
      </c>
      <c r="C60" s="50" t="s">
        <v>2602</v>
      </c>
      <c r="D60" s="46" t="str">
        <f ca="1">IFERROR(__xludf.DUMMYFUNCTION("REGEXEXTRACT(C60, ""\d+"")"),"170001923837")</f>
        <v>170001923837</v>
      </c>
      <c r="E60" s="44" t="s">
        <v>2428</v>
      </c>
      <c r="F60" s="46" t="str">
        <f ca="1">IFERROR(__xludf.DUMMYFUNCTION("REGEXEXTRACT(B60, ""id=([a-zA-Z0-9-_]+)&amp;usp"")"),"1Tr5nRdLtLQd8SslXwkJCWhfZ7qX4Sxpk")</f>
        <v>1Tr5nRdLtLQd8SslXwkJCWhfZ7qX4Sxpk</v>
      </c>
      <c r="G60" s="53" t="e">
        <f t="shared" ca="1" si="0"/>
        <v>#NAME?</v>
      </c>
    </row>
    <row r="61" spans="1:7">
      <c r="A61" s="42" t="s">
        <v>2603</v>
      </c>
      <c r="B61" s="49" t="s">
        <v>2604</v>
      </c>
      <c r="C61" s="50" t="s">
        <v>2605</v>
      </c>
      <c r="D61" s="46" t="str">
        <f ca="1">IFERROR(__xludf.DUMMYFUNCTION("REGEXEXTRACT(C61, ""\d+"")"),"170001914638")</f>
        <v>170001914638</v>
      </c>
      <c r="E61" s="44" t="s">
        <v>2428</v>
      </c>
      <c r="F61" s="46" t="str">
        <f ca="1">IFERROR(__xludf.DUMMYFUNCTION("REGEXEXTRACT(B61, ""id=([a-zA-Z0-9-_]+)&amp;usp"")"),"1UOGQMlAsnmJkhcJX1FyLv_Ek4KsgYd-d")</f>
        <v>1UOGQMlAsnmJkhcJX1FyLv_Ek4KsgYd-d</v>
      </c>
      <c r="G61" s="53" t="e">
        <f t="shared" ca="1" si="0"/>
        <v>#NAME?</v>
      </c>
    </row>
    <row r="62" spans="1:7">
      <c r="A62" s="42" t="s">
        <v>2606</v>
      </c>
      <c r="B62" s="49" t="s">
        <v>2607</v>
      </c>
      <c r="C62" s="50" t="s">
        <v>2608</v>
      </c>
      <c r="D62" s="46" t="str">
        <f ca="1">IFERROR(__xludf.DUMMYFUNCTION("REGEXEXTRACT(C62, ""\d+"")"),"170001976958")</f>
        <v>170001976958</v>
      </c>
      <c r="E62" s="44" t="s">
        <v>2428</v>
      </c>
      <c r="F62" s="46" t="str">
        <f ca="1">IFERROR(__xludf.DUMMYFUNCTION("REGEXEXTRACT(B62, ""id=([a-zA-Z0-9-_]+)&amp;usp"")"),"1VKXKBFrFjqYRBpjdfI1t__P9s9PBXVf2")</f>
        <v>1VKXKBFrFjqYRBpjdfI1t__P9s9PBXVf2</v>
      </c>
      <c r="G62" s="53" t="e">
        <f t="shared" ca="1" si="0"/>
        <v>#NAME?</v>
      </c>
    </row>
    <row r="63" spans="1:7">
      <c r="A63" s="42" t="s">
        <v>2609</v>
      </c>
      <c r="B63" s="49" t="s">
        <v>2610</v>
      </c>
      <c r="C63" s="50" t="s">
        <v>2611</v>
      </c>
      <c r="D63" s="46" t="str">
        <f ca="1">IFERROR(__xludf.DUMMYFUNCTION("REGEXEXTRACT(C63, ""\d+"")"),"170001881155")</f>
        <v>170001881155</v>
      </c>
      <c r="E63" s="44" t="s">
        <v>2428</v>
      </c>
      <c r="F63" s="46" t="str">
        <f ca="1">IFERROR(__xludf.DUMMYFUNCTION("REGEXEXTRACT(B63, ""id=([a-zA-Z0-9-_]+)&amp;usp"")"),"1W2b15zqtj4n1O3TbL2mSgsEZWzmwUXvg")</f>
        <v>1W2b15zqtj4n1O3TbL2mSgsEZWzmwUXvg</v>
      </c>
      <c r="G63" s="53" t="e">
        <f t="shared" ca="1" si="0"/>
        <v>#NAME?</v>
      </c>
    </row>
    <row r="64" spans="1:7">
      <c r="A64" s="42" t="s">
        <v>2612</v>
      </c>
      <c r="B64" s="49" t="s">
        <v>2613</v>
      </c>
      <c r="C64" s="50" t="s">
        <v>2614</v>
      </c>
      <c r="D64" s="46" t="str">
        <f ca="1">IFERROR(__xludf.DUMMYFUNCTION("REGEXEXTRACT(C64, ""\d+"")"),"170001961317")</f>
        <v>170001961317</v>
      </c>
      <c r="E64" s="44" t="s">
        <v>2428</v>
      </c>
      <c r="F64" s="46" t="str">
        <f ca="1">IFERROR(__xludf.DUMMYFUNCTION("REGEXEXTRACT(B64, ""id=([a-zA-Z0-9-_]+)&amp;usp"")"),"1XruO3T_s_aRo3DU3vQxOyYzA-MtYMU3-")</f>
        <v>1XruO3T_s_aRo3DU3vQxOyYzA-MtYMU3-</v>
      </c>
      <c r="G64" s="53" t="e">
        <f t="shared" ca="1" si="0"/>
        <v>#NAME?</v>
      </c>
    </row>
    <row r="65" spans="1:7">
      <c r="A65" s="42" t="s">
        <v>2615</v>
      </c>
      <c r="B65" s="49" t="s">
        <v>2616</v>
      </c>
      <c r="C65" s="50" t="s">
        <v>2617</v>
      </c>
      <c r="D65" s="46" t="str">
        <f ca="1">IFERROR(__xludf.DUMMYFUNCTION("REGEXEXTRACT(C65, ""\d+"")"),"170001901200")</f>
        <v>170001901200</v>
      </c>
      <c r="E65" s="44" t="s">
        <v>2428</v>
      </c>
      <c r="F65" s="46" t="str">
        <f ca="1">IFERROR(__xludf.DUMMYFUNCTION("REGEXEXTRACT(B65, ""id=([a-zA-Z0-9-_]+)&amp;usp"")"),"1YKHR2Pf6Oik2bk0gtJrNo95sM2OvcOo0")</f>
        <v>1YKHR2Pf6Oik2bk0gtJrNo95sM2OvcOo0</v>
      </c>
      <c r="G65" s="53" t="e">
        <f t="shared" ca="1" si="0"/>
        <v>#NAME?</v>
      </c>
    </row>
    <row r="66" spans="1:7">
      <c r="A66" s="42" t="s">
        <v>2618</v>
      </c>
      <c r="B66" s="49" t="s">
        <v>2619</v>
      </c>
      <c r="C66" s="50" t="s">
        <v>2620</v>
      </c>
      <c r="D66" s="46" t="str">
        <f ca="1">IFERROR(__xludf.DUMMYFUNCTION("REGEXEXTRACT(C66, ""\d+"")"),"170001923998")</f>
        <v>170001923998</v>
      </c>
      <c r="E66" s="44" t="s">
        <v>2428</v>
      </c>
      <c r="F66" s="46" t="str">
        <f ca="1">IFERROR(__xludf.DUMMYFUNCTION("REGEXEXTRACT(B66, ""id=([a-zA-Z0-9-_]+)&amp;usp"")"),"1YYrLMF7xTQzjcl44DEeWgYtg4rGhKgNj")</f>
        <v>1YYrLMF7xTQzjcl44DEeWgYtg4rGhKgNj</v>
      </c>
      <c r="G66" s="53" t="e">
        <f t="shared" ca="1" si="0"/>
        <v>#NAME?</v>
      </c>
    </row>
    <row r="67" spans="1:7">
      <c r="A67" s="42" t="s">
        <v>2621</v>
      </c>
      <c r="B67" s="49" t="s">
        <v>2622</v>
      </c>
      <c r="C67" s="50" t="s">
        <v>2623</v>
      </c>
      <c r="D67" s="46" t="str">
        <f ca="1">IFERROR(__xludf.DUMMYFUNCTION("REGEXEXTRACT(C67, ""\d+"")"),"170001938881")</f>
        <v>170001938881</v>
      </c>
      <c r="E67" s="44" t="s">
        <v>2428</v>
      </c>
      <c r="F67" s="46" t="str">
        <f ca="1">IFERROR(__xludf.DUMMYFUNCTION("REGEXEXTRACT(B67, ""id=([a-zA-Z0-9-_]+)&amp;usp"")"),"1_cUHTLAhFipDIKj5e3J4HqOwD8OtSF-A")</f>
        <v>1_cUHTLAhFipDIKj5e3J4HqOwD8OtSF-A</v>
      </c>
      <c r="G67" s="53" t="e">
        <f t="shared" ca="1" si="0"/>
        <v>#NAME?</v>
      </c>
    </row>
    <row r="68" spans="1:7">
      <c r="A68" s="42" t="s">
        <v>2624</v>
      </c>
      <c r="B68" s="49" t="s">
        <v>2625</v>
      </c>
      <c r="C68" s="50" t="s">
        <v>2626</v>
      </c>
      <c r="D68" s="46" t="str">
        <f ca="1">IFERROR(__xludf.DUMMYFUNCTION("REGEXEXTRACT(C68, ""\d+"")"),"170001959444")</f>
        <v>170001959444</v>
      </c>
      <c r="E68" s="44" t="s">
        <v>2428</v>
      </c>
      <c r="F68" s="46" t="str">
        <f ca="1">IFERROR(__xludf.DUMMYFUNCTION("REGEXEXTRACT(B68, ""id=([a-zA-Z0-9-_]+)&amp;usp"")"),"1cUIpUryYAcRCX13wHAjisraMUlLMK7bh")</f>
        <v>1cUIpUryYAcRCX13wHAjisraMUlLMK7bh</v>
      </c>
      <c r="G68" s="53" t="e">
        <f t="shared" ca="1" si="0"/>
        <v>#NAME?</v>
      </c>
    </row>
    <row r="69" spans="1:7">
      <c r="A69" s="42" t="s">
        <v>2627</v>
      </c>
      <c r="B69" s="49" t="s">
        <v>2628</v>
      </c>
      <c r="C69" s="50" t="s">
        <v>2629</v>
      </c>
      <c r="D69" s="46" t="str">
        <f ca="1">IFERROR(__xludf.DUMMYFUNCTION("REGEXEXTRACT(C69, ""\d+"")"),"170001915020")</f>
        <v>170001915020</v>
      </c>
      <c r="E69" s="44" t="s">
        <v>2428</v>
      </c>
      <c r="F69" s="46" t="str">
        <f ca="1">IFERROR(__xludf.DUMMYFUNCTION("REGEXEXTRACT(B69, ""id=([a-zA-Z0-9-_]+)&amp;usp"")"),"1cop31kWiZtCk_iPNVvdhgfVVMGpuSKj2")</f>
        <v>1cop31kWiZtCk_iPNVvdhgfVVMGpuSKj2</v>
      </c>
      <c r="G69" s="53" t="e">
        <f t="shared" ca="1" si="0"/>
        <v>#NAME?</v>
      </c>
    </row>
    <row r="70" spans="1:7">
      <c r="A70" s="42" t="s">
        <v>2630</v>
      </c>
      <c r="B70" s="49" t="s">
        <v>2631</v>
      </c>
      <c r="C70" s="50" t="s">
        <v>2632</v>
      </c>
      <c r="D70" s="46" t="str">
        <f ca="1">IFERROR(__xludf.DUMMYFUNCTION("REGEXEXTRACT(C70, ""\d+"")"),"170001939288")</f>
        <v>170001939288</v>
      </c>
      <c r="E70" s="44" t="s">
        <v>2428</v>
      </c>
      <c r="F70" s="46" t="str">
        <f ca="1">IFERROR(__xludf.DUMMYFUNCTION("REGEXEXTRACT(B70, ""id=([a-zA-Z0-9-_]+)&amp;usp"")"),"1d54uHfHcNj3tP4Jsxyun7sTeWijQFLmz")</f>
        <v>1d54uHfHcNj3tP4Jsxyun7sTeWijQFLmz</v>
      </c>
      <c r="G70" s="53" t="e">
        <f t="shared" ca="1" si="0"/>
        <v>#NAME?</v>
      </c>
    </row>
    <row r="71" spans="1:7">
      <c r="A71" s="42" t="s">
        <v>2633</v>
      </c>
      <c r="B71" s="49" t="s">
        <v>2634</v>
      </c>
      <c r="C71" s="50" t="s">
        <v>2635</v>
      </c>
      <c r="D71" s="46" t="str">
        <f ca="1">IFERROR(__xludf.DUMMYFUNCTION("REGEXEXTRACT(C71, ""\d+"")"),"170001970165")</f>
        <v>170001970165</v>
      </c>
      <c r="E71" s="44" t="s">
        <v>2428</v>
      </c>
      <c r="F71" s="46" t="str">
        <f ca="1">IFERROR(__xludf.DUMMYFUNCTION("REGEXEXTRACT(B71, ""id=([a-zA-Z0-9-_]+)&amp;usp"")"),"1dIpqGoSEQ7PoxTXBDbt-BPPv_81f2_ar")</f>
        <v>1dIpqGoSEQ7PoxTXBDbt-BPPv_81f2_ar</v>
      </c>
      <c r="G71" s="53" t="e">
        <f t="shared" ca="1" si="0"/>
        <v>#NAME?</v>
      </c>
    </row>
    <row r="72" spans="1:7">
      <c r="A72" s="42" t="s">
        <v>2636</v>
      </c>
      <c r="B72" s="49" t="s">
        <v>2637</v>
      </c>
      <c r="C72" s="50" t="s">
        <v>2638</v>
      </c>
      <c r="D72" s="46" t="str">
        <f ca="1">IFERROR(__xludf.DUMMYFUNCTION("REGEXEXTRACT(C72, ""\d+"")"),"170001915530")</f>
        <v>170001915530</v>
      </c>
      <c r="E72" s="44" t="s">
        <v>2428</v>
      </c>
      <c r="F72" s="46" t="str">
        <f ca="1">IFERROR(__xludf.DUMMYFUNCTION("REGEXEXTRACT(B72, ""id=([a-zA-Z0-9-_]+)&amp;usp"")"),"1e9M7G0Ac2SWr9GfTs1uKkM0pzcFZAuj6")</f>
        <v>1e9M7G0Ac2SWr9GfTs1uKkM0pzcFZAuj6</v>
      </c>
      <c r="G72" s="53" t="e">
        <f t="shared" ca="1" si="0"/>
        <v>#NAME?</v>
      </c>
    </row>
    <row r="73" spans="1:7">
      <c r="A73" s="42" t="s">
        <v>2639</v>
      </c>
      <c r="B73" s="49" t="s">
        <v>2640</v>
      </c>
      <c r="C73" s="50" t="s">
        <v>2641</v>
      </c>
      <c r="D73" s="46" t="str">
        <f ca="1">IFERROR(__xludf.DUMMYFUNCTION("REGEXEXTRACT(C73, ""\d+"")"),"170001915023")</f>
        <v>170001915023</v>
      </c>
      <c r="E73" s="44" t="s">
        <v>2428</v>
      </c>
      <c r="F73" s="46" t="str">
        <f ca="1">IFERROR(__xludf.DUMMYFUNCTION("REGEXEXTRACT(B73, ""id=([a-zA-Z0-9-_]+)&amp;usp"")"),"1eT0fMnVWoqJHV0xh7rXleqbSHXsWR7fJ")</f>
        <v>1eT0fMnVWoqJHV0xh7rXleqbSHXsWR7fJ</v>
      </c>
      <c r="G73" s="53" t="e">
        <f t="shared" ca="1" si="0"/>
        <v>#NAME?</v>
      </c>
    </row>
    <row r="74" spans="1:7">
      <c r="A74" s="42" t="s">
        <v>2642</v>
      </c>
      <c r="B74" s="49" t="s">
        <v>2643</v>
      </c>
      <c r="C74" s="50" t="s">
        <v>2644</v>
      </c>
      <c r="D74" s="46" t="str">
        <f ca="1">IFERROR(__xludf.DUMMYFUNCTION("REGEXEXTRACT(C74, ""\d+"")"),"170001936662")</f>
        <v>170001936662</v>
      </c>
      <c r="E74" s="44" t="s">
        <v>2428</v>
      </c>
      <c r="F74" s="46" t="str">
        <f ca="1">IFERROR(__xludf.DUMMYFUNCTION("REGEXEXTRACT(B74, ""id=([a-zA-Z0-9-_]+)&amp;usp"")"),"1evno0C7VC-J9LwuJqyEEJJfyt9leeWxD")</f>
        <v>1evno0C7VC-J9LwuJqyEEJJfyt9leeWxD</v>
      </c>
      <c r="G74" s="53" t="e">
        <f t="shared" ca="1" si="0"/>
        <v>#NAME?</v>
      </c>
    </row>
    <row r="75" spans="1:7">
      <c r="A75" s="42" t="s">
        <v>2645</v>
      </c>
      <c r="B75" s="49" t="s">
        <v>2646</v>
      </c>
      <c r="C75" s="50" t="s">
        <v>2647</v>
      </c>
      <c r="D75" s="46" t="str">
        <f ca="1">IFERROR(__xludf.DUMMYFUNCTION("REGEXEXTRACT(C75, ""\d+"")"),"170001969495")</f>
        <v>170001969495</v>
      </c>
      <c r="E75" s="44" t="s">
        <v>2428</v>
      </c>
      <c r="F75" s="46" t="str">
        <f ca="1">IFERROR(__xludf.DUMMYFUNCTION("REGEXEXTRACT(B75, ""id=([a-zA-Z0-9-_]+)&amp;usp"")"),"1fN_KDlzDWJSeI-5_6zFku3Hwg_9lTGKr")</f>
        <v>1fN_KDlzDWJSeI-5_6zFku3Hwg_9lTGKr</v>
      </c>
      <c r="G75" s="53" t="e">
        <f t="shared" ca="1" si="0"/>
        <v>#NAME?</v>
      </c>
    </row>
    <row r="76" spans="1:7">
      <c r="A76" s="42" t="s">
        <v>2648</v>
      </c>
      <c r="B76" s="49" t="s">
        <v>2649</v>
      </c>
      <c r="C76" s="50" t="s">
        <v>2650</v>
      </c>
      <c r="D76" s="46" t="str">
        <f ca="1">IFERROR(__xludf.DUMMYFUNCTION("REGEXEXTRACT(C76, ""\d+"")"),"170001949424")</f>
        <v>170001949424</v>
      </c>
      <c r="E76" s="44" t="s">
        <v>2428</v>
      </c>
      <c r="F76" s="46" t="str">
        <f ca="1">IFERROR(__xludf.DUMMYFUNCTION("REGEXEXTRACT(B76, ""id=([a-zA-Z0-9-_]+)&amp;usp"")"),"1fWkAO-YAsBvlX2kHYdtCdgH1IOmWVvl_")</f>
        <v>1fWkAO-YAsBvlX2kHYdtCdgH1IOmWVvl_</v>
      </c>
      <c r="G76" s="53" t="e">
        <f t="shared" ca="1" si="0"/>
        <v>#NAME?</v>
      </c>
    </row>
    <row r="77" spans="1:7">
      <c r="A77" s="42" t="s">
        <v>2651</v>
      </c>
      <c r="B77" s="49" t="s">
        <v>2652</v>
      </c>
      <c r="C77" s="50" t="s">
        <v>2653</v>
      </c>
      <c r="D77" s="46" t="str">
        <f ca="1">IFERROR(__xludf.DUMMYFUNCTION("REGEXEXTRACT(C77, ""\d+"")"),"170001920971")</f>
        <v>170001920971</v>
      </c>
      <c r="E77" s="44" t="s">
        <v>2428</v>
      </c>
      <c r="F77" s="46" t="str">
        <f ca="1">IFERROR(__xludf.DUMMYFUNCTION("REGEXEXTRACT(B77, ""id=([a-zA-Z0-9-_]+)&amp;usp"")"),"1fh1Ed4k3O0Wnm6cyEMa4LpZmPL5-o_Nm")</f>
        <v>1fh1Ed4k3O0Wnm6cyEMa4LpZmPL5-o_Nm</v>
      </c>
      <c r="G77" s="53" t="e">
        <f t="shared" ca="1" si="0"/>
        <v>#NAME?</v>
      </c>
    </row>
    <row r="78" spans="1:7">
      <c r="A78" s="42" t="s">
        <v>2654</v>
      </c>
      <c r="B78" s="49" t="s">
        <v>2655</v>
      </c>
      <c r="C78" s="50" t="s">
        <v>2656</v>
      </c>
      <c r="D78" s="46" t="str">
        <f ca="1">IFERROR(__xludf.DUMMYFUNCTION("REGEXEXTRACT(C78, ""\d+"")"),"170001971416")</f>
        <v>170001971416</v>
      </c>
      <c r="E78" s="44" t="s">
        <v>2428</v>
      </c>
      <c r="F78" s="46" t="str">
        <f ca="1">IFERROR(__xludf.DUMMYFUNCTION("REGEXEXTRACT(B78, ""id=([a-zA-Z0-9-_]+)&amp;usp"")"),"1fk2gXQWpcf1aPWntPtrrxJGGXPOZXSqf")</f>
        <v>1fk2gXQWpcf1aPWntPtrrxJGGXPOZXSqf</v>
      </c>
      <c r="G78" s="53" t="e">
        <f t="shared" ca="1" si="0"/>
        <v>#NAME?</v>
      </c>
    </row>
    <row r="79" spans="1:7">
      <c r="A79" s="42" t="s">
        <v>2657</v>
      </c>
      <c r="B79" s="49" t="s">
        <v>2658</v>
      </c>
      <c r="C79" s="50" t="s">
        <v>2659</v>
      </c>
      <c r="D79" s="46" t="str">
        <f ca="1">IFERROR(__xludf.DUMMYFUNCTION("REGEXEXTRACT(C79, ""\d+"")"),"170001954882")</f>
        <v>170001954882</v>
      </c>
      <c r="E79" s="44" t="s">
        <v>2428</v>
      </c>
      <c r="F79" s="46" t="str">
        <f ca="1">IFERROR(__xludf.DUMMYFUNCTION("REGEXEXTRACT(B79, ""id=([a-zA-Z0-9-_]+)&amp;usp"")"),"1fxsI6JhzjkJk_hAwsSqA6KrnqvGNHg4a")</f>
        <v>1fxsI6JhzjkJk_hAwsSqA6KrnqvGNHg4a</v>
      </c>
      <c r="G79" s="53" t="e">
        <f t="shared" ca="1" si="0"/>
        <v>#NAME?</v>
      </c>
    </row>
    <row r="80" spans="1:7">
      <c r="A80" s="42" t="s">
        <v>2660</v>
      </c>
      <c r="B80" s="49" t="s">
        <v>2661</v>
      </c>
      <c r="C80" s="50" t="s">
        <v>2662</v>
      </c>
      <c r="D80" s="46" t="str">
        <f ca="1">IFERROR(__xludf.DUMMYFUNCTION("REGEXEXTRACT(C80, ""\d+"")"),"170001966777")</f>
        <v>170001966777</v>
      </c>
      <c r="E80" s="44" t="s">
        <v>2428</v>
      </c>
      <c r="F80" s="46" t="str">
        <f ca="1">IFERROR(__xludf.DUMMYFUNCTION("REGEXEXTRACT(B80, ""id=([a-zA-Z0-9-_]+)&amp;usp"")"),"1gFKuS-gsb3ZDKx-gqIBgHItgFQEHhgzu")</f>
        <v>1gFKuS-gsb3ZDKx-gqIBgHItgFQEHhgzu</v>
      </c>
      <c r="G80" s="53" t="e">
        <f t="shared" ca="1" si="0"/>
        <v>#NAME?</v>
      </c>
    </row>
    <row r="81" spans="1:7">
      <c r="A81" s="42" t="s">
        <v>2663</v>
      </c>
      <c r="B81" s="49" t="s">
        <v>2664</v>
      </c>
      <c r="C81" s="50" t="s">
        <v>2665</v>
      </c>
      <c r="D81" s="46" t="str">
        <f ca="1">IFERROR(__xludf.DUMMYFUNCTION("REGEXEXTRACT(C81, ""\d+"")"),"170001952117")</f>
        <v>170001952117</v>
      </c>
      <c r="E81" s="44" t="s">
        <v>2428</v>
      </c>
      <c r="F81" s="46" t="str">
        <f ca="1">IFERROR(__xludf.DUMMYFUNCTION("REGEXEXTRACT(B81, ""id=([a-zA-Z0-9-_]+)&amp;usp"")"),"1gFQvxWWrcMLZjb4hCr2wZN7ky75ujRht")</f>
        <v>1gFQvxWWrcMLZjb4hCr2wZN7ky75ujRht</v>
      </c>
      <c r="G81" s="53" t="e">
        <f t="shared" ca="1" si="0"/>
        <v>#NAME?</v>
      </c>
    </row>
    <row r="82" spans="1:7">
      <c r="A82" s="42" t="s">
        <v>2666</v>
      </c>
      <c r="B82" s="49" t="s">
        <v>2667</v>
      </c>
      <c r="C82" s="50" t="s">
        <v>2668</v>
      </c>
      <c r="D82" s="46" t="str">
        <f ca="1">IFERROR(__xludf.DUMMYFUNCTION("REGEXEXTRACT(C82, ""\d+"")"),"170001914508")</f>
        <v>170001914508</v>
      </c>
      <c r="E82" s="44" t="s">
        <v>2428</v>
      </c>
      <c r="F82" s="46" t="str">
        <f ca="1">IFERROR(__xludf.DUMMYFUNCTION("REGEXEXTRACT(B82, ""id=([a-zA-Z0-9-_]+)&amp;usp"")"),"1gPITRWZjYjtwxs88CLPTKgC-P13zDuuR")</f>
        <v>1gPITRWZjYjtwxs88CLPTKgC-P13zDuuR</v>
      </c>
      <c r="G82" s="53" t="e">
        <f t="shared" ca="1" si="0"/>
        <v>#NAME?</v>
      </c>
    </row>
    <row r="83" spans="1:7">
      <c r="A83" s="42" t="s">
        <v>2669</v>
      </c>
      <c r="B83" s="49" t="s">
        <v>2670</v>
      </c>
      <c r="C83" s="50" t="s">
        <v>2671</v>
      </c>
      <c r="D83" s="46" t="str">
        <f ca="1">IFERROR(__xludf.DUMMYFUNCTION("REGEXEXTRACT(C83, ""\d+"")"),"170001938923")</f>
        <v>170001938923</v>
      </c>
      <c r="E83" s="44" t="s">
        <v>2428</v>
      </c>
      <c r="F83" s="46" t="str">
        <f ca="1">IFERROR(__xludf.DUMMYFUNCTION("REGEXEXTRACT(B83, ""id=([a-zA-Z0-9-_]+)&amp;usp"")"),"1i9ahSYUWLmVGs34jk9P1HmDyuwJUniXe")</f>
        <v>1i9ahSYUWLmVGs34jk9P1HmDyuwJUniXe</v>
      </c>
      <c r="G83" s="53" t="e">
        <f t="shared" ca="1" si="0"/>
        <v>#NAME?</v>
      </c>
    </row>
    <row r="84" spans="1:7">
      <c r="A84" s="42" t="s">
        <v>2672</v>
      </c>
      <c r="B84" s="49" t="s">
        <v>2673</v>
      </c>
      <c r="C84" s="50" t="s">
        <v>2674</v>
      </c>
      <c r="D84" s="46" t="str">
        <f ca="1">IFERROR(__xludf.DUMMYFUNCTION("REGEXEXTRACT(C84, ""\d+"")"),"170001950325")</f>
        <v>170001950325</v>
      </c>
      <c r="E84" s="44" t="s">
        <v>2428</v>
      </c>
      <c r="F84" s="46" t="str">
        <f ca="1">IFERROR(__xludf.DUMMYFUNCTION("REGEXEXTRACT(B84, ""id=([a-zA-Z0-9-_]+)&amp;usp"")"),"1jD2WS-Bv77ZK76wXbV_a3O4SRux2dcHT")</f>
        <v>1jD2WS-Bv77ZK76wXbV_a3O4SRux2dcHT</v>
      </c>
      <c r="G84" s="53" t="e">
        <f t="shared" ca="1" si="0"/>
        <v>#NAME?</v>
      </c>
    </row>
    <row r="85" spans="1:7">
      <c r="A85" s="42" t="s">
        <v>2675</v>
      </c>
      <c r="B85" s="49" t="s">
        <v>2676</v>
      </c>
      <c r="C85" s="50" t="s">
        <v>2677</v>
      </c>
      <c r="D85" s="46" t="str">
        <f ca="1">IFERROR(__xludf.DUMMYFUNCTION("REGEXEXTRACT(C85, ""\d+"")"),"170001968178")</f>
        <v>170001968178</v>
      </c>
      <c r="E85" s="44" t="s">
        <v>2428</v>
      </c>
      <c r="F85" s="46" t="str">
        <f ca="1">IFERROR(__xludf.DUMMYFUNCTION("REGEXEXTRACT(B85, ""id=([a-zA-Z0-9-_]+)&amp;usp"")"),"1jIfvFB4EB4VCMS3xbIKAsR6x5QbtDg5J")</f>
        <v>1jIfvFB4EB4VCMS3xbIKAsR6x5QbtDg5J</v>
      </c>
      <c r="G85" s="53" t="e">
        <f t="shared" ca="1" si="0"/>
        <v>#NAME?</v>
      </c>
    </row>
    <row r="86" spans="1:7">
      <c r="A86" s="42" t="s">
        <v>2678</v>
      </c>
      <c r="B86" s="49" t="s">
        <v>2679</v>
      </c>
      <c r="C86" s="50" t="s">
        <v>2680</v>
      </c>
      <c r="D86" s="46" t="str">
        <f ca="1">IFERROR(__xludf.DUMMYFUNCTION("REGEXEXTRACT(C86, ""\d+"")"),"170001917497")</f>
        <v>170001917497</v>
      </c>
      <c r="E86" s="44" t="s">
        <v>2428</v>
      </c>
      <c r="F86" s="46" t="str">
        <f ca="1">IFERROR(__xludf.DUMMYFUNCTION("REGEXEXTRACT(B86, ""id=([a-zA-Z0-9-_]+)&amp;usp"")"),"1jLrARiF9X49KqJQPDH-sdcyf7VtMm0DU")</f>
        <v>1jLrARiF9X49KqJQPDH-sdcyf7VtMm0DU</v>
      </c>
      <c r="G86" s="53" t="e">
        <f t="shared" ca="1" si="0"/>
        <v>#NAME?</v>
      </c>
    </row>
    <row r="87" spans="1:7">
      <c r="A87" s="42" t="s">
        <v>2681</v>
      </c>
      <c r="B87" s="49" t="s">
        <v>2682</v>
      </c>
      <c r="C87" s="50" t="s">
        <v>2683</v>
      </c>
      <c r="D87" s="46" t="str">
        <f ca="1">IFERROR(__xludf.DUMMYFUNCTION("REGEXEXTRACT(C87, ""\d+"")"),"170001914660")</f>
        <v>170001914660</v>
      </c>
      <c r="E87" s="44" t="s">
        <v>2428</v>
      </c>
      <c r="F87" s="46" t="str">
        <f ca="1">IFERROR(__xludf.DUMMYFUNCTION("REGEXEXTRACT(B87, ""id=([a-zA-Z0-9-_]+)&amp;usp"")"),"1jwFOJLhbrNz0cbT00ZAbGoxVwN-OREjz")</f>
        <v>1jwFOJLhbrNz0cbT00ZAbGoxVwN-OREjz</v>
      </c>
      <c r="G87" s="53" t="e">
        <f t="shared" ca="1" si="0"/>
        <v>#NAME?</v>
      </c>
    </row>
    <row r="88" spans="1:7">
      <c r="A88" s="42" t="s">
        <v>2684</v>
      </c>
      <c r="B88" s="49" t="s">
        <v>2685</v>
      </c>
      <c r="C88" s="50" t="s">
        <v>2686</v>
      </c>
      <c r="D88" s="46" t="str">
        <f ca="1">IFERROR(__xludf.DUMMYFUNCTION("REGEXEXTRACT(C88, ""\d+"")"),"170001935054")</f>
        <v>170001935054</v>
      </c>
      <c r="E88" s="44" t="s">
        <v>2428</v>
      </c>
      <c r="F88" s="46" t="str">
        <f ca="1">IFERROR(__xludf.DUMMYFUNCTION("REGEXEXTRACT(B88, ""id=([a-zA-Z0-9-_]+)&amp;usp"")"),"1k0v0gZV2POnFxGyydPNS4AqNKLeOHViM")</f>
        <v>1k0v0gZV2POnFxGyydPNS4AqNKLeOHViM</v>
      </c>
      <c r="G88" s="53" t="e">
        <f t="shared" ca="1" si="0"/>
        <v>#NAME?</v>
      </c>
    </row>
    <row r="89" spans="1:7">
      <c r="A89" s="42" t="s">
        <v>2687</v>
      </c>
      <c r="B89" s="49" t="s">
        <v>2688</v>
      </c>
      <c r="C89" s="50" t="s">
        <v>2689</v>
      </c>
      <c r="D89" s="46" t="str">
        <f ca="1">IFERROR(__xludf.DUMMYFUNCTION("REGEXEXTRACT(C89, ""\d+"")"),"170001962171")</f>
        <v>170001962171</v>
      </c>
      <c r="E89" s="44" t="s">
        <v>2428</v>
      </c>
      <c r="F89" s="46" t="str">
        <f ca="1">IFERROR(__xludf.DUMMYFUNCTION("REGEXEXTRACT(B89, ""id=([a-zA-Z0-9-_]+)&amp;usp"")"),"1ka4lPQLBfBLsbgLj0VOnhua20a0zVaSi")</f>
        <v>1ka4lPQLBfBLsbgLj0VOnhua20a0zVaSi</v>
      </c>
      <c r="G89" s="53" t="e">
        <f t="shared" ca="1" si="0"/>
        <v>#NAME?</v>
      </c>
    </row>
    <row r="90" spans="1:7">
      <c r="A90" s="42" t="s">
        <v>2690</v>
      </c>
      <c r="B90" s="49" t="s">
        <v>2691</v>
      </c>
      <c r="C90" s="50" t="s">
        <v>2692</v>
      </c>
      <c r="D90" s="46" t="str">
        <f ca="1">IFERROR(__xludf.DUMMYFUNCTION("REGEXEXTRACT(C90, ""\d+"")"),"170001973565")</f>
        <v>170001973565</v>
      </c>
      <c r="E90" s="44" t="s">
        <v>2428</v>
      </c>
      <c r="F90" s="46" t="str">
        <f ca="1">IFERROR(__xludf.DUMMYFUNCTION("REGEXEXTRACT(B90, ""id=([a-zA-Z0-9-_]+)&amp;usp"")"),"1m4L3KfeEEmyiEDjV3tbIy54r_Ji1fYBt")</f>
        <v>1m4L3KfeEEmyiEDjV3tbIy54r_Ji1fYBt</v>
      </c>
      <c r="G90" s="53" t="e">
        <f t="shared" ca="1" si="0"/>
        <v>#NAME?</v>
      </c>
    </row>
    <row r="91" spans="1:7">
      <c r="A91" s="42" t="s">
        <v>2693</v>
      </c>
      <c r="B91" s="49" t="s">
        <v>2694</v>
      </c>
      <c r="C91" s="50" t="s">
        <v>2695</v>
      </c>
      <c r="D91" s="46" t="str">
        <f ca="1">IFERROR(__xludf.DUMMYFUNCTION("REGEXEXTRACT(C91, ""\d+"")"),"170001966638")</f>
        <v>170001966638</v>
      </c>
      <c r="E91" s="44" t="s">
        <v>2428</v>
      </c>
      <c r="F91" s="46" t="str">
        <f ca="1">IFERROR(__xludf.DUMMYFUNCTION("REGEXEXTRACT(B91, ""id=([a-zA-Z0-9-_]+)&amp;usp"")"),"1mxI7USGVvCEX6I4_SqwbuQZctPgy9tyh")</f>
        <v>1mxI7USGVvCEX6I4_SqwbuQZctPgy9tyh</v>
      </c>
      <c r="G91" s="53" t="e">
        <f t="shared" ca="1" si="0"/>
        <v>#NAME?</v>
      </c>
    </row>
    <row r="92" spans="1:7">
      <c r="A92" s="42" t="s">
        <v>2696</v>
      </c>
      <c r="B92" s="49" t="s">
        <v>2697</v>
      </c>
      <c r="C92" s="50" t="s">
        <v>2698</v>
      </c>
      <c r="D92" s="46" t="str">
        <f ca="1">IFERROR(__xludf.DUMMYFUNCTION("REGEXEXTRACT(C92, ""\d+"")"),"170001966718")</f>
        <v>170001966718</v>
      </c>
      <c r="E92" s="44" t="s">
        <v>2428</v>
      </c>
      <c r="F92" s="46" t="str">
        <f ca="1">IFERROR(__xludf.DUMMYFUNCTION("REGEXEXTRACT(B92, ""id=([a-zA-Z0-9-_]+)&amp;usp"")"),"1oZQZgTw9ou4kpg6MVZA8fwr5d69hsg8z")</f>
        <v>1oZQZgTw9ou4kpg6MVZA8fwr5d69hsg8z</v>
      </c>
      <c r="G92" s="53" t="e">
        <f t="shared" ca="1" si="0"/>
        <v>#NAME?</v>
      </c>
    </row>
    <row r="93" spans="1:7">
      <c r="A93" s="42" t="s">
        <v>2699</v>
      </c>
      <c r="B93" s="49" t="s">
        <v>2700</v>
      </c>
      <c r="C93" s="50" t="s">
        <v>2701</v>
      </c>
      <c r="D93" s="46" t="str">
        <f ca="1">IFERROR(__xludf.DUMMYFUNCTION("REGEXEXTRACT(C93, ""\d+"")"),"170001944672")</f>
        <v>170001944672</v>
      </c>
      <c r="E93" s="44" t="s">
        <v>2428</v>
      </c>
      <c r="F93" s="46" t="str">
        <f ca="1">IFERROR(__xludf.DUMMYFUNCTION("REGEXEXTRACT(B93, ""id=([a-zA-Z0-9-_]+)&amp;usp"")"),"1o_jdMZJBzQ9yaSRJfwc3lnc0KQM4n6CB")</f>
        <v>1o_jdMZJBzQ9yaSRJfwc3lnc0KQM4n6CB</v>
      </c>
      <c r="G93" s="53" t="e">
        <f t="shared" ca="1" si="0"/>
        <v>#NAME?</v>
      </c>
    </row>
    <row r="94" spans="1:7">
      <c r="A94" s="42" t="s">
        <v>2702</v>
      </c>
      <c r="B94" s="49" t="s">
        <v>2703</v>
      </c>
      <c r="C94" s="50" t="s">
        <v>2704</v>
      </c>
      <c r="D94" s="46" t="str">
        <f ca="1">IFERROR(__xludf.DUMMYFUNCTION("REGEXEXTRACT(C94, ""\d+"")"),"170001926093")</f>
        <v>170001926093</v>
      </c>
      <c r="E94" s="44" t="s">
        <v>2428</v>
      </c>
      <c r="F94" s="46" t="str">
        <f ca="1">IFERROR(__xludf.DUMMYFUNCTION("REGEXEXTRACT(B94, ""id=([a-zA-Z0-9-_]+)&amp;usp"")"),"1pkgifQujE_VLL0DaBVhGr3j54Fr8fbea")</f>
        <v>1pkgifQujE_VLL0DaBVhGr3j54Fr8fbea</v>
      </c>
      <c r="G94" s="53" t="e">
        <f t="shared" ca="1" si="0"/>
        <v>#NAME?</v>
      </c>
    </row>
    <row r="95" spans="1:7">
      <c r="A95" s="42" t="s">
        <v>2705</v>
      </c>
      <c r="B95" s="49" t="s">
        <v>2706</v>
      </c>
      <c r="C95" s="50" t="s">
        <v>2707</v>
      </c>
      <c r="D95" s="46" t="str">
        <f ca="1">IFERROR(__xludf.DUMMYFUNCTION("REGEXEXTRACT(C95, ""\d+"")"),"170001935803")</f>
        <v>170001935803</v>
      </c>
      <c r="E95" s="44" t="s">
        <v>2428</v>
      </c>
      <c r="F95" s="46" t="str">
        <f ca="1">IFERROR(__xludf.DUMMYFUNCTION("REGEXEXTRACT(B95, ""id=([a-zA-Z0-9-_]+)&amp;usp"")"),"1s28KZyqsRkfQ-Dq7pm3-CzZywKyCPPGC")</f>
        <v>1s28KZyqsRkfQ-Dq7pm3-CzZywKyCPPGC</v>
      </c>
      <c r="G95" s="53" t="e">
        <f t="shared" ca="1" si="0"/>
        <v>#NAME?</v>
      </c>
    </row>
    <row r="96" spans="1:7">
      <c r="A96" s="42" t="s">
        <v>2708</v>
      </c>
      <c r="B96" s="49" t="s">
        <v>2709</v>
      </c>
      <c r="C96" s="50" t="s">
        <v>2710</v>
      </c>
      <c r="D96" s="46" t="str">
        <f ca="1">IFERROR(__xludf.DUMMYFUNCTION("REGEXEXTRACT(C96, ""\d+"")"),"170001917212")</f>
        <v>170001917212</v>
      </c>
      <c r="E96" s="44" t="s">
        <v>2428</v>
      </c>
      <c r="F96" s="46" t="str">
        <f ca="1">IFERROR(__xludf.DUMMYFUNCTION("REGEXEXTRACT(B96, ""id=([a-zA-Z0-9-_]+)&amp;usp"")"),"1soB4Je467d8WNavP4YkTcAcJWDeAifBt")</f>
        <v>1soB4Je467d8WNavP4YkTcAcJWDeAifBt</v>
      </c>
      <c r="G96" s="53" t="e">
        <f t="shared" ca="1" si="0"/>
        <v>#NAME?</v>
      </c>
    </row>
    <row r="97" spans="1:7">
      <c r="A97" s="42" t="s">
        <v>2711</v>
      </c>
      <c r="B97" s="49" t="s">
        <v>2712</v>
      </c>
      <c r="C97" s="50" t="s">
        <v>2713</v>
      </c>
      <c r="D97" s="46" t="str">
        <f ca="1">IFERROR(__xludf.DUMMYFUNCTION("REGEXEXTRACT(C97, ""\d+"")"),"170001971420")</f>
        <v>170001971420</v>
      </c>
      <c r="E97" s="44" t="s">
        <v>2428</v>
      </c>
      <c r="F97" s="46" t="str">
        <f ca="1">IFERROR(__xludf.DUMMYFUNCTION("REGEXEXTRACT(B97, ""id=([a-zA-Z0-9-_]+)&amp;usp"")"),"1teuKbpYF2knWu-CVWpN5G7SD1grswRmz")</f>
        <v>1teuKbpYF2knWu-CVWpN5G7SD1grswRmz</v>
      </c>
      <c r="G97" s="53" t="e">
        <f t="shared" ca="1" si="0"/>
        <v>#NAME?</v>
      </c>
    </row>
    <row r="98" spans="1:7">
      <c r="A98" s="42" t="s">
        <v>2714</v>
      </c>
      <c r="B98" s="49" t="s">
        <v>2715</v>
      </c>
      <c r="C98" s="50" t="s">
        <v>2716</v>
      </c>
      <c r="D98" s="46" t="str">
        <f ca="1">IFERROR(__xludf.DUMMYFUNCTION("REGEXEXTRACT(C98, ""\d+"")"),"170001963700")</f>
        <v>170001963700</v>
      </c>
      <c r="E98" s="44" t="s">
        <v>2428</v>
      </c>
      <c r="F98" s="46" t="str">
        <f ca="1">IFERROR(__xludf.DUMMYFUNCTION("REGEXEXTRACT(B98, ""id=([a-zA-Z0-9-_]+)&amp;usp"")"),"1vPAdqSRVqi-g8cAwp7K_djtUwth2nzwX")</f>
        <v>1vPAdqSRVqi-g8cAwp7K_djtUwth2nzwX</v>
      </c>
      <c r="G98" s="53" t="e">
        <f t="shared" ca="1" si="0"/>
        <v>#NAME?</v>
      </c>
    </row>
    <row r="99" spans="1:7">
      <c r="A99" s="42" t="s">
        <v>2717</v>
      </c>
      <c r="B99" s="49" t="s">
        <v>2718</v>
      </c>
      <c r="C99" s="50" t="s">
        <v>2719</v>
      </c>
      <c r="D99" s="46" t="str">
        <f ca="1">IFERROR(__xludf.DUMMYFUNCTION("REGEXEXTRACT(C99, ""\d+"")"),"170001926545")</f>
        <v>170001926545</v>
      </c>
      <c r="E99" s="44" t="s">
        <v>2428</v>
      </c>
      <c r="F99" s="46" t="str">
        <f ca="1">IFERROR(__xludf.DUMMYFUNCTION("REGEXEXTRACT(B99, ""id=([a-zA-Z0-9-_]+)&amp;usp"")"),"1vt8guyP4YKkM5N1KR1vxGa0z_Uhb1pxK")</f>
        <v>1vt8guyP4YKkM5N1KR1vxGa0z_Uhb1pxK</v>
      </c>
      <c r="G99" s="53" t="e">
        <f t="shared" ca="1" si="0"/>
        <v>#NAME?</v>
      </c>
    </row>
    <row r="100" spans="1:7">
      <c r="A100" s="42" t="s">
        <v>2720</v>
      </c>
      <c r="B100" s="49" t="s">
        <v>2721</v>
      </c>
      <c r="C100" s="50" t="s">
        <v>2722</v>
      </c>
      <c r="D100" s="46" t="str">
        <f ca="1">IFERROR(__xludf.DUMMYFUNCTION("REGEXEXTRACT(C100, ""\d+"")"),"170001972777")</f>
        <v>170001972777</v>
      </c>
      <c r="E100" s="44" t="s">
        <v>2428</v>
      </c>
      <c r="F100" s="46" t="str">
        <f ca="1">IFERROR(__xludf.DUMMYFUNCTION("REGEXEXTRACT(B100, ""id=([a-zA-Z0-9-_]+)&amp;usp"")"),"1xHNwfrYUZ6nm53Aki_IzwYHCw_hA-S3R")</f>
        <v>1xHNwfrYUZ6nm53Aki_IzwYHCw_hA-S3R</v>
      </c>
      <c r="G100" s="53" t="e">
        <f t="shared" ca="1" si="0"/>
        <v>#NAME?</v>
      </c>
    </row>
    <row r="101" spans="1:7">
      <c r="A101" s="42" t="s">
        <v>2723</v>
      </c>
      <c r="B101" s="49" t="s">
        <v>2724</v>
      </c>
      <c r="C101" s="50" t="s">
        <v>2725</v>
      </c>
      <c r="D101" s="46" t="str">
        <f ca="1">IFERROR(__xludf.DUMMYFUNCTION("REGEXEXTRACT(C101, ""\d+"")"),"170001898654")</f>
        <v>170001898654</v>
      </c>
      <c r="E101" s="44" t="s">
        <v>2428</v>
      </c>
      <c r="F101" s="46" t="str">
        <f ca="1">IFERROR(__xludf.DUMMYFUNCTION("REGEXEXTRACT(B101, ""id=([a-zA-Z0-9-_]+)&amp;usp"")"),"1xMjh-L9X7qlramteYmZclKoi71lw-rqu")</f>
        <v>1xMjh-L9X7qlramteYmZclKoi71lw-rqu</v>
      </c>
      <c r="G101" s="53" t="e">
        <f t="shared" ca="1" si="0"/>
        <v>#NAME?</v>
      </c>
    </row>
    <row r="102" spans="1:7">
      <c r="A102" s="42" t="s">
        <v>2726</v>
      </c>
      <c r="B102" s="49" t="s">
        <v>2727</v>
      </c>
      <c r="C102" s="50" t="s">
        <v>2728</v>
      </c>
      <c r="D102" s="46" t="str">
        <f ca="1">IFERROR(__xludf.DUMMYFUNCTION("REGEXEXTRACT(C102, ""\d+"")"),"170001919561")</f>
        <v>170001919561</v>
      </c>
      <c r="E102" s="44" t="s">
        <v>2428</v>
      </c>
      <c r="F102" s="46" t="str">
        <f ca="1">IFERROR(__xludf.DUMMYFUNCTION("REGEXEXTRACT(B102, ""id=([a-zA-Z0-9-_]+)&amp;usp"")"),"1yTMJOYC58-xDeKjiNcTOKKnOoB1O062x")</f>
        <v>1yTMJOYC58-xDeKjiNcTOKKnOoB1O062x</v>
      </c>
      <c r="G102" s="53" t="e">
        <f t="shared" ca="1" si="0"/>
        <v>#NAME?</v>
      </c>
    </row>
    <row r="103" spans="1:7">
      <c r="A103" s="42" t="s">
        <v>2729</v>
      </c>
      <c r="B103" s="49" t="s">
        <v>2730</v>
      </c>
      <c r="C103" s="50" t="s">
        <v>2731</v>
      </c>
      <c r="D103" s="46" t="str">
        <f ca="1">IFERROR(__xludf.DUMMYFUNCTION("REGEXEXTRACT(C103, ""\d+"")"),"170002025050")</f>
        <v>170002025050</v>
      </c>
      <c r="E103" s="44" t="s">
        <v>2428</v>
      </c>
      <c r="F103" s="46" t="str">
        <f ca="1">IFERROR(__xludf.DUMMYFUNCTION("REGEXEXTRACT(B103, ""id=([a-zA-Z0-9-_]+)&amp;usp"")"),"1-JWx_8YERUxKrSNU1EFHbrhMfOaFhmjU")</f>
        <v>1-JWx_8YERUxKrSNU1EFHbrhMfOaFhmjU</v>
      </c>
      <c r="G103" s="53" t="e">
        <f t="shared" ca="1" si="0"/>
        <v>#NAME?</v>
      </c>
    </row>
    <row r="104" spans="1:7">
      <c r="A104" s="42" t="s">
        <v>2732</v>
      </c>
      <c r="B104" s="49" t="s">
        <v>2733</v>
      </c>
      <c r="C104" s="50" t="s">
        <v>2734</v>
      </c>
      <c r="D104" s="46" t="str">
        <f ca="1">IFERROR(__xludf.DUMMYFUNCTION("REGEXEXTRACT(C104, ""\d+"")"),"170002024403")</f>
        <v>170002024403</v>
      </c>
      <c r="E104" s="44" t="s">
        <v>2428</v>
      </c>
      <c r="F104" s="46" t="str">
        <f ca="1">IFERROR(__xludf.DUMMYFUNCTION("REGEXEXTRACT(B104, ""id=([a-zA-Z0-9-_]+)&amp;usp"")"),"10-R6VLuUVNBrooRPeY29O-M_1_-XP0lT")</f>
        <v>10-R6VLuUVNBrooRPeY29O-M_1_-XP0lT</v>
      </c>
      <c r="G104" s="53" t="e">
        <f t="shared" ca="1" si="0"/>
        <v>#NAME?</v>
      </c>
    </row>
    <row r="105" spans="1:7">
      <c r="A105" s="42" t="s">
        <v>2735</v>
      </c>
      <c r="B105" s="49" t="s">
        <v>2736</v>
      </c>
      <c r="C105" s="50" t="s">
        <v>2737</v>
      </c>
      <c r="D105" s="46" t="str">
        <f ca="1">IFERROR(__xludf.DUMMYFUNCTION("REGEXEXTRACT(C105, ""\d+"")"),"170001993154")</f>
        <v>170001993154</v>
      </c>
      <c r="E105" s="44" t="s">
        <v>2428</v>
      </c>
      <c r="F105" s="46" t="str">
        <f ca="1">IFERROR(__xludf.DUMMYFUNCTION("REGEXEXTRACT(B105, ""id=([a-zA-Z0-9-_]+)&amp;usp"")"),"100T8Lz-IQJdlAyXq9RHdAtVjQNy3XvJc")</f>
        <v>100T8Lz-IQJdlAyXq9RHdAtVjQNy3XvJc</v>
      </c>
      <c r="G105" s="53" t="e">
        <f t="shared" ca="1" si="0"/>
        <v>#NAME?</v>
      </c>
    </row>
    <row r="106" spans="1:7">
      <c r="A106" s="42" t="s">
        <v>2738</v>
      </c>
      <c r="B106" s="49" t="s">
        <v>2739</v>
      </c>
      <c r="C106" s="50" t="s">
        <v>2740</v>
      </c>
      <c r="D106" s="46" t="str">
        <f ca="1">IFERROR(__xludf.DUMMYFUNCTION("REGEXEXTRACT(C106, ""\d+"")"),"170002050326")</f>
        <v>170002050326</v>
      </c>
      <c r="E106" s="44" t="s">
        <v>2428</v>
      </c>
      <c r="F106" s="46" t="str">
        <f ca="1">IFERROR(__xludf.DUMMYFUNCTION("REGEXEXTRACT(B106, ""id=([a-zA-Z0-9-_]+)&amp;usp"")"),"10INM-sHS2D_w_MKXXTFGvrmDxIktndSY")</f>
        <v>10INM-sHS2D_w_MKXXTFGvrmDxIktndSY</v>
      </c>
      <c r="G106" s="53" t="e">
        <f t="shared" ca="1" si="0"/>
        <v>#NAME?</v>
      </c>
    </row>
    <row r="107" spans="1:7">
      <c r="A107" s="42" t="s">
        <v>2741</v>
      </c>
      <c r="B107" s="49" t="s">
        <v>2742</v>
      </c>
      <c r="C107" s="50" t="s">
        <v>2743</v>
      </c>
      <c r="D107" s="46" t="str">
        <f ca="1">IFERROR(__xludf.DUMMYFUNCTION("REGEXEXTRACT(C107, ""\d+"")"),"170001991266")</f>
        <v>170001991266</v>
      </c>
      <c r="E107" s="44" t="s">
        <v>2428</v>
      </c>
      <c r="F107" s="46" t="str">
        <f ca="1">IFERROR(__xludf.DUMMYFUNCTION("REGEXEXTRACT(B107, ""id=([a-zA-Z0-9-_]+)&amp;usp"")"),"10tFBnqP5O15HyQD6HT-31i6NwXyzKUi7")</f>
        <v>10tFBnqP5O15HyQD6HT-31i6NwXyzKUi7</v>
      </c>
      <c r="G107" s="53" t="e">
        <f t="shared" ca="1" si="0"/>
        <v>#NAME?</v>
      </c>
    </row>
    <row r="108" spans="1:7">
      <c r="A108" s="42" t="s">
        <v>2744</v>
      </c>
      <c r="B108" s="49" t="s">
        <v>2745</v>
      </c>
      <c r="C108" s="50" t="s">
        <v>2746</v>
      </c>
      <c r="D108" s="46" t="str">
        <f ca="1">IFERROR(__xludf.DUMMYFUNCTION("REGEXEXTRACT(C108, ""\d+"")"),"170001991395")</f>
        <v>170001991395</v>
      </c>
      <c r="E108" s="44" t="s">
        <v>2428</v>
      </c>
      <c r="F108" s="46" t="str">
        <f ca="1">IFERROR(__xludf.DUMMYFUNCTION("REGEXEXTRACT(B108, ""id=([a-zA-Z0-9-_]+)&amp;usp"")"),"118kfDiRu05FuiQhet1oHnCm9DMTZGTHc")</f>
        <v>118kfDiRu05FuiQhet1oHnCm9DMTZGTHc</v>
      </c>
      <c r="G108" s="53" t="e">
        <f t="shared" ca="1" si="0"/>
        <v>#NAME?</v>
      </c>
    </row>
    <row r="109" spans="1:7">
      <c r="A109" s="42" t="s">
        <v>2747</v>
      </c>
      <c r="B109" s="49" t="s">
        <v>2748</v>
      </c>
      <c r="C109" s="50" t="s">
        <v>2749</v>
      </c>
      <c r="D109" s="46" t="str">
        <f ca="1">IFERROR(__xludf.DUMMYFUNCTION("REGEXEXTRACT(C109, ""\d+"")"),"170002014473")</f>
        <v>170002014473</v>
      </c>
      <c r="E109" s="44" t="s">
        <v>2428</v>
      </c>
      <c r="F109" s="46" t="str">
        <f ca="1">IFERROR(__xludf.DUMMYFUNCTION("REGEXEXTRACT(B109, ""id=([a-zA-Z0-9-_]+)&amp;usp"")"),"11GmB93zVfCQzjqqL0OE3EmDn38uLM_zv")</f>
        <v>11GmB93zVfCQzjqqL0OE3EmDn38uLM_zv</v>
      </c>
      <c r="G109" s="53" t="e">
        <f t="shared" ca="1" si="0"/>
        <v>#NAME?</v>
      </c>
    </row>
    <row r="110" spans="1:7">
      <c r="A110" s="42" t="s">
        <v>2750</v>
      </c>
      <c r="B110" s="49" t="s">
        <v>2751</v>
      </c>
      <c r="C110" s="50" t="s">
        <v>2752</v>
      </c>
      <c r="D110" s="46" t="str">
        <f ca="1">IFERROR(__xludf.DUMMYFUNCTION("REGEXEXTRACT(C110, ""\d+"")"),"170002021592")</f>
        <v>170002021592</v>
      </c>
      <c r="E110" s="44" t="s">
        <v>2428</v>
      </c>
      <c r="F110" s="46" t="str">
        <f ca="1">IFERROR(__xludf.DUMMYFUNCTION("REGEXEXTRACT(B110, ""id=([a-zA-Z0-9-_]+)&amp;usp"")"),"11ZPPEtkEbYgDfynBKYuvsCwEcePYrdMO")</f>
        <v>11ZPPEtkEbYgDfynBKYuvsCwEcePYrdMO</v>
      </c>
      <c r="G110" s="53" t="e">
        <f t="shared" ca="1" si="0"/>
        <v>#NAME?</v>
      </c>
    </row>
    <row r="111" spans="1:7">
      <c r="A111" s="42" t="s">
        <v>2753</v>
      </c>
      <c r="B111" s="49" t="s">
        <v>2754</v>
      </c>
      <c r="C111" s="50" t="s">
        <v>2755</v>
      </c>
      <c r="D111" s="46" t="str">
        <f ca="1">IFERROR(__xludf.DUMMYFUNCTION("REGEXEXTRACT(C111, ""\d+"")"),"170002025286")</f>
        <v>170002025286</v>
      </c>
      <c r="E111" s="44" t="s">
        <v>2428</v>
      </c>
      <c r="F111" s="46" t="str">
        <f ca="1">IFERROR(__xludf.DUMMYFUNCTION("REGEXEXTRACT(B111, ""id=([a-zA-Z0-9-_]+)&amp;usp"")"),"131XRefa5kYjFkyszs66ciP7_bYOMu6gj")</f>
        <v>131XRefa5kYjFkyszs66ciP7_bYOMu6gj</v>
      </c>
      <c r="G111" s="53" t="e">
        <f t="shared" ca="1" si="0"/>
        <v>#NAME?</v>
      </c>
    </row>
    <row r="112" spans="1:7">
      <c r="A112" s="42" t="s">
        <v>2756</v>
      </c>
      <c r="B112" s="49" t="s">
        <v>2757</v>
      </c>
      <c r="C112" s="50" t="s">
        <v>2758</v>
      </c>
      <c r="D112" s="46" t="str">
        <f ca="1">IFERROR(__xludf.DUMMYFUNCTION("REGEXEXTRACT(C112, ""\d+"")"),"170002019861")</f>
        <v>170002019861</v>
      </c>
      <c r="E112" s="44" t="s">
        <v>2428</v>
      </c>
      <c r="F112" s="46" t="str">
        <f ca="1">IFERROR(__xludf.DUMMYFUNCTION("REGEXEXTRACT(B112, ""id=([a-zA-Z0-9-_]+)&amp;usp"")"),"13LaKkRyM75uhpz8pdnG1cdEti1QimxCo")</f>
        <v>13LaKkRyM75uhpz8pdnG1cdEti1QimxCo</v>
      </c>
      <c r="G112" s="53" t="e">
        <f t="shared" ca="1" si="0"/>
        <v>#NAME?</v>
      </c>
    </row>
    <row r="113" spans="1:7">
      <c r="A113" s="42" t="s">
        <v>2759</v>
      </c>
      <c r="B113" s="49" t="s">
        <v>2760</v>
      </c>
      <c r="C113" s="50" t="s">
        <v>2761</v>
      </c>
      <c r="D113" s="46" t="str">
        <f ca="1">IFERROR(__xludf.DUMMYFUNCTION("REGEXEXTRACT(C113, ""\d+"")"),"170002047824")</f>
        <v>170002047824</v>
      </c>
      <c r="E113" s="44" t="s">
        <v>2428</v>
      </c>
      <c r="F113" s="46" t="str">
        <f ca="1">IFERROR(__xludf.DUMMYFUNCTION("REGEXEXTRACT(B113, ""id=([a-zA-Z0-9-_]+)&amp;usp"")"),"13QWiuJ6Hak-aic4K4rIfvFyLQAI6s8dN")</f>
        <v>13QWiuJ6Hak-aic4K4rIfvFyLQAI6s8dN</v>
      </c>
      <c r="G113" s="53" t="e">
        <f t="shared" ca="1" si="0"/>
        <v>#NAME?</v>
      </c>
    </row>
    <row r="114" spans="1:7">
      <c r="A114" s="42" t="s">
        <v>2762</v>
      </c>
      <c r="B114" s="49" t="s">
        <v>2763</v>
      </c>
      <c r="C114" s="50" t="s">
        <v>2764</v>
      </c>
      <c r="D114" s="46" t="str">
        <f ca="1">IFERROR(__xludf.DUMMYFUNCTION("REGEXEXTRACT(C114, ""\d+"")"),"170002053893")</f>
        <v>170002053893</v>
      </c>
      <c r="E114" s="44" t="s">
        <v>2428</v>
      </c>
      <c r="F114" s="46" t="str">
        <f ca="1">IFERROR(__xludf.DUMMYFUNCTION("REGEXEXTRACT(B114, ""id=([a-zA-Z0-9-_]+)&amp;usp"")"),"13iqHT3Ky5h-3k7JOH6sykdrz5NPzb7zk")</f>
        <v>13iqHT3Ky5h-3k7JOH6sykdrz5NPzb7zk</v>
      </c>
      <c r="G114" s="53" t="e">
        <f t="shared" ca="1" si="0"/>
        <v>#NAME?</v>
      </c>
    </row>
    <row r="115" spans="1:7">
      <c r="A115" s="42" t="s">
        <v>2765</v>
      </c>
      <c r="B115" s="49" t="s">
        <v>2766</v>
      </c>
      <c r="C115" s="50" t="s">
        <v>2767</v>
      </c>
      <c r="D115" s="46" t="str">
        <f ca="1">IFERROR(__xludf.DUMMYFUNCTION("REGEXEXTRACT(C115, ""\d+"")"),"170002058900")</f>
        <v>170002058900</v>
      </c>
      <c r="E115" s="44" t="s">
        <v>2428</v>
      </c>
      <c r="F115" s="46" t="str">
        <f ca="1">IFERROR(__xludf.DUMMYFUNCTION("REGEXEXTRACT(B115, ""id=([a-zA-Z0-9-_]+)&amp;usp"")"),"14EGIrhuKg_U-79gcQWdWXZoLvDUftOgQ")</f>
        <v>14EGIrhuKg_U-79gcQWdWXZoLvDUftOgQ</v>
      </c>
      <c r="G115" s="53" t="e">
        <f t="shared" ca="1" si="0"/>
        <v>#NAME?</v>
      </c>
    </row>
    <row r="116" spans="1:7">
      <c r="A116" s="42" t="s">
        <v>2768</v>
      </c>
      <c r="B116" s="49" t="s">
        <v>2769</v>
      </c>
      <c r="C116" s="50" t="s">
        <v>2770</v>
      </c>
      <c r="D116" s="46" t="str">
        <f ca="1">IFERROR(__xludf.DUMMYFUNCTION("REGEXEXTRACT(C116, ""\d+"")"),"170002042780")</f>
        <v>170002042780</v>
      </c>
      <c r="E116" s="44" t="s">
        <v>2428</v>
      </c>
      <c r="F116" s="46" t="str">
        <f ca="1">IFERROR(__xludf.DUMMYFUNCTION("REGEXEXTRACT(B116, ""id=([a-zA-Z0-9-_]+)&amp;usp"")"),"14SoBj-dgzbZ_qiyXbUeAxrm5lMYRGfP_")</f>
        <v>14SoBj-dgzbZ_qiyXbUeAxrm5lMYRGfP_</v>
      </c>
      <c r="G116" s="53" t="e">
        <f t="shared" ca="1" si="0"/>
        <v>#NAME?</v>
      </c>
    </row>
    <row r="117" spans="1:7">
      <c r="A117" s="42" t="s">
        <v>2771</v>
      </c>
      <c r="B117" s="49" t="s">
        <v>2772</v>
      </c>
      <c r="C117" s="50" t="s">
        <v>2773</v>
      </c>
      <c r="D117" s="46" t="str">
        <f ca="1">IFERROR(__xludf.DUMMYFUNCTION("REGEXEXTRACT(C117, ""\d+"")"),"170002005863")</f>
        <v>170002005863</v>
      </c>
      <c r="E117" s="44" t="s">
        <v>2428</v>
      </c>
      <c r="F117" s="46" t="str">
        <f ca="1">IFERROR(__xludf.DUMMYFUNCTION("REGEXEXTRACT(B117, ""id=([a-zA-Z0-9-_]+)&amp;usp"")"),"151enPwY6JWkW1zXncFjUhf6HTeHAfOC3")</f>
        <v>151enPwY6JWkW1zXncFjUhf6HTeHAfOC3</v>
      </c>
      <c r="G117" s="53" t="e">
        <f t="shared" ca="1" si="0"/>
        <v>#NAME?</v>
      </c>
    </row>
    <row r="118" spans="1:7">
      <c r="A118" s="42" t="s">
        <v>2774</v>
      </c>
      <c r="B118" s="49" t="s">
        <v>2775</v>
      </c>
      <c r="C118" s="50" t="s">
        <v>2776</v>
      </c>
      <c r="D118" s="46" t="str">
        <f ca="1">IFERROR(__xludf.DUMMYFUNCTION("REGEXEXTRACT(C118, ""\d+"")"),"170002040772")</f>
        <v>170002040772</v>
      </c>
      <c r="E118" s="44" t="s">
        <v>2428</v>
      </c>
      <c r="F118" s="46" t="str">
        <f ca="1">IFERROR(__xludf.DUMMYFUNCTION("REGEXEXTRACT(B118, ""id=([a-zA-Z0-9-_]+)&amp;usp"")"),"16Onua8ZSfFR8CQkV58rvCNOGldKEsa1Y")</f>
        <v>16Onua8ZSfFR8CQkV58rvCNOGldKEsa1Y</v>
      </c>
      <c r="G118" s="53" t="e">
        <f t="shared" ca="1" si="0"/>
        <v>#NAME?</v>
      </c>
    </row>
    <row r="119" spans="1:7">
      <c r="A119" s="42" t="s">
        <v>2777</v>
      </c>
      <c r="B119" s="49" t="s">
        <v>2778</v>
      </c>
      <c r="C119" s="50" t="s">
        <v>2779</v>
      </c>
      <c r="D119" s="46" t="str">
        <f ca="1">IFERROR(__xludf.DUMMYFUNCTION("REGEXEXTRACT(C119, ""\d+"")"),"170002040294")</f>
        <v>170002040294</v>
      </c>
      <c r="E119" s="44" t="s">
        <v>2428</v>
      </c>
      <c r="F119" s="46" t="str">
        <f ca="1">IFERROR(__xludf.DUMMYFUNCTION("REGEXEXTRACT(B119, ""id=([a-zA-Z0-9-_]+)&amp;usp"")"),"17M3l57k3NU5GjbB60yLK7QyVoYxPbjs_")</f>
        <v>17M3l57k3NU5GjbB60yLK7QyVoYxPbjs_</v>
      </c>
      <c r="G119" s="53" t="e">
        <f t="shared" ca="1" si="0"/>
        <v>#NAME?</v>
      </c>
    </row>
    <row r="120" spans="1:7">
      <c r="A120" s="42" t="s">
        <v>2780</v>
      </c>
      <c r="B120" s="49" t="s">
        <v>2781</v>
      </c>
      <c r="C120" s="50" t="s">
        <v>2782</v>
      </c>
      <c r="D120" s="46" t="str">
        <f ca="1">IFERROR(__xludf.DUMMYFUNCTION("REGEXEXTRACT(C120, ""\d+"")"),"170002042879")</f>
        <v>170002042879</v>
      </c>
      <c r="E120" s="44" t="s">
        <v>2428</v>
      </c>
      <c r="F120" s="46" t="str">
        <f ca="1">IFERROR(__xludf.DUMMYFUNCTION("REGEXEXTRACT(B120, ""id=([a-zA-Z0-9-_]+)&amp;usp"")"),"17VJKjdUccQcZ-s22iusHS7E7L94LcRbX")</f>
        <v>17VJKjdUccQcZ-s22iusHS7E7L94LcRbX</v>
      </c>
      <c r="G120" s="53" t="e">
        <f t="shared" ca="1" si="0"/>
        <v>#NAME?</v>
      </c>
    </row>
    <row r="121" spans="1:7">
      <c r="A121" s="42" t="s">
        <v>2783</v>
      </c>
      <c r="B121" s="49" t="s">
        <v>2784</v>
      </c>
      <c r="C121" s="50" t="s">
        <v>2785</v>
      </c>
      <c r="D121" s="46" t="str">
        <f ca="1">IFERROR(__xludf.DUMMYFUNCTION("REGEXEXTRACT(C121, ""\d+"")"),"170002043917")</f>
        <v>170002043917</v>
      </c>
      <c r="E121" s="44" t="s">
        <v>2428</v>
      </c>
      <c r="F121" s="46" t="str">
        <f ca="1">IFERROR(__xludf.DUMMYFUNCTION("REGEXEXTRACT(B121, ""id=([a-zA-Z0-9-_]+)&amp;usp"")"),"18NR82UTfWsnplDjvCbG93f3uQfaxzXmZ")</f>
        <v>18NR82UTfWsnplDjvCbG93f3uQfaxzXmZ</v>
      </c>
      <c r="G121" s="53" t="e">
        <f t="shared" ca="1" si="0"/>
        <v>#NAME?</v>
      </c>
    </row>
    <row r="122" spans="1:7">
      <c r="A122" s="42" t="s">
        <v>2786</v>
      </c>
      <c r="B122" s="49" t="s">
        <v>2787</v>
      </c>
      <c r="C122" s="50" t="s">
        <v>2788</v>
      </c>
      <c r="D122" s="46" t="str">
        <f ca="1">IFERROR(__xludf.DUMMYFUNCTION("REGEXEXTRACT(C122, ""\d+"")"),"170002004102")</f>
        <v>170002004102</v>
      </c>
      <c r="E122" s="44" t="s">
        <v>2428</v>
      </c>
      <c r="F122" s="46" t="str">
        <f ca="1">IFERROR(__xludf.DUMMYFUNCTION("REGEXEXTRACT(B122, ""id=([a-zA-Z0-9-_]+)&amp;usp"")"),"19AD2dJaqdroptd58CMXA0yAnYLhsJ-LN")</f>
        <v>19AD2dJaqdroptd58CMXA0yAnYLhsJ-LN</v>
      </c>
      <c r="G122" s="53" t="e">
        <f t="shared" ca="1" si="0"/>
        <v>#NAME?</v>
      </c>
    </row>
    <row r="123" spans="1:7">
      <c r="A123" s="42" t="s">
        <v>2789</v>
      </c>
      <c r="B123" s="49" t="s">
        <v>2790</v>
      </c>
      <c r="C123" s="50" t="s">
        <v>2791</v>
      </c>
      <c r="D123" s="46" t="str">
        <f ca="1">IFERROR(__xludf.DUMMYFUNCTION("REGEXEXTRACT(C123, ""\d+"")"),"170002043965")</f>
        <v>170002043965</v>
      </c>
      <c r="E123" s="44" t="s">
        <v>2428</v>
      </c>
      <c r="F123" s="46" t="str">
        <f ca="1">IFERROR(__xludf.DUMMYFUNCTION("REGEXEXTRACT(B123, ""id=([a-zA-Z0-9-_]+)&amp;usp"")"),"19UmrkwAqX8n87quVCztOpB4vFT7Mc8Ml")</f>
        <v>19UmrkwAqX8n87quVCztOpB4vFT7Mc8Ml</v>
      </c>
      <c r="G123" s="53" t="e">
        <f t="shared" ca="1" si="0"/>
        <v>#NAME?</v>
      </c>
    </row>
    <row r="124" spans="1:7">
      <c r="A124" s="42" t="s">
        <v>2792</v>
      </c>
      <c r="B124" s="49" t="s">
        <v>2793</v>
      </c>
      <c r="C124" s="50" t="s">
        <v>2794</v>
      </c>
      <c r="D124" s="46" t="str">
        <f ca="1">IFERROR(__xludf.DUMMYFUNCTION("REGEXEXTRACT(C124, ""\d+"")"),"170001983397")</f>
        <v>170001983397</v>
      </c>
      <c r="E124" s="44" t="s">
        <v>2428</v>
      </c>
      <c r="F124" s="46" t="str">
        <f ca="1">IFERROR(__xludf.DUMMYFUNCTION("REGEXEXTRACT(B124, ""id=([a-zA-Z0-9-_]+)&amp;usp"")"),"1AHrMJykTqheCM43_CSgP-7wsTsuaj223")</f>
        <v>1AHrMJykTqheCM43_CSgP-7wsTsuaj223</v>
      </c>
      <c r="G124" s="53" t="e">
        <f t="shared" ca="1" si="0"/>
        <v>#NAME?</v>
      </c>
    </row>
    <row r="125" spans="1:7">
      <c r="A125" s="42" t="s">
        <v>2795</v>
      </c>
      <c r="B125" s="49" t="s">
        <v>2796</v>
      </c>
      <c r="C125" s="50" t="s">
        <v>2797</v>
      </c>
      <c r="D125" s="46" t="str">
        <f ca="1">IFERROR(__xludf.DUMMYFUNCTION("REGEXEXTRACT(C125, ""\d+"")"),"170002043192")</f>
        <v>170002043192</v>
      </c>
      <c r="E125" s="44" t="s">
        <v>2428</v>
      </c>
      <c r="F125" s="46" t="str">
        <f ca="1">IFERROR(__xludf.DUMMYFUNCTION("REGEXEXTRACT(B125, ""id=([a-zA-Z0-9-_]+)&amp;usp"")"),"1AW0NY7h3UtTnDE8_ljZVi8Esm0ZZbuop")</f>
        <v>1AW0NY7h3UtTnDE8_ljZVi8Esm0ZZbuop</v>
      </c>
      <c r="G125" s="53" t="e">
        <f t="shared" ca="1" si="0"/>
        <v>#NAME?</v>
      </c>
    </row>
    <row r="126" spans="1:7">
      <c r="A126" s="42" t="s">
        <v>2798</v>
      </c>
      <c r="B126" s="49" t="s">
        <v>2799</v>
      </c>
      <c r="C126" s="50" t="s">
        <v>2800</v>
      </c>
      <c r="D126" s="46" t="str">
        <f ca="1">IFERROR(__xludf.DUMMYFUNCTION("REGEXEXTRACT(C126, ""\d+"")"),"170002008948")</f>
        <v>170002008948</v>
      </c>
      <c r="E126" s="44" t="s">
        <v>2428</v>
      </c>
      <c r="F126" s="46" t="str">
        <f ca="1">IFERROR(__xludf.DUMMYFUNCTION("REGEXEXTRACT(B126, ""id=([a-zA-Z0-9-_]+)&amp;usp"")"),"1BTmeQsiy1VBiimhsi7Gh4QyvuUx2Z3LW")</f>
        <v>1BTmeQsiy1VBiimhsi7Gh4QyvuUx2Z3LW</v>
      </c>
      <c r="G126" s="53" t="e">
        <f t="shared" ca="1" si="0"/>
        <v>#NAME?</v>
      </c>
    </row>
    <row r="127" spans="1:7">
      <c r="A127" s="42" t="s">
        <v>2801</v>
      </c>
      <c r="B127" s="49" t="s">
        <v>2802</v>
      </c>
      <c r="C127" s="50" t="s">
        <v>2803</v>
      </c>
      <c r="D127" s="46" t="str">
        <f ca="1">IFERROR(__xludf.DUMMYFUNCTION("REGEXEXTRACT(C127, ""\d+"")"),"170002024464")</f>
        <v>170002024464</v>
      </c>
      <c r="E127" s="44" t="s">
        <v>2428</v>
      </c>
      <c r="F127" s="46" t="str">
        <f ca="1">IFERROR(__xludf.DUMMYFUNCTION("REGEXEXTRACT(B127, ""id=([a-zA-Z0-9-_]+)&amp;usp"")"),"1By3p-ZZ8sR2Ons5btlm9nJV-YYgUYZUe")</f>
        <v>1By3p-ZZ8sR2Ons5btlm9nJV-YYgUYZUe</v>
      </c>
      <c r="G127" s="53" t="e">
        <f t="shared" ca="1" si="0"/>
        <v>#NAME?</v>
      </c>
    </row>
    <row r="128" spans="1:7">
      <c r="A128" s="42" t="s">
        <v>2804</v>
      </c>
      <c r="B128" s="49" t="s">
        <v>2805</v>
      </c>
      <c r="C128" s="50" t="s">
        <v>2806</v>
      </c>
      <c r="D128" s="46" t="str">
        <f ca="1">IFERROR(__xludf.DUMMYFUNCTION("REGEXEXTRACT(C128, ""\d+"")"),"170002008806")</f>
        <v>170002008806</v>
      </c>
      <c r="E128" s="44" t="s">
        <v>2428</v>
      </c>
      <c r="F128" s="46" t="str">
        <f ca="1">IFERROR(__xludf.DUMMYFUNCTION("REGEXEXTRACT(B128, ""id=([a-zA-Z0-9-_]+)&amp;usp"")"),"1CL_UJ_Ub2eLPwFba-__pwSdFpxxKeWJz")</f>
        <v>1CL_UJ_Ub2eLPwFba-__pwSdFpxxKeWJz</v>
      </c>
      <c r="G128" s="53" t="e">
        <f t="shared" ca="1" si="0"/>
        <v>#NAME?</v>
      </c>
    </row>
    <row r="129" spans="1:7">
      <c r="A129" s="42" t="s">
        <v>2807</v>
      </c>
      <c r="B129" s="49" t="s">
        <v>2808</v>
      </c>
      <c r="C129" s="50" t="s">
        <v>2809</v>
      </c>
      <c r="D129" s="46" t="str">
        <f ca="1">IFERROR(__xludf.DUMMYFUNCTION("REGEXEXTRACT(C129, ""\d+"")"),"170002045272")</f>
        <v>170002045272</v>
      </c>
      <c r="E129" s="44" t="s">
        <v>2428</v>
      </c>
      <c r="F129" s="46" t="str">
        <f ca="1">IFERROR(__xludf.DUMMYFUNCTION("REGEXEXTRACT(B129, ""id=([a-zA-Z0-9-_]+)&amp;usp"")"),"1DDbfj9B1LglbyjOkSbRBldXNs7JQbQyl")</f>
        <v>1DDbfj9B1LglbyjOkSbRBldXNs7JQbQyl</v>
      </c>
      <c r="G129" s="53" t="e">
        <f t="shared" ca="1" si="0"/>
        <v>#NAME?</v>
      </c>
    </row>
    <row r="130" spans="1:7">
      <c r="A130" s="42" t="s">
        <v>2810</v>
      </c>
      <c r="B130" s="49" t="s">
        <v>2811</v>
      </c>
      <c r="C130" s="50" t="s">
        <v>2812</v>
      </c>
      <c r="D130" s="46" t="str">
        <f ca="1">IFERROR(__xludf.DUMMYFUNCTION("REGEXEXTRACT(C130, ""\d+"")"),"170002008393")</f>
        <v>170002008393</v>
      </c>
      <c r="E130" s="44" t="s">
        <v>2428</v>
      </c>
      <c r="F130" s="46" t="str">
        <f ca="1">IFERROR(__xludf.DUMMYFUNCTION("REGEXEXTRACT(B130, ""id=([a-zA-Z0-9-_]+)&amp;usp"")"),"1DK9p5EarXWQjOGNP439sn3p-6o_uhZOF")</f>
        <v>1DK9p5EarXWQjOGNP439sn3p-6o_uhZOF</v>
      </c>
      <c r="G130" s="53" t="e">
        <f t="shared" ca="1" si="0"/>
        <v>#NAME?</v>
      </c>
    </row>
    <row r="131" spans="1:7">
      <c r="A131" s="42" t="s">
        <v>2813</v>
      </c>
      <c r="B131" s="49" t="s">
        <v>2814</v>
      </c>
      <c r="C131" s="50" t="s">
        <v>2815</v>
      </c>
      <c r="D131" s="46" t="str">
        <f ca="1">IFERROR(__xludf.DUMMYFUNCTION("REGEXEXTRACT(C131, ""\d+"")"),"170002041733")</f>
        <v>170002041733</v>
      </c>
      <c r="E131" s="44" t="s">
        <v>2428</v>
      </c>
      <c r="F131" s="46" t="str">
        <f ca="1">IFERROR(__xludf.DUMMYFUNCTION("REGEXEXTRACT(B131, ""id=([a-zA-Z0-9-_]+)&amp;usp"")"),"1DQBl2dZRh1yEEM1xcM4XF2QwfKd4F74Z")</f>
        <v>1DQBl2dZRh1yEEM1xcM4XF2QwfKd4F74Z</v>
      </c>
      <c r="G131" s="53" t="e">
        <f t="shared" ca="1" si="0"/>
        <v>#NAME?</v>
      </c>
    </row>
    <row r="132" spans="1:7">
      <c r="A132" s="42" t="s">
        <v>2816</v>
      </c>
      <c r="B132" s="49" t="s">
        <v>2817</v>
      </c>
      <c r="C132" s="50" t="s">
        <v>2818</v>
      </c>
      <c r="D132" s="46" t="str">
        <f ca="1">IFERROR(__xludf.DUMMYFUNCTION("REGEXEXTRACT(C132, ""\d+"")"),"170001988981")</f>
        <v>170001988981</v>
      </c>
      <c r="E132" s="44" t="s">
        <v>2428</v>
      </c>
      <c r="F132" s="46" t="str">
        <f ca="1">IFERROR(__xludf.DUMMYFUNCTION("REGEXEXTRACT(B132, ""id=([a-zA-Z0-9-_]+)&amp;usp"")"),"1Dwf5MljdNEixpFoT0scBvX8Pr9xfG53m")</f>
        <v>1Dwf5MljdNEixpFoT0scBvX8Pr9xfG53m</v>
      </c>
      <c r="G132" s="53" t="e">
        <f t="shared" ca="1" si="0"/>
        <v>#NAME?</v>
      </c>
    </row>
    <row r="133" spans="1:7">
      <c r="A133" s="42" t="s">
        <v>2819</v>
      </c>
      <c r="B133" s="49" t="s">
        <v>2820</v>
      </c>
      <c r="C133" s="50" t="s">
        <v>2821</v>
      </c>
      <c r="D133" s="46" t="str">
        <f ca="1">IFERROR(__xludf.DUMMYFUNCTION("REGEXEXTRACT(C133, ""\d+"")"),"170002036477")</f>
        <v>170002036477</v>
      </c>
      <c r="E133" s="44" t="s">
        <v>2428</v>
      </c>
      <c r="F133" s="46" t="str">
        <f ca="1">IFERROR(__xludf.DUMMYFUNCTION("REGEXEXTRACT(B133, ""id=([a-zA-Z0-9-_]+)&amp;usp"")"),"1F_uudYog84IdNujWO8-oHwJu6J3sj33k")</f>
        <v>1F_uudYog84IdNujWO8-oHwJu6J3sj33k</v>
      </c>
      <c r="G133" s="53" t="e">
        <f t="shared" ca="1" si="0"/>
        <v>#NAME?</v>
      </c>
    </row>
    <row r="134" spans="1:7">
      <c r="A134" s="42" t="s">
        <v>2822</v>
      </c>
      <c r="B134" s="49" t="s">
        <v>2823</v>
      </c>
      <c r="C134" s="50" t="s">
        <v>2824</v>
      </c>
      <c r="D134" s="46" t="str">
        <f ca="1">IFERROR(__xludf.DUMMYFUNCTION("REGEXEXTRACT(C134, ""\d+"")"),"170002049995")</f>
        <v>170002049995</v>
      </c>
      <c r="E134" s="44" t="s">
        <v>2428</v>
      </c>
      <c r="F134" s="46" t="str">
        <f ca="1">IFERROR(__xludf.DUMMYFUNCTION("REGEXEXTRACT(B134, ""id=([a-zA-Z0-9-_]+)&amp;usp"")"),"1FaIwAVsv0Mn4YXfhGUd-96_CidSVPDoB")</f>
        <v>1FaIwAVsv0Mn4YXfhGUd-96_CidSVPDoB</v>
      </c>
      <c r="G134" s="53" t="e">
        <f t="shared" ca="1" si="0"/>
        <v>#NAME?</v>
      </c>
    </row>
    <row r="135" spans="1:7">
      <c r="A135" s="42" t="s">
        <v>2825</v>
      </c>
      <c r="B135" s="49" t="s">
        <v>2826</v>
      </c>
      <c r="C135" s="50" t="s">
        <v>2827</v>
      </c>
      <c r="D135" s="46" t="str">
        <f ca="1">IFERROR(__xludf.DUMMYFUNCTION("REGEXEXTRACT(C135, ""\d+"")"),"170001994188")</f>
        <v>170001994188</v>
      </c>
      <c r="E135" s="44" t="s">
        <v>2428</v>
      </c>
      <c r="F135" s="46" t="str">
        <f ca="1">IFERROR(__xludf.DUMMYFUNCTION("REGEXEXTRACT(B135, ""id=([a-zA-Z0-9-_]+)&amp;usp"")"),"1G1Cly82L5pfLWiEbV8AlBAfW70FZpfmz")</f>
        <v>1G1Cly82L5pfLWiEbV8AlBAfW70FZpfmz</v>
      </c>
      <c r="G135" s="53" t="e">
        <f t="shared" ca="1" si="0"/>
        <v>#NAME?</v>
      </c>
    </row>
    <row r="136" spans="1:7">
      <c r="A136" s="42" t="s">
        <v>2828</v>
      </c>
      <c r="B136" s="49" t="s">
        <v>2829</v>
      </c>
      <c r="C136" s="50" t="s">
        <v>2830</v>
      </c>
      <c r="D136" s="46" t="str">
        <f ca="1">IFERROR(__xludf.DUMMYFUNCTION("REGEXEXTRACT(C136, ""\d+"")"),"170002007983")</f>
        <v>170002007983</v>
      </c>
      <c r="E136" s="44" t="s">
        <v>2428</v>
      </c>
      <c r="F136" s="46" t="str">
        <f ca="1">IFERROR(__xludf.DUMMYFUNCTION("REGEXEXTRACT(B136, ""id=([a-zA-Z0-9-_]+)&amp;usp"")"),"1GQphO3DQrcHpeYiIL5nEwqvQALCiZ8yJ")</f>
        <v>1GQphO3DQrcHpeYiIL5nEwqvQALCiZ8yJ</v>
      </c>
      <c r="G136" s="53" t="e">
        <f t="shared" ca="1" si="0"/>
        <v>#NAME?</v>
      </c>
    </row>
    <row r="137" spans="1:7">
      <c r="A137" s="42" t="s">
        <v>2831</v>
      </c>
      <c r="B137" s="49" t="s">
        <v>2832</v>
      </c>
      <c r="C137" s="50" t="s">
        <v>2833</v>
      </c>
      <c r="D137" s="46" t="str">
        <f ca="1">IFERROR(__xludf.DUMMYFUNCTION("REGEXEXTRACT(C137, ""\d+"")"),"170002037104")</f>
        <v>170002037104</v>
      </c>
      <c r="E137" s="44" t="s">
        <v>2428</v>
      </c>
      <c r="F137" s="46" t="str">
        <f ca="1">IFERROR(__xludf.DUMMYFUNCTION("REGEXEXTRACT(B137, ""id=([a-zA-Z0-9-_]+)&amp;usp"")"),"1Hhha8dRukg9G1Igypg_W7jXRZNGbpsOe")</f>
        <v>1Hhha8dRukg9G1Igypg_W7jXRZNGbpsOe</v>
      </c>
      <c r="G137" s="53" t="e">
        <f t="shared" ca="1" si="0"/>
        <v>#NAME?</v>
      </c>
    </row>
    <row r="138" spans="1:7">
      <c r="A138" s="42" t="s">
        <v>2834</v>
      </c>
      <c r="B138" s="49" t="s">
        <v>2835</v>
      </c>
      <c r="C138" s="50" t="s">
        <v>2836</v>
      </c>
      <c r="D138" s="46" t="str">
        <f ca="1">IFERROR(__xludf.DUMMYFUNCTION("REGEXEXTRACT(C138, ""\d+"")"),"170002048554")</f>
        <v>170002048554</v>
      </c>
      <c r="E138" s="44" t="s">
        <v>2428</v>
      </c>
      <c r="F138" s="46" t="str">
        <f ca="1">IFERROR(__xludf.DUMMYFUNCTION("REGEXEXTRACT(B138, ""id=([a-zA-Z0-9-_]+)&amp;usp"")"),"1Ihdo3xMyXcYSZyTIFtDi8PqJDNe_tkrP")</f>
        <v>1Ihdo3xMyXcYSZyTIFtDi8PqJDNe_tkrP</v>
      </c>
      <c r="G138" s="53" t="e">
        <f t="shared" ca="1" si="0"/>
        <v>#NAME?</v>
      </c>
    </row>
    <row r="139" spans="1:7">
      <c r="A139" s="42" t="s">
        <v>2837</v>
      </c>
      <c r="B139" s="49" t="s">
        <v>2838</v>
      </c>
      <c r="C139" s="50" t="s">
        <v>2839</v>
      </c>
      <c r="D139" s="46" t="str">
        <f ca="1">IFERROR(__xludf.DUMMYFUNCTION("REGEXEXTRACT(C139, ""\d+"")"),"170002014908")</f>
        <v>170002014908</v>
      </c>
      <c r="E139" s="44" t="s">
        <v>2428</v>
      </c>
      <c r="F139" s="46" t="str">
        <f ca="1">IFERROR(__xludf.DUMMYFUNCTION("REGEXEXTRACT(B139, ""id=([a-zA-Z0-9-_]+)&amp;usp"")"),"1IlM6yanrpJ2cqbpG58tnunL6fEcPAmOT")</f>
        <v>1IlM6yanrpJ2cqbpG58tnunL6fEcPAmOT</v>
      </c>
      <c r="G139" s="53" t="e">
        <f t="shared" ca="1" si="0"/>
        <v>#NAME?</v>
      </c>
    </row>
    <row r="140" spans="1:7">
      <c r="A140" s="42" t="s">
        <v>2840</v>
      </c>
      <c r="B140" s="49" t="s">
        <v>2841</v>
      </c>
      <c r="C140" s="50" t="s">
        <v>2842</v>
      </c>
      <c r="D140" s="46" t="str">
        <f ca="1">IFERROR(__xludf.DUMMYFUNCTION("REGEXEXTRACT(C140, ""\d+"")"),"170002025062")</f>
        <v>170002025062</v>
      </c>
      <c r="E140" s="44" t="s">
        <v>2428</v>
      </c>
      <c r="F140" s="46" t="str">
        <f ca="1">IFERROR(__xludf.DUMMYFUNCTION("REGEXEXTRACT(B140, ""id=([a-zA-Z0-9-_]+)&amp;usp"")"),"1IvrRGypM6b1joE9U2-0wd7RzLNiQTbvD")</f>
        <v>1IvrRGypM6b1joE9U2-0wd7RzLNiQTbvD</v>
      </c>
      <c r="G140" s="53" t="e">
        <f t="shared" ca="1" si="0"/>
        <v>#NAME?</v>
      </c>
    </row>
    <row r="141" spans="1:7">
      <c r="A141" s="42" t="s">
        <v>2843</v>
      </c>
      <c r="B141" s="49" t="s">
        <v>2844</v>
      </c>
      <c r="C141" s="50" t="s">
        <v>2845</v>
      </c>
      <c r="D141" s="46" t="str">
        <f ca="1">IFERROR(__xludf.DUMMYFUNCTION("REGEXEXTRACT(C141, ""\d+"")"),"170001983459")</f>
        <v>170001983459</v>
      </c>
      <c r="E141" s="44" t="s">
        <v>2428</v>
      </c>
      <c r="F141" s="46" t="str">
        <f ca="1">IFERROR(__xludf.DUMMYFUNCTION("REGEXEXTRACT(B141, ""id=([a-zA-Z0-9-_]+)&amp;usp"")"),"1KXQU1P6TmickbfiNgekZhVQMpn7DFhiq")</f>
        <v>1KXQU1P6TmickbfiNgekZhVQMpn7DFhiq</v>
      </c>
      <c r="G141" s="53" t="e">
        <f t="shared" ca="1" si="0"/>
        <v>#NAME?</v>
      </c>
    </row>
    <row r="142" spans="1:7">
      <c r="A142" s="42" t="s">
        <v>2846</v>
      </c>
      <c r="B142" s="49" t="s">
        <v>2847</v>
      </c>
      <c r="C142" s="50" t="s">
        <v>2848</v>
      </c>
      <c r="D142" s="46" t="str">
        <f ca="1">IFERROR(__xludf.DUMMYFUNCTION("REGEXEXTRACT(C142, ""\d+"")"),"170002021453")</f>
        <v>170002021453</v>
      </c>
      <c r="E142" s="44" t="s">
        <v>2428</v>
      </c>
      <c r="F142" s="46" t="str">
        <f ca="1">IFERROR(__xludf.DUMMYFUNCTION("REGEXEXTRACT(B142, ""id=([a-zA-Z0-9-_]+)&amp;usp"")"),"1Ky4akLVyGqLYvaE0zBErh8wP0HlfUCUL")</f>
        <v>1Ky4akLVyGqLYvaE0zBErh8wP0HlfUCUL</v>
      </c>
      <c r="G142" s="53" t="e">
        <f t="shared" ca="1" si="0"/>
        <v>#NAME?</v>
      </c>
    </row>
    <row r="143" spans="1:7">
      <c r="A143" s="42" t="s">
        <v>2849</v>
      </c>
      <c r="B143" s="49" t="s">
        <v>2850</v>
      </c>
      <c r="C143" s="50" t="s">
        <v>2851</v>
      </c>
      <c r="D143" s="46" t="str">
        <f ca="1">IFERROR(__xludf.DUMMYFUNCTION("REGEXEXTRACT(C143, ""\d+"")"),"170001989220")</f>
        <v>170001989220</v>
      </c>
      <c r="E143" s="44" t="s">
        <v>2428</v>
      </c>
      <c r="F143" s="46" t="str">
        <f ca="1">IFERROR(__xludf.DUMMYFUNCTION("REGEXEXTRACT(B143, ""id=([a-zA-Z0-9-_]+)&amp;usp"")"),"1LwmO9-vVNKhkd1r0xpsdZ4aTfXp1Zd6k")</f>
        <v>1LwmO9-vVNKhkd1r0xpsdZ4aTfXp1Zd6k</v>
      </c>
      <c r="G143" s="53" t="e">
        <f t="shared" ca="1" si="0"/>
        <v>#NAME?</v>
      </c>
    </row>
    <row r="144" spans="1:7">
      <c r="A144" s="42" t="s">
        <v>2852</v>
      </c>
      <c r="B144" s="49" t="s">
        <v>2853</v>
      </c>
      <c r="C144" s="50" t="s">
        <v>2854</v>
      </c>
      <c r="D144" s="46" t="str">
        <f ca="1">IFERROR(__xludf.DUMMYFUNCTION("REGEXEXTRACT(C144, ""\d+"")"),"170001980448")</f>
        <v>170001980448</v>
      </c>
      <c r="E144" s="44" t="s">
        <v>2428</v>
      </c>
      <c r="F144" s="46" t="str">
        <f ca="1">IFERROR(__xludf.DUMMYFUNCTION("REGEXEXTRACT(B144, ""id=([a-zA-Z0-9-_]+)&amp;usp"")"),"1MJFM8r3OWb8CgSh5M3wPAawWu7zJXuwh")</f>
        <v>1MJFM8r3OWb8CgSh5M3wPAawWu7zJXuwh</v>
      </c>
      <c r="G144" s="53" t="e">
        <f t="shared" ca="1" si="0"/>
        <v>#NAME?</v>
      </c>
    </row>
    <row r="145" spans="1:7">
      <c r="A145" s="42" t="s">
        <v>2855</v>
      </c>
      <c r="B145" s="49" t="s">
        <v>2856</v>
      </c>
      <c r="C145" s="50" t="s">
        <v>2857</v>
      </c>
      <c r="D145" s="46" t="str">
        <f ca="1">IFERROR(__xludf.DUMMYFUNCTION("REGEXEXTRACT(C145, ""\d+"")"),"170002014777")</f>
        <v>170002014777</v>
      </c>
      <c r="E145" s="44" t="s">
        <v>2428</v>
      </c>
      <c r="F145" s="46" t="str">
        <f ca="1">IFERROR(__xludf.DUMMYFUNCTION("REGEXEXTRACT(B145, ""id=([a-zA-Z0-9-_]+)&amp;usp"")"),"1MiKZGVB5fJYFcKOtSDVx48sRYkFmImJH")</f>
        <v>1MiKZGVB5fJYFcKOtSDVx48sRYkFmImJH</v>
      </c>
      <c r="G145" s="53" t="e">
        <f t="shared" ca="1" si="0"/>
        <v>#NAME?</v>
      </c>
    </row>
    <row r="146" spans="1:7">
      <c r="A146" s="42" t="s">
        <v>2858</v>
      </c>
      <c r="B146" s="49" t="s">
        <v>2859</v>
      </c>
      <c r="C146" s="50" t="s">
        <v>2860</v>
      </c>
      <c r="D146" s="46" t="str">
        <f ca="1">IFERROR(__xludf.DUMMYFUNCTION("REGEXEXTRACT(C146, ""\d+"")"),"170002010774")</f>
        <v>170002010774</v>
      </c>
      <c r="E146" s="44" t="s">
        <v>2428</v>
      </c>
      <c r="F146" s="46" t="str">
        <f ca="1">IFERROR(__xludf.DUMMYFUNCTION("REGEXEXTRACT(B146, ""id=([a-zA-Z0-9-_]+)&amp;usp"")"),"1Og91zk3y9o4Y8HdtQFcNz32TlKm48NG6")</f>
        <v>1Og91zk3y9o4Y8HdtQFcNz32TlKm48NG6</v>
      </c>
      <c r="G146" s="53" t="e">
        <f t="shared" ca="1" si="0"/>
        <v>#NAME?</v>
      </c>
    </row>
    <row r="147" spans="1:7">
      <c r="A147" s="42" t="s">
        <v>2861</v>
      </c>
      <c r="B147" s="49" t="s">
        <v>2862</v>
      </c>
      <c r="C147" s="50" t="s">
        <v>2863</v>
      </c>
      <c r="D147" s="46" t="str">
        <f ca="1">IFERROR(__xludf.DUMMYFUNCTION("REGEXEXTRACT(C147, ""\d+"")"),"170002016727")</f>
        <v>170002016727</v>
      </c>
      <c r="E147" s="44" t="s">
        <v>2428</v>
      </c>
      <c r="F147" s="46" t="str">
        <f ca="1">IFERROR(__xludf.DUMMYFUNCTION("REGEXEXTRACT(B147, ""id=([a-zA-Z0-9-_]+)&amp;usp"")"),"1QI8I4t8rrBKOaFjdt9tERRovVSSVrkBL")</f>
        <v>1QI8I4t8rrBKOaFjdt9tERRovVSSVrkBL</v>
      </c>
      <c r="G147" s="53" t="e">
        <f t="shared" ca="1" si="0"/>
        <v>#NAME?</v>
      </c>
    </row>
    <row r="148" spans="1:7">
      <c r="A148" s="42" t="s">
        <v>2864</v>
      </c>
      <c r="B148" s="49" t="s">
        <v>2865</v>
      </c>
      <c r="C148" s="50" t="s">
        <v>2866</v>
      </c>
      <c r="D148" s="46" t="str">
        <f ca="1">IFERROR(__xludf.DUMMYFUNCTION("REGEXEXTRACT(C148, ""\d+"")"),"170002014738")</f>
        <v>170002014738</v>
      </c>
      <c r="E148" s="44" t="s">
        <v>2428</v>
      </c>
      <c r="F148" s="46" t="str">
        <f ca="1">IFERROR(__xludf.DUMMYFUNCTION("REGEXEXTRACT(B148, ""id=([a-zA-Z0-9-_]+)&amp;usp"")"),"1RRkvxCb3RZjwnKxGAJRA0TqkIGrqXNGc")</f>
        <v>1RRkvxCb3RZjwnKxGAJRA0TqkIGrqXNGc</v>
      </c>
      <c r="G148" s="53" t="e">
        <f t="shared" ca="1" si="0"/>
        <v>#NAME?</v>
      </c>
    </row>
    <row r="149" spans="1:7">
      <c r="A149" s="42" t="s">
        <v>2867</v>
      </c>
      <c r="B149" s="49" t="s">
        <v>2868</v>
      </c>
      <c r="C149" s="50" t="s">
        <v>2869</v>
      </c>
      <c r="D149" s="46" t="str">
        <f ca="1">IFERROR(__xludf.DUMMYFUNCTION("REGEXEXTRACT(C149, ""\d+"")"),"170001996711")</f>
        <v>170001996711</v>
      </c>
      <c r="E149" s="44" t="s">
        <v>2428</v>
      </c>
      <c r="F149" s="46" t="str">
        <f ca="1">IFERROR(__xludf.DUMMYFUNCTION("REGEXEXTRACT(B149, ""id=([a-zA-Z0-9-_]+)&amp;usp"")"),"1RtbEHZyUe-_2EuwUCaPan_rUHOSGS2rN")</f>
        <v>1RtbEHZyUe-_2EuwUCaPan_rUHOSGS2rN</v>
      </c>
      <c r="G149" s="53" t="e">
        <f t="shared" ca="1" si="0"/>
        <v>#NAME?</v>
      </c>
    </row>
    <row r="150" spans="1:7">
      <c r="A150" s="42" t="s">
        <v>2870</v>
      </c>
      <c r="B150" s="49" t="s">
        <v>2871</v>
      </c>
      <c r="C150" s="50" t="s">
        <v>2872</v>
      </c>
      <c r="D150" s="46" t="str">
        <f ca="1">IFERROR(__xludf.DUMMYFUNCTION("REGEXEXTRACT(C150, ""\d+"")"),"170002031392")</f>
        <v>170002031392</v>
      </c>
      <c r="E150" s="44" t="s">
        <v>2428</v>
      </c>
      <c r="F150" s="46" t="str">
        <f ca="1">IFERROR(__xludf.DUMMYFUNCTION("REGEXEXTRACT(B150, ""id=([a-zA-Z0-9-_]+)&amp;usp"")"),"1S79rsI8QH99mdthA_jB4lGAxD2BgX98u")</f>
        <v>1S79rsI8QH99mdthA_jB4lGAxD2BgX98u</v>
      </c>
      <c r="G150" s="53" t="e">
        <f t="shared" ca="1" si="0"/>
        <v>#NAME?</v>
      </c>
    </row>
    <row r="151" spans="1:7">
      <c r="A151" s="42" t="s">
        <v>2873</v>
      </c>
      <c r="B151" s="49" t="s">
        <v>2874</v>
      </c>
      <c r="C151" s="50" t="s">
        <v>2875</v>
      </c>
      <c r="D151" s="46" t="str">
        <f ca="1">IFERROR(__xludf.DUMMYFUNCTION("REGEXEXTRACT(C151, ""\d+"")"),"170001980384")</f>
        <v>170001980384</v>
      </c>
      <c r="E151" s="44" t="s">
        <v>2428</v>
      </c>
      <c r="F151" s="46" t="str">
        <f ca="1">IFERROR(__xludf.DUMMYFUNCTION("REGEXEXTRACT(B151, ""id=([a-zA-Z0-9-_]+)&amp;usp"")"),"1SHDW6MrLu1aBIsNixpWeLPtzjw86ogWw")</f>
        <v>1SHDW6MrLu1aBIsNixpWeLPtzjw86ogWw</v>
      </c>
      <c r="G151" s="53" t="e">
        <f t="shared" ca="1" si="0"/>
        <v>#NAME?</v>
      </c>
    </row>
    <row r="152" spans="1:7">
      <c r="A152" s="42" t="s">
        <v>2876</v>
      </c>
      <c r="B152" s="49" t="s">
        <v>2877</v>
      </c>
      <c r="C152" s="50" t="s">
        <v>2878</v>
      </c>
      <c r="D152" s="46" t="str">
        <f ca="1">IFERROR(__xludf.DUMMYFUNCTION("REGEXEXTRACT(C152, ""\d+"")"),"170001985447")</f>
        <v>170001985447</v>
      </c>
      <c r="E152" s="44" t="s">
        <v>2428</v>
      </c>
      <c r="F152" s="46" t="str">
        <f ca="1">IFERROR(__xludf.DUMMYFUNCTION("REGEXEXTRACT(B152, ""id=([a-zA-Z0-9-_]+)&amp;usp"")"),"1SyIsu79Ni5tqiHOfFMHLRckrNrW2xPe7")</f>
        <v>1SyIsu79Ni5tqiHOfFMHLRckrNrW2xPe7</v>
      </c>
      <c r="G152" s="53" t="e">
        <f t="shared" ca="1" si="0"/>
        <v>#NAME?</v>
      </c>
    </row>
    <row r="153" spans="1:7">
      <c r="A153" s="42" t="s">
        <v>2879</v>
      </c>
      <c r="B153" s="49" t="s">
        <v>2880</v>
      </c>
      <c r="C153" s="50" t="s">
        <v>2881</v>
      </c>
      <c r="D153" s="46" t="str">
        <f ca="1">IFERROR(__xludf.DUMMYFUNCTION("REGEXEXTRACT(C153, ""\d+"")"),"170002020188")</f>
        <v>170002020188</v>
      </c>
      <c r="E153" s="44" t="s">
        <v>2428</v>
      </c>
      <c r="F153" s="46" t="str">
        <f ca="1">IFERROR(__xludf.DUMMYFUNCTION("REGEXEXTRACT(B153, ""id=([a-zA-Z0-9-_]+)&amp;usp"")"),"1TExIi9jIZrzulGYggftj39JtNQSues7Y")</f>
        <v>1TExIi9jIZrzulGYggftj39JtNQSues7Y</v>
      </c>
      <c r="G153" s="53" t="e">
        <f t="shared" ca="1" si="0"/>
        <v>#NAME?</v>
      </c>
    </row>
    <row r="154" spans="1:7">
      <c r="A154" s="42" t="s">
        <v>2882</v>
      </c>
      <c r="B154" s="49" t="s">
        <v>2883</v>
      </c>
      <c r="C154" s="50" t="s">
        <v>2884</v>
      </c>
      <c r="D154" s="46" t="str">
        <f ca="1">IFERROR(__xludf.DUMMYFUNCTION("REGEXEXTRACT(C154, ""\d+"")"),"170002036231")</f>
        <v>170002036231</v>
      </c>
      <c r="E154" s="44" t="s">
        <v>2428</v>
      </c>
      <c r="F154" s="46" t="str">
        <f ca="1">IFERROR(__xludf.DUMMYFUNCTION("REGEXEXTRACT(B154, ""id=([a-zA-Z0-9-_]+)&amp;usp"")"),"1USEyRAxBIRJHlAHNmhSCU6tXnzsylJrI")</f>
        <v>1USEyRAxBIRJHlAHNmhSCU6tXnzsylJrI</v>
      </c>
      <c r="G154" s="53" t="e">
        <f t="shared" ca="1" si="0"/>
        <v>#NAME?</v>
      </c>
    </row>
    <row r="155" spans="1:7">
      <c r="A155" s="42" t="s">
        <v>2885</v>
      </c>
      <c r="B155" s="49" t="s">
        <v>2886</v>
      </c>
      <c r="C155" s="50" t="s">
        <v>2887</v>
      </c>
      <c r="D155" s="46" t="str">
        <f ca="1">IFERROR(__xludf.DUMMYFUNCTION("REGEXEXTRACT(C155, ""\d+"")"),"170001982770")</f>
        <v>170001982770</v>
      </c>
      <c r="E155" s="44" t="s">
        <v>2428</v>
      </c>
      <c r="F155" s="46" t="str">
        <f ca="1">IFERROR(__xludf.DUMMYFUNCTION("REGEXEXTRACT(B155, ""id=([a-zA-Z0-9-_]+)&amp;usp"")"),"1UgqybeF9yg4eFmkL9qdTYqkMU9CWkhOu")</f>
        <v>1UgqybeF9yg4eFmkL9qdTYqkMU9CWkhOu</v>
      </c>
      <c r="G155" s="53" t="e">
        <f t="shared" ca="1" si="0"/>
        <v>#NAME?</v>
      </c>
    </row>
    <row r="156" spans="1:7">
      <c r="A156" s="42" t="s">
        <v>2888</v>
      </c>
      <c r="B156" s="49" t="s">
        <v>2889</v>
      </c>
      <c r="C156" s="50" t="s">
        <v>2890</v>
      </c>
      <c r="D156" s="46" t="str">
        <f ca="1">IFERROR(__xludf.DUMMYFUNCTION("REGEXEXTRACT(C156, ""\d+"")"),"170002036647")</f>
        <v>170002036647</v>
      </c>
      <c r="E156" s="44" t="s">
        <v>2428</v>
      </c>
      <c r="F156" s="46" t="str">
        <f ca="1">IFERROR(__xludf.DUMMYFUNCTION("REGEXEXTRACT(B156, ""id=([a-zA-Z0-9-_]+)&amp;usp"")"),"1Vk83k9iS9C8_ByIUjMBV_2RdcjrJ4MYx")</f>
        <v>1Vk83k9iS9C8_ByIUjMBV_2RdcjrJ4MYx</v>
      </c>
      <c r="G156" s="53" t="e">
        <f t="shared" ca="1" si="0"/>
        <v>#NAME?</v>
      </c>
    </row>
    <row r="157" spans="1:7">
      <c r="A157" s="42" t="s">
        <v>2891</v>
      </c>
      <c r="B157" s="49" t="s">
        <v>2892</v>
      </c>
      <c r="C157" s="50" t="s">
        <v>2893</v>
      </c>
      <c r="D157" s="46" t="str">
        <f ca="1">IFERROR(__xludf.DUMMYFUNCTION("REGEXEXTRACT(C157, ""\d+"")"),"170002040610")</f>
        <v>170002040610</v>
      </c>
      <c r="E157" s="44" t="s">
        <v>2428</v>
      </c>
      <c r="F157" s="46" t="str">
        <f ca="1">IFERROR(__xludf.DUMMYFUNCTION("REGEXEXTRACT(B157, ""id=([a-zA-Z0-9-_]+)&amp;usp"")"),"1W2k5aovxdO4wo-nstJlswLCZxk9dxPlS")</f>
        <v>1W2k5aovxdO4wo-nstJlswLCZxk9dxPlS</v>
      </c>
      <c r="G157" s="53" t="e">
        <f t="shared" ca="1" si="0"/>
        <v>#NAME?</v>
      </c>
    </row>
    <row r="158" spans="1:7">
      <c r="A158" s="42" t="s">
        <v>2894</v>
      </c>
      <c r="B158" s="49" t="s">
        <v>2895</v>
      </c>
      <c r="C158" s="50" t="s">
        <v>2896</v>
      </c>
      <c r="D158" s="46" t="str">
        <f ca="1">IFERROR(__xludf.DUMMYFUNCTION("REGEXEXTRACT(C158, ""\d+"")"),"170002008292")</f>
        <v>170002008292</v>
      </c>
      <c r="E158" s="44" t="s">
        <v>2428</v>
      </c>
      <c r="F158" s="46" t="str">
        <f ca="1">IFERROR(__xludf.DUMMYFUNCTION("REGEXEXTRACT(B158, ""id=([a-zA-Z0-9-_]+)&amp;usp"")"),"1Ws2y9qCL927uNkDdfgh0K1x9K8AcqPSh")</f>
        <v>1Ws2y9qCL927uNkDdfgh0K1x9K8AcqPSh</v>
      </c>
      <c r="G158" s="53" t="e">
        <f t="shared" ca="1" si="0"/>
        <v>#NAME?</v>
      </c>
    </row>
    <row r="159" spans="1:7">
      <c r="A159" s="42" t="s">
        <v>2897</v>
      </c>
      <c r="B159" s="49" t="s">
        <v>2898</v>
      </c>
      <c r="C159" s="50" t="s">
        <v>2899</v>
      </c>
      <c r="D159" s="46" t="str">
        <f ca="1">IFERROR(__xludf.DUMMYFUNCTION("REGEXEXTRACT(C159, ""\d+"")"),"170002041894")</f>
        <v>170002041894</v>
      </c>
      <c r="E159" s="44" t="s">
        <v>2428</v>
      </c>
      <c r="F159" s="46" t="str">
        <f ca="1">IFERROR(__xludf.DUMMYFUNCTION("REGEXEXTRACT(B159, ""id=([a-zA-Z0-9-_]+)&amp;usp"")"),"1X67No_qs49pkrpo5EShpJzI0wyKDLO7W")</f>
        <v>1X67No_qs49pkrpo5EShpJzI0wyKDLO7W</v>
      </c>
      <c r="G159" s="53" t="e">
        <f t="shared" ca="1" si="0"/>
        <v>#NAME?</v>
      </c>
    </row>
    <row r="160" spans="1:7">
      <c r="A160" s="42" t="s">
        <v>2900</v>
      </c>
      <c r="B160" s="49" t="s">
        <v>2901</v>
      </c>
      <c r="C160" s="50" t="s">
        <v>2902</v>
      </c>
      <c r="D160" s="46" t="str">
        <f ca="1">IFERROR(__xludf.DUMMYFUNCTION("REGEXEXTRACT(C160, ""\d+"")"),"170002042882")</f>
        <v>170002042882</v>
      </c>
      <c r="E160" s="44" t="s">
        <v>2428</v>
      </c>
      <c r="F160" s="46" t="str">
        <f ca="1">IFERROR(__xludf.DUMMYFUNCTION("REGEXEXTRACT(B160, ""id=([a-zA-Z0-9-_]+)&amp;usp"")"),"1Y8GWSBmHuYqz_siQ0pYxQ9rPrtbm16ur")</f>
        <v>1Y8GWSBmHuYqz_siQ0pYxQ9rPrtbm16ur</v>
      </c>
      <c r="G160" s="53" t="e">
        <f t="shared" ca="1" si="0"/>
        <v>#NAME?</v>
      </c>
    </row>
    <row r="161" spans="1:7">
      <c r="A161" s="42" t="s">
        <v>2903</v>
      </c>
      <c r="B161" s="49" t="s">
        <v>2904</v>
      </c>
      <c r="C161" s="50" t="s">
        <v>2905</v>
      </c>
      <c r="D161" s="46" t="str">
        <f ca="1">IFERROR(__xludf.DUMMYFUNCTION("REGEXEXTRACT(C161, ""\d+"")"),"170002025621")</f>
        <v>170002025621</v>
      </c>
      <c r="E161" s="44" t="s">
        <v>2428</v>
      </c>
      <c r="F161" s="46" t="str">
        <f ca="1">IFERROR(__xludf.DUMMYFUNCTION("REGEXEXTRACT(B161, ""id=([a-zA-Z0-9-_]+)&amp;usp"")"),"1YS5mwoRLPst1wESeZ_A_P13oHApCFlLJ")</f>
        <v>1YS5mwoRLPst1wESeZ_A_P13oHApCFlLJ</v>
      </c>
      <c r="G161" s="53" t="e">
        <f t="shared" ca="1" si="0"/>
        <v>#NAME?</v>
      </c>
    </row>
    <row r="162" spans="1:7">
      <c r="A162" s="42" t="s">
        <v>2906</v>
      </c>
      <c r="B162" s="49" t="s">
        <v>2907</v>
      </c>
      <c r="C162" s="50" t="s">
        <v>2908</v>
      </c>
      <c r="D162" s="46" t="str">
        <f ca="1">IFERROR(__xludf.DUMMYFUNCTION("REGEXEXTRACT(C162, ""\d+"")"),"170002040024")</f>
        <v>170002040024</v>
      </c>
      <c r="E162" s="44" t="s">
        <v>2428</v>
      </c>
      <c r="F162" s="46" t="str">
        <f ca="1">IFERROR(__xludf.DUMMYFUNCTION("REGEXEXTRACT(B162, ""id=([a-zA-Z0-9-_]+)&amp;usp"")"),"1ZGojqf1a09v2KWB1MnwOQXT6hHkG0X5h")</f>
        <v>1ZGojqf1a09v2KWB1MnwOQXT6hHkG0X5h</v>
      </c>
      <c r="G162" s="53" t="e">
        <f t="shared" ca="1" si="0"/>
        <v>#NAME?</v>
      </c>
    </row>
    <row r="163" spans="1:7">
      <c r="A163" s="42" t="s">
        <v>2909</v>
      </c>
      <c r="B163" s="49" t="s">
        <v>2910</v>
      </c>
      <c r="C163" s="50" t="s">
        <v>2911</v>
      </c>
      <c r="D163" s="46" t="str">
        <f ca="1">IFERROR(__xludf.DUMMYFUNCTION("REGEXEXTRACT(C163, ""\d+"")"),"170002006148")</f>
        <v>170002006148</v>
      </c>
      <c r="E163" s="44" t="s">
        <v>2428</v>
      </c>
      <c r="F163" s="46" t="str">
        <f ca="1">IFERROR(__xludf.DUMMYFUNCTION("REGEXEXTRACT(B163, ""id=([a-zA-Z0-9-_]+)&amp;usp"")"),"1ZmX7deF1XUzSRWEZtEZPmc4ZwpmaDOFy")</f>
        <v>1ZmX7deF1XUzSRWEZtEZPmc4ZwpmaDOFy</v>
      </c>
      <c r="G163" s="53" t="e">
        <f t="shared" ca="1" si="0"/>
        <v>#NAME?</v>
      </c>
    </row>
    <row r="164" spans="1:7">
      <c r="A164" s="42" t="s">
        <v>2912</v>
      </c>
      <c r="B164" s="49" t="s">
        <v>2913</v>
      </c>
      <c r="C164" s="50" t="s">
        <v>2914</v>
      </c>
      <c r="D164" s="46" t="str">
        <f ca="1">IFERROR(__xludf.DUMMYFUNCTION("REGEXEXTRACT(C164, ""\d+"")"),"170002005234")</f>
        <v>170002005234</v>
      </c>
      <c r="E164" s="44" t="s">
        <v>2428</v>
      </c>
      <c r="F164" s="46" t="str">
        <f ca="1">IFERROR(__xludf.DUMMYFUNCTION("REGEXEXTRACT(B164, ""id=([a-zA-Z0-9-_]+)&amp;usp"")"),"1ZnCdWIt1aDztu8I6lnUDzyYZ2X0i4YqM")</f>
        <v>1ZnCdWIt1aDztu8I6lnUDzyYZ2X0i4YqM</v>
      </c>
      <c r="G164" s="53" t="e">
        <f t="shared" ca="1" si="0"/>
        <v>#NAME?</v>
      </c>
    </row>
    <row r="165" spans="1:7">
      <c r="A165" s="42" t="s">
        <v>2915</v>
      </c>
      <c r="B165" s="49" t="s">
        <v>2916</v>
      </c>
      <c r="C165" s="50" t="s">
        <v>2917</v>
      </c>
      <c r="D165" s="46" t="str">
        <f ca="1">IFERROR(__xludf.DUMMYFUNCTION("REGEXEXTRACT(C165, ""\d+"")"),"170002019347")</f>
        <v>170002019347</v>
      </c>
      <c r="E165" s="44" t="s">
        <v>2428</v>
      </c>
      <c r="F165" s="46" t="str">
        <f ca="1">IFERROR(__xludf.DUMMYFUNCTION("REGEXEXTRACT(B165, ""id=([a-zA-Z0-9-_]+)&amp;usp"")"),"1_AWBfdkGkbGx6JZe3ut9DJdi2i2lmzSo")</f>
        <v>1_AWBfdkGkbGx6JZe3ut9DJdi2i2lmzSo</v>
      </c>
      <c r="G165" s="53" t="e">
        <f t="shared" ca="1" si="0"/>
        <v>#NAME?</v>
      </c>
    </row>
    <row r="166" spans="1:7">
      <c r="A166" s="42" t="s">
        <v>2918</v>
      </c>
      <c r="B166" s="49" t="s">
        <v>2919</v>
      </c>
      <c r="C166" s="50" t="s">
        <v>2920</v>
      </c>
      <c r="D166" s="46" t="str">
        <f ca="1">IFERROR(__xludf.DUMMYFUNCTION("REGEXEXTRACT(C166, ""\d+"")"),"170002054536")</f>
        <v>170002054536</v>
      </c>
      <c r="E166" s="44" t="s">
        <v>2428</v>
      </c>
      <c r="F166" s="46" t="str">
        <f ca="1">IFERROR(__xludf.DUMMYFUNCTION("REGEXEXTRACT(B166, ""id=([a-zA-Z0-9-_]+)&amp;usp"")"),"1_Cco-avbGczsln4lVSOCFWvNvXQU9BOK")</f>
        <v>1_Cco-avbGczsln4lVSOCFWvNvXQU9BOK</v>
      </c>
      <c r="G166" s="53" t="e">
        <f t="shared" ca="1" si="0"/>
        <v>#NAME?</v>
      </c>
    </row>
    <row r="167" spans="1:7">
      <c r="A167" s="42" t="s">
        <v>2921</v>
      </c>
      <c r="B167" s="49" t="s">
        <v>2922</v>
      </c>
      <c r="C167" s="50" t="s">
        <v>2923</v>
      </c>
      <c r="D167" s="46" t="str">
        <f ca="1">IFERROR(__xludf.DUMMYFUNCTION("REGEXEXTRACT(C167, ""\d+"")"),"170002035841")</f>
        <v>170002035841</v>
      </c>
      <c r="E167" s="44" t="s">
        <v>2428</v>
      </c>
      <c r="F167" s="46" t="str">
        <f ca="1">IFERROR(__xludf.DUMMYFUNCTION("REGEXEXTRACT(B167, ""id=([a-zA-Z0-9-_]+)&amp;usp"")"),"1_kzggvW8e7yyEvIji2ECt6Fr_z1ghfc8")</f>
        <v>1_kzggvW8e7yyEvIji2ECt6Fr_z1ghfc8</v>
      </c>
      <c r="G167" s="53" t="e">
        <f t="shared" ca="1" si="0"/>
        <v>#NAME?</v>
      </c>
    </row>
    <row r="168" spans="1:7">
      <c r="A168" s="42" t="s">
        <v>2924</v>
      </c>
      <c r="B168" s="49" t="s">
        <v>2925</v>
      </c>
      <c r="C168" s="50" t="s">
        <v>2926</v>
      </c>
      <c r="D168" s="46" t="str">
        <f ca="1">IFERROR(__xludf.DUMMYFUNCTION("REGEXEXTRACT(C168, ""\d+"")"),"170002006089")</f>
        <v>170002006089</v>
      </c>
      <c r="E168" s="44" t="s">
        <v>2428</v>
      </c>
      <c r="F168" s="46" t="str">
        <f ca="1">IFERROR(__xludf.DUMMYFUNCTION("REGEXEXTRACT(B168, ""id=([a-zA-Z0-9-_]+)&amp;usp"")"),"1_vsvil2I_qul5uXYvAsZjT6QR2WgfNDK")</f>
        <v>1_vsvil2I_qul5uXYvAsZjT6QR2WgfNDK</v>
      </c>
      <c r="G168" s="53" t="e">
        <f t="shared" ca="1" si="0"/>
        <v>#NAME?</v>
      </c>
    </row>
    <row r="169" spans="1:7">
      <c r="A169" s="42" t="s">
        <v>2927</v>
      </c>
      <c r="B169" s="49" t="s">
        <v>2928</v>
      </c>
      <c r="C169" s="50" t="s">
        <v>2929</v>
      </c>
      <c r="D169" s="46" t="str">
        <f ca="1">IFERROR(__xludf.DUMMYFUNCTION("REGEXEXTRACT(C169, ""\d+"")"),"170002043676")</f>
        <v>170002043676</v>
      </c>
      <c r="E169" s="44" t="s">
        <v>2428</v>
      </c>
      <c r="F169" s="46" t="str">
        <f ca="1">IFERROR(__xludf.DUMMYFUNCTION("REGEXEXTRACT(B169, ""id=([a-zA-Z0-9-_]+)&amp;usp"")"),"1aJfXH-Cmg15JOess_Tsg_15Oo9tfo8Ba")</f>
        <v>1aJfXH-Cmg15JOess_Tsg_15Oo9tfo8Ba</v>
      </c>
      <c r="G169" s="53" t="e">
        <f t="shared" ca="1" si="0"/>
        <v>#NAME?</v>
      </c>
    </row>
    <row r="170" spans="1:7">
      <c r="A170" s="42" t="s">
        <v>2930</v>
      </c>
      <c r="B170" s="49" t="s">
        <v>2931</v>
      </c>
      <c r="C170" s="50" t="s">
        <v>2932</v>
      </c>
      <c r="D170" s="46" t="str">
        <f ca="1">IFERROR(__xludf.DUMMYFUNCTION("REGEXEXTRACT(C170, ""\d+"")"),"170002042529")</f>
        <v>170002042529</v>
      </c>
      <c r="E170" s="44" t="s">
        <v>2428</v>
      </c>
      <c r="F170" s="46" t="str">
        <f ca="1">IFERROR(__xludf.DUMMYFUNCTION("REGEXEXTRACT(B170, ""id=([a-zA-Z0-9-_]+)&amp;usp"")"),"1aPFA1ipovoAmOeqGs3vrObldoOkGEXXa")</f>
        <v>1aPFA1ipovoAmOeqGs3vrObldoOkGEXXa</v>
      </c>
      <c r="G170" s="53" t="e">
        <f t="shared" ca="1" si="0"/>
        <v>#NAME?</v>
      </c>
    </row>
    <row r="171" spans="1:7">
      <c r="A171" s="42" t="s">
        <v>2933</v>
      </c>
      <c r="B171" s="49" t="s">
        <v>2934</v>
      </c>
      <c r="C171" s="50" t="s">
        <v>2935</v>
      </c>
      <c r="D171" s="46" t="str">
        <f ca="1">IFERROR(__xludf.DUMMYFUNCTION("REGEXEXTRACT(C171, ""\d+"")"),"170002041606")</f>
        <v>170002041606</v>
      </c>
      <c r="E171" s="44" t="s">
        <v>2428</v>
      </c>
      <c r="F171" s="46" t="str">
        <f ca="1">IFERROR(__xludf.DUMMYFUNCTION("REGEXEXTRACT(B171, ""id=([a-zA-Z0-9-_]+)&amp;usp"")"),"1b6vsO4P3AYR3Ipl-vJNBo9PuVy3QFW5Y")</f>
        <v>1b6vsO4P3AYR3Ipl-vJNBo9PuVy3QFW5Y</v>
      </c>
      <c r="G171" s="53" t="e">
        <f t="shared" ca="1" si="0"/>
        <v>#NAME?</v>
      </c>
    </row>
    <row r="172" spans="1:7">
      <c r="A172" s="42" t="s">
        <v>2936</v>
      </c>
      <c r="B172" s="49" t="s">
        <v>2937</v>
      </c>
      <c r="C172" s="50" t="s">
        <v>2938</v>
      </c>
      <c r="D172" s="46" t="str">
        <f ca="1">IFERROR(__xludf.DUMMYFUNCTION("REGEXEXTRACT(C172, ""\d+"")"),"170002004926")</f>
        <v>170002004926</v>
      </c>
      <c r="E172" s="44" t="s">
        <v>2428</v>
      </c>
      <c r="F172" s="46" t="str">
        <f ca="1">IFERROR(__xludf.DUMMYFUNCTION("REGEXEXTRACT(B172, ""id=([a-zA-Z0-9-_]+)&amp;usp"")"),"1b8MV5U-xAhXbFSDZz4jw7k9w_KdirYWB")</f>
        <v>1b8MV5U-xAhXbFSDZz4jw7k9w_KdirYWB</v>
      </c>
      <c r="G172" s="53" t="e">
        <f t="shared" ca="1" si="0"/>
        <v>#NAME?</v>
      </c>
    </row>
    <row r="173" spans="1:7">
      <c r="A173" s="42" t="s">
        <v>2939</v>
      </c>
      <c r="B173" s="49" t="s">
        <v>2940</v>
      </c>
      <c r="C173" s="50" t="s">
        <v>2941</v>
      </c>
      <c r="D173" s="46" t="str">
        <f ca="1">IFERROR(__xludf.DUMMYFUNCTION("REGEXEXTRACT(C173, ""\d+"")"),"170001982771")</f>
        <v>170001982771</v>
      </c>
      <c r="E173" s="44" t="s">
        <v>2428</v>
      </c>
      <c r="F173" s="46" t="str">
        <f ca="1">IFERROR(__xludf.DUMMYFUNCTION("REGEXEXTRACT(B173, ""id=([a-zA-Z0-9-_]+)&amp;usp"")"),"1bAiyuwYrLqQb5M-ObZXWT_-N4FGa4N81")</f>
        <v>1bAiyuwYrLqQb5M-ObZXWT_-N4FGa4N81</v>
      </c>
      <c r="G173" s="53" t="e">
        <f t="shared" ca="1" si="0"/>
        <v>#NAME?</v>
      </c>
    </row>
    <row r="174" spans="1:7">
      <c r="A174" s="42" t="s">
        <v>2942</v>
      </c>
      <c r="B174" s="49" t="s">
        <v>2943</v>
      </c>
      <c r="C174" s="50" t="s">
        <v>2944</v>
      </c>
      <c r="D174" s="46" t="str">
        <f ca="1">IFERROR(__xludf.DUMMYFUNCTION("REGEXEXTRACT(C174, ""\d+"")"),"170002044256")</f>
        <v>170002044256</v>
      </c>
      <c r="E174" s="44" t="s">
        <v>2428</v>
      </c>
      <c r="F174" s="46" t="str">
        <f ca="1">IFERROR(__xludf.DUMMYFUNCTION("REGEXEXTRACT(B174, ""id=([a-zA-Z0-9-_]+)&amp;usp"")"),"1bMGEkqVMUGWkrgg1AIuY5FB-YNQkOCMZ")</f>
        <v>1bMGEkqVMUGWkrgg1AIuY5FB-YNQkOCMZ</v>
      </c>
      <c r="G174" s="53" t="e">
        <f t="shared" ca="1" si="0"/>
        <v>#NAME?</v>
      </c>
    </row>
    <row r="175" spans="1:7">
      <c r="A175" s="42" t="s">
        <v>2945</v>
      </c>
      <c r="B175" s="49" t="s">
        <v>2946</v>
      </c>
      <c r="C175" s="50" t="s">
        <v>2947</v>
      </c>
      <c r="D175" s="46" t="str">
        <f ca="1">IFERROR(__xludf.DUMMYFUNCTION("REGEXEXTRACT(C175, ""\d+"")"),"170001991551")</f>
        <v>170001991551</v>
      </c>
      <c r="E175" s="44" t="s">
        <v>2428</v>
      </c>
      <c r="F175" s="46" t="str">
        <f ca="1">IFERROR(__xludf.DUMMYFUNCTION("REGEXEXTRACT(B175, ""id=([a-zA-Z0-9-_]+)&amp;usp"")"),"1bTiBjWKrbQNNR5BqdMBrNve2-feukcAz")</f>
        <v>1bTiBjWKrbQNNR5BqdMBrNve2-feukcAz</v>
      </c>
      <c r="G175" s="53" t="e">
        <f t="shared" ca="1" si="0"/>
        <v>#NAME?</v>
      </c>
    </row>
    <row r="176" spans="1:7">
      <c r="A176" s="42" t="s">
        <v>2948</v>
      </c>
      <c r="B176" s="49" t="s">
        <v>2949</v>
      </c>
      <c r="C176" s="50" t="s">
        <v>2950</v>
      </c>
      <c r="D176" s="46" t="str">
        <f ca="1">IFERROR(__xludf.DUMMYFUNCTION("REGEXEXTRACT(C176, ""\d+"")"),"170002038445")</f>
        <v>170002038445</v>
      </c>
      <c r="E176" s="44" t="s">
        <v>2428</v>
      </c>
      <c r="F176" s="46" t="str">
        <f ca="1">IFERROR(__xludf.DUMMYFUNCTION("REGEXEXTRACT(B176, ""id=([a-zA-Z0-9-_]+)&amp;usp"")"),"1bf0lcDLyenJ3wlSD7hAjVrGtHN24NdX1")</f>
        <v>1bf0lcDLyenJ3wlSD7hAjVrGtHN24NdX1</v>
      </c>
      <c r="G176" s="53" t="e">
        <f t="shared" ca="1" si="0"/>
        <v>#NAME?</v>
      </c>
    </row>
    <row r="177" spans="1:7">
      <c r="A177" s="42" t="s">
        <v>2951</v>
      </c>
      <c r="B177" s="49" t="s">
        <v>2952</v>
      </c>
      <c r="C177" s="50" t="s">
        <v>2953</v>
      </c>
      <c r="D177" s="46" t="str">
        <f ca="1">IFERROR(__xludf.DUMMYFUNCTION("REGEXEXTRACT(C177, ""\d+"")"),"170002007588")</f>
        <v>170002007588</v>
      </c>
      <c r="E177" s="44" t="s">
        <v>2428</v>
      </c>
      <c r="F177" s="46" t="str">
        <f ca="1">IFERROR(__xludf.DUMMYFUNCTION("REGEXEXTRACT(B177, ""id=([a-zA-Z0-9-_]+)&amp;usp"")"),"1bgtFERbggzxbt_d6E6uMotAs7OApFsn7")</f>
        <v>1bgtFERbggzxbt_d6E6uMotAs7OApFsn7</v>
      </c>
      <c r="G177" s="53" t="e">
        <f t="shared" ca="1" si="0"/>
        <v>#NAME?</v>
      </c>
    </row>
    <row r="178" spans="1:7">
      <c r="A178" s="42" t="s">
        <v>2954</v>
      </c>
      <c r="B178" s="49" t="s">
        <v>2955</v>
      </c>
      <c r="C178" s="50" t="s">
        <v>2956</v>
      </c>
      <c r="D178" s="46" t="str">
        <f ca="1">IFERROR(__xludf.DUMMYFUNCTION("REGEXEXTRACT(C178, ""\d+"")"),"170001983313")</f>
        <v>170001983313</v>
      </c>
      <c r="E178" s="44" t="s">
        <v>2428</v>
      </c>
      <c r="F178" s="46" t="str">
        <f ca="1">IFERROR(__xludf.DUMMYFUNCTION("REGEXEXTRACT(B178, ""id=([a-zA-Z0-9-_]+)&amp;usp"")"),"1c6Fw9D2YJHTyCt1VJ2S-8GOwwM2B0MO9")</f>
        <v>1c6Fw9D2YJHTyCt1VJ2S-8GOwwM2B0MO9</v>
      </c>
      <c r="G178" s="53" t="e">
        <f t="shared" ca="1" si="0"/>
        <v>#NAME?</v>
      </c>
    </row>
    <row r="179" spans="1:7">
      <c r="A179" s="42" t="s">
        <v>2957</v>
      </c>
      <c r="B179" s="49" t="s">
        <v>2958</v>
      </c>
      <c r="C179" s="50" t="s">
        <v>2959</v>
      </c>
      <c r="D179" s="46" t="str">
        <f ca="1">IFERROR(__xludf.DUMMYFUNCTION("REGEXEXTRACT(C179, ""\d+"")"),"170002043968")</f>
        <v>170002043968</v>
      </c>
      <c r="E179" s="44" t="s">
        <v>2428</v>
      </c>
      <c r="F179" s="46" t="str">
        <f ca="1">IFERROR(__xludf.DUMMYFUNCTION("REGEXEXTRACT(B179, ""id=([a-zA-Z0-9-_]+)&amp;usp"")"),"1cEiC7UPQILwENrWb95j_ky4V2pY_Z1Cd")</f>
        <v>1cEiC7UPQILwENrWb95j_ky4V2pY_Z1Cd</v>
      </c>
      <c r="G179" s="53" t="e">
        <f t="shared" ca="1" si="0"/>
        <v>#NAME?</v>
      </c>
    </row>
    <row r="180" spans="1:7">
      <c r="A180" s="42" t="s">
        <v>2960</v>
      </c>
      <c r="B180" s="49" t="s">
        <v>2961</v>
      </c>
      <c r="C180" s="50" t="s">
        <v>2962</v>
      </c>
      <c r="D180" s="46" t="str">
        <f ca="1">IFERROR(__xludf.DUMMYFUNCTION("REGEXEXTRACT(C180, ""\d+"")"),"170001986841")</f>
        <v>170001986841</v>
      </c>
      <c r="E180" s="44" t="s">
        <v>2428</v>
      </c>
      <c r="F180" s="46" t="str">
        <f ca="1">IFERROR(__xludf.DUMMYFUNCTION("REGEXEXTRACT(B180, ""id=([a-zA-Z0-9-_]+)&amp;usp"")"),"1caR12p_TeY_U0jNWvRWY0n5OAfJNgcqe")</f>
        <v>1caR12p_TeY_U0jNWvRWY0n5OAfJNgcqe</v>
      </c>
      <c r="G180" s="53" t="e">
        <f t="shared" ca="1" si="0"/>
        <v>#NAME?</v>
      </c>
    </row>
    <row r="181" spans="1:7">
      <c r="A181" s="42" t="s">
        <v>2963</v>
      </c>
      <c r="B181" s="49" t="s">
        <v>2964</v>
      </c>
      <c r="C181" s="50" t="s">
        <v>2965</v>
      </c>
      <c r="D181" s="46" t="str">
        <f ca="1">IFERROR(__xludf.DUMMYFUNCTION("REGEXEXTRACT(C181, ""\d+"")"),"170002059076")</f>
        <v>170002059076</v>
      </c>
      <c r="E181" s="44" t="s">
        <v>2428</v>
      </c>
      <c r="F181" s="46" t="str">
        <f ca="1">IFERROR(__xludf.DUMMYFUNCTION("REGEXEXTRACT(B181, ""id=([a-zA-Z0-9-_]+)&amp;usp"")"),"1eBu9pN3bZ9QWsLhWr3EWQdbSSKxO5f5y")</f>
        <v>1eBu9pN3bZ9QWsLhWr3EWQdbSSKxO5f5y</v>
      </c>
      <c r="G181" s="53" t="e">
        <f t="shared" ca="1" si="0"/>
        <v>#NAME?</v>
      </c>
    </row>
    <row r="182" spans="1:7">
      <c r="A182" s="42" t="s">
        <v>2966</v>
      </c>
      <c r="B182" s="49" t="s">
        <v>2967</v>
      </c>
      <c r="C182" s="50" t="s">
        <v>2968</v>
      </c>
      <c r="D182" s="46" t="str">
        <f ca="1">IFERROR(__xludf.DUMMYFUNCTION("REGEXEXTRACT(C182, ""\d+"")"),"170002054153")</f>
        <v>170002054153</v>
      </c>
      <c r="E182" s="44" t="s">
        <v>2428</v>
      </c>
      <c r="F182" s="46" t="str">
        <f ca="1">IFERROR(__xludf.DUMMYFUNCTION("REGEXEXTRACT(B182, ""id=([a-zA-Z0-9-_]+)&amp;usp"")"),"1e_ViTWOXwP-qothCqK3utZPnkIzKCDOl")</f>
        <v>1e_ViTWOXwP-qothCqK3utZPnkIzKCDOl</v>
      </c>
      <c r="G182" s="53" t="e">
        <f t="shared" ca="1" si="0"/>
        <v>#NAME?</v>
      </c>
    </row>
    <row r="183" spans="1:7">
      <c r="A183" s="42" t="s">
        <v>2969</v>
      </c>
      <c r="B183" s="49" t="s">
        <v>2970</v>
      </c>
      <c r="C183" s="50" t="s">
        <v>2971</v>
      </c>
      <c r="D183" s="46" t="str">
        <f ca="1">IFERROR(__xludf.DUMMYFUNCTION("REGEXEXTRACT(C183, ""\d+"")"),"170002021666")</f>
        <v>170002021666</v>
      </c>
      <c r="E183" s="44" t="s">
        <v>2428</v>
      </c>
      <c r="F183" s="46" t="str">
        <f ca="1">IFERROR(__xludf.DUMMYFUNCTION("REGEXEXTRACT(B183, ""id=([a-zA-Z0-9-_]+)&amp;usp"")"),"1fRylZI7OlsD53CMsSNwUT4vxjgMKZI6X")</f>
        <v>1fRylZI7OlsD53CMsSNwUT4vxjgMKZI6X</v>
      </c>
      <c r="G183" s="53" t="e">
        <f t="shared" ca="1" si="0"/>
        <v>#NAME?</v>
      </c>
    </row>
    <row r="184" spans="1:7">
      <c r="A184" s="42" t="s">
        <v>2972</v>
      </c>
      <c r="B184" s="49" t="s">
        <v>2973</v>
      </c>
      <c r="C184" s="50" t="s">
        <v>2974</v>
      </c>
      <c r="D184" s="46" t="str">
        <f ca="1">IFERROR(__xludf.DUMMYFUNCTION("REGEXEXTRACT(C184, ""\d+"")"),"170002039877")</f>
        <v>170002039877</v>
      </c>
      <c r="E184" s="44" t="s">
        <v>2428</v>
      </c>
      <c r="F184" s="46" t="str">
        <f ca="1">IFERROR(__xludf.DUMMYFUNCTION("REGEXEXTRACT(B184, ""id=([a-zA-Z0-9-_]+)&amp;usp"")"),"1gxjHHESIJQSm0VTwUWxfmWyMRphARV1J")</f>
        <v>1gxjHHESIJQSm0VTwUWxfmWyMRphARV1J</v>
      </c>
      <c r="G184" s="53" t="e">
        <f t="shared" ca="1" si="0"/>
        <v>#NAME?</v>
      </c>
    </row>
    <row r="185" spans="1:7">
      <c r="A185" s="42" t="s">
        <v>2975</v>
      </c>
      <c r="B185" s="49" t="s">
        <v>2976</v>
      </c>
      <c r="C185" s="50" t="s">
        <v>2977</v>
      </c>
      <c r="D185" s="46" t="str">
        <f ca="1">IFERROR(__xludf.DUMMYFUNCTION("REGEXEXTRACT(C185, ""\d+"")"),"170002043210")</f>
        <v>170002043210</v>
      </c>
      <c r="E185" s="44" t="s">
        <v>2428</v>
      </c>
      <c r="F185" s="46" t="str">
        <f ca="1">IFERROR(__xludf.DUMMYFUNCTION("REGEXEXTRACT(B185, ""id=([a-zA-Z0-9-_]+)&amp;usp"")"),"1h5Jk1alytc0T9wbVV3OiAEY9llp6Z7CZ")</f>
        <v>1h5Jk1alytc0T9wbVV3OiAEY9llp6Z7CZ</v>
      </c>
      <c r="G185" s="53" t="e">
        <f t="shared" ca="1" si="0"/>
        <v>#NAME?</v>
      </c>
    </row>
    <row r="186" spans="1:7">
      <c r="A186" s="42" t="s">
        <v>2978</v>
      </c>
      <c r="B186" s="49" t="s">
        <v>2979</v>
      </c>
      <c r="C186" s="50" t="s">
        <v>2980</v>
      </c>
      <c r="D186" s="46" t="str">
        <f ca="1">IFERROR(__xludf.DUMMYFUNCTION("REGEXEXTRACT(C186, ""\d+"")"),"170001981434")</f>
        <v>170001981434</v>
      </c>
      <c r="E186" s="44" t="s">
        <v>2428</v>
      </c>
      <c r="F186" s="46" t="str">
        <f ca="1">IFERROR(__xludf.DUMMYFUNCTION("REGEXEXTRACT(B186, ""id=([a-zA-Z0-9-_]+)&amp;usp"")"),"1hXvGlSi-pqpoNRPAuy7A-6Ly2rpb6Wjq")</f>
        <v>1hXvGlSi-pqpoNRPAuy7A-6Ly2rpb6Wjq</v>
      </c>
      <c r="G186" s="53" t="e">
        <f t="shared" ca="1" si="0"/>
        <v>#NAME?</v>
      </c>
    </row>
    <row r="187" spans="1:7">
      <c r="A187" s="42" t="s">
        <v>2981</v>
      </c>
      <c r="B187" s="49" t="s">
        <v>2982</v>
      </c>
      <c r="C187" s="50" t="s">
        <v>2983</v>
      </c>
      <c r="D187" s="46" t="str">
        <f ca="1">IFERROR(__xludf.DUMMYFUNCTION("REGEXEXTRACT(C187, ""\d+"")"),"170002050826")</f>
        <v>170002050826</v>
      </c>
      <c r="E187" s="44" t="s">
        <v>2428</v>
      </c>
      <c r="F187" s="46" t="str">
        <f ca="1">IFERROR(__xludf.DUMMYFUNCTION("REGEXEXTRACT(B187, ""id=([a-zA-Z0-9-_]+)&amp;usp"")"),"1i6kNYGc6lv8Jw1Fr4JflsXePmfOcWiD1")</f>
        <v>1i6kNYGc6lv8Jw1Fr4JflsXePmfOcWiD1</v>
      </c>
      <c r="G187" s="53" t="e">
        <f t="shared" ca="1" si="0"/>
        <v>#NAME?</v>
      </c>
    </row>
    <row r="188" spans="1:7">
      <c r="A188" s="42" t="s">
        <v>2984</v>
      </c>
      <c r="B188" s="49" t="s">
        <v>2985</v>
      </c>
      <c r="C188" s="50" t="s">
        <v>2986</v>
      </c>
      <c r="D188" s="46" t="str">
        <f ca="1">IFERROR(__xludf.DUMMYFUNCTION("REGEXEXTRACT(C188, ""\d+"")"),"170001991428")</f>
        <v>170001991428</v>
      </c>
      <c r="E188" s="44" t="s">
        <v>2428</v>
      </c>
      <c r="F188" s="46" t="str">
        <f ca="1">IFERROR(__xludf.DUMMYFUNCTION("REGEXEXTRACT(B188, ""id=([a-zA-Z0-9-_]+)&amp;usp"")"),"1iHKOLe-mXkB-DxQ2YhpnZi9uNwkQn4VR")</f>
        <v>1iHKOLe-mXkB-DxQ2YhpnZi9uNwkQn4VR</v>
      </c>
      <c r="G188" s="53" t="e">
        <f t="shared" ca="1" si="0"/>
        <v>#NAME?</v>
      </c>
    </row>
    <row r="189" spans="1:7">
      <c r="A189" s="42" t="s">
        <v>2987</v>
      </c>
      <c r="B189" s="49" t="s">
        <v>2988</v>
      </c>
      <c r="C189" s="50" t="s">
        <v>2989</v>
      </c>
      <c r="D189" s="46" t="str">
        <f ca="1">IFERROR(__xludf.DUMMYFUNCTION("REGEXEXTRACT(C189, ""\d+"")"),"170002006596")</f>
        <v>170002006596</v>
      </c>
      <c r="E189" s="44" t="s">
        <v>2428</v>
      </c>
      <c r="F189" s="46" t="str">
        <f ca="1">IFERROR(__xludf.DUMMYFUNCTION("REGEXEXTRACT(B189, ""id=([a-zA-Z0-9-_]+)&amp;usp"")"),"1j0EpH-BqoMEYzSV7qSqh4nCehzf9V4km")</f>
        <v>1j0EpH-BqoMEYzSV7qSqh4nCehzf9V4km</v>
      </c>
      <c r="G189" s="53" t="e">
        <f t="shared" ca="1" si="0"/>
        <v>#NAME?</v>
      </c>
    </row>
    <row r="190" spans="1:7">
      <c r="A190" s="42" t="s">
        <v>2990</v>
      </c>
      <c r="B190" s="49" t="s">
        <v>2991</v>
      </c>
      <c r="C190" s="50" t="s">
        <v>2992</v>
      </c>
      <c r="D190" s="46" t="str">
        <f ca="1">IFERROR(__xludf.DUMMYFUNCTION("REGEXEXTRACT(C190, ""\d+"")"),"170001980291")</f>
        <v>170001980291</v>
      </c>
      <c r="E190" s="44" t="s">
        <v>2428</v>
      </c>
      <c r="F190" s="46" t="str">
        <f ca="1">IFERROR(__xludf.DUMMYFUNCTION("REGEXEXTRACT(B190, ""id=([a-zA-Z0-9-_]+)&amp;usp"")"),"1jFYIXkXYS8c7-ylIh5NNDoM_yoyn892L")</f>
        <v>1jFYIXkXYS8c7-ylIh5NNDoM_yoyn892L</v>
      </c>
      <c r="G190" s="53" t="e">
        <f t="shared" ca="1" si="0"/>
        <v>#NAME?</v>
      </c>
    </row>
    <row r="191" spans="1:7">
      <c r="A191" s="42" t="s">
        <v>2993</v>
      </c>
      <c r="B191" s="49" t="s">
        <v>2994</v>
      </c>
      <c r="C191" s="50" t="s">
        <v>2995</v>
      </c>
      <c r="D191" s="46" t="str">
        <f ca="1">IFERROR(__xludf.DUMMYFUNCTION("REGEXEXTRACT(C191, ""\d+"")"),"170002006130")</f>
        <v>170002006130</v>
      </c>
      <c r="E191" s="44" t="s">
        <v>2428</v>
      </c>
      <c r="F191" s="46" t="str">
        <f ca="1">IFERROR(__xludf.DUMMYFUNCTION("REGEXEXTRACT(B191, ""id=([a-zA-Z0-9-_]+)&amp;usp"")"),"1jN1e2Oxue7YB-iOfiovTpZvbBNDyNtnC")</f>
        <v>1jN1e2Oxue7YB-iOfiovTpZvbBNDyNtnC</v>
      </c>
      <c r="G191" s="53" t="e">
        <f t="shared" ca="1" si="0"/>
        <v>#NAME?</v>
      </c>
    </row>
    <row r="192" spans="1:7">
      <c r="A192" s="42" t="s">
        <v>2996</v>
      </c>
      <c r="B192" s="49" t="s">
        <v>2997</v>
      </c>
      <c r="C192" s="50" t="s">
        <v>2998</v>
      </c>
      <c r="D192" s="46" t="str">
        <f ca="1">IFERROR(__xludf.DUMMYFUNCTION("REGEXEXTRACT(C192, ""\d+"")"),"170002019876")</f>
        <v>170002019876</v>
      </c>
      <c r="E192" s="44" t="s">
        <v>2428</v>
      </c>
      <c r="F192" s="46" t="str">
        <f ca="1">IFERROR(__xludf.DUMMYFUNCTION("REGEXEXTRACT(B192, ""id=([a-zA-Z0-9-_]+)&amp;usp"")"),"1jYZJBasH6pDVQgxPXrqI63KRBwqGS2k_")</f>
        <v>1jYZJBasH6pDVQgxPXrqI63KRBwqGS2k_</v>
      </c>
      <c r="G192" s="53" t="e">
        <f t="shared" ca="1" si="0"/>
        <v>#NAME?</v>
      </c>
    </row>
    <row r="193" spans="1:7">
      <c r="A193" s="42" t="s">
        <v>2999</v>
      </c>
      <c r="B193" s="49" t="s">
        <v>3000</v>
      </c>
      <c r="C193" s="50" t="s">
        <v>3001</v>
      </c>
      <c r="D193" s="46" t="str">
        <f ca="1">IFERROR(__xludf.DUMMYFUNCTION("REGEXEXTRACT(C193, ""\d+"")"),"170002026111")</f>
        <v>170002026111</v>
      </c>
      <c r="E193" s="44" t="s">
        <v>2428</v>
      </c>
      <c r="F193" s="46" t="str">
        <f ca="1">IFERROR(__xludf.DUMMYFUNCTION("REGEXEXTRACT(B193, ""id=([a-zA-Z0-9-_]+)&amp;usp"")"),"1jcY4TRcrjjKpGMYB54wbhRlxux8GqRD6")</f>
        <v>1jcY4TRcrjjKpGMYB54wbhRlxux8GqRD6</v>
      </c>
      <c r="G193" s="53" t="e">
        <f t="shared" ca="1" si="0"/>
        <v>#NAME?</v>
      </c>
    </row>
    <row r="194" spans="1:7">
      <c r="A194" s="42" t="s">
        <v>3002</v>
      </c>
      <c r="B194" s="49" t="s">
        <v>3003</v>
      </c>
      <c r="C194" s="50" t="s">
        <v>3004</v>
      </c>
      <c r="D194" s="46" t="str">
        <f ca="1">IFERROR(__xludf.DUMMYFUNCTION("REGEXEXTRACT(C194, ""\d+"")"),"170001993852")</f>
        <v>170001993852</v>
      </c>
      <c r="E194" s="44" t="s">
        <v>2428</v>
      </c>
      <c r="F194" s="46" t="str">
        <f ca="1">IFERROR(__xludf.DUMMYFUNCTION("REGEXEXTRACT(B194, ""id=([a-zA-Z0-9-_]+)&amp;usp"")"),"1joSip-HSzvquH3RKpFLRGa2glclAfSgf")</f>
        <v>1joSip-HSzvquH3RKpFLRGa2glclAfSgf</v>
      </c>
      <c r="G194" s="53" t="e">
        <f t="shared" ca="1" si="0"/>
        <v>#NAME?</v>
      </c>
    </row>
    <row r="195" spans="1:7">
      <c r="A195" s="42" t="s">
        <v>3005</v>
      </c>
      <c r="B195" s="49" t="s">
        <v>3006</v>
      </c>
      <c r="C195" s="50" t="s">
        <v>3007</v>
      </c>
      <c r="D195" s="46" t="str">
        <f ca="1">IFERROR(__xludf.DUMMYFUNCTION("REGEXEXTRACT(C195, ""\d+"")"),"170001980262")</f>
        <v>170001980262</v>
      </c>
      <c r="E195" s="44" t="s">
        <v>2428</v>
      </c>
      <c r="F195" s="46" t="str">
        <f ca="1">IFERROR(__xludf.DUMMYFUNCTION("REGEXEXTRACT(B195, ""id=([a-zA-Z0-9-_]+)&amp;usp"")"),"1kMuhCmuTG4KbX5OvaDL_3AFMY2lH1a7D")</f>
        <v>1kMuhCmuTG4KbX5OvaDL_3AFMY2lH1a7D</v>
      </c>
      <c r="G195" s="53" t="e">
        <f t="shared" ca="1" si="0"/>
        <v>#NAME?</v>
      </c>
    </row>
    <row r="196" spans="1:7">
      <c r="A196" s="42" t="s">
        <v>3008</v>
      </c>
      <c r="B196" s="49" t="s">
        <v>3009</v>
      </c>
      <c r="C196" s="50" t="s">
        <v>3010</v>
      </c>
      <c r="D196" s="46" t="str">
        <f ca="1">IFERROR(__xludf.DUMMYFUNCTION("REGEXEXTRACT(C196, ""\d+"")"),"170002005490")</f>
        <v>170002005490</v>
      </c>
      <c r="E196" s="44" t="s">
        <v>2428</v>
      </c>
      <c r="F196" s="46" t="str">
        <f ca="1">IFERROR(__xludf.DUMMYFUNCTION("REGEXEXTRACT(B196, ""id=([a-zA-Z0-9-_]+)&amp;usp"")"),"1mtovHE8NyMu4hzjUAjWVXpoIW9tEyotO")</f>
        <v>1mtovHE8NyMu4hzjUAjWVXpoIW9tEyotO</v>
      </c>
      <c r="G196" s="53" t="e">
        <f t="shared" ca="1" si="0"/>
        <v>#NAME?</v>
      </c>
    </row>
    <row r="197" spans="1:7">
      <c r="A197" s="42" t="s">
        <v>3011</v>
      </c>
      <c r="B197" s="49" t="s">
        <v>3012</v>
      </c>
      <c r="C197" s="50" t="s">
        <v>3013</v>
      </c>
      <c r="D197" s="46" t="str">
        <f ca="1">IFERROR(__xludf.DUMMYFUNCTION("REGEXEXTRACT(C197, ""\d+"")"),"170002006197")</f>
        <v>170002006197</v>
      </c>
      <c r="E197" s="44" t="s">
        <v>2428</v>
      </c>
      <c r="F197" s="46" t="str">
        <f ca="1">IFERROR(__xludf.DUMMYFUNCTION("REGEXEXTRACT(B197, ""id=([a-zA-Z0-9-_]+)&amp;usp"")"),"1nBoPmpVqirNnxTnQgSV2P1wpxP5WeKmH")</f>
        <v>1nBoPmpVqirNnxTnQgSV2P1wpxP5WeKmH</v>
      </c>
      <c r="G197" s="53" t="e">
        <f t="shared" ca="1" si="0"/>
        <v>#NAME?</v>
      </c>
    </row>
    <row r="198" spans="1:7">
      <c r="A198" s="42" t="s">
        <v>3014</v>
      </c>
      <c r="B198" s="49" t="s">
        <v>3015</v>
      </c>
      <c r="C198" s="50" t="s">
        <v>3016</v>
      </c>
      <c r="D198" s="46" t="str">
        <f ca="1">IFERROR(__xludf.DUMMYFUNCTION("REGEXEXTRACT(C198, ""\d+"")"),"170002040190")</f>
        <v>170002040190</v>
      </c>
      <c r="E198" s="44" t="s">
        <v>2428</v>
      </c>
      <c r="F198" s="46" t="str">
        <f ca="1">IFERROR(__xludf.DUMMYFUNCTION("REGEXEXTRACT(B198, ""id=([a-zA-Z0-9-_]+)&amp;usp"")"),"1nQ2gTIbtse66x8xU_YLzhnOQYAbMRCJs")</f>
        <v>1nQ2gTIbtse66x8xU_YLzhnOQYAbMRCJs</v>
      </c>
      <c r="G198" s="53" t="e">
        <f t="shared" ca="1" si="0"/>
        <v>#NAME?</v>
      </c>
    </row>
    <row r="199" spans="1:7">
      <c r="A199" s="42" t="s">
        <v>3017</v>
      </c>
      <c r="B199" s="49" t="s">
        <v>3018</v>
      </c>
      <c r="C199" s="50" t="s">
        <v>3019</v>
      </c>
      <c r="D199" s="46" t="str">
        <f ca="1">IFERROR(__xludf.DUMMYFUNCTION("REGEXEXTRACT(C199, ""\d+"")"),"170002058442")</f>
        <v>170002058442</v>
      </c>
      <c r="E199" s="44" t="s">
        <v>2428</v>
      </c>
      <c r="F199" s="46" t="str">
        <f ca="1">IFERROR(__xludf.DUMMYFUNCTION("REGEXEXTRACT(B199, ""id=([a-zA-Z0-9-_]+)&amp;usp"")"),"1o25OSZDARHoQVhFXKagNebv_tggKeNjc")</f>
        <v>1o25OSZDARHoQVhFXKagNebv_tggKeNjc</v>
      </c>
      <c r="G199" s="53" t="e">
        <f t="shared" ca="1" si="0"/>
        <v>#NAME?</v>
      </c>
    </row>
    <row r="200" spans="1:7">
      <c r="A200" s="42" t="s">
        <v>3020</v>
      </c>
      <c r="B200" s="49" t="s">
        <v>3021</v>
      </c>
      <c r="C200" s="50" t="s">
        <v>3022</v>
      </c>
      <c r="D200" s="46" t="str">
        <f ca="1">IFERROR(__xludf.DUMMYFUNCTION("REGEXEXTRACT(C200, ""\d+"")"),"170001990352")</f>
        <v>170001990352</v>
      </c>
      <c r="E200" s="44" t="s">
        <v>2428</v>
      </c>
      <c r="F200" s="46" t="str">
        <f ca="1">IFERROR(__xludf.DUMMYFUNCTION("REGEXEXTRACT(B200, ""id=([a-zA-Z0-9-_]+)&amp;usp"")"),"1o61ItyOVMYoDd53TV3uFzc2dSmK2SbeL")</f>
        <v>1o61ItyOVMYoDd53TV3uFzc2dSmK2SbeL</v>
      </c>
      <c r="G200" s="53" t="e">
        <f t="shared" ca="1" si="0"/>
        <v>#NAME?</v>
      </c>
    </row>
    <row r="201" spans="1:7">
      <c r="A201" s="42" t="s">
        <v>3023</v>
      </c>
      <c r="B201" s="49" t="s">
        <v>3024</v>
      </c>
      <c r="C201" s="50" t="s">
        <v>3025</v>
      </c>
      <c r="D201" s="46" t="str">
        <f ca="1">IFERROR(__xludf.DUMMYFUNCTION("REGEXEXTRACT(C201, ""\d+"")"),"170002009432")</f>
        <v>170002009432</v>
      </c>
      <c r="E201" s="44" t="s">
        <v>2428</v>
      </c>
      <c r="F201" s="46" t="str">
        <f ca="1">IFERROR(__xludf.DUMMYFUNCTION("REGEXEXTRACT(B201, ""id=([a-zA-Z0-9-_]+)&amp;usp"")"),"1o_m6UQYN3Nuf4NbDqsG_UYm6jErAE5NR")</f>
        <v>1o_m6UQYN3Nuf4NbDqsG_UYm6jErAE5NR</v>
      </c>
      <c r="G201" s="53" t="e">
        <f t="shared" ca="1" si="0"/>
        <v>#NAME?</v>
      </c>
    </row>
    <row r="202" spans="1:7">
      <c r="A202" s="42" t="s">
        <v>3026</v>
      </c>
      <c r="B202" s="49" t="s">
        <v>3027</v>
      </c>
      <c r="C202" s="50" t="s">
        <v>3028</v>
      </c>
      <c r="D202" s="46" t="str">
        <f ca="1">IFERROR(__xludf.DUMMYFUNCTION("REGEXEXTRACT(C202, ""\d+"")"),"170002058428")</f>
        <v>170002058428</v>
      </c>
      <c r="E202" s="44" t="s">
        <v>2428</v>
      </c>
      <c r="F202" s="46" t="str">
        <f ca="1">IFERROR(__xludf.DUMMYFUNCTION("REGEXEXTRACT(B202, ""id=([a-zA-Z0-9-_]+)&amp;usp"")"),"1oqYJSf0VRzUthd52OJzl6lZH5aXjfipS")</f>
        <v>1oqYJSf0VRzUthd52OJzl6lZH5aXjfipS</v>
      </c>
      <c r="G202" s="53" t="e">
        <f t="shared" ca="1" si="0"/>
        <v>#NAME?</v>
      </c>
    </row>
    <row r="203" spans="1:7">
      <c r="A203" s="42" t="s">
        <v>3029</v>
      </c>
      <c r="B203" s="49" t="s">
        <v>3030</v>
      </c>
      <c r="C203" s="50" t="s">
        <v>3031</v>
      </c>
      <c r="D203" s="46" t="str">
        <f ca="1">IFERROR(__xludf.DUMMYFUNCTION("REGEXEXTRACT(C203, ""\d+"")"),"170002032806")</f>
        <v>170002032806</v>
      </c>
      <c r="E203" s="44" t="s">
        <v>2428</v>
      </c>
      <c r="F203" s="46" t="str">
        <f ca="1">IFERROR(__xludf.DUMMYFUNCTION("REGEXEXTRACT(B203, ""id=([a-zA-Z0-9-_]+)&amp;usp"")"),"1oveYMHPsT-JpXh2y68bjUXOKoxNT4nSv")</f>
        <v>1oveYMHPsT-JpXh2y68bjUXOKoxNT4nSv</v>
      </c>
      <c r="G203" s="53" t="e">
        <f t="shared" ca="1" si="0"/>
        <v>#NAME?</v>
      </c>
    </row>
    <row r="204" spans="1:7">
      <c r="A204" s="42" t="s">
        <v>3032</v>
      </c>
      <c r="B204" s="49" t="s">
        <v>3033</v>
      </c>
      <c r="C204" s="50" t="s">
        <v>3034</v>
      </c>
      <c r="D204" s="46" t="str">
        <f ca="1">IFERROR(__xludf.DUMMYFUNCTION("REGEXEXTRACT(C204, ""\d+"")"),"170002008338")</f>
        <v>170002008338</v>
      </c>
      <c r="E204" s="44" t="s">
        <v>2428</v>
      </c>
      <c r="F204" s="46" t="str">
        <f ca="1">IFERROR(__xludf.DUMMYFUNCTION("REGEXEXTRACT(B204, ""id=([a-zA-Z0-9-_]+)&amp;usp"")"),"1p2U0V-qFa_16QytpiYo9Ncj97LAbls8z")</f>
        <v>1p2U0V-qFa_16QytpiYo9Ncj97LAbls8z</v>
      </c>
      <c r="G204" s="53" t="e">
        <f t="shared" ca="1" si="0"/>
        <v>#NAME?</v>
      </c>
    </row>
    <row r="205" spans="1:7">
      <c r="A205" s="42" t="s">
        <v>3035</v>
      </c>
      <c r="B205" s="49" t="s">
        <v>3036</v>
      </c>
      <c r="C205" s="50" t="s">
        <v>3037</v>
      </c>
      <c r="D205" s="46" t="str">
        <f ca="1">IFERROR(__xludf.DUMMYFUNCTION("REGEXEXTRACT(C205, ""\d+"")"),"170002041088")</f>
        <v>170002041088</v>
      </c>
      <c r="E205" s="44" t="s">
        <v>2428</v>
      </c>
      <c r="F205" s="46" t="str">
        <f ca="1">IFERROR(__xludf.DUMMYFUNCTION("REGEXEXTRACT(B205, ""id=([a-zA-Z0-9-_]+)&amp;usp"")"),"1pbc5ptjJto0f4qITOfnh9CWF2HNudfMC")</f>
        <v>1pbc5ptjJto0f4qITOfnh9CWF2HNudfMC</v>
      </c>
      <c r="G205" s="53" t="e">
        <f t="shared" ca="1" si="0"/>
        <v>#NAME?</v>
      </c>
    </row>
    <row r="206" spans="1:7">
      <c r="A206" s="42" t="s">
        <v>3038</v>
      </c>
      <c r="B206" s="49" t="s">
        <v>3039</v>
      </c>
      <c r="C206" s="50" t="s">
        <v>3040</v>
      </c>
      <c r="D206" s="46" t="str">
        <f ca="1">IFERROR(__xludf.DUMMYFUNCTION("REGEXEXTRACT(C206, ""\d+"")"),"170002007634")</f>
        <v>170002007634</v>
      </c>
      <c r="E206" s="44" t="s">
        <v>2428</v>
      </c>
      <c r="F206" s="46" t="str">
        <f ca="1">IFERROR(__xludf.DUMMYFUNCTION("REGEXEXTRACT(B206, ""id=([a-zA-Z0-9-_]+)&amp;usp"")"),"1pqJUrSQWsvSRGYs8eHiQ6hvmyegK3HAU")</f>
        <v>1pqJUrSQWsvSRGYs8eHiQ6hvmyegK3HAU</v>
      </c>
      <c r="G206" s="53" t="e">
        <f t="shared" ca="1" si="0"/>
        <v>#NAME?</v>
      </c>
    </row>
    <row r="207" spans="1:7">
      <c r="A207" s="42" t="s">
        <v>3041</v>
      </c>
      <c r="B207" s="49" t="s">
        <v>3042</v>
      </c>
      <c r="C207" s="50" t="s">
        <v>3043</v>
      </c>
      <c r="D207" s="46" t="str">
        <f ca="1">IFERROR(__xludf.DUMMYFUNCTION("REGEXEXTRACT(C207, ""\d+"")"),"170002022389")</f>
        <v>170002022389</v>
      </c>
      <c r="E207" s="44" t="s">
        <v>2428</v>
      </c>
      <c r="F207" s="46" t="str">
        <f ca="1">IFERROR(__xludf.DUMMYFUNCTION("REGEXEXTRACT(B207, ""id=([a-zA-Z0-9-_]+)&amp;usp"")"),"1pwDU5oA7DhR0VdzzwAdUBaKDY6wOh15H")</f>
        <v>1pwDU5oA7DhR0VdzzwAdUBaKDY6wOh15H</v>
      </c>
      <c r="G207" s="53" t="e">
        <f t="shared" ca="1" si="0"/>
        <v>#NAME?</v>
      </c>
    </row>
    <row r="208" spans="1:7">
      <c r="A208" s="42" t="s">
        <v>3044</v>
      </c>
      <c r="B208" s="49" t="s">
        <v>3045</v>
      </c>
      <c r="C208" s="50" t="s">
        <v>3046</v>
      </c>
      <c r="D208" s="46" t="str">
        <f ca="1">IFERROR(__xludf.DUMMYFUNCTION("REGEXEXTRACT(C208, ""\d+"")"),"170001981446")</f>
        <v>170001981446</v>
      </c>
      <c r="E208" s="44" t="s">
        <v>2428</v>
      </c>
      <c r="F208" s="46" t="str">
        <f ca="1">IFERROR(__xludf.DUMMYFUNCTION("REGEXEXTRACT(B208, ""id=([a-zA-Z0-9-_]+)&amp;usp"")"),"1q--siMHKmu5Cjf06cW_FU6Nm1K-HKpL0")</f>
        <v>1q--siMHKmu5Cjf06cW_FU6Nm1K-HKpL0</v>
      </c>
      <c r="G208" s="53" t="e">
        <f t="shared" ca="1" si="0"/>
        <v>#NAME?</v>
      </c>
    </row>
    <row r="209" spans="1:7">
      <c r="A209" s="42" t="s">
        <v>3047</v>
      </c>
      <c r="B209" s="49" t="s">
        <v>3048</v>
      </c>
      <c r="C209" s="50" t="s">
        <v>3049</v>
      </c>
      <c r="D209" s="46" t="str">
        <f ca="1">IFERROR(__xludf.DUMMYFUNCTION("REGEXEXTRACT(C209, ""\d+"")"),"170002007137")</f>
        <v>170002007137</v>
      </c>
      <c r="E209" s="44" t="s">
        <v>2428</v>
      </c>
      <c r="F209" s="46" t="str">
        <f ca="1">IFERROR(__xludf.DUMMYFUNCTION("REGEXEXTRACT(B209, ""id=([a-zA-Z0-9-_]+)&amp;usp"")"),"1qW83WK9GNp8AdSFasYVV6F3drIJk6gy0")</f>
        <v>1qW83WK9GNp8AdSFasYVV6F3drIJk6gy0</v>
      </c>
      <c r="G209" s="53" t="e">
        <f t="shared" ca="1" si="0"/>
        <v>#NAME?</v>
      </c>
    </row>
    <row r="210" spans="1:7">
      <c r="A210" s="42" t="s">
        <v>3050</v>
      </c>
      <c r="B210" s="49" t="s">
        <v>3051</v>
      </c>
      <c r="C210" s="50" t="s">
        <v>3052</v>
      </c>
      <c r="D210" s="46" t="str">
        <f ca="1">IFERROR(__xludf.DUMMYFUNCTION("REGEXEXTRACT(C210, ""\d+"")"),"170001990597")</f>
        <v>170001990597</v>
      </c>
      <c r="E210" s="44" t="s">
        <v>2428</v>
      </c>
      <c r="F210" s="46" t="str">
        <f ca="1">IFERROR(__xludf.DUMMYFUNCTION("REGEXEXTRACT(B210, ""id=([a-zA-Z0-9-_]+)&amp;usp"")"),"1rOLZHJWIfVX7E5mwO7i1sDtvu_fdl70C")</f>
        <v>1rOLZHJWIfVX7E5mwO7i1sDtvu_fdl70C</v>
      </c>
      <c r="G210" s="53" t="e">
        <f t="shared" ca="1" si="0"/>
        <v>#NAME?</v>
      </c>
    </row>
    <row r="211" spans="1:7">
      <c r="A211" s="42" t="s">
        <v>3053</v>
      </c>
      <c r="B211" s="49" t="s">
        <v>3054</v>
      </c>
      <c r="C211" s="50" t="s">
        <v>3055</v>
      </c>
      <c r="D211" s="46" t="str">
        <f ca="1">IFERROR(__xludf.DUMMYFUNCTION("REGEXEXTRACT(C211, ""\d+"")"),"170002023288")</f>
        <v>170002023288</v>
      </c>
      <c r="E211" s="44" t="s">
        <v>2428</v>
      </c>
      <c r="F211" s="46" t="str">
        <f ca="1">IFERROR(__xludf.DUMMYFUNCTION("REGEXEXTRACT(B211, ""id=([a-zA-Z0-9-_]+)&amp;usp"")"),"1rRjY8u16cOGClewUgduiX822fwlK0Fbu")</f>
        <v>1rRjY8u16cOGClewUgduiX822fwlK0Fbu</v>
      </c>
      <c r="G211" s="53" t="e">
        <f t="shared" ca="1" si="0"/>
        <v>#NAME?</v>
      </c>
    </row>
    <row r="212" spans="1:7">
      <c r="A212" s="42" t="s">
        <v>3056</v>
      </c>
      <c r="B212" s="49" t="s">
        <v>3057</v>
      </c>
      <c r="C212" s="50" t="s">
        <v>3058</v>
      </c>
      <c r="D212" s="46" t="str">
        <f ca="1">IFERROR(__xludf.DUMMYFUNCTION("REGEXEXTRACT(C212, ""\d+"")"),"170002040601")</f>
        <v>170002040601</v>
      </c>
      <c r="E212" s="44" t="s">
        <v>2428</v>
      </c>
      <c r="F212" s="46" t="str">
        <f ca="1">IFERROR(__xludf.DUMMYFUNCTION("REGEXEXTRACT(B212, ""id=([a-zA-Z0-9-_]+)&amp;usp"")"),"1rgdnHliptgeZqi4TN4i4hHqu29QK4LC9")</f>
        <v>1rgdnHliptgeZqi4TN4i4hHqu29QK4LC9</v>
      </c>
      <c r="G212" s="53" t="e">
        <f t="shared" ca="1" si="0"/>
        <v>#NAME?</v>
      </c>
    </row>
    <row r="213" spans="1:7">
      <c r="A213" s="42" t="s">
        <v>3059</v>
      </c>
      <c r="B213" s="49" t="s">
        <v>3060</v>
      </c>
      <c r="C213" s="50" t="s">
        <v>3061</v>
      </c>
      <c r="D213" s="46" t="str">
        <f ca="1">IFERROR(__xludf.DUMMYFUNCTION("REGEXEXTRACT(C213, ""\d+"")"),"170002039386")</f>
        <v>170002039386</v>
      </c>
      <c r="E213" s="44" t="s">
        <v>2428</v>
      </c>
      <c r="F213" s="46" t="str">
        <f ca="1">IFERROR(__xludf.DUMMYFUNCTION("REGEXEXTRACT(B213, ""id=([a-zA-Z0-9-_]+)&amp;usp"")"),"1rzQGIYWGEc_nPpJvk2uyXsimIKKCLC41")</f>
        <v>1rzQGIYWGEc_nPpJvk2uyXsimIKKCLC41</v>
      </c>
      <c r="G213" s="53" t="e">
        <f t="shared" ca="1" si="0"/>
        <v>#NAME?</v>
      </c>
    </row>
    <row r="214" spans="1:7">
      <c r="A214" s="42" t="s">
        <v>3062</v>
      </c>
      <c r="B214" s="49" t="s">
        <v>3063</v>
      </c>
      <c r="C214" s="50" t="s">
        <v>3064</v>
      </c>
      <c r="D214" s="46" t="str">
        <f ca="1">IFERROR(__xludf.DUMMYFUNCTION("REGEXEXTRACT(C214, ""\d+"")"),"170002024354")</f>
        <v>170002024354</v>
      </c>
      <c r="E214" s="44" t="s">
        <v>2428</v>
      </c>
      <c r="F214" s="46" t="str">
        <f ca="1">IFERROR(__xludf.DUMMYFUNCTION("REGEXEXTRACT(B214, ""id=([a-zA-Z0-9-_]+)&amp;usp"")"),"1sYlM0kb8H-5auu7yd63Mk_kbZnuXS9Mr")</f>
        <v>1sYlM0kb8H-5auu7yd63Mk_kbZnuXS9Mr</v>
      </c>
      <c r="G214" s="53" t="e">
        <f t="shared" ca="1" si="0"/>
        <v>#NAME?</v>
      </c>
    </row>
    <row r="215" spans="1:7">
      <c r="A215" s="42" t="s">
        <v>3065</v>
      </c>
      <c r="B215" s="49" t="s">
        <v>3066</v>
      </c>
      <c r="C215" s="50" t="s">
        <v>3067</v>
      </c>
      <c r="D215" s="46" t="str">
        <f ca="1">IFERROR(__xludf.DUMMYFUNCTION("REGEXEXTRACT(C215, ""\d+"")"),"170001983531")</f>
        <v>170001983531</v>
      </c>
      <c r="E215" s="44" t="s">
        <v>2428</v>
      </c>
      <c r="F215" s="46" t="str">
        <f ca="1">IFERROR(__xludf.DUMMYFUNCTION("REGEXEXTRACT(B215, ""id=([a-zA-Z0-9-_]+)&amp;usp"")"),"1sdjQJ_EVwwSemgt8NF6Tr3A5GRkwwRFN")</f>
        <v>1sdjQJ_EVwwSemgt8NF6Tr3A5GRkwwRFN</v>
      </c>
      <c r="G215" s="53" t="e">
        <f t="shared" ca="1" si="0"/>
        <v>#NAME?</v>
      </c>
    </row>
    <row r="216" spans="1:7">
      <c r="A216" s="42" t="s">
        <v>3068</v>
      </c>
      <c r="B216" s="49" t="s">
        <v>3069</v>
      </c>
      <c r="C216" s="50" t="s">
        <v>3070</v>
      </c>
      <c r="D216" s="46" t="str">
        <f ca="1">IFERROR(__xludf.DUMMYFUNCTION("REGEXEXTRACT(C216, ""\d+"")"),"170001993468")</f>
        <v>170001993468</v>
      </c>
      <c r="E216" s="44" t="s">
        <v>2428</v>
      </c>
      <c r="F216" s="46" t="str">
        <f ca="1">IFERROR(__xludf.DUMMYFUNCTION("REGEXEXTRACT(B216, ""id=([a-zA-Z0-9-_]+)&amp;usp"")"),"1ugNXZnpU21a3z4WTpYr0aFqr9Ysea3vW")</f>
        <v>1ugNXZnpU21a3z4WTpYr0aFqr9Ysea3vW</v>
      </c>
      <c r="G216" s="53" t="e">
        <f t="shared" ca="1" si="0"/>
        <v>#NAME?</v>
      </c>
    </row>
    <row r="217" spans="1:7">
      <c r="A217" s="42" t="s">
        <v>3071</v>
      </c>
      <c r="B217" s="49" t="s">
        <v>3072</v>
      </c>
      <c r="C217" s="50" t="s">
        <v>3073</v>
      </c>
      <c r="D217" s="46" t="str">
        <f ca="1">IFERROR(__xludf.DUMMYFUNCTION("REGEXEXTRACT(C217, ""\d+"")"),"170002035899")</f>
        <v>170002035899</v>
      </c>
      <c r="E217" s="44" t="s">
        <v>2428</v>
      </c>
      <c r="F217" s="46" t="str">
        <f ca="1">IFERROR(__xludf.DUMMYFUNCTION("REGEXEXTRACT(B217, ""id=([a-zA-Z0-9-_]+)&amp;usp"")"),"1wE1BUDaSk5_pVKzyP_FkP4yy6nH3x251")</f>
        <v>1wE1BUDaSk5_pVKzyP_FkP4yy6nH3x251</v>
      </c>
      <c r="G217" s="53" t="e">
        <f t="shared" ca="1" si="0"/>
        <v>#NAME?</v>
      </c>
    </row>
    <row r="218" spans="1:7">
      <c r="A218" s="42" t="s">
        <v>3074</v>
      </c>
      <c r="B218" s="49" t="s">
        <v>3075</v>
      </c>
      <c r="C218" s="50" t="s">
        <v>3076</v>
      </c>
      <c r="D218" s="46" t="str">
        <f ca="1">IFERROR(__xludf.DUMMYFUNCTION("REGEXEXTRACT(C218, ""\d+"")"),"170002004972")</f>
        <v>170002004972</v>
      </c>
      <c r="E218" s="44" t="s">
        <v>2428</v>
      </c>
      <c r="F218" s="46" t="str">
        <f ca="1">IFERROR(__xludf.DUMMYFUNCTION("REGEXEXTRACT(B218, ""id=([a-zA-Z0-9-_]+)&amp;usp"")"),"1wesJYRg_pHR_Tymb4hV1ALm1UKhtEH2l")</f>
        <v>1wesJYRg_pHR_Tymb4hV1ALm1UKhtEH2l</v>
      </c>
      <c r="G218" s="53" t="e">
        <f t="shared" ca="1" si="0"/>
        <v>#NAME?</v>
      </c>
    </row>
    <row r="219" spans="1:7">
      <c r="A219" s="42" t="s">
        <v>3077</v>
      </c>
      <c r="B219" s="49" t="s">
        <v>3078</v>
      </c>
      <c r="C219" s="50" t="s">
        <v>3079</v>
      </c>
      <c r="D219" s="46" t="str">
        <f ca="1">IFERROR(__xludf.DUMMYFUNCTION("REGEXEXTRACT(C219, ""\d+"")"),"170002056232")</f>
        <v>170002056232</v>
      </c>
      <c r="E219" s="44" t="s">
        <v>2428</v>
      </c>
      <c r="F219" s="46" t="str">
        <f ca="1">IFERROR(__xludf.DUMMYFUNCTION("REGEXEXTRACT(B219, ""id=([a-zA-Z0-9-_]+)&amp;usp"")"),"1wqaaI2xWuQR-5VbZwMw3DCm2O-ktKA5U")</f>
        <v>1wqaaI2xWuQR-5VbZwMw3DCm2O-ktKA5U</v>
      </c>
      <c r="G219" s="53" t="e">
        <f t="shared" ca="1" si="0"/>
        <v>#NAME?</v>
      </c>
    </row>
    <row r="220" spans="1:7">
      <c r="A220" s="42" t="s">
        <v>3080</v>
      </c>
      <c r="B220" s="49" t="s">
        <v>3081</v>
      </c>
      <c r="C220" s="50" t="s">
        <v>3082</v>
      </c>
      <c r="D220" s="46" t="str">
        <f ca="1">IFERROR(__xludf.DUMMYFUNCTION("REGEXEXTRACT(C220, ""\d+"")"),"170002049305")</f>
        <v>170002049305</v>
      </c>
      <c r="E220" s="44" t="s">
        <v>2428</v>
      </c>
      <c r="F220" s="46" t="str">
        <f ca="1">IFERROR(__xludf.DUMMYFUNCTION("REGEXEXTRACT(B220, ""id=([a-zA-Z0-9-_]+)&amp;usp"")"),"1x9lZEp1yLPSoVytsk2j8GOoN6jBX_90A")</f>
        <v>1x9lZEp1yLPSoVytsk2j8GOoN6jBX_90A</v>
      </c>
      <c r="G220" s="53" t="e">
        <f t="shared" ca="1" si="0"/>
        <v>#NAME?</v>
      </c>
    </row>
    <row r="221" spans="1:7">
      <c r="A221" s="42" t="s">
        <v>3083</v>
      </c>
      <c r="B221" s="49" t="s">
        <v>3084</v>
      </c>
      <c r="C221" s="50" t="s">
        <v>3085</v>
      </c>
      <c r="D221" s="46" t="str">
        <f ca="1">IFERROR(__xludf.DUMMYFUNCTION("REGEXEXTRACT(C221, ""\d+"")"),"170002053401")</f>
        <v>170002053401</v>
      </c>
      <c r="E221" s="44" t="s">
        <v>2428</v>
      </c>
      <c r="F221" s="46" t="str">
        <f ca="1">IFERROR(__xludf.DUMMYFUNCTION("REGEXEXTRACT(B221, ""id=([a-zA-Z0-9-_]+)&amp;usp"")"),"1xB-fejT_9N-UQ6iYPIwp-RSKEj-3mLab")</f>
        <v>1xB-fejT_9N-UQ6iYPIwp-RSKEj-3mLab</v>
      </c>
      <c r="G221" s="53" t="e">
        <f t="shared" ca="1" si="0"/>
        <v>#NAME?</v>
      </c>
    </row>
    <row r="222" spans="1:7">
      <c r="A222" s="42" t="s">
        <v>3086</v>
      </c>
      <c r="B222" s="49" t="s">
        <v>3087</v>
      </c>
      <c r="C222" s="50" t="s">
        <v>3088</v>
      </c>
      <c r="D222" s="46" t="str">
        <f ca="1">IFERROR(__xludf.DUMMYFUNCTION("REGEXEXTRACT(C222, ""\d+"")"),"170002040809")</f>
        <v>170002040809</v>
      </c>
      <c r="E222" s="44" t="s">
        <v>2428</v>
      </c>
      <c r="F222" s="46" t="str">
        <f ca="1">IFERROR(__xludf.DUMMYFUNCTION("REGEXEXTRACT(B222, ""id=([a-zA-Z0-9-_]+)&amp;usp"")"),"1xD6Wd2XsJlhBNXpC3C8a2iyr6PwWgyoQ")</f>
        <v>1xD6Wd2XsJlhBNXpC3C8a2iyr6PwWgyoQ</v>
      </c>
      <c r="G222" s="53" t="e">
        <f t="shared" ca="1" si="0"/>
        <v>#NAME?</v>
      </c>
    </row>
    <row r="223" spans="1:7">
      <c r="A223" s="42" t="s">
        <v>3089</v>
      </c>
      <c r="B223" s="49" t="s">
        <v>3090</v>
      </c>
      <c r="C223" s="50" t="s">
        <v>3091</v>
      </c>
      <c r="D223" s="46" t="str">
        <f ca="1">IFERROR(__xludf.DUMMYFUNCTION("REGEXEXTRACT(C223, ""\d+"")"),"170002045354")</f>
        <v>170002045354</v>
      </c>
      <c r="E223" s="44" t="s">
        <v>2428</v>
      </c>
      <c r="F223" s="46" t="str">
        <f ca="1">IFERROR(__xludf.DUMMYFUNCTION("REGEXEXTRACT(B223, ""id=([a-zA-Z0-9-_]+)&amp;usp"")"),"1xK2B8-kinGJd520Iu7paPFz1P5JgNOpZ")</f>
        <v>1xK2B8-kinGJd520Iu7paPFz1P5JgNOpZ</v>
      </c>
      <c r="G223" s="53" t="e">
        <f t="shared" ca="1" si="0"/>
        <v>#NAME?</v>
      </c>
    </row>
    <row r="224" spans="1:7">
      <c r="A224" s="42" t="s">
        <v>3092</v>
      </c>
      <c r="B224" s="49" t="s">
        <v>3093</v>
      </c>
      <c r="C224" s="50" t="s">
        <v>3094</v>
      </c>
      <c r="D224" s="46" t="str">
        <f ca="1">IFERROR(__xludf.DUMMYFUNCTION("REGEXEXTRACT(C224, ""\d+"")"),"170002039006")</f>
        <v>170002039006</v>
      </c>
      <c r="E224" s="44" t="s">
        <v>2428</v>
      </c>
      <c r="F224" s="46" t="str">
        <f ca="1">IFERROR(__xludf.DUMMYFUNCTION("REGEXEXTRACT(B224, ""id=([a-zA-Z0-9-_]+)&amp;usp"")"),"1xpICvcobiGoCzPFLXeyNjdFjL9zyMmNB")</f>
        <v>1xpICvcobiGoCzPFLXeyNjdFjL9zyMmNB</v>
      </c>
      <c r="G224" s="53" t="e">
        <f t="shared" ca="1" si="0"/>
        <v>#NAME?</v>
      </c>
    </row>
    <row r="225" spans="1:7">
      <c r="A225" s="42" t="s">
        <v>3095</v>
      </c>
      <c r="B225" s="49" t="s">
        <v>3096</v>
      </c>
      <c r="C225" s="50" t="s">
        <v>3097</v>
      </c>
      <c r="D225" s="46" t="str">
        <f ca="1">IFERROR(__xludf.DUMMYFUNCTION("REGEXEXTRACT(C225, ""\d+"")"),"170002043580")</f>
        <v>170002043580</v>
      </c>
      <c r="E225" s="44" t="s">
        <v>2428</v>
      </c>
      <c r="F225" s="46" t="str">
        <f ca="1">IFERROR(__xludf.DUMMYFUNCTION("REGEXEXTRACT(B225, ""id=([a-zA-Z0-9-_]+)&amp;usp"")"),"1ygthnuaO7Y1gTpB5qQ5lkwRmyRoESQxX")</f>
        <v>1ygthnuaO7Y1gTpB5qQ5lkwRmyRoESQxX</v>
      </c>
      <c r="G225" s="53" t="e">
        <f t="shared" ca="1" si="0"/>
        <v>#NAME?</v>
      </c>
    </row>
    <row r="226" spans="1:7">
      <c r="A226" s="42" t="s">
        <v>3098</v>
      </c>
      <c r="B226" s="49" t="s">
        <v>3099</v>
      </c>
      <c r="C226" s="50" t="s">
        <v>3100</v>
      </c>
      <c r="D226" s="46" t="str">
        <f ca="1">IFERROR(__xludf.DUMMYFUNCTION("REGEXEXTRACT(C226, ""\d+"")"),"170002008170")</f>
        <v>170002008170</v>
      </c>
      <c r="E226" s="44" t="s">
        <v>2428</v>
      </c>
      <c r="F226" s="46" t="str">
        <f ca="1">IFERROR(__xludf.DUMMYFUNCTION("REGEXEXTRACT(B226, ""id=([a-zA-Z0-9-_]+)&amp;usp"")"),"1zz9RXfcpDzgFc3Vsd-1qtm8MXNYZYhyW")</f>
        <v>1zz9RXfcpDzgFc3Vsd-1qtm8MXNYZYhyW</v>
      </c>
      <c r="G226" s="53" t="e">
        <f t="shared" ca="1" si="0"/>
        <v>#NAME?</v>
      </c>
    </row>
    <row r="227" spans="1:7">
      <c r="A227" s="42" t="s">
        <v>3101</v>
      </c>
      <c r="B227" s="49" t="s">
        <v>3102</v>
      </c>
      <c r="C227" s="50" t="s">
        <v>3103</v>
      </c>
      <c r="D227" s="46" t="str">
        <f ca="1">IFERROR(__xludf.DUMMYFUNCTION("REGEXEXTRACT(C227, ""\d+"")"),"170002128389")</f>
        <v>170002128389</v>
      </c>
      <c r="E227" s="44" t="s">
        <v>2428</v>
      </c>
      <c r="F227" s="46" t="str">
        <f ca="1">IFERROR(__xludf.DUMMYFUNCTION("REGEXEXTRACT(B227, ""id=([a-zA-Z0-9-_]+)&amp;usp"")"),"107HJczLnQNOQyfpE_EYDFVaB7iv33svs")</f>
        <v>107HJczLnQNOQyfpE_EYDFVaB7iv33svs</v>
      </c>
      <c r="G227" s="53" t="e">
        <f t="shared" ca="1" si="0"/>
        <v>#NAME?</v>
      </c>
    </row>
    <row r="228" spans="1:7">
      <c r="A228" s="42" t="s">
        <v>3104</v>
      </c>
      <c r="B228" s="49" t="s">
        <v>3105</v>
      </c>
      <c r="C228" s="50" t="s">
        <v>3106</v>
      </c>
      <c r="D228" s="46" t="str">
        <f ca="1">IFERROR(__xludf.DUMMYFUNCTION("REGEXEXTRACT(C228, ""\d+"")"),"170002105372")</f>
        <v>170002105372</v>
      </c>
      <c r="E228" s="44" t="s">
        <v>2428</v>
      </c>
      <c r="F228" s="46" t="str">
        <f ca="1">IFERROR(__xludf.DUMMYFUNCTION("REGEXEXTRACT(B228, ""id=([a-zA-Z0-9-_]+)&amp;usp"")"),"10qefDEJuOAEWjlu22yL4gN_foCAwXip_")</f>
        <v>10qefDEJuOAEWjlu22yL4gN_foCAwXip_</v>
      </c>
      <c r="G228" s="53" t="e">
        <f t="shared" ca="1" si="0"/>
        <v>#NAME?</v>
      </c>
    </row>
    <row r="229" spans="1:7">
      <c r="A229" s="42" t="s">
        <v>3107</v>
      </c>
      <c r="B229" s="49" t="s">
        <v>3108</v>
      </c>
      <c r="C229" s="50" t="s">
        <v>3109</v>
      </c>
      <c r="D229" s="46" t="str">
        <f ca="1">IFERROR(__xludf.DUMMYFUNCTION("REGEXEXTRACT(C229, ""\d+"")"),"170002062127")</f>
        <v>170002062127</v>
      </c>
      <c r="E229" s="44" t="s">
        <v>2428</v>
      </c>
      <c r="F229" s="46" t="str">
        <f ca="1">IFERROR(__xludf.DUMMYFUNCTION("REGEXEXTRACT(B229, ""id=([a-zA-Z0-9-_]+)&amp;usp"")"),"115VPecRXcTTo4gOb9PBKS7JUf0rL8Tsq")</f>
        <v>115VPecRXcTTo4gOb9PBKS7JUf0rL8Tsq</v>
      </c>
      <c r="G229" s="53" t="e">
        <f t="shared" ca="1" si="0"/>
        <v>#NAME?</v>
      </c>
    </row>
    <row r="230" spans="1:7">
      <c r="A230" s="42" t="s">
        <v>3110</v>
      </c>
      <c r="B230" s="49" t="s">
        <v>3111</v>
      </c>
      <c r="C230" s="50" t="s">
        <v>3112</v>
      </c>
      <c r="D230" s="46" t="str">
        <f ca="1">IFERROR(__xludf.DUMMYFUNCTION("REGEXEXTRACT(C230, ""\d+"")"),"170002060519")</f>
        <v>170002060519</v>
      </c>
      <c r="E230" s="44" t="s">
        <v>2428</v>
      </c>
      <c r="F230" s="46" t="str">
        <f ca="1">IFERROR(__xludf.DUMMYFUNCTION("REGEXEXTRACT(B230, ""id=([a-zA-Z0-9-_]+)&amp;usp"")"),"11LjI8dT24ysu__meBaYGcbljxaJygwTu")</f>
        <v>11LjI8dT24ysu__meBaYGcbljxaJygwTu</v>
      </c>
      <c r="G230" s="53" t="e">
        <f t="shared" ca="1" si="0"/>
        <v>#NAME?</v>
      </c>
    </row>
    <row r="231" spans="1:7">
      <c r="A231" s="42" t="s">
        <v>3113</v>
      </c>
      <c r="B231" s="49" t="s">
        <v>3114</v>
      </c>
      <c r="C231" s="50" t="s">
        <v>3115</v>
      </c>
      <c r="D231" s="46" t="str">
        <f ca="1">IFERROR(__xludf.DUMMYFUNCTION("REGEXEXTRACT(C231, ""\d+"")"),"170002084311")</f>
        <v>170002084311</v>
      </c>
      <c r="E231" s="44" t="s">
        <v>2428</v>
      </c>
      <c r="F231" s="46" t="str">
        <f ca="1">IFERROR(__xludf.DUMMYFUNCTION("REGEXEXTRACT(B231, ""id=([a-zA-Z0-9-_]+)&amp;usp"")"),"12QI2jqo_3Qg54FAJlZRcraQP8tIWYHHY")</f>
        <v>12QI2jqo_3Qg54FAJlZRcraQP8tIWYHHY</v>
      </c>
      <c r="G231" s="53" t="e">
        <f t="shared" ca="1" si="0"/>
        <v>#NAME?</v>
      </c>
    </row>
    <row r="232" spans="1:7">
      <c r="A232" s="42" t="s">
        <v>3116</v>
      </c>
      <c r="B232" s="49" t="s">
        <v>3117</v>
      </c>
      <c r="C232" s="50" t="s">
        <v>3118</v>
      </c>
      <c r="D232" s="46" t="str">
        <f ca="1">IFERROR(__xludf.DUMMYFUNCTION("REGEXEXTRACT(C232, ""\d+"")"),"170002114410")</f>
        <v>170002114410</v>
      </c>
      <c r="E232" s="44" t="s">
        <v>2428</v>
      </c>
      <c r="F232" s="46" t="str">
        <f ca="1">IFERROR(__xludf.DUMMYFUNCTION("REGEXEXTRACT(B232, ""id=([a-zA-Z0-9-_]+)&amp;usp"")"),"13JRMmjdBRWQ04ivd6cDqLZLue5ctlQji")</f>
        <v>13JRMmjdBRWQ04ivd6cDqLZLue5ctlQji</v>
      </c>
      <c r="G232" s="53" t="e">
        <f t="shared" ca="1" si="0"/>
        <v>#NAME?</v>
      </c>
    </row>
    <row r="233" spans="1:7">
      <c r="A233" s="42" t="s">
        <v>3119</v>
      </c>
      <c r="B233" s="49" t="s">
        <v>3120</v>
      </c>
      <c r="C233" s="50" t="s">
        <v>3121</v>
      </c>
      <c r="D233" s="46" t="str">
        <f ca="1">IFERROR(__xludf.DUMMYFUNCTION("REGEXEXTRACT(C233, ""\d+"")"),"170002083103")</f>
        <v>170002083103</v>
      </c>
      <c r="E233" s="44" t="s">
        <v>2428</v>
      </c>
      <c r="F233" s="46" t="str">
        <f ca="1">IFERROR(__xludf.DUMMYFUNCTION("REGEXEXTRACT(B233, ""id=([a-zA-Z0-9-_]+)&amp;usp"")"),"15eCgbL4ZUBrH6Vw6jGW4xd5crdQhgwln")</f>
        <v>15eCgbL4ZUBrH6Vw6jGW4xd5crdQhgwln</v>
      </c>
      <c r="G233" s="53" t="e">
        <f t="shared" ca="1" si="0"/>
        <v>#NAME?</v>
      </c>
    </row>
    <row r="234" spans="1:7">
      <c r="A234" s="42" t="s">
        <v>3122</v>
      </c>
      <c r="B234" s="49" t="s">
        <v>3123</v>
      </c>
      <c r="C234" s="50" t="s">
        <v>3124</v>
      </c>
      <c r="D234" s="46" t="str">
        <f ca="1">IFERROR(__xludf.DUMMYFUNCTION("REGEXEXTRACT(C234, ""\d+"")"),"170002136286")</f>
        <v>170002136286</v>
      </c>
      <c r="E234" s="44" t="s">
        <v>2428</v>
      </c>
      <c r="F234" s="46" t="str">
        <f ca="1">IFERROR(__xludf.DUMMYFUNCTION("REGEXEXTRACT(B234, ""id=([a-zA-Z0-9-_]+)&amp;usp"")"),"17ntdWdwOuBT7uan8n2M-_CcPamETeZAG")</f>
        <v>17ntdWdwOuBT7uan8n2M-_CcPamETeZAG</v>
      </c>
      <c r="G234" s="53" t="e">
        <f t="shared" ca="1" si="0"/>
        <v>#NAME?</v>
      </c>
    </row>
    <row r="235" spans="1:7">
      <c r="A235" s="42" t="s">
        <v>3125</v>
      </c>
      <c r="B235" s="49" t="s">
        <v>3126</v>
      </c>
      <c r="C235" s="50" t="s">
        <v>3127</v>
      </c>
      <c r="D235" s="46" t="str">
        <f ca="1">IFERROR(__xludf.DUMMYFUNCTION("REGEXEXTRACT(C235, ""\d+"")"),"170002060120")</f>
        <v>170002060120</v>
      </c>
      <c r="E235" s="44" t="s">
        <v>2428</v>
      </c>
      <c r="F235" s="46" t="str">
        <f ca="1">IFERROR(__xludf.DUMMYFUNCTION("REGEXEXTRACT(B235, ""id=([a-zA-Z0-9-_]+)&amp;usp"")"),"18-1ENe7MqE29fwrG772T73KbPuX0RE9c")</f>
        <v>18-1ENe7MqE29fwrG772T73KbPuX0RE9c</v>
      </c>
      <c r="G235" s="53" t="e">
        <f t="shared" ca="1" si="0"/>
        <v>#NAME?</v>
      </c>
    </row>
    <row r="236" spans="1:7">
      <c r="A236" s="42" t="s">
        <v>3128</v>
      </c>
      <c r="B236" s="49" t="s">
        <v>3129</v>
      </c>
      <c r="C236" s="50" t="s">
        <v>3130</v>
      </c>
      <c r="D236" s="46" t="str">
        <f ca="1">IFERROR(__xludf.DUMMYFUNCTION("REGEXEXTRACT(C236, ""\d+"")"),"170002107312")</f>
        <v>170002107312</v>
      </c>
      <c r="E236" s="44" t="s">
        <v>2428</v>
      </c>
      <c r="F236" s="46" t="str">
        <f ca="1">IFERROR(__xludf.DUMMYFUNCTION("REGEXEXTRACT(B236, ""id=([a-zA-Z0-9-_]+)&amp;usp"")"),"18GPntQ3P9DbSoxyKukNXXrDELAh4rBhv")</f>
        <v>18GPntQ3P9DbSoxyKukNXXrDELAh4rBhv</v>
      </c>
      <c r="G236" s="53" t="e">
        <f t="shared" ca="1" si="0"/>
        <v>#NAME?</v>
      </c>
    </row>
    <row r="237" spans="1:7">
      <c r="A237" s="42" t="s">
        <v>3131</v>
      </c>
      <c r="B237" s="49" t="s">
        <v>3132</v>
      </c>
      <c r="C237" s="50" t="s">
        <v>3133</v>
      </c>
      <c r="D237" s="46" t="str">
        <f ca="1">IFERROR(__xludf.DUMMYFUNCTION("REGEXEXTRACT(C237, ""\d+"")"),"170002117114")</f>
        <v>170002117114</v>
      </c>
      <c r="E237" s="44" t="s">
        <v>2428</v>
      </c>
      <c r="F237" s="46" t="str">
        <f ca="1">IFERROR(__xludf.DUMMYFUNCTION("REGEXEXTRACT(B237, ""id=([a-zA-Z0-9-_]+)&amp;usp"")"),"18W-qn9bPqmX5LX8QCGzNoj96ia4JLZZY")</f>
        <v>18W-qn9bPqmX5LX8QCGzNoj96ia4JLZZY</v>
      </c>
      <c r="G237" s="53" t="e">
        <f t="shared" ca="1" si="0"/>
        <v>#NAME?</v>
      </c>
    </row>
    <row r="238" spans="1:7">
      <c r="A238" s="42" t="s">
        <v>3134</v>
      </c>
      <c r="B238" s="49" t="s">
        <v>3135</v>
      </c>
      <c r="C238" s="50" t="s">
        <v>3136</v>
      </c>
      <c r="D238" s="46" t="str">
        <f ca="1">IFERROR(__xludf.DUMMYFUNCTION("REGEXEXTRACT(C238, ""\d+"")"),"170002131848")</f>
        <v>170002131848</v>
      </c>
      <c r="E238" s="44" t="s">
        <v>2428</v>
      </c>
      <c r="F238" s="46" t="str">
        <f ca="1">IFERROR(__xludf.DUMMYFUNCTION("REGEXEXTRACT(B238, ""id=([a-zA-Z0-9-_]+)&amp;usp"")"),"18tfpr3JnC1Js32Yycue3ElGTzWGmM4np")</f>
        <v>18tfpr3JnC1Js32Yycue3ElGTzWGmM4np</v>
      </c>
      <c r="G238" s="53" t="e">
        <f t="shared" ca="1" si="0"/>
        <v>#NAME?</v>
      </c>
    </row>
    <row r="239" spans="1:7">
      <c r="A239" s="42" t="s">
        <v>3137</v>
      </c>
      <c r="B239" s="49" t="s">
        <v>3138</v>
      </c>
      <c r="C239" s="50" t="s">
        <v>3139</v>
      </c>
      <c r="D239" s="46" t="str">
        <f ca="1">IFERROR(__xludf.DUMMYFUNCTION("REGEXEXTRACT(C239, ""\d+"")"),"170002084564")</f>
        <v>170002084564</v>
      </c>
      <c r="E239" s="44" t="s">
        <v>2428</v>
      </c>
      <c r="F239" s="46" t="str">
        <f ca="1">IFERROR(__xludf.DUMMYFUNCTION("REGEXEXTRACT(B239, ""id=([a-zA-Z0-9-_]+)&amp;usp"")"),"1A77v4rSQBQ30aNffHVZ247paxoQkMvRa")</f>
        <v>1A77v4rSQBQ30aNffHVZ247paxoQkMvRa</v>
      </c>
      <c r="G239" s="53" t="e">
        <f t="shared" ca="1" si="0"/>
        <v>#NAME?</v>
      </c>
    </row>
    <row r="240" spans="1:7">
      <c r="A240" s="42" t="s">
        <v>3140</v>
      </c>
      <c r="B240" s="49" t="s">
        <v>3141</v>
      </c>
      <c r="C240" s="50" t="s">
        <v>3142</v>
      </c>
      <c r="D240" s="46" t="str">
        <f ca="1">IFERROR(__xludf.DUMMYFUNCTION("REGEXEXTRACT(C240, ""\d+"")"),"170002083487")</f>
        <v>170002083487</v>
      </c>
      <c r="E240" s="44" t="s">
        <v>2428</v>
      </c>
      <c r="F240" s="46" t="str">
        <f ca="1">IFERROR(__xludf.DUMMYFUNCTION("REGEXEXTRACT(B240, ""id=([a-zA-Z0-9-_]+)&amp;usp"")"),"1ABBWcxsK3_ZL__nCot1JnJkUZwTXR-mg")</f>
        <v>1ABBWcxsK3_ZL__nCot1JnJkUZwTXR-mg</v>
      </c>
      <c r="G240" s="53" t="e">
        <f t="shared" ca="1" si="0"/>
        <v>#NAME?</v>
      </c>
    </row>
    <row r="241" spans="1:7">
      <c r="A241" s="42" t="s">
        <v>3143</v>
      </c>
      <c r="B241" s="49" t="s">
        <v>3144</v>
      </c>
      <c r="C241" s="50" t="s">
        <v>3145</v>
      </c>
      <c r="D241" s="46" t="str">
        <f ca="1">IFERROR(__xludf.DUMMYFUNCTION("REGEXEXTRACT(C241, ""\d+"")"),"170002110211")</f>
        <v>170002110211</v>
      </c>
      <c r="E241" s="44" t="s">
        <v>2428</v>
      </c>
      <c r="F241" s="46" t="str">
        <f ca="1">IFERROR(__xludf.DUMMYFUNCTION("REGEXEXTRACT(B241, ""id=([a-zA-Z0-9-_]+)&amp;usp"")"),"1Ag-rjvYKc8eC4FgYwWqWHjYPY4nHQVIf")</f>
        <v>1Ag-rjvYKc8eC4FgYwWqWHjYPY4nHQVIf</v>
      </c>
      <c r="G241" s="53" t="e">
        <f t="shared" ca="1" si="0"/>
        <v>#NAME?</v>
      </c>
    </row>
    <row r="242" spans="1:7">
      <c r="A242" s="42" t="s">
        <v>3146</v>
      </c>
      <c r="B242" s="49" t="s">
        <v>3147</v>
      </c>
      <c r="C242" s="50" t="s">
        <v>3148</v>
      </c>
      <c r="D242" s="46" t="str">
        <f ca="1">IFERROR(__xludf.DUMMYFUNCTION("REGEXEXTRACT(C242, ""\d+"")"),"170002064100")</f>
        <v>170002064100</v>
      </c>
      <c r="E242" s="44" t="s">
        <v>2428</v>
      </c>
      <c r="F242" s="46" t="str">
        <f ca="1">IFERROR(__xludf.DUMMYFUNCTION("REGEXEXTRACT(B242, ""id=([a-zA-Z0-9-_]+)&amp;usp"")"),"1CBPX2SkdgwnCnFlouOVYHPNHmwEsyxBq")</f>
        <v>1CBPX2SkdgwnCnFlouOVYHPNHmwEsyxBq</v>
      </c>
      <c r="G242" s="53" t="e">
        <f t="shared" ca="1" si="0"/>
        <v>#NAME?</v>
      </c>
    </row>
    <row r="243" spans="1:7">
      <c r="A243" s="42" t="s">
        <v>3149</v>
      </c>
      <c r="B243" s="49" t="s">
        <v>3150</v>
      </c>
      <c r="C243" s="50" t="s">
        <v>3151</v>
      </c>
      <c r="D243" s="46" t="str">
        <f ca="1">IFERROR(__xludf.DUMMYFUNCTION("REGEXEXTRACT(C243, ""\d+"")"),"170002104102")</f>
        <v>170002104102</v>
      </c>
      <c r="E243" s="44" t="s">
        <v>2428</v>
      </c>
      <c r="F243" s="46" t="str">
        <f ca="1">IFERROR(__xludf.DUMMYFUNCTION("REGEXEXTRACT(B243, ""id=([a-zA-Z0-9-_]+)&amp;usp"")"),"1DZJ1_-7n1HDWAzwjF37bBkEyL9_JW-67")</f>
        <v>1DZJ1_-7n1HDWAzwjF37bBkEyL9_JW-67</v>
      </c>
      <c r="G243" s="53" t="e">
        <f t="shared" ca="1" si="0"/>
        <v>#NAME?</v>
      </c>
    </row>
    <row r="244" spans="1:7">
      <c r="A244" s="42" t="s">
        <v>3152</v>
      </c>
      <c r="B244" s="49" t="s">
        <v>3153</v>
      </c>
      <c r="C244" s="50" t="s">
        <v>3154</v>
      </c>
      <c r="D244" s="46" t="str">
        <f ca="1">IFERROR(__xludf.DUMMYFUNCTION("REGEXEXTRACT(C244, ""\d+"")"),"170002125689")</f>
        <v>170002125689</v>
      </c>
      <c r="E244" s="44" t="s">
        <v>2428</v>
      </c>
      <c r="F244" s="46" t="str">
        <f ca="1">IFERROR(__xludf.DUMMYFUNCTION("REGEXEXTRACT(B244, ""id=([a-zA-Z0-9-_]+)&amp;usp"")"),"1DhKocJCB6yLnMnT1FWbMarrtgdpFHQ4B")</f>
        <v>1DhKocJCB6yLnMnT1FWbMarrtgdpFHQ4B</v>
      </c>
      <c r="G244" s="53" t="e">
        <f t="shared" ca="1" si="0"/>
        <v>#NAME?</v>
      </c>
    </row>
    <row r="245" spans="1:7">
      <c r="A245" s="42" t="s">
        <v>3155</v>
      </c>
      <c r="B245" s="49" t="s">
        <v>3156</v>
      </c>
      <c r="C245" s="50" t="s">
        <v>3157</v>
      </c>
      <c r="D245" s="46" t="str">
        <f ca="1">IFERROR(__xludf.DUMMYFUNCTION("REGEXEXTRACT(C245, ""\d+"")"),"170002123636")</f>
        <v>170002123636</v>
      </c>
      <c r="E245" s="44" t="s">
        <v>2428</v>
      </c>
      <c r="F245" s="46" t="str">
        <f ca="1">IFERROR(__xludf.DUMMYFUNCTION("REGEXEXTRACT(B245, ""id=([a-zA-Z0-9-_]+)&amp;usp"")"),"1EL1VJgKnZbP6vtiSrQaPwTqMoMErgSRE")</f>
        <v>1EL1VJgKnZbP6vtiSrQaPwTqMoMErgSRE</v>
      </c>
      <c r="G245" s="53" t="e">
        <f t="shared" ca="1" si="0"/>
        <v>#NAME?</v>
      </c>
    </row>
    <row r="246" spans="1:7">
      <c r="A246" s="42" t="s">
        <v>3158</v>
      </c>
      <c r="B246" s="49" t="s">
        <v>3159</v>
      </c>
      <c r="C246" s="50" t="s">
        <v>3160</v>
      </c>
      <c r="D246" s="46" t="str">
        <f ca="1">IFERROR(__xludf.DUMMYFUNCTION("REGEXEXTRACT(C246, ""\d+"")"),"170002119155")</f>
        <v>170002119155</v>
      </c>
      <c r="E246" s="44" t="s">
        <v>2428</v>
      </c>
      <c r="F246" s="46" t="str">
        <f ca="1">IFERROR(__xludf.DUMMYFUNCTION("REGEXEXTRACT(B246, ""id=([a-zA-Z0-9-_]+)&amp;usp"")"),"1F6xQsL-ywT7dTKBKd4yOWQA455TwbO2_")</f>
        <v>1F6xQsL-ywT7dTKBKd4yOWQA455TwbO2_</v>
      </c>
      <c r="G246" s="53" t="e">
        <f t="shared" ca="1" si="0"/>
        <v>#NAME?</v>
      </c>
    </row>
    <row r="247" spans="1:7">
      <c r="A247" s="42" t="s">
        <v>3161</v>
      </c>
      <c r="B247" s="49" t="s">
        <v>3162</v>
      </c>
      <c r="C247" s="50" t="s">
        <v>3163</v>
      </c>
      <c r="D247" s="46" t="str">
        <f ca="1">IFERROR(__xludf.DUMMYFUNCTION("REGEXEXTRACT(C247, ""\d+"")"),"170002119872")</f>
        <v>170002119872</v>
      </c>
      <c r="E247" s="44" t="s">
        <v>2428</v>
      </c>
      <c r="F247" s="46" t="str">
        <f ca="1">IFERROR(__xludf.DUMMYFUNCTION("REGEXEXTRACT(B247, ""id=([a-zA-Z0-9-_]+)&amp;usp"")"),"1FD6mw6DVm8R4SVDPH8_UWg10uww-wRu3")</f>
        <v>1FD6mw6DVm8R4SVDPH8_UWg10uww-wRu3</v>
      </c>
      <c r="G247" s="53" t="e">
        <f t="shared" ca="1" si="0"/>
        <v>#NAME?</v>
      </c>
    </row>
    <row r="248" spans="1:7">
      <c r="A248" s="42" t="s">
        <v>3164</v>
      </c>
      <c r="B248" s="49" t="s">
        <v>3165</v>
      </c>
      <c r="C248" s="50" t="s">
        <v>3166</v>
      </c>
      <c r="D248" s="46" t="str">
        <f ca="1">IFERROR(__xludf.DUMMYFUNCTION("REGEXEXTRACT(C248, ""\d+"")"),"170002105166")</f>
        <v>170002105166</v>
      </c>
      <c r="E248" s="44" t="s">
        <v>2428</v>
      </c>
      <c r="F248" s="46" t="str">
        <f ca="1">IFERROR(__xludf.DUMMYFUNCTION("REGEXEXTRACT(B248, ""id=([a-zA-Z0-9-_]+)&amp;usp"")"),"1IF6fBpcrOEqDgpjJFmgZEM9U2Tz-TqMu")</f>
        <v>1IF6fBpcrOEqDgpjJFmgZEM9U2Tz-TqMu</v>
      </c>
      <c r="G248" s="53" t="e">
        <f t="shared" ca="1" si="0"/>
        <v>#NAME?</v>
      </c>
    </row>
    <row r="249" spans="1:7">
      <c r="A249" s="42" t="s">
        <v>3167</v>
      </c>
      <c r="B249" s="49" t="s">
        <v>3168</v>
      </c>
      <c r="C249" s="50" t="s">
        <v>3169</v>
      </c>
      <c r="D249" s="46" t="str">
        <f ca="1">IFERROR(__xludf.DUMMYFUNCTION("REGEXEXTRACT(C249, ""\d+"")"),"170002061556")</f>
        <v>170002061556</v>
      </c>
      <c r="E249" s="44" t="s">
        <v>2428</v>
      </c>
      <c r="F249" s="46" t="str">
        <f ca="1">IFERROR(__xludf.DUMMYFUNCTION("REGEXEXTRACT(B249, ""id=([a-zA-Z0-9-_]+)&amp;usp"")"),"1JNTfvUA9e-HUC-Dq3wWFJUP7a_o0ih7f")</f>
        <v>1JNTfvUA9e-HUC-Dq3wWFJUP7a_o0ih7f</v>
      </c>
      <c r="G249" s="53" t="e">
        <f t="shared" ca="1" si="0"/>
        <v>#NAME?</v>
      </c>
    </row>
    <row r="250" spans="1:7">
      <c r="A250" s="42" t="s">
        <v>3170</v>
      </c>
      <c r="B250" s="49" t="s">
        <v>3171</v>
      </c>
      <c r="C250" s="50" t="s">
        <v>3172</v>
      </c>
      <c r="D250" s="46" t="str">
        <f ca="1">IFERROR(__xludf.DUMMYFUNCTION("REGEXEXTRACT(C250, ""\d+"")"),"170002095597")</f>
        <v>170002095597</v>
      </c>
      <c r="E250" s="44" t="s">
        <v>2428</v>
      </c>
      <c r="F250" s="46" t="str">
        <f ca="1">IFERROR(__xludf.DUMMYFUNCTION("REGEXEXTRACT(B250, ""id=([a-zA-Z0-9-_]+)&amp;usp"")"),"1KBtk8uXVeJYMYgIm4byiZ5RnC-UOvcb3")</f>
        <v>1KBtk8uXVeJYMYgIm4byiZ5RnC-UOvcb3</v>
      </c>
      <c r="G250" s="53" t="e">
        <f t="shared" ca="1" si="0"/>
        <v>#NAME?</v>
      </c>
    </row>
    <row r="251" spans="1:7">
      <c r="A251" s="42" t="s">
        <v>3173</v>
      </c>
      <c r="B251" s="49" t="s">
        <v>3174</v>
      </c>
      <c r="C251" s="50" t="s">
        <v>3175</v>
      </c>
      <c r="D251" s="46" t="str">
        <f ca="1">IFERROR(__xludf.DUMMYFUNCTION("REGEXEXTRACT(C251, ""\d+"")"),"170002134006")</f>
        <v>170002134006</v>
      </c>
      <c r="E251" s="44" t="s">
        <v>2428</v>
      </c>
      <c r="F251" s="46" t="str">
        <f ca="1">IFERROR(__xludf.DUMMYFUNCTION("REGEXEXTRACT(B251, ""id=([a-zA-Z0-9-_]+)&amp;usp"")"),"1KZmx9BFguu9P21UD7eyFdwag4N5NPLAz")</f>
        <v>1KZmx9BFguu9P21UD7eyFdwag4N5NPLAz</v>
      </c>
      <c r="G251" s="53" t="e">
        <f t="shared" ca="1" si="0"/>
        <v>#NAME?</v>
      </c>
    </row>
    <row r="252" spans="1:7">
      <c r="A252" s="42" t="s">
        <v>3176</v>
      </c>
      <c r="B252" s="49" t="s">
        <v>3177</v>
      </c>
      <c r="C252" s="50" t="s">
        <v>3178</v>
      </c>
      <c r="D252" s="46" t="str">
        <f ca="1">IFERROR(__xludf.DUMMYFUNCTION("REGEXEXTRACT(C252, ""\d+"")"),"170002106094")</f>
        <v>170002106094</v>
      </c>
      <c r="E252" s="44" t="s">
        <v>2428</v>
      </c>
      <c r="F252" s="46" t="str">
        <f ca="1">IFERROR(__xludf.DUMMYFUNCTION("REGEXEXTRACT(B252, ""id=([a-zA-Z0-9-_]+)&amp;usp"")"),"1KipDnnL_fLi-UG8RZqHPGJvY480_LpuL")</f>
        <v>1KipDnnL_fLi-UG8RZqHPGJvY480_LpuL</v>
      </c>
      <c r="G252" s="53" t="e">
        <f t="shared" ca="1" si="0"/>
        <v>#NAME?</v>
      </c>
    </row>
    <row r="253" spans="1:7">
      <c r="A253" s="42" t="s">
        <v>3179</v>
      </c>
      <c r="B253" s="49" t="s">
        <v>3180</v>
      </c>
      <c r="C253" s="50" t="s">
        <v>3181</v>
      </c>
      <c r="D253" s="46" t="str">
        <f ca="1">IFERROR(__xludf.DUMMYFUNCTION("REGEXEXTRACT(C253, ""\d+"")"),"170002106820")</f>
        <v>170002106820</v>
      </c>
      <c r="E253" s="44" t="s">
        <v>2428</v>
      </c>
      <c r="F253" s="46" t="str">
        <f ca="1">IFERROR(__xludf.DUMMYFUNCTION("REGEXEXTRACT(B253, ""id=([a-zA-Z0-9-_]+)&amp;usp"")"),"1KjIJ27vzFDltUT1m8zNlJ77e3JHBO5SX")</f>
        <v>1KjIJ27vzFDltUT1m8zNlJ77e3JHBO5SX</v>
      </c>
      <c r="G253" s="53" t="e">
        <f t="shared" ca="1" si="0"/>
        <v>#NAME?</v>
      </c>
    </row>
    <row r="254" spans="1:7">
      <c r="A254" s="42" t="s">
        <v>3182</v>
      </c>
      <c r="B254" s="49" t="s">
        <v>3183</v>
      </c>
      <c r="C254" s="50" t="s">
        <v>3184</v>
      </c>
      <c r="D254" s="46" t="str">
        <f ca="1">IFERROR(__xludf.DUMMYFUNCTION("REGEXEXTRACT(C254, ""\d+"")"),"170002139229")</f>
        <v>170002139229</v>
      </c>
      <c r="E254" s="44" t="s">
        <v>2428</v>
      </c>
      <c r="F254" s="46" t="str">
        <f ca="1">IFERROR(__xludf.DUMMYFUNCTION("REGEXEXTRACT(B254, ""id=([a-zA-Z0-9-_]+)&amp;usp"")"),"1KpyWpPH4vi4vWvURtZSLYzVafXONPvuG")</f>
        <v>1KpyWpPH4vi4vWvURtZSLYzVafXONPvuG</v>
      </c>
      <c r="G254" s="53" t="e">
        <f t="shared" ca="1" si="0"/>
        <v>#NAME?</v>
      </c>
    </row>
    <row r="255" spans="1:7">
      <c r="A255" s="42" t="s">
        <v>3185</v>
      </c>
      <c r="B255" s="49" t="s">
        <v>3186</v>
      </c>
      <c r="C255" s="50" t="s">
        <v>3187</v>
      </c>
      <c r="D255" s="46" t="str">
        <f ca="1">IFERROR(__xludf.DUMMYFUNCTION("REGEXEXTRACT(C255, ""\d+"")"),"170002104777")</f>
        <v>170002104777</v>
      </c>
      <c r="E255" s="44" t="s">
        <v>2428</v>
      </c>
      <c r="F255" s="46" t="str">
        <f ca="1">IFERROR(__xludf.DUMMYFUNCTION("REGEXEXTRACT(B255, ""id=([a-zA-Z0-9-_]+)&amp;usp"")"),"1LW1YdwuW4NZzCvNoiW1CMWyXCEALuNdt")</f>
        <v>1LW1YdwuW4NZzCvNoiW1CMWyXCEALuNdt</v>
      </c>
      <c r="G255" s="53" t="e">
        <f t="shared" ca="1" si="0"/>
        <v>#NAME?</v>
      </c>
    </row>
    <row r="256" spans="1:7">
      <c r="A256" s="42" t="s">
        <v>3188</v>
      </c>
      <c r="B256" s="49" t="s">
        <v>3189</v>
      </c>
      <c r="C256" s="50" t="s">
        <v>3190</v>
      </c>
      <c r="D256" s="46" t="str">
        <f ca="1">IFERROR(__xludf.DUMMYFUNCTION("REGEXEXTRACT(C256, ""\d+"")"),"170002069327")</f>
        <v>170002069327</v>
      </c>
      <c r="E256" s="44" t="s">
        <v>2428</v>
      </c>
      <c r="F256" s="46" t="str">
        <f ca="1">IFERROR(__xludf.DUMMYFUNCTION("REGEXEXTRACT(B256, ""id=([a-zA-Z0-9-_]+)&amp;usp"")"),"1NB6hseDnxcqrtVo--jfu46ah0iszyoMF")</f>
        <v>1NB6hseDnxcqrtVo--jfu46ah0iszyoMF</v>
      </c>
      <c r="G256" s="53" t="e">
        <f t="shared" ca="1" si="0"/>
        <v>#NAME?</v>
      </c>
    </row>
    <row r="257" spans="1:7">
      <c r="A257" s="42" t="s">
        <v>3191</v>
      </c>
      <c r="B257" s="49" t="s">
        <v>3192</v>
      </c>
      <c r="C257" s="50" t="s">
        <v>3193</v>
      </c>
      <c r="D257" s="46" t="str">
        <f ca="1">IFERROR(__xludf.DUMMYFUNCTION("REGEXEXTRACT(C257, ""\d+"")"),"170002107841")</f>
        <v>170002107841</v>
      </c>
      <c r="E257" s="44" t="s">
        <v>2428</v>
      </c>
      <c r="F257" s="46" t="str">
        <f ca="1">IFERROR(__xludf.DUMMYFUNCTION("REGEXEXTRACT(B257, ""id=([a-zA-Z0-9-_]+)&amp;usp"")"),"1Nir27iWQ6BmI3hwPc4nPR4Axbn3P-J3c")</f>
        <v>1Nir27iWQ6BmI3hwPc4nPR4Axbn3P-J3c</v>
      </c>
      <c r="G257" s="53" t="e">
        <f t="shared" ref="G257:G504" ca="1" si="1">_xludf.CONCAT(E257,F257)</f>
        <v>#NAME?</v>
      </c>
    </row>
    <row r="258" spans="1:7">
      <c r="A258" s="42" t="s">
        <v>3194</v>
      </c>
      <c r="B258" s="49" t="s">
        <v>3195</v>
      </c>
      <c r="C258" s="50" t="s">
        <v>3196</v>
      </c>
      <c r="D258" s="46" t="str">
        <f ca="1">IFERROR(__xludf.DUMMYFUNCTION("REGEXEXTRACT(C258, ""\d+"")"),"170002059855")</f>
        <v>170002059855</v>
      </c>
      <c r="E258" s="44" t="s">
        <v>2428</v>
      </c>
      <c r="F258" s="46" t="str">
        <f ca="1">IFERROR(__xludf.DUMMYFUNCTION("REGEXEXTRACT(B258, ""id=([a-zA-Z0-9-_]+)&amp;usp"")"),"1Nwpl8fngJ5rWnghbEsCLvlq7BWkrvGWK")</f>
        <v>1Nwpl8fngJ5rWnghbEsCLvlq7BWkrvGWK</v>
      </c>
      <c r="G258" s="53" t="e">
        <f t="shared" ca="1" si="1"/>
        <v>#NAME?</v>
      </c>
    </row>
    <row r="259" spans="1:7">
      <c r="A259" s="42" t="s">
        <v>3197</v>
      </c>
      <c r="B259" s="49" t="s">
        <v>3198</v>
      </c>
      <c r="C259" s="50" t="s">
        <v>3199</v>
      </c>
      <c r="D259" s="46" t="str">
        <f ca="1">IFERROR(__xludf.DUMMYFUNCTION("REGEXEXTRACT(C259, ""\d+"")"),"170002085455")</f>
        <v>170002085455</v>
      </c>
      <c r="E259" s="44" t="s">
        <v>2428</v>
      </c>
      <c r="F259" s="46" t="str">
        <f ca="1">IFERROR(__xludf.DUMMYFUNCTION("REGEXEXTRACT(B259, ""id=([a-zA-Z0-9-_]+)&amp;usp"")"),"1OGKpw_2eQQiOFcrPl-H4B6RDbYcTqUr0")</f>
        <v>1OGKpw_2eQQiOFcrPl-H4B6RDbYcTqUr0</v>
      </c>
      <c r="G259" s="53" t="e">
        <f t="shared" ca="1" si="1"/>
        <v>#NAME?</v>
      </c>
    </row>
    <row r="260" spans="1:7">
      <c r="A260" s="42" t="s">
        <v>3200</v>
      </c>
      <c r="B260" s="49" t="s">
        <v>3201</v>
      </c>
      <c r="C260" s="50" t="s">
        <v>3202</v>
      </c>
      <c r="D260" s="46" t="str">
        <f ca="1">IFERROR(__xludf.DUMMYFUNCTION("REGEXEXTRACT(C260, ""\d+"")"),"170002065338")</f>
        <v>170002065338</v>
      </c>
      <c r="E260" s="44" t="s">
        <v>2428</v>
      </c>
      <c r="F260" s="46" t="str">
        <f ca="1">IFERROR(__xludf.DUMMYFUNCTION("REGEXEXTRACT(B260, ""id=([a-zA-Z0-9-_]+)&amp;usp"")"),"1Ply5r7m0i6ZqYNhUpk3PNSa1Oc8EJV0Y")</f>
        <v>1Ply5r7m0i6ZqYNhUpk3PNSa1Oc8EJV0Y</v>
      </c>
      <c r="G260" s="53" t="e">
        <f t="shared" ca="1" si="1"/>
        <v>#NAME?</v>
      </c>
    </row>
    <row r="261" spans="1:7">
      <c r="A261" s="42" t="s">
        <v>3203</v>
      </c>
      <c r="B261" s="49" t="s">
        <v>3204</v>
      </c>
      <c r="C261" s="50" t="s">
        <v>3205</v>
      </c>
      <c r="D261" s="46" t="str">
        <f ca="1">IFERROR(__xludf.DUMMYFUNCTION("REGEXEXTRACT(C261, ""\d+"")"),"170002135219")</f>
        <v>170002135219</v>
      </c>
      <c r="E261" s="44" t="s">
        <v>2428</v>
      </c>
      <c r="F261" s="46" t="str">
        <f ca="1">IFERROR(__xludf.DUMMYFUNCTION("REGEXEXTRACT(B261, ""id=([a-zA-Z0-9-_]+)&amp;usp"")"),"1Q-m3cFgozOQP1TLxp9sJUe_ghOYnbUqM")</f>
        <v>1Q-m3cFgozOQP1TLxp9sJUe_ghOYnbUqM</v>
      </c>
      <c r="G261" s="53" t="e">
        <f t="shared" ca="1" si="1"/>
        <v>#NAME?</v>
      </c>
    </row>
    <row r="262" spans="1:7">
      <c r="A262" s="42" t="s">
        <v>3206</v>
      </c>
      <c r="B262" s="49" t="s">
        <v>3207</v>
      </c>
      <c r="C262" s="50" t="s">
        <v>3208</v>
      </c>
      <c r="D262" s="46" t="str">
        <f ca="1">IFERROR(__xludf.DUMMYFUNCTION("REGEXEXTRACT(C262, ""\d+"")"),"170002128218")</f>
        <v>170002128218</v>
      </c>
      <c r="E262" s="44" t="s">
        <v>2428</v>
      </c>
      <c r="F262" s="46" t="str">
        <f ca="1">IFERROR(__xludf.DUMMYFUNCTION("REGEXEXTRACT(B262, ""id=([a-zA-Z0-9-_]+)&amp;usp"")"),"1QB6qW0UGKSivxX3t5xk4od42JRyXcJHo")</f>
        <v>1QB6qW0UGKSivxX3t5xk4od42JRyXcJHo</v>
      </c>
      <c r="G262" s="53" t="e">
        <f t="shared" ca="1" si="1"/>
        <v>#NAME?</v>
      </c>
    </row>
    <row r="263" spans="1:7">
      <c r="A263" s="42" t="s">
        <v>3209</v>
      </c>
      <c r="B263" s="49" t="s">
        <v>3210</v>
      </c>
      <c r="C263" s="50" t="s">
        <v>3211</v>
      </c>
      <c r="D263" s="46" t="str">
        <f ca="1">IFERROR(__xludf.DUMMYFUNCTION("REGEXEXTRACT(C263, ""\d+"")"),"170002118670")</f>
        <v>170002118670</v>
      </c>
      <c r="E263" s="44" t="s">
        <v>2428</v>
      </c>
      <c r="F263" s="46" t="str">
        <f ca="1">IFERROR(__xludf.DUMMYFUNCTION("REGEXEXTRACT(B263, ""id=([a-zA-Z0-9-_]+)&amp;usp"")"),"1RP7gCzZaJxGQvVh8tmjbo7tEoxAyDQTK")</f>
        <v>1RP7gCzZaJxGQvVh8tmjbo7tEoxAyDQTK</v>
      </c>
      <c r="G263" s="53" t="e">
        <f t="shared" ca="1" si="1"/>
        <v>#NAME?</v>
      </c>
    </row>
    <row r="264" spans="1:7">
      <c r="A264" s="42" t="s">
        <v>3212</v>
      </c>
      <c r="B264" s="49" t="s">
        <v>3213</v>
      </c>
      <c r="C264" s="50" t="s">
        <v>3214</v>
      </c>
      <c r="D264" s="46" t="str">
        <f ca="1">IFERROR(__xludf.DUMMYFUNCTION("REGEXEXTRACT(C264, ""\d+"")"),"170002113489")</f>
        <v>170002113489</v>
      </c>
      <c r="E264" s="44" t="s">
        <v>2428</v>
      </c>
      <c r="F264" s="46" t="str">
        <f ca="1">IFERROR(__xludf.DUMMYFUNCTION("REGEXEXTRACT(B264, ""id=([a-zA-Z0-9-_]+)&amp;usp"")"),"1RrdfO-rullTSL5n0cdmIdLxRae34WKiP")</f>
        <v>1RrdfO-rullTSL5n0cdmIdLxRae34WKiP</v>
      </c>
      <c r="G264" s="53" t="e">
        <f t="shared" ca="1" si="1"/>
        <v>#NAME?</v>
      </c>
    </row>
    <row r="265" spans="1:7">
      <c r="A265" s="42" t="s">
        <v>3215</v>
      </c>
      <c r="B265" s="49" t="s">
        <v>3216</v>
      </c>
      <c r="C265" s="50" t="s">
        <v>3217</v>
      </c>
      <c r="D265" s="46" t="str">
        <f ca="1">IFERROR(__xludf.DUMMYFUNCTION("REGEXEXTRACT(C265, ""\d+"")"),"170002107584")</f>
        <v>170002107584</v>
      </c>
      <c r="E265" s="44" t="s">
        <v>2428</v>
      </c>
      <c r="F265" s="46" t="str">
        <f ca="1">IFERROR(__xludf.DUMMYFUNCTION("REGEXEXTRACT(B265, ""id=([a-zA-Z0-9-_]+)&amp;usp"")"),"1Rtp9zHiQeQJ4nrswV9uOnlIVqDyLWWYz")</f>
        <v>1Rtp9zHiQeQJ4nrswV9uOnlIVqDyLWWYz</v>
      </c>
      <c r="G265" s="53" t="e">
        <f t="shared" ca="1" si="1"/>
        <v>#NAME?</v>
      </c>
    </row>
    <row r="266" spans="1:7">
      <c r="A266" s="42" t="s">
        <v>3218</v>
      </c>
      <c r="B266" s="49" t="s">
        <v>3219</v>
      </c>
      <c r="C266" s="50" t="s">
        <v>3220</v>
      </c>
      <c r="D266" s="46" t="str">
        <f ca="1">IFERROR(__xludf.DUMMYFUNCTION("REGEXEXTRACT(C266, ""\d+"")"),"170002120541")</f>
        <v>170002120541</v>
      </c>
      <c r="E266" s="44" t="s">
        <v>2428</v>
      </c>
      <c r="F266" s="46" t="str">
        <f ca="1">IFERROR(__xludf.DUMMYFUNCTION("REGEXEXTRACT(B266, ""id=([a-zA-Z0-9-_]+)&amp;usp"")"),"1RxnzUzKBOZkSysPNfgCvtttgy0P6WOP6")</f>
        <v>1RxnzUzKBOZkSysPNfgCvtttgy0P6WOP6</v>
      </c>
      <c r="G266" s="53" t="e">
        <f t="shared" ca="1" si="1"/>
        <v>#NAME?</v>
      </c>
    </row>
    <row r="267" spans="1:7">
      <c r="A267" s="42" t="s">
        <v>3221</v>
      </c>
      <c r="B267" s="49" t="s">
        <v>3222</v>
      </c>
      <c r="C267" s="50" t="s">
        <v>3223</v>
      </c>
      <c r="D267" s="46" t="str">
        <f ca="1">IFERROR(__xludf.DUMMYFUNCTION("REGEXEXTRACT(C267, ""\d+"")"),"170002112661")</f>
        <v>170002112661</v>
      </c>
      <c r="E267" s="44" t="s">
        <v>2428</v>
      </c>
      <c r="F267" s="46" t="str">
        <f ca="1">IFERROR(__xludf.DUMMYFUNCTION("REGEXEXTRACT(B267, ""id=([a-zA-Z0-9-_]+)&amp;usp"")"),"1S-dRPWlHQKEoBgPejeOjyCIHKl8PLJJM")</f>
        <v>1S-dRPWlHQKEoBgPejeOjyCIHKl8PLJJM</v>
      </c>
      <c r="G267" s="53" t="e">
        <f t="shared" ca="1" si="1"/>
        <v>#NAME?</v>
      </c>
    </row>
    <row r="268" spans="1:7">
      <c r="A268" s="42" t="s">
        <v>3224</v>
      </c>
      <c r="B268" s="49" t="s">
        <v>3225</v>
      </c>
      <c r="C268" s="50" t="s">
        <v>3226</v>
      </c>
      <c r="D268" s="46" t="str">
        <f ca="1">IFERROR(__xludf.DUMMYFUNCTION("REGEXEXTRACT(C268, ""\d+"")"),"170002097895")</f>
        <v>170002097895</v>
      </c>
      <c r="E268" s="44" t="s">
        <v>2428</v>
      </c>
      <c r="F268" s="46" t="str">
        <f ca="1">IFERROR(__xludf.DUMMYFUNCTION("REGEXEXTRACT(B268, ""id=([a-zA-Z0-9-_]+)&amp;usp"")"),"1SeddOgzmq5pzQyLIza8CrTyUcB-X5FEl")</f>
        <v>1SeddOgzmq5pzQyLIza8CrTyUcB-X5FEl</v>
      </c>
      <c r="G268" s="53" t="e">
        <f t="shared" ca="1" si="1"/>
        <v>#NAME?</v>
      </c>
    </row>
    <row r="269" spans="1:7">
      <c r="A269" s="42" t="s">
        <v>3227</v>
      </c>
      <c r="B269" s="49" t="s">
        <v>3228</v>
      </c>
      <c r="C269" s="50" t="s">
        <v>3229</v>
      </c>
      <c r="D269" s="46" t="str">
        <f ca="1">IFERROR(__xludf.DUMMYFUNCTION("REGEXEXTRACT(C269, ""\d+"")"),"170002129682")</f>
        <v>170002129682</v>
      </c>
      <c r="E269" s="44" t="s">
        <v>2428</v>
      </c>
      <c r="F269" s="46" t="str">
        <f ca="1">IFERROR(__xludf.DUMMYFUNCTION("REGEXEXTRACT(B269, ""id=([a-zA-Z0-9-_]+)&amp;usp"")"),"1SzDBQMRVE-Vj5jt1RnvluApJgqDPQB66")</f>
        <v>1SzDBQMRVE-Vj5jt1RnvluApJgqDPQB66</v>
      </c>
      <c r="G269" s="53" t="e">
        <f t="shared" ca="1" si="1"/>
        <v>#NAME?</v>
      </c>
    </row>
    <row r="270" spans="1:7">
      <c r="A270" s="42" t="s">
        <v>3230</v>
      </c>
      <c r="B270" s="49" t="s">
        <v>3231</v>
      </c>
      <c r="C270" s="50" t="s">
        <v>3232</v>
      </c>
      <c r="D270" s="46" t="str">
        <f ca="1">IFERROR(__xludf.DUMMYFUNCTION("REGEXEXTRACT(C270, ""\d+"")"),"170002084657")</f>
        <v>170002084657</v>
      </c>
      <c r="E270" s="44" t="s">
        <v>2428</v>
      </c>
      <c r="F270" s="46" t="str">
        <f ca="1">IFERROR(__xludf.DUMMYFUNCTION("REGEXEXTRACT(B270, ""id=([a-zA-Z0-9-_]+)&amp;usp"")"),"1T-Mw7DI5FaZUc_NvaeZwJb78s55WlKLY")</f>
        <v>1T-Mw7DI5FaZUc_NvaeZwJb78s55WlKLY</v>
      </c>
      <c r="G270" s="53" t="e">
        <f t="shared" ca="1" si="1"/>
        <v>#NAME?</v>
      </c>
    </row>
    <row r="271" spans="1:7">
      <c r="A271" s="42" t="s">
        <v>3233</v>
      </c>
      <c r="B271" s="49" t="s">
        <v>3234</v>
      </c>
      <c r="C271" s="50" t="s">
        <v>3235</v>
      </c>
      <c r="D271" s="46" t="str">
        <f ca="1">IFERROR(__xludf.DUMMYFUNCTION("REGEXEXTRACT(C271, ""\d+"")"),"170002127894")</f>
        <v>170002127894</v>
      </c>
      <c r="E271" s="44" t="s">
        <v>2428</v>
      </c>
      <c r="F271" s="46" t="str">
        <f ca="1">IFERROR(__xludf.DUMMYFUNCTION("REGEXEXTRACT(B271, ""id=([a-zA-Z0-9-_]+)&amp;usp"")"),"1TeWp0BQAxo6eV4zaOhEpEm5li-m0G3J0")</f>
        <v>1TeWp0BQAxo6eV4zaOhEpEm5li-m0G3J0</v>
      </c>
      <c r="G271" s="53" t="e">
        <f t="shared" ca="1" si="1"/>
        <v>#NAME?</v>
      </c>
    </row>
    <row r="272" spans="1:7">
      <c r="A272" s="42" t="s">
        <v>3236</v>
      </c>
      <c r="B272" s="49" t="s">
        <v>3237</v>
      </c>
      <c r="C272" s="50" t="s">
        <v>3238</v>
      </c>
      <c r="D272" s="46" t="str">
        <f ca="1">IFERROR(__xludf.DUMMYFUNCTION("REGEXEXTRACT(C272, ""\d+"")"),"170002106408")</f>
        <v>170002106408</v>
      </c>
      <c r="E272" s="44" t="s">
        <v>2428</v>
      </c>
      <c r="F272" s="46" t="str">
        <f ca="1">IFERROR(__xludf.DUMMYFUNCTION("REGEXEXTRACT(B272, ""id=([a-zA-Z0-9-_]+)&amp;usp"")"),"1TfaJDHRZL7W80ELylZDPbLq9tawZ3k9Z")</f>
        <v>1TfaJDHRZL7W80ELylZDPbLq9tawZ3k9Z</v>
      </c>
      <c r="G272" s="53" t="e">
        <f t="shared" ca="1" si="1"/>
        <v>#NAME?</v>
      </c>
    </row>
    <row r="273" spans="1:7">
      <c r="A273" s="42" t="s">
        <v>3239</v>
      </c>
      <c r="B273" s="49" t="s">
        <v>3240</v>
      </c>
      <c r="C273" s="50" t="s">
        <v>3241</v>
      </c>
      <c r="D273" s="46" t="str">
        <f ca="1">IFERROR(__xludf.DUMMYFUNCTION("REGEXEXTRACT(C273, ""\d+"")"),"170002084558")</f>
        <v>170002084558</v>
      </c>
      <c r="E273" s="44" t="s">
        <v>2428</v>
      </c>
      <c r="F273" s="46" t="str">
        <f ca="1">IFERROR(__xludf.DUMMYFUNCTION("REGEXEXTRACT(B273, ""id=([a-zA-Z0-9-_]+)&amp;usp"")"),"1TsWXuByjjMmyqowMraXWTlG8aEx-eJEY")</f>
        <v>1TsWXuByjjMmyqowMraXWTlG8aEx-eJEY</v>
      </c>
      <c r="G273" s="53" t="e">
        <f t="shared" ca="1" si="1"/>
        <v>#NAME?</v>
      </c>
    </row>
    <row r="274" spans="1:7">
      <c r="A274" s="42" t="s">
        <v>3242</v>
      </c>
      <c r="B274" s="49" t="s">
        <v>3243</v>
      </c>
      <c r="C274" s="50" t="s">
        <v>3244</v>
      </c>
      <c r="D274" s="46" t="str">
        <f ca="1">IFERROR(__xludf.DUMMYFUNCTION("REGEXEXTRACT(C274, ""\d+"")"),"170002116323")</f>
        <v>170002116323</v>
      </c>
      <c r="E274" s="44" t="s">
        <v>2428</v>
      </c>
      <c r="F274" s="46" t="str">
        <f ca="1">IFERROR(__xludf.DUMMYFUNCTION("REGEXEXTRACT(B274, ""id=([a-zA-Z0-9-_]+)&amp;usp"")"),"1UFVVLFn2sNtynluQFhWTYDCcyJNVqhSN")</f>
        <v>1UFVVLFn2sNtynluQFhWTYDCcyJNVqhSN</v>
      </c>
      <c r="G274" s="53" t="e">
        <f t="shared" ca="1" si="1"/>
        <v>#NAME?</v>
      </c>
    </row>
    <row r="275" spans="1:7">
      <c r="A275" s="42" t="s">
        <v>3245</v>
      </c>
      <c r="B275" s="49" t="s">
        <v>3246</v>
      </c>
      <c r="C275" s="50" t="s">
        <v>3247</v>
      </c>
      <c r="D275" s="46" t="str">
        <f ca="1">IFERROR(__xludf.DUMMYFUNCTION("REGEXEXTRACT(C275, ""\d+"")"),"170002088549")</f>
        <v>170002088549</v>
      </c>
      <c r="E275" s="44" t="s">
        <v>2428</v>
      </c>
      <c r="F275" s="46" t="str">
        <f ca="1">IFERROR(__xludf.DUMMYFUNCTION("REGEXEXTRACT(B275, ""id=([a-zA-Z0-9-_]+)&amp;usp"")"),"1VXyKJfhZhHsXyJIZBClfo3aR9FalGMFe")</f>
        <v>1VXyKJfhZhHsXyJIZBClfo3aR9FalGMFe</v>
      </c>
      <c r="G275" s="53" t="e">
        <f t="shared" ca="1" si="1"/>
        <v>#NAME?</v>
      </c>
    </row>
    <row r="276" spans="1:7">
      <c r="A276" s="42" t="s">
        <v>3248</v>
      </c>
      <c r="B276" s="49" t="s">
        <v>3249</v>
      </c>
      <c r="C276" s="50" t="s">
        <v>3250</v>
      </c>
      <c r="D276" s="46" t="str">
        <f ca="1">IFERROR(__xludf.DUMMYFUNCTION("REGEXEXTRACT(C276, ""\d+"")"),"170002095626")</f>
        <v>170002095626</v>
      </c>
      <c r="E276" s="44" t="s">
        <v>2428</v>
      </c>
      <c r="F276" s="46" t="str">
        <f ca="1">IFERROR(__xludf.DUMMYFUNCTION("REGEXEXTRACT(B276, ""id=([a-zA-Z0-9-_]+)&amp;usp"")"),"1WZw8kHbRhfRPJ6Au5r-Xb-AW4HulzdzY")</f>
        <v>1WZw8kHbRhfRPJ6Au5r-Xb-AW4HulzdzY</v>
      </c>
      <c r="G276" s="53" t="e">
        <f t="shared" ca="1" si="1"/>
        <v>#NAME?</v>
      </c>
    </row>
    <row r="277" spans="1:7">
      <c r="A277" s="42" t="s">
        <v>3251</v>
      </c>
      <c r="B277" s="49" t="s">
        <v>3252</v>
      </c>
      <c r="C277" s="50" t="s">
        <v>3253</v>
      </c>
      <c r="D277" s="46" t="str">
        <f ca="1">IFERROR(__xludf.DUMMYFUNCTION("REGEXEXTRACT(C277, ""\d+"")"),"170002106615")</f>
        <v>170002106615</v>
      </c>
      <c r="E277" s="44" t="s">
        <v>2428</v>
      </c>
      <c r="F277" s="46" t="str">
        <f ca="1">IFERROR(__xludf.DUMMYFUNCTION("REGEXEXTRACT(B277, ""id=([a-zA-Z0-9-_]+)&amp;usp"")"),"1X8f8c_1pmww8X9lyOzaW3f71u__DBTO4")</f>
        <v>1X8f8c_1pmww8X9lyOzaW3f71u__DBTO4</v>
      </c>
      <c r="G277" s="53" t="e">
        <f t="shared" ca="1" si="1"/>
        <v>#NAME?</v>
      </c>
    </row>
    <row r="278" spans="1:7">
      <c r="A278" s="42" t="s">
        <v>3254</v>
      </c>
      <c r="B278" s="49" t="s">
        <v>3255</v>
      </c>
      <c r="C278" s="50" t="s">
        <v>3256</v>
      </c>
      <c r="D278" s="46" t="str">
        <f ca="1">IFERROR(__xludf.DUMMYFUNCTION("REGEXEXTRACT(C278, ""\d+"")"),"170002081741")</f>
        <v>170002081741</v>
      </c>
      <c r="E278" s="44" t="s">
        <v>2428</v>
      </c>
      <c r="F278" s="46" t="str">
        <f ca="1">IFERROR(__xludf.DUMMYFUNCTION("REGEXEXTRACT(B278, ""id=([a-zA-Z0-9-_]+)&amp;usp"")"),"1Xf1SvnXHMMkb84QG7xgQQxMY8GOdPb0g")</f>
        <v>1Xf1SvnXHMMkb84QG7xgQQxMY8GOdPb0g</v>
      </c>
      <c r="G278" s="53" t="e">
        <f t="shared" ca="1" si="1"/>
        <v>#NAME?</v>
      </c>
    </row>
    <row r="279" spans="1:7">
      <c r="A279" s="42" t="s">
        <v>3257</v>
      </c>
      <c r="B279" s="49" t="s">
        <v>3258</v>
      </c>
      <c r="C279" s="50" t="s">
        <v>3259</v>
      </c>
      <c r="D279" s="46" t="str">
        <f ca="1">IFERROR(__xludf.DUMMYFUNCTION("REGEXEXTRACT(C279, ""\d+"")"),"170002132314")</f>
        <v>170002132314</v>
      </c>
      <c r="E279" s="44" t="s">
        <v>2428</v>
      </c>
      <c r="F279" s="46" t="str">
        <f ca="1">IFERROR(__xludf.DUMMYFUNCTION("REGEXEXTRACT(B279, ""id=([a-zA-Z0-9-_]+)&amp;usp"")"),"1XkONym0_KM_GWR0kurPVOprW6iLjc-BB")</f>
        <v>1XkONym0_KM_GWR0kurPVOprW6iLjc-BB</v>
      </c>
      <c r="G279" s="53" t="e">
        <f t="shared" ca="1" si="1"/>
        <v>#NAME?</v>
      </c>
    </row>
    <row r="280" spans="1:7">
      <c r="A280" s="42" t="s">
        <v>3260</v>
      </c>
      <c r="B280" s="49" t="s">
        <v>3261</v>
      </c>
      <c r="C280" s="50" t="s">
        <v>3262</v>
      </c>
      <c r="D280" s="46" t="str">
        <f ca="1">IFERROR(__xludf.DUMMYFUNCTION("REGEXEXTRACT(C280, ""\d+"")"),"170002121571")</f>
        <v>170002121571</v>
      </c>
      <c r="E280" s="44" t="s">
        <v>2428</v>
      </c>
      <c r="F280" s="46" t="str">
        <f ca="1">IFERROR(__xludf.DUMMYFUNCTION("REGEXEXTRACT(B280, ""id=([a-zA-Z0-9-_]+)&amp;usp"")"),"1YdqBWY7AOqNLpfBXwXJmxbHHVEiCsLoP")</f>
        <v>1YdqBWY7AOqNLpfBXwXJmxbHHVEiCsLoP</v>
      </c>
      <c r="G280" s="53" t="e">
        <f t="shared" ca="1" si="1"/>
        <v>#NAME?</v>
      </c>
    </row>
    <row r="281" spans="1:7">
      <c r="A281" s="42" t="s">
        <v>3263</v>
      </c>
      <c r="B281" s="49" t="s">
        <v>3264</v>
      </c>
      <c r="C281" s="50" t="s">
        <v>3265</v>
      </c>
      <c r="D281" s="46" t="str">
        <f ca="1">IFERROR(__xludf.DUMMYFUNCTION("REGEXEXTRACT(C281, ""\d+"")"),"170002115644")</f>
        <v>170002115644</v>
      </c>
      <c r="E281" s="44" t="s">
        <v>2428</v>
      </c>
      <c r="F281" s="46" t="str">
        <f ca="1">IFERROR(__xludf.DUMMYFUNCTION("REGEXEXTRACT(B281, ""id=([a-zA-Z0-9-_]+)&amp;usp"")"),"1ZROzXtfVyof3r1Xfpqljb7S1mz0tlUY-")</f>
        <v>1ZROzXtfVyof3r1Xfpqljb7S1mz0tlUY-</v>
      </c>
      <c r="G281" s="53" t="e">
        <f t="shared" ca="1" si="1"/>
        <v>#NAME?</v>
      </c>
    </row>
    <row r="282" spans="1:7">
      <c r="A282" s="42" t="s">
        <v>3266</v>
      </c>
      <c r="B282" s="49" t="s">
        <v>3267</v>
      </c>
      <c r="C282" s="50" t="s">
        <v>3268</v>
      </c>
      <c r="D282" s="46" t="str">
        <f ca="1">IFERROR(__xludf.DUMMYFUNCTION("REGEXEXTRACT(C282, ""\d+"")"),"170002113931")</f>
        <v>170002113931</v>
      </c>
      <c r="E282" s="44" t="s">
        <v>2428</v>
      </c>
      <c r="F282" s="46" t="str">
        <f ca="1">IFERROR(__xludf.DUMMYFUNCTION("REGEXEXTRACT(B282, ""id=([a-zA-Z0-9-_]+)&amp;usp"")"),"1_Jx2vD8SxQiIFBzVKcwIw4fb3Hnn59CE")</f>
        <v>1_Jx2vD8SxQiIFBzVKcwIw4fb3Hnn59CE</v>
      </c>
      <c r="G282" s="53" t="e">
        <f t="shared" ca="1" si="1"/>
        <v>#NAME?</v>
      </c>
    </row>
    <row r="283" spans="1:7">
      <c r="A283" s="42" t="s">
        <v>3269</v>
      </c>
      <c r="B283" s="49" t="s">
        <v>3270</v>
      </c>
      <c r="C283" s="50" t="s">
        <v>3271</v>
      </c>
      <c r="D283" s="46" t="str">
        <f ca="1">IFERROR(__xludf.DUMMYFUNCTION("REGEXEXTRACT(C283, ""\d+"")"),"170002097760")</f>
        <v>170002097760</v>
      </c>
      <c r="E283" s="44" t="s">
        <v>2428</v>
      </c>
      <c r="F283" s="46" t="str">
        <f ca="1">IFERROR(__xludf.DUMMYFUNCTION("REGEXEXTRACT(B283, ""id=([a-zA-Z0-9-_]+)&amp;usp"")"),"1aMEZzukHsDjjgfBC227ZSRISaQF0yhPF")</f>
        <v>1aMEZzukHsDjjgfBC227ZSRISaQF0yhPF</v>
      </c>
      <c r="G283" s="53" t="e">
        <f t="shared" ca="1" si="1"/>
        <v>#NAME?</v>
      </c>
    </row>
    <row r="284" spans="1:7">
      <c r="A284" s="42" t="s">
        <v>3272</v>
      </c>
      <c r="B284" s="49" t="s">
        <v>3273</v>
      </c>
      <c r="C284" s="50" t="s">
        <v>3274</v>
      </c>
      <c r="D284" s="46" t="str">
        <f ca="1">IFERROR(__xludf.DUMMYFUNCTION("REGEXEXTRACT(C284, ""\d+"")"),"170002124703")</f>
        <v>170002124703</v>
      </c>
      <c r="E284" s="44" t="s">
        <v>2428</v>
      </c>
      <c r="F284" s="46" t="str">
        <f ca="1">IFERROR(__xludf.DUMMYFUNCTION("REGEXEXTRACT(B284, ""id=([a-zA-Z0-9-_]+)&amp;usp"")"),"1aZo0I-PMU2NZrGlVsdQMMwWbiypiayu-")</f>
        <v>1aZo0I-PMU2NZrGlVsdQMMwWbiypiayu-</v>
      </c>
      <c r="G284" s="53" t="e">
        <f t="shared" ca="1" si="1"/>
        <v>#NAME?</v>
      </c>
    </row>
    <row r="285" spans="1:7">
      <c r="A285" s="42" t="s">
        <v>3275</v>
      </c>
      <c r="B285" s="49" t="s">
        <v>3276</v>
      </c>
      <c r="C285" s="50" t="s">
        <v>3277</v>
      </c>
      <c r="D285" s="46" t="str">
        <f ca="1">IFERROR(__xludf.DUMMYFUNCTION("REGEXEXTRACT(C285, ""\d+"")"),"170002117894")</f>
        <v>170002117894</v>
      </c>
      <c r="E285" s="44" t="s">
        <v>2428</v>
      </c>
      <c r="F285" s="46" t="str">
        <f ca="1">IFERROR(__xludf.DUMMYFUNCTION("REGEXEXTRACT(B285, ""id=([a-zA-Z0-9-_]+)&amp;usp"")"),"1b4kD0yjiKuA33AKJfwjAna-i51cMxXkd")</f>
        <v>1b4kD0yjiKuA33AKJfwjAna-i51cMxXkd</v>
      </c>
      <c r="G285" s="53" t="e">
        <f t="shared" ca="1" si="1"/>
        <v>#NAME?</v>
      </c>
    </row>
    <row r="286" spans="1:7">
      <c r="A286" s="42" t="s">
        <v>3278</v>
      </c>
      <c r="B286" s="49" t="s">
        <v>3279</v>
      </c>
      <c r="C286" s="50" t="s">
        <v>3280</v>
      </c>
      <c r="D286" s="46" t="str">
        <f ca="1">IFERROR(__xludf.DUMMYFUNCTION("REGEXEXTRACT(C286, ""\d+"")"),"170002064743")</f>
        <v>170002064743</v>
      </c>
      <c r="E286" s="44" t="s">
        <v>2428</v>
      </c>
      <c r="F286" s="46" t="str">
        <f ca="1">IFERROR(__xludf.DUMMYFUNCTION("REGEXEXTRACT(B286, ""id=([a-zA-Z0-9-_]+)&amp;usp"")"),"1fQh1_lU85rznmneeW4iFVYb3vvZyGja5")</f>
        <v>1fQh1_lU85rznmneeW4iFVYb3vvZyGja5</v>
      </c>
      <c r="G286" s="53" t="e">
        <f t="shared" ca="1" si="1"/>
        <v>#NAME?</v>
      </c>
    </row>
    <row r="287" spans="1:7">
      <c r="A287" s="42" t="s">
        <v>3281</v>
      </c>
      <c r="B287" s="49" t="s">
        <v>3282</v>
      </c>
      <c r="C287" s="50" t="s">
        <v>3283</v>
      </c>
      <c r="D287" s="46" t="str">
        <f ca="1">IFERROR(__xludf.DUMMYFUNCTION("REGEXEXTRACT(C287, ""\d+"")"),"170002105560")</f>
        <v>170002105560</v>
      </c>
      <c r="E287" s="44" t="s">
        <v>2428</v>
      </c>
      <c r="F287" s="46" t="str">
        <f ca="1">IFERROR(__xludf.DUMMYFUNCTION("REGEXEXTRACT(B287, ""id=([a-zA-Z0-9-_]+)&amp;usp"")"),"1fmQSlDTQ510UYImViIGyNJUgbHlmSiW9")</f>
        <v>1fmQSlDTQ510UYImViIGyNJUgbHlmSiW9</v>
      </c>
      <c r="G287" s="53" t="e">
        <f t="shared" ca="1" si="1"/>
        <v>#NAME?</v>
      </c>
    </row>
    <row r="288" spans="1:7">
      <c r="A288" s="42" t="s">
        <v>3284</v>
      </c>
      <c r="B288" s="49" t="s">
        <v>3285</v>
      </c>
      <c r="C288" s="50" t="s">
        <v>3286</v>
      </c>
      <c r="D288" s="46" t="str">
        <f ca="1">IFERROR(__xludf.DUMMYFUNCTION("REGEXEXTRACT(C288, ""\d+"")"),"170002105453")</f>
        <v>170002105453</v>
      </c>
      <c r="E288" s="44" t="s">
        <v>2428</v>
      </c>
      <c r="F288" s="46" t="str">
        <f ca="1">IFERROR(__xludf.DUMMYFUNCTION("REGEXEXTRACT(B288, ""id=([a-zA-Z0-9-_]+)&amp;usp"")"),"1fp1q24rJZ_TRfCG31iRnp4U8-7tdZNXH")</f>
        <v>1fp1q24rJZ_TRfCG31iRnp4U8-7tdZNXH</v>
      </c>
      <c r="G288" s="53" t="e">
        <f t="shared" ca="1" si="1"/>
        <v>#NAME?</v>
      </c>
    </row>
    <row r="289" spans="1:7">
      <c r="A289" s="42" t="s">
        <v>3287</v>
      </c>
      <c r="B289" s="49" t="s">
        <v>3288</v>
      </c>
      <c r="C289" s="50" t="s">
        <v>3289</v>
      </c>
      <c r="D289" s="46" t="str">
        <f ca="1">IFERROR(__xludf.DUMMYFUNCTION("REGEXEXTRACT(C289, ""\d+"")"),"170002126877")</f>
        <v>170002126877</v>
      </c>
      <c r="E289" s="44" t="s">
        <v>2428</v>
      </c>
      <c r="F289" s="46" t="str">
        <f ca="1">IFERROR(__xludf.DUMMYFUNCTION("REGEXEXTRACT(B289, ""id=([a-zA-Z0-9-_]+)&amp;usp"")"),"1gS6TkSr42Df5UILoVcZJnOG1mMp06tLO")</f>
        <v>1gS6TkSr42Df5UILoVcZJnOG1mMp06tLO</v>
      </c>
      <c r="G289" s="53" t="e">
        <f t="shared" ca="1" si="1"/>
        <v>#NAME?</v>
      </c>
    </row>
    <row r="290" spans="1:7">
      <c r="A290" s="42" t="s">
        <v>3290</v>
      </c>
      <c r="B290" s="49" t="s">
        <v>3291</v>
      </c>
      <c r="C290" s="50" t="s">
        <v>3292</v>
      </c>
      <c r="D290" s="46" t="str">
        <f ca="1">IFERROR(__xludf.DUMMYFUNCTION("REGEXEXTRACT(C290, ""\d+"")"),"170002063929")</f>
        <v>170002063929</v>
      </c>
      <c r="E290" s="44" t="s">
        <v>2428</v>
      </c>
      <c r="F290" s="46" t="str">
        <f ca="1">IFERROR(__xludf.DUMMYFUNCTION("REGEXEXTRACT(B290, ""id=([a-zA-Z0-9-_]+)&amp;usp"")"),"1gTMio6YNGcTzf7WbtM6VYYHaq-ksTDiN")</f>
        <v>1gTMio6YNGcTzf7WbtM6VYYHaq-ksTDiN</v>
      </c>
      <c r="G290" s="53" t="e">
        <f t="shared" ca="1" si="1"/>
        <v>#NAME?</v>
      </c>
    </row>
    <row r="291" spans="1:7">
      <c r="A291" s="42" t="s">
        <v>3293</v>
      </c>
      <c r="B291" s="49" t="s">
        <v>3294</v>
      </c>
      <c r="C291" s="50" t="s">
        <v>3295</v>
      </c>
      <c r="D291" s="46" t="str">
        <f ca="1">IFERROR(__xludf.DUMMYFUNCTION("REGEXEXTRACT(C291, ""\d+"")"),"170002084016")</f>
        <v>170002084016</v>
      </c>
      <c r="E291" s="44" t="s">
        <v>2428</v>
      </c>
      <c r="F291" s="46" t="str">
        <f ca="1">IFERROR(__xludf.DUMMYFUNCTION("REGEXEXTRACT(B291, ""id=([a-zA-Z0-9-_]+)&amp;usp"")"),"1gXT0So5QrlwlmYEB6XJOmc6tc2m76CR_")</f>
        <v>1gXT0So5QrlwlmYEB6XJOmc6tc2m76CR_</v>
      </c>
      <c r="G291" s="53" t="e">
        <f t="shared" ca="1" si="1"/>
        <v>#NAME?</v>
      </c>
    </row>
    <row r="292" spans="1:7">
      <c r="A292" s="42" t="s">
        <v>3296</v>
      </c>
      <c r="B292" s="49" t="s">
        <v>3297</v>
      </c>
      <c r="C292" s="50" t="s">
        <v>3298</v>
      </c>
      <c r="D292" s="46" t="str">
        <f ca="1">IFERROR(__xludf.DUMMYFUNCTION("REGEXEXTRACT(C292, ""\d+"")"),"170002122002")</f>
        <v>170002122002</v>
      </c>
      <c r="E292" s="44" t="s">
        <v>2428</v>
      </c>
      <c r="F292" s="46" t="str">
        <f ca="1">IFERROR(__xludf.DUMMYFUNCTION("REGEXEXTRACT(B292, ""id=([a-zA-Z0-9-_]+)&amp;usp"")"),"1gpu-9T6ipKiL9ERmNg54DGte5o9VyHZm")</f>
        <v>1gpu-9T6ipKiL9ERmNg54DGte5o9VyHZm</v>
      </c>
      <c r="G292" s="53" t="e">
        <f t="shared" ca="1" si="1"/>
        <v>#NAME?</v>
      </c>
    </row>
    <row r="293" spans="1:7">
      <c r="A293" s="42" t="s">
        <v>3299</v>
      </c>
      <c r="B293" s="49" t="s">
        <v>3300</v>
      </c>
      <c r="C293" s="50" t="s">
        <v>3301</v>
      </c>
      <c r="D293" s="46" t="str">
        <f ca="1">IFERROR(__xludf.DUMMYFUNCTION("REGEXEXTRACT(C293, ""\d+"")"),"170002099062")</f>
        <v>170002099062</v>
      </c>
      <c r="E293" s="44" t="s">
        <v>2428</v>
      </c>
      <c r="F293" s="46" t="str">
        <f ca="1">IFERROR(__xludf.DUMMYFUNCTION("REGEXEXTRACT(B293, ""id=([a-zA-Z0-9-_]+)&amp;usp"")"),"1h4yzP00aiifVzeH9CYrNsaqSRRCMIYCV")</f>
        <v>1h4yzP00aiifVzeH9CYrNsaqSRRCMIYCV</v>
      </c>
      <c r="G293" s="53" t="e">
        <f t="shared" ca="1" si="1"/>
        <v>#NAME?</v>
      </c>
    </row>
    <row r="294" spans="1:7">
      <c r="A294" s="42" t="s">
        <v>3302</v>
      </c>
      <c r="B294" s="49" t="s">
        <v>3303</v>
      </c>
      <c r="C294" s="50" t="s">
        <v>3304</v>
      </c>
      <c r="D294" s="46" t="str">
        <f ca="1">IFERROR(__xludf.DUMMYFUNCTION("REGEXEXTRACT(C294, ""\d+"")"),"170002118093")</f>
        <v>170002118093</v>
      </c>
      <c r="E294" s="44" t="s">
        <v>2428</v>
      </c>
      <c r="F294" s="46" t="str">
        <f ca="1">IFERROR(__xludf.DUMMYFUNCTION("REGEXEXTRACT(B294, ""id=([a-zA-Z0-9-_]+)&amp;usp"")"),"1hdu8JcJhnCfsXxD0hp0FEivWR1dUdpoU")</f>
        <v>1hdu8JcJhnCfsXxD0hp0FEivWR1dUdpoU</v>
      </c>
      <c r="G294" s="53" t="e">
        <f t="shared" ca="1" si="1"/>
        <v>#NAME?</v>
      </c>
    </row>
    <row r="295" spans="1:7">
      <c r="A295" s="42" t="s">
        <v>3305</v>
      </c>
      <c r="B295" s="49" t="s">
        <v>3306</v>
      </c>
      <c r="C295" s="50" t="s">
        <v>3307</v>
      </c>
      <c r="D295" s="46" t="str">
        <f ca="1">IFERROR(__xludf.DUMMYFUNCTION("REGEXEXTRACT(C295, ""\d+"")"),"170002068186")</f>
        <v>170002068186</v>
      </c>
      <c r="E295" s="44" t="s">
        <v>2428</v>
      </c>
      <c r="F295" s="46" t="str">
        <f ca="1">IFERROR(__xludf.DUMMYFUNCTION("REGEXEXTRACT(B295, ""id=([a-zA-Z0-9-_]+)&amp;usp"")"),"1imRdy5OMP66P5YU3zy1ftjEqvnyS9Zue")</f>
        <v>1imRdy5OMP66P5YU3zy1ftjEqvnyS9Zue</v>
      </c>
      <c r="G295" s="53" t="e">
        <f t="shared" ca="1" si="1"/>
        <v>#NAME?</v>
      </c>
    </row>
    <row r="296" spans="1:7">
      <c r="A296" s="42" t="s">
        <v>3308</v>
      </c>
      <c r="B296" s="49" t="s">
        <v>3309</v>
      </c>
      <c r="C296" s="50" t="s">
        <v>3310</v>
      </c>
      <c r="D296" s="46" t="str">
        <f ca="1">IFERROR(__xludf.DUMMYFUNCTION("REGEXEXTRACT(C296, ""\d+"")"),"170002134914")</f>
        <v>170002134914</v>
      </c>
      <c r="E296" s="44" t="s">
        <v>2428</v>
      </c>
      <c r="F296" s="46" t="str">
        <f ca="1">IFERROR(__xludf.DUMMYFUNCTION("REGEXEXTRACT(B296, ""id=([a-zA-Z0-9-_]+)&amp;usp"")"),"1k28fvxdUeCMP83bzVaZvhKddwe_zxMuj")</f>
        <v>1k28fvxdUeCMP83bzVaZvhKddwe_zxMuj</v>
      </c>
      <c r="G296" s="53" t="e">
        <f t="shared" ca="1" si="1"/>
        <v>#NAME?</v>
      </c>
    </row>
    <row r="297" spans="1:7">
      <c r="A297" s="42" t="s">
        <v>3311</v>
      </c>
      <c r="B297" s="49" t="s">
        <v>3312</v>
      </c>
      <c r="C297" s="50" t="s">
        <v>3313</v>
      </c>
      <c r="D297" s="46" t="str">
        <f ca="1">IFERROR(__xludf.DUMMYFUNCTION("REGEXEXTRACT(C297, ""\d+"")"),"170002087604")</f>
        <v>170002087604</v>
      </c>
      <c r="E297" s="44" t="s">
        <v>2428</v>
      </c>
      <c r="F297" s="46" t="str">
        <f ca="1">IFERROR(__xludf.DUMMYFUNCTION("REGEXEXTRACT(B297, ""id=([a-zA-Z0-9-_]+)&amp;usp"")"),"1kUbisHRumvlJ8llTCjGqRpUz8nLg9gBi")</f>
        <v>1kUbisHRumvlJ8llTCjGqRpUz8nLg9gBi</v>
      </c>
      <c r="G297" s="53" t="e">
        <f t="shared" ca="1" si="1"/>
        <v>#NAME?</v>
      </c>
    </row>
    <row r="298" spans="1:7">
      <c r="A298" s="42" t="s">
        <v>3314</v>
      </c>
      <c r="B298" s="49" t="s">
        <v>3315</v>
      </c>
      <c r="C298" s="50" t="s">
        <v>3316</v>
      </c>
      <c r="D298" s="46" t="str">
        <f ca="1">IFERROR(__xludf.DUMMYFUNCTION("REGEXEXTRACT(C298, ""\d+"")"),"170002132261")</f>
        <v>170002132261</v>
      </c>
      <c r="E298" s="44" t="s">
        <v>2428</v>
      </c>
      <c r="F298" s="46" t="str">
        <f ca="1">IFERROR(__xludf.DUMMYFUNCTION("REGEXEXTRACT(B298, ""id=([a-zA-Z0-9-_]+)&amp;usp"")"),"1kng42Yw_fj_mBz9fb8hZDse4P-aOuXL1")</f>
        <v>1kng42Yw_fj_mBz9fb8hZDse4P-aOuXL1</v>
      </c>
      <c r="G298" s="53" t="e">
        <f t="shared" ca="1" si="1"/>
        <v>#NAME?</v>
      </c>
    </row>
    <row r="299" spans="1:7">
      <c r="A299" s="42" t="s">
        <v>3317</v>
      </c>
      <c r="B299" s="49" t="s">
        <v>3318</v>
      </c>
      <c r="C299" s="50" t="s">
        <v>3319</v>
      </c>
      <c r="D299" s="46" t="str">
        <f ca="1">IFERROR(__xludf.DUMMYFUNCTION("REGEXEXTRACT(C299, ""\d+"")"),"170002110869")</f>
        <v>170002110869</v>
      </c>
      <c r="E299" s="44" t="s">
        <v>2428</v>
      </c>
      <c r="F299" s="46" t="str">
        <f ca="1">IFERROR(__xludf.DUMMYFUNCTION("REGEXEXTRACT(B299, ""id=([a-zA-Z0-9-_]+)&amp;usp"")"),"1lIMVbPUDEcbg3ryltn7baOfTdOyDx1Jd")</f>
        <v>1lIMVbPUDEcbg3ryltn7baOfTdOyDx1Jd</v>
      </c>
      <c r="G299" s="53" t="e">
        <f t="shared" ca="1" si="1"/>
        <v>#NAME?</v>
      </c>
    </row>
    <row r="300" spans="1:7">
      <c r="A300" s="42" t="s">
        <v>3320</v>
      </c>
      <c r="B300" s="49" t="s">
        <v>3321</v>
      </c>
      <c r="C300" s="50" t="s">
        <v>3322</v>
      </c>
      <c r="D300" s="46" t="str">
        <f ca="1">IFERROR(__xludf.DUMMYFUNCTION("REGEXEXTRACT(C300, ""\d+"")"),"170002130606")</f>
        <v>170002130606</v>
      </c>
      <c r="E300" s="44" t="s">
        <v>2428</v>
      </c>
      <c r="F300" s="46" t="str">
        <f ca="1">IFERROR(__xludf.DUMMYFUNCTION("REGEXEXTRACT(B300, ""id=([a-zA-Z0-9-_]+)&amp;usp"")"),"1nfcLswTwQ1wolRHdSC7ndsaTJDfdFIcK")</f>
        <v>1nfcLswTwQ1wolRHdSC7ndsaTJDfdFIcK</v>
      </c>
      <c r="G300" s="53" t="e">
        <f t="shared" ca="1" si="1"/>
        <v>#NAME?</v>
      </c>
    </row>
    <row r="301" spans="1:7">
      <c r="A301" s="42" t="s">
        <v>3323</v>
      </c>
      <c r="B301" s="49" t="s">
        <v>3324</v>
      </c>
      <c r="C301" s="50" t="s">
        <v>3325</v>
      </c>
      <c r="D301" s="46" t="str">
        <f ca="1">IFERROR(__xludf.DUMMYFUNCTION("REGEXEXTRACT(C301, ""\d+"")"),"170002065865")</f>
        <v>170002065865</v>
      </c>
      <c r="E301" s="44" t="s">
        <v>2428</v>
      </c>
      <c r="F301" s="46" t="str">
        <f ca="1">IFERROR(__xludf.DUMMYFUNCTION("REGEXEXTRACT(B301, ""id=([a-zA-Z0-9-_]+)&amp;usp"")"),"1npumc4_q99ma2PoiErLBMXWpDfa85kRC")</f>
        <v>1npumc4_q99ma2PoiErLBMXWpDfa85kRC</v>
      </c>
      <c r="G301" s="53" t="e">
        <f t="shared" ca="1" si="1"/>
        <v>#NAME?</v>
      </c>
    </row>
    <row r="302" spans="1:7">
      <c r="A302" s="42" t="s">
        <v>3326</v>
      </c>
      <c r="B302" s="49" t="s">
        <v>3327</v>
      </c>
      <c r="C302" s="50" t="s">
        <v>3328</v>
      </c>
      <c r="D302" s="46" t="str">
        <f ca="1">IFERROR(__xludf.DUMMYFUNCTION("REGEXEXTRACT(C302, ""\d+"")"),"170002111755")</f>
        <v>170002111755</v>
      </c>
      <c r="E302" s="44" t="s">
        <v>2428</v>
      </c>
      <c r="F302" s="46" t="str">
        <f ca="1">IFERROR(__xludf.DUMMYFUNCTION("REGEXEXTRACT(B302, ""id=([a-zA-Z0-9-_]+)&amp;usp"")"),"1nwxwCb0AJuOqmWS4HdW9R5DeGDJyWB0a")</f>
        <v>1nwxwCb0AJuOqmWS4HdW9R5DeGDJyWB0a</v>
      </c>
      <c r="G302" s="53" t="e">
        <f t="shared" ca="1" si="1"/>
        <v>#NAME?</v>
      </c>
    </row>
    <row r="303" spans="1:7">
      <c r="A303" s="42" t="s">
        <v>3329</v>
      </c>
      <c r="B303" s="49" t="s">
        <v>3330</v>
      </c>
      <c r="C303" s="50" t="s">
        <v>3331</v>
      </c>
      <c r="D303" s="46" t="str">
        <f ca="1">IFERROR(__xludf.DUMMYFUNCTION("REGEXEXTRACT(C303, ""\d+"")"),"170002115864")</f>
        <v>170002115864</v>
      </c>
      <c r="E303" s="44" t="s">
        <v>2428</v>
      </c>
      <c r="F303" s="46" t="str">
        <f ca="1">IFERROR(__xludf.DUMMYFUNCTION("REGEXEXTRACT(B303, ""id=([a-zA-Z0-9-_]+)&amp;usp"")"),"1oCNlN-1ts962xmtmiPFj21lQPBpnhaWb")</f>
        <v>1oCNlN-1ts962xmtmiPFj21lQPBpnhaWb</v>
      </c>
      <c r="G303" s="53" t="e">
        <f t="shared" ca="1" si="1"/>
        <v>#NAME?</v>
      </c>
    </row>
    <row r="304" spans="1:7">
      <c r="A304" s="42" t="s">
        <v>3332</v>
      </c>
      <c r="B304" s="49" t="s">
        <v>3333</v>
      </c>
      <c r="C304" s="50" t="s">
        <v>3334</v>
      </c>
      <c r="D304" s="46" t="str">
        <f ca="1">IFERROR(__xludf.DUMMYFUNCTION("REGEXEXTRACT(C304, ""\d+"")"),"170002132493")</f>
        <v>170002132493</v>
      </c>
      <c r="E304" s="44" t="s">
        <v>2428</v>
      </c>
      <c r="F304" s="46" t="str">
        <f ca="1">IFERROR(__xludf.DUMMYFUNCTION("REGEXEXTRACT(B304, ""id=([a-zA-Z0-9-_]+)&amp;usp"")"),"1oUnYJkYZf9tuEjHMM5sE5EJPIRvZEksY")</f>
        <v>1oUnYJkYZf9tuEjHMM5sE5EJPIRvZEksY</v>
      </c>
      <c r="G304" s="53" t="e">
        <f t="shared" ca="1" si="1"/>
        <v>#NAME?</v>
      </c>
    </row>
    <row r="305" spans="1:7">
      <c r="A305" s="42" t="s">
        <v>3335</v>
      </c>
      <c r="B305" s="49" t="s">
        <v>3336</v>
      </c>
      <c r="C305" s="50" t="s">
        <v>3337</v>
      </c>
      <c r="D305" s="46" t="str">
        <f ca="1">IFERROR(__xludf.DUMMYFUNCTION("REGEXEXTRACT(C305, ""\d+"")"),"170002097927")</f>
        <v>170002097927</v>
      </c>
      <c r="E305" s="44" t="s">
        <v>2428</v>
      </c>
      <c r="F305" s="46" t="str">
        <f ca="1">IFERROR(__xludf.DUMMYFUNCTION("REGEXEXTRACT(B305, ""id=([a-zA-Z0-9-_]+)&amp;usp"")"),"1pX_lKa4hvLYdFKus9tPqILRJibqQi3XQ")</f>
        <v>1pX_lKa4hvLYdFKus9tPqILRJibqQi3XQ</v>
      </c>
      <c r="G305" s="53" t="e">
        <f t="shared" ca="1" si="1"/>
        <v>#NAME?</v>
      </c>
    </row>
    <row r="306" spans="1:7">
      <c r="A306" s="42" t="s">
        <v>3338</v>
      </c>
      <c r="B306" s="49" t="s">
        <v>3339</v>
      </c>
      <c r="C306" s="50" t="s">
        <v>3340</v>
      </c>
      <c r="D306" s="46" t="str">
        <f ca="1">IFERROR(__xludf.DUMMYFUNCTION("REGEXEXTRACT(C306, ""\d+"")"),"170002082167")</f>
        <v>170002082167</v>
      </c>
      <c r="E306" s="44" t="s">
        <v>2428</v>
      </c>
      <c r="F306" s="46" t="str">
        <f ca="1">IFERROR(__xludf.DUMMYFUNCTION("REGEXEXTRACT(B306, ""id=([a-zA-Z0-9-_]+)&amp;usp"")"),"1qq2ke8lDkVGp9ZXKvfeogkdCjEylRCFW")</f>
        <v>1qq2ke8lDkVGp9ZXKvfeogkdCjEylRCFW</v>
      </c>
      <c r="G306" s="53" t="e">
        <f t="shared" ca="1" si="1"/>
        <v>#NAME?</v>
      </c>
    </row>
    <row r="307" spans="1:7">
      <c r="A307" s="42" t="s">
        <v>3341</v>
      </c>
      <c r="B307" s="49" t="s">
        <v>3342</v>
      </c>
      <c r="C307" s="50" t="s">
        <v>3343</v>
      </c>
      <c r="D307" s="46" t="str">
        <f ca="1">IFERROR(__xludf.DUMMYFUNCTION("REGEXEXTRACT(C307, ""\d+"")"),"170002112027")</f>
        <v>170002112027</v>
      </c>
      <c r="E307" s="44" t="s">
        <v>2428</v>
      </c>
      <c r="F307" s="46" t="str">
        <f ca="1">IFERROR(__xludf.DUMMYFUNCTION("REGEXEXTRACT(B307, ""id=([a-zA-Z0-9-_]+)&amp;usp"")"),"1r5j0ItP1WPA-PeC5oQWzlkaM00sO_J8s")</f>
        <v>1r5j0ItP1WPA-PeC5oQWzlkaM00sO_J8s</v>
      </c>
      <c r="G307" s="53" t="e">
        <f t="shared" ca="1" si="1"/>
        <v>#NAME?</v>
      </c>
    </row>
    <row r="308" spans="1:7">
      <c r="A308" s="42" t="s">
        <v>3344</v>
      </c>
      <c r="B308" s="49" t="s">
        <v>3345</v>
      </c>
      <c r="C308" s="50" t="s">
        <v>3346</v>
      </c>
      <c r="D308" s="46" t="str">
        <f ca="1">IFERROR(__xludf.DUMMYFUNCTION("REGEXEXTRACT(C308, ""\d+"")"),"170002082118")</f>
        <v>170002082118</v>
      </c>
      <c r="E308" s="44" t="s">
        <v>2428</v>
      </c>
      <c r="F308" s="46" t="str">
        <f ca="1">IFERROR(__xludf.DUMMYFUNCTION("REGEXEXTRACT(B308, ""id=([a-zA-Z0-9-_]+)&amp;usp"")"),"1rAEokTUNwVPZiszK3vSdDH56A5tKKA3a")</f>
        <v>1rAEokTUNwVPZiszK3vSdDH56A5tKKA3a</v>
      </c>
      <c r="G308" s="53" t="e">
        <f t="shared" ca="1" si="1"/>
        <v>#NAME?</v>
      </c>
    </row>
    <row r="309" spans="1:7">
      <c r="A309" s="42" t="s">
        <v>3347</v>
      </c>
      <c r="B309" s="49" t="s">
        <v>3348</v>
      </c>
      <c r="C309" s="50" t="s">
        <v>3349</v>
      </c>
      <c r="D309" s="46" t="str">
        <f ca="1">IFERROR(__xludf.DUMMYFUNCTION("REGEXEXTRACT(C309, ""\d+"")"),"170002084202")</f>
        <v>170002084202</v>
      </c>
      <c r="E309" s="44" t="s">
        <v>2428</v>
      </c>
      <c r="F309" s="46" t="str">
        <f ca="1">IFERROR(__xludf.DUMMYFUNCTION("REGEXEXTRACT(B309, ""id=([a-zA-Z0-9-_]+)&amp;usp"")"),"1tWCc-7ZqaNBJDMM1TVbZyc6OsvQ3Q5pq")</f>
        <v>1tWCc-7ZqaNBJDMM1TVbZyc6OsvQ3Q5pq</v>
      </c>
      <c r="G309" s="53" t="e">
        <f t="shared" ca="1" si="1"/>
        <v>#NAME?</v>
      </c>
    </row>
    <row r="310" spans="1:7">
      <c r="A310" s="42" t="s">
        <v>3350</v>
      </c>
      <c r="B310" s="49" t="s">
        <v>3351</v>
      </c>
      <c r="C310" s="50" t="s">
        <v>3352</v>
      </c>
      <c r="D310" s="46" t="str">
        <f ca="1">IFERROR(__xludf.DUMMYFUNCTION("REGEXEXTRACT(C310, ""\d+"")"),"170002082073")</f>
        <v>170002082073</v>
      </c>
      <c r="E310" s="44" t="s">
        <v>2428</v>
      </c>
      <c r="F310" s="46" t="str">
        <f ca="1">IFERROR(__xludf.DUMMYFUNCTION("REGEXEXTRACT(B310, ""id=([a-zA-Z0-9-_]+)&amp;usp"")"),"1uUXKpXUuum2HjZShSgNfG01qKErjrg9h")</f>
        <v>1uUXKpXUuum2HjZShSgNfG01qKErjrg9h</v>
      </c>
      <c r="G310" s="53" t="e">
        <f t="shared" ca="1" si="1"/>
        <v>#NAME?</v>
      </c>
    </row>
    <row r="311" spans="1:7">
      <c r="A311" s="42" t="s">
        <v>3353</v>
      </c>
      <c r="B311" s="49" t="s">
        <v>3354</v>
      </c>
      <c r="C311" s="50" t="s">
        <v>3355</v>
      </c>
      <c r="D311" s="46" t="str">
        <f ca="1">IFERROR(__xludf.DUMMYFUNCTION("REGEXEXTRACT(C311, ""\d+"")"),"170002068099")</f>
        <v>170002068099</v>
      </c>
      <c r="E311" s="44" t="s">
        <v>2428</v>
      </c>
      <c r="F311" s="46" t="str">
        <f ca="1">IFERROR(__xludf.DUMMYFUNCTION("REGEXEXTRACT(B311, ""id=([a-zA-Z0-9-_]+)&amp;usp"")"),"1ul8svISXp_VDEijFARom_uliBEa6bJcr")</f>
        <v>1ul8svISXp_VDEijFARom_uliBEa6bJcr</v>
      </c>
      <c r="G311" s="53" t="e">
        <f t="shared" ca="1" si="1"/>
        <v>#NAME?</v>
      </c>
    </row>
    <row r="312" spans="1:7">
      <c r="A312" s="42" t="s">
        <v>3356</v>
      </c>
      <c r="B312" s="49" t="s">
        <v>3357</v>
      </c>
      <c r="C312" s="50" t="s">
        <v>3358</v>
      </c>
      <c r="D312" s="46" t="str">
        <f ca="1">IFERROR(__xludf.DUMMYFUNCTION("REGEXEXTRACT(C312, ""\d+"")"),"170002060981")</f>
        <v>170002060981</v>
      </c>
      <c r="E312" s="44" t="s">
        <v>2428</v>
      </c>
      <c r="F312" s="46" t="str">
        <f ca="1">IFERROR(__xludf.DUMMYFUNCTION("REGEXEXTRACT(B312, ""id=([a-zA-Z0-9-_]+)&amp;usp"")"),"1w5A6PX7xPxlkWG7QOLNBJ_2uBaC9I8NJ")</f>
        <v>1w5A6PX7xPxlkWG7QOLNBJ_2uBaC9I8NJ</v>
      </c>
      <c r="G312" s="53" t="e">
        <f t="shared" ca="1" si="1"/>
        <v>#NAME?</v>
      </c>
    </row>
    <row r="313" spans="1:7">
      <c r="A313" s="42" t="s">
        <v>3359</v>
      </c>
      <c r="B313" s="49" t="s">
        <v>3360</v>
      </c>
      <c r="C313" s="50" t="s">
        <v>3361</v>
      </c>
      <c r="D313" s="46" t="str">
        <f ca="1">IFERROR(__xludf.DUMMYFUNCTION("REGEXEXTRACT(C313, ""\d+"")"),"170002103692")</f>
        <v>170002103692</v>
      </c>
      <c r="E313" s="44" t="s">
        <v>2428</v>
      </c>
      <c r="F313" s="46" t="str">
        <f ca="1">IFERROR(__xludf.DUMMYFUNCTION("REGEXEXTRACT(B313, ""id=([a-zA-Z0-9-_]+)&amp;usp"")"),"1wqqYQKAvPtXumVjMPaNAvfLax1Zzbjjx")</f>
        <v>1wqqYQKAvPtXumVjMPaNAvfLax1Zzbjjx</v>
      </c>
      <c r="G313" s="53" t="e">
        <f t="shared" ca="1" si="1"/>
        <v>#NAME?</v>
      </c>
    </row>
    <row r="314" spans="1:7">
      <c r="A314" s="42" t="s">
        <v>3362</v>
      </c>
      <c r="B314" s="49" t="s">
        <v>3363</v>
      </c>
      <c r="C314" s="50" t="s">
        <v>3364</v>
      </c>
      <c r="D314" s="46" t="str">
        <f ca="1">IFERROR(__xludf.DUMMYFUNCTION("REGEXEXTRACT(C314, ""\d+"")"),"170002108144")</f>
        <v>170002108144</v>
      </c>
      <c r="E314" s="44" t="s">
        <v>2428</v>
      </c>
      <c r="F314" s="46" t="str">
        <f ca="1">IFERROR(__xludf.DUMMYFUNCTION("REGEXEXTRACT(B314, ""id=([a-zA-Z0-9-_]+)&amp;usp"")"),"1xljYiPYe1HebnnVCHjGChrUbPrB_mmzq")</f>
        <v>1xljYiPYe1HebnnVCHjGChrUbPrB_mmzq</v>
      </c>
      <c r="G314" s="53" t="e">
        <f t="shared" ca="1" si="1"/>
        <v>#NAME?</v>
      </c>
    </row>
    <row r="315" spans="1:7">
      <c r="A315" s="42" t="s">
        <v>3365</v>
      </c>
      <c r="B315" s="49" t="s">
        <v>3366</v>
      </c>
      <c r="C315" s="50" t="s">
        <v>3367</v>
      </c>
      <c r="D315" s="46" t="str">
        <f ca="1">IFERROR(__xludf.DUMMYFUNCTION("REGEXEXTRACT(C315, ""\d+"")"),"170002117791")</f>
        <v>170002117791</v>
      </c>
      <c r="E315" s="44" t="s">
        <v>2428</v>
      </c>
      <c r="F315" s="46" t="str">
        <f ca="1">IFERROR(__xludf.DUMMYFUNCTION("REGEXEXTRACT(B315, ""id=([a-zA-Z0-9-_]+)&amp;usp"")"),"1yOW_3G1pp6-mhRMb0ex5aKGbWi888CU7")</f>
        <v>1yOW_3G1pp6-mhRMb0ex5aKGbWi888CU7</v>
      </c>
      <c r="G315" s="53" t="e">
        <f t="shared" ca="1" si="1"/>
        <v>#NAME?</v>
      </c>
    </row>
    <row r="316" spans="1:7">
      <c r="A316" s="42" t="s">
        <v>3368</v>
      </c>
      <c r="B316" s="49" t="s">
        <v>3369</v>
      </c>
      <c r="C316" s="50" t="s">
        <v>3370</v>
      </c>
      <c r="D316" s="46" t="str">
        <f ca="1">IFERROR(__xludf.DUMMYFUNCTION("REGEXEXTRACT(C316, ""\d+"")"),"170002082981")</f>
        <v>170002082981</v>
      </c>
      <c r="E316" s="44" t="s">
        <v>2428</v>
      </c>
      <c r="F316" s="46" t="str">
        <f ca="1">IFERROR(__xludf.DUMMYFUNCTION("REGEXEXTRACT(B316, ""id=([a-zA-Z0-9-_]+)&amp;usp"")"),"1zUtT3tEj0Rr-XjYysz-v0lTBqpGNxaKQ")</f>
        <v>1zUtT3tEj0Rr-XjYysz-v0lTBqpGNxaKQ</v>
      </c>
      <c r="G316" s="53" t="e">
        <f t="shared" ca="1" si="1"/>
        <v>#NAME?</v>
      </c>
    </row>
    <row r="317" spans="1:7">
      <c r="A317" s="42" t="s">
        <v>3371</v>
      </c>
      <c r="B317" s="49" t="s">
        <v>3372</v>
      </c>
      <c r="C317" s="50" t="s">
        <v>3373</v>
      </c>
      <c r="D317" s="46" t="str">
        <f ca="1">IFERROR(__xludf.DUMMYFUNCTION("REGEXEXTRACT(C317, ""\d+"")"),"170002214552")</f>
        <v>170002214552</v>
      </c>
      <c r="E317" s="44" t="s">
        <v>2428</v>
      </c>
      <c r="F317" s="46" t="str">
        <f ca="1">IFERROR(__xludf.DUMMYFUNCTION("REGEXEXTRACT(B317, ""id=([a-zA-Z0-9-_]+)&amp;usp"")"),"1-4T0AvbdJwG0u7A6f4AXWWKM119VMaQy")</f>
        <v>1-4T0AvbdJwG0u7A6f4AXWWKM119VMaQy</v>
      </c>
      <c r="G317" s="53" t="e">
        <f t="shared" ca="1" si="1"/>
        <v>#NAME?</v>
      </c>
    </row>
    <row r="318" spans="1:7">
      <c r="A318" s="42" t="s">
        <v>3374</v>
      </c>
      <c r="B318" s="49" t="s">
        <v>3375</v>
      </c>
      <c r="C318" s="50" t="s">
        <v>3376</v>
      </c>
      <c r="D318" s="46" t="str">
        <f ca="1">IFERROR(__xludf.DUMMYFUNCTION("REGEXEXTRACT(C318, ""\d+"")"),"170002231727")</f>
        <v>170002231727</v>
      </c>
      <c r="E318" s="44" t="s">
        <v>2428</v>
      </c>
      <c r="F318" s="46" t="str">
        <f ca="1">IFERROR(__xludf.DUMMYFUNCTION("REGEXEXTRACT(B318, ""id=([a-zA-Z0-9-_]+)&amp;usp"")"),"10wnI1FsWSxNYG9EcOK3NOyrvlGaEnFkt")</f>
        <v>10wnI1FsWSxNYG9EcOK3NOyrvlGaEnFkt</v>
      </c>
      <c r="G318" s="53" t="e">
        <f t="shared" ca="1" si="1"/>
        <v>#NAME?</v>
      </c>
    </row>
    <row r="319" spans="1:7">
      <c r="A319" s="42" t="s">
        <v>3377</v>
      </c>
      <c r="B319" s="49" t="s">
        <v>3378</v>
      </c>
      <c r="C319" s="50" t="s">
        <v>3379</v>
      </c>
      <c r="D319" s="46" t="str">
        <f ca="1">IFERROR(__xludf.DUMMYFUNCTION("REGEXEXTRACT(C319, ""\d+"")"),"170002142328")</f>
        <v>170002142328</v>
      </c>
      <c r="E319" s="44" t="s">
        <v>2428</v>
      </c>
      <c r="F319" s="46" t="str">
        <f ca="1">IFERROR(__xludf.DUMMYFUNCTION("REGEXEXTRACT(B319, ""id=([a-zA-Z0-9-_]+)&amp;usp"")"),"120JAQ078UybFx7QZ_Ax8gV6JcySAybvQ")</f>
        <v>120JAQ078UybFx7QZ_Ax8gV6JcySAybvQ</v>
      </c>
      <c r="G319" s="53" t="e">
        <f t="shared" ca="1" si="1"/>
        <v>#NAME?</v>
      </c>
    </row>
    <row r="320" spans="1:7">
      <c r="A320" s="42" t="s">
        <v>3380</v>
      </c>
      <c r="B320" s="49" t="s">
        <v>3381</v>
      </c>
      <c r="C320" s="50" t="s">
        <v>3382</v>
      </c>
      <c r="D320" s="46" t="str">
        <f ca="1">IFERROR(__xludf.DUMMYFUNCTION("REGEXEXTRACT(C320, ""\d+"")"),"170002143726")</f>
        <v>170002143726</v>
      </c>
      <c r="E320" s="44" t="s">
        <v>2428</v>
      </c>
      <c r="F320" s="46" t="str">
        <f ca="1">IFERROR(__xludf.DUMMYFUNCTION("REGEXEXTRACT(B320, ""id=([a-zA-Z0-9-_]+)&amp;usp"")"),"12SbEl_LMCwjl769SAcc2L2Ch_1rAtNyP")</f>
        <v>12SbEl_LMCwjl769SAcc2L2Ch_1rAtNyP</v>
      </c>
      <c r="G320" s="53" t="e">
        <f t="shared" ca="1" si="1"/>
        <v>#NAME?</v>
      </c>
    </row>
    <row r="321" spans="1:7">
      <c r="A321" s="42" t="s">
        <v>3383</v>
      </c>
      <c r="B321" s="49" t="s">
        <v>3384</v>
      </c>
      <c r="C321" s="50" t="s">
        <v>3385</v>
      </c>
      <c r="D321" s="46" t="str">
        <f ca="1">IFERROR(__xludf.DUMMYFUNCTION("REGEXEXTRACT(C321, ""\d+"")"),"170002187890")</f>
        <v>170002187890</v>
      </c>
      <c r="E321" s="44" t="s">
        <v>2428</v>
      </c>
      <c r="F321" s="46" t="str">
        <f ca="1">IFERROR(__xludf.DUMMYFUNCTION("REGEXEXTRACT(B321, ""id=([a-zA-Z0-9-_]+)&amp;usp"")"),"12Z3fSRCFuY2dhuWrrG9GtDw9KtppHMU3")</f>
        <v>12Z3fSRCFuY2dhuWrrG9GtDw9KtppHMU3</v>
      </c>
      <c r="G321" s="53" t="e">
        <f t="shared" ca="1" si="1"/>
        <v>#NAME?</v>
      </c>
    </row>
    <row r="322" spans="1:7">
      <c r="A322" s="42" t="s">
        <v>3386</v>
      </c>
      <c r="B322" s="49" t="s">
        <v>3387</v>
      </c>
      <c r="C322" s="50" t="s">
        <v>3388</v>
      </c>
      <c r="D322" s="46" t="str">
        <f ca="1">IFERROR(__xludf.DUMMYFUNCTION("REGEXEXTRACT(C322, ""\d+"")"),"170002156476")</f>
        <v>170002156476</v>
      </c>
      <c r="E322" s="44" t="s">
        <v>2428</v>
      </c>
      <c r="F322" s="46" t="str">
        <f ca="1">IFERROR(__xludf.DUMMYFUNCTION("REGEXEXTRACT(B322, ""id=([a-zA-Z0-9-_]+)&amp;usp"")"),"13CdBjz2cY06UsPArnaJJelBOsJta1Wcb")</f>
        <v>13CdBjz2cY06UsPArnaJJelBOsJta1Wcb</v>
      </c>
      <c r="G322" s="53" t="e">
        <f t="shared" ca="1" si="1"/>
        <v>#NAME?</v>
      </c>
    </row>
    <row r="323" spans="1:7">
      <c r="A323" s="42" t="s">
        <v>3389</v>
      </c>
      <c r="B323" s="49" t="s">
        <v>3390</v>
      </c>
      <c r="C323" s="50" t="s">
        <v>3391</v>
      </c>
      <c r="D323" s="46" t="str">
        <f ca="1">IFERROR(__xludf.DUMMYFUNCTION("REGEXEXTRACT(C323, ""\d+"")"),"170002206125")</f>
        <v>170002206125</v>
      </c>
      <c r="E323" s="44" t="s">
        <v>2428</v>
      </c>
      <c r="F323" s="46" t="str">
        <f ca="1">IFERROR(__xludf.DUMMYFUNCTION("REGEXEXTRACT(B323, ""id=([a-zA-Z0-9-_]+)&amp;usp"")"),"13jSWMbn2kDNaaOVyPqglqiHg1L1afB4Q")</f>
        <v>13jSWMbn2kDNaaOVyPqglqiHg1L1afB4Q</v>
      </c>
      <c r="G323" s="53" t="e">
        <f t="shared" ca="1" si="1"/>
        <v>#NAME?</v>
      </c>
    </row>
    <row r="324" spans="1:7">
      <c r="A324" s="42" t="s">
        <v>3392</v>
      </c>
      <c r="B324" s="49" t="s">
        <v>3393</v>
      </c>
      <c r="C324" s="50" t="s">
        <v>3394</v>
      </c>
      <c r="D324" s="46" t="str">
        <f ca="1">IFERROR(__xludf.DUMMYFUNCTION("REGEXEXTRACT(C324, ""\d+"")"),"170002184650")</f>
        <v>170002184650</v>
      </c>
      <c r="E324" s="44" t="s">
        <v>2428</v>
      </c>
      <c r="F324" s="46" t="str">
        <f ca="1">IFERROR(__xludf.DUMMYFUNCTION("REGEXEXTRACT(B324, ""id=([a-zA-Z0-9-_]+)&amp;usp"")"),"14K9Anw41svQ-yF0ovaB71TeFOXc74osh")</f>
        <v>14K9Anw41svQ-yF0ovaB71TeFOXc74osh</v>
      </c>
      <c r="G324" s="53" t="e">
        <f t="shared" ca="1" si="1"/>
        <v>#NAME?</v>
      </c>
    </row>
    <row r="325" spans="1:7">
      <c r="A325" s="42" t="s">
        <v>3395</v>
      </c>
      <c r="B325" s="49" t="s">
        <v>3396</v>
      </c>
      <c r="C325" s="50" t="s">
        <v>3397</v>
      </c>
      <c r="D325" s="46" t="str">
        <f ca="1">IFERROR(__xludf.DUMMYFUNCTION("REGEXEXTRACT(C325, ""\d+"")"),"170002144790")</f>
        <v>170002144790</v>
      </c>
      <c r="E325" s="44" t="s">
        <v>2428</v>
      </c>
      <c r="F325" s="46" t="str">
        <f ca="1">IFERROR(__xludf.DUMMYFUNCTION("REGEXEXTRACT(B325, ""id=([a-zA-Z0-9-_]+)&amp;usp"")"),"14XUoIFufRDrGqo41_lmcbapc_TTDdk4_")</f>
        <v>14XUoIFufRDrGqo41_lmcbapc_TTDdk4_</v>
      </c>
      <c r="G325" s="53" t="e">
        <f t="shared" ca="1" si="1"/>
        <v>#NAME?</v>
      </c>
    </row>
    <row r="326" spans="1:7">
      <c r="A326" s="42" t="s">
        <v>3398</v>
      </c>
      <c r="B326" s="49" t="s">
        <v>3399</v>
      </c>
      <c r="C326" s="50" t="s">
        <v>3400</v>
      </c>
      <c r="D326" s="46" t="str">
        <f ca="1">IFERROR(__xludf.DUMMYFUNCTION("REGEXEXTRACT(C326, ""\d+"")"),"170002156825")</f>
        <v>170002156825</v>
      </c>
      <c r="E326" s="44" t="s">
        <v>2428</v>
      </c>
      <c r="F326" s="46" t="str">
        <f ca="1">IFERROR(__xludf.DUMMYFUNCTION("REGEXEXTRACT(B326, ""id=([a-zA-Z0-9-_]+)&amp;usp"")"),"15okItZ8pl7FTKEaf1KdbbSMflHeq5YaK")</f>
        <v>15okItZ8pl7FTKEaf1KdbbSMflHeq5YaK</v>
      </c>
      <c r="G326" s="53" t="e">
        <f t="shared" ca="1" si="1"/>
        <v>#NAME?</v>
      </c>
    </row>
    <row r="327" spans="1:7">
      <c r="A327" s="42" t="s">
        <v>3401</v>
      </c>
      <c r="B327" s="49" t="s">
        <v>3402</v>
      </c>
      <c r="C327" s="50" t="s">
        <v>3403</v>
      </c>
      <c r="D327" s="46" t="str">
        <f ca="1">IFERROR(__xludf.DUMMYFUNCTION("REGEXEXTRACT(C327, ""\d+"")"),"170002198527")</f>
        <v>170002198527</v>
      </c>
      <c r="E327" s="44" t="s">
        <v>2428</v>
      </c>
      <c r="F327" s="46" t="str">
        <f ca="1">IFERROR(__xludf.DUMMYFUNCTION("REGEXEXTRACT(B327, ""id=([a-zA-Z0-9-_]+)&amp;usp"")"),"16G2lLunQv19wNCLHMsY0vuWUWllNjZJE")</f>
        <v>16G2lLunQv19wNCLHMsY0vuWUWllNjZJE</v>
      </c>
      <c r="G327" s="53" t="e">
        <f t="shared" ca="1" si="1"/>
        <v>#NAME?</v>
      </c>
    </row>
    <row r="328" spans="1:7">
      <c r="A328" s="42" t="s">
        <v>3404</v>
      </c>
      <c r="B328" s="49" t="s">
        <v>3405</v>
      </c>
      <c r="C328" s="50" t="s">
        <v>3406</v>
      </c>
      <c r="D328" s="46" t="str">
        <f ca="1">IFERROR(__xludf.DUMMYFUNCTION("REGEXEXTRACT(C328, ""\d+"")"),"170002215943")</f>
        <v>170002215943</v>
      </c>
      <c r="E328" s="44" t="s">
        <v>2428</v>
      </c>
      <c r="F328" s="46" t="str">
        <f ca="1">IFERROR(__xludf.DUMMYFUNCTION("REGEXEXTRACT(B328, ""id=([a-zA-Z0-9-_]+)&amp;usp"")"),"18UxVUHJlckloK8EeKN-p8jEJGL-5P1Rg")</f>
        <v>18UxVUHJlckloK8EeKN-p8jEJGL-5P1Rg</v>
      </c>
      <c r="G328" s="53" t="e">
        <f t="shared" ca="1" si="1"/>
        <v>#NAME?</v>
      </c>
    </row>
    <row r="329" spans="1:7">
      <c r="A329" s="42" t="s">
        <v>3407</v>
      </c>
      <c r="B329" s="49" t="s">
        <v>3408</v>
      </c>
      <c r="C329" s="50" t="s">
        <v>3409</v>
      </c>
      <c r="D329" s="46" t="str">
        <f ca="1">IFERROR(__xludf.DUMMYFUNCTION("REGEXEXTRACT(C329, ""\d+"")"),"170002197886")</f>
        <v>170002197886</v>
      </c>
      <c r="E329" s="44" t="s">
        <v>2428</v>
      </c>
      <c r="F329" s="46" t="str">
        <f ca="1">IFERROR(__xludf.DUMMYFUNCTION("REGEXEXTRACT(B329, ""id=([a-zA-Z0-9-_]+)&amp;usp"")"),"19D6p6Zlf8GYdoQybHG1vNEzuoQwZio_4")</f>
        <v>19D6p6Zlf8GYdoQybHG1vNEzuoQwZio_4</v>
      </c>
      <c r="G329" s="53" t="e">
        <f t="shared" ca="1" si="1"/>
        <v>#NAME?</v>
      </c>
    </row>
    <row r="330" spans="1:7">
      <c r="A330" s="42" t="s">
        <v>3410</v>
      </c>
      <c r="B330" s="49" t="s">
        <v>3411</v>
      </c>
      <c r="C330" s="50" t="s">
        <v>3412</v>
      </c>
      <c r="D330" s="46" t="str">
        <f ca="1">IFERROR(__xludf.DUMMYFUNCTION("REGEXEXTRACT(C330, ""\d+"")"),"170002206468")</f>
        <v>170002206468</v>
      </c>
      <c r="E330" s="44" t="s">
        <v>2428</v>
      </c>
      <c r="F330" s="46" t="str">
        <f ca="1">IFERROR(__xludf.DUMMYFUNCTION("REGEXEXTRACT(B330, ""id=([a-zA-Z0-9-_]+)&amp;usp"")"),"19cVEE8bRA_DziOa9KujpMh0X3niA6r8s")</f>
        <v>19cVEE8bRA_DziOa9KujpMh0X3niA6r8s</v>
      </c>
      <c r="G330" s="53" t="e">
        <f t="shared" ca="1" si="1"/>
        <v>#NAME?</v>
      </c>
    </row>
    <row r="331" spans="1:7">
      <c r="A331" s="42" t="s">
        <v>3413</v>
      </c>
      <c r="B331" s="49" t="s">
        <v>3414</v>
      </c>
      <c r="C331" s="50" t="s">
        <v>3415</v>
      </c>
      <c r="D331" s="46" t="str">
        <f ca="1">IFERROR(__xludf.DUMMYFUNCTION("REGEXEXTRACT(C331, ""\d+"")"),"170002180448")</f>
        <v>170002180448</v>
      </c>
      <c r="E331" s="44" t="s">
        <v>2428</v>
      </c>
      <c r="F331" s="46" t="str">
        <f ca="1">IFERROR(__xludf.DUMMYFUNCTION("REGEXEXTRACT(B331, ""id=([a-zA-Z0-9-_]+)&amp;usp"")"),"1ABKKIcmZNlOrj0sv6n1_R_-wgBWFvDVZ")</f>
        <v>1ABKKIcmZNlOrj0sv6n1_R_-wgBWFvDVZ</v>
      </c>
      <c r="G331" s="53" t="e">
        <f t="shared" ca="1" si="1"/>
        <v>#NAME?</v>
      </c>
    </row>
    <row r="332" spans="1:7">
      <c r="A332" s="42" t="s">
        <v>3416</v>
      </c>
      <c r="B332" s="49" t="s">
        <v>3417</v>
      </c>
      <c r="C332" s="50" t="s">
        <v>3418</v>
      </c>
      <c r="D332" s="46" t="str">
        <f ca="1">IFERROR(__xludf.DUMMYFUNCTION("REGEXEXTRACT(C332, ""\d+"")"),"170002153381")</f>
        <v>170002153381</v>
      </c>
      <c r="E332" s="44" t="s">
        <v>2428</v>
      </c>
      <c r="F332" s="46" t="str">
        <f ca="1">IFERROR(__xludf.DUMMYFUNCTION("REGEXEXTRACT(B332, ""id=([a-zA-Z0-9-_]+)&amp;usp"")"),"1BA2W6X9r3ufCvYnV3RKWgfSl86I-ZFFS")</f>
        <v>1BA2W6X9r3ufCvYnV3RKWgfSl86I-ZFFS</v>
      </c>
      <c r="G332" s="53" t="e">
        <f t="shared" ca="1" si="1"/>
        <v>#NAME?</v>
      </c>
    </row>
    <row r="333" spans="1:7">
      <c r="A333" s="42" t="s">
        <v>3419</v>
      </c>
      <c r="B333" s="49" t="s">
        <v>3420</v>
      </c>
      <c r="C333" s="50" t="s">
        <v>3421</v>
      </c>
      <c r="D333" s="46" t="str">
        <f ca="1">IFERROR(__xludf.DUMMYFUNCTION("REGEXEXTRACT(C333, ""\d+"")"),"170002214786")</f>
        <v>170002214786</v>
      </c>
      <c r="E333" s="44" t="s">
        <v>2428</v>
      </c>
      <c r="F333" s="46" t="str">
        <f ca="1">IFERROR(__xludf.DUMMYFUNCTION("REGEXEXTRACT(B333, ""id=([a-zA-Z0-9-_]+)&amp;usp"")"),"1BKRzGERqLYeSSfYfwH8Mh6xWypFGU_js")</f>
        <v>1BKRzGERqLYeSSfYfwH8Mh6xWypFGU_js</v>
      </c>
      <c r="G333" s="53" t="e">
        <f t="shared" ca="1" si="1"/>
        <v>#NAME?</v>
      </c>
    </row>
    <row r="334" spans="1:7">
      <c r="A334" s="42" t="s">
        <v>3422</v>
      </c>
      <c r="B334" s="49" t="s">
        <v>3423</v>
      </c>
      <c r="C334" s="50" t="s">
        <v>3424</v>
      </c>
      <c r="D334" s="46" t="str">
        <f ca="1">IFERROR(__xludf.DUMMYFUNCTION("REGEXEXTRACT(C334, ""\d+"")"),"170002197853")</f>
        <v>170002197853</v>
      </c>
      <c r="E334" s="44" t="s">
        <v>2428</v>
      </c>
      <c r="F334" s="46" t="str">
        <f ca="1">IFERROR(__xludf.DUMMYFUNCTION("REGEXEXTRACT(B334, ""id=([a-zA-Z0-9-_]+)&amp;usp"")"),"1BUK3aAs_oOV1rDsVjDeMWyq-n0sSIcfy")</f>
        <v>1BUK3aAs_oOV1rDsVjDeMWyq-n0sSIcfy</v>
      </c>
      <c r="G334" s="53" t="e">
        <f t="shared" ca="1" si="1"/>
        <v>#NAME?</v>
      </c>
    </row>
    <row r="335" spans="1:7">
      <c r="A335" s="42" t="s">
        <v>3425</v>
      </c>
      <c r="B335" s="49" t="s">
        <v>3426</v>
      </c>
      <c r="C335" s="50" t="s">
        <v>3427</v>
      </c>
      <c r="D335" s="46" t="str">
        <f ca="1">IFERROR(__xludf.DUMMYFUNCTION("REGEXEXTRACT(C335, ""\d+"")"),"170002227032")</f>
        <v>170002227032</v>
      </c>
      <c r="E335" s="44" t="s">
        <v>2428</v>
      </c>
      <c r="F335" s="46" t="str">
        <f ca="1">IFERROR(__xludf.DUMMYFUNCTION("REGEXEXTRACT(B335, ""id=([a-zA-Z0-9-_]+)&amp;usp"")"),"1B_Dj-R9zuV-yEYCaVN5P5rhPiOyiZV7H")</f>
        <v>1B_Dj-R9zuV-yEYCaVN5P5rhPiOyiZV7H</v>
      </c>
      <c r="G335" s="53" t="e">
        <f t="shared" ca="1" si="1"/>
        <v>#NAME?</v>
      </c>
    </row>
    <row r="336" spans="1:7">
      <c r="A336" s="42" t="s">
        <v>3428</v>
      </c>
      <c r="B336" s="49" t="s">
        <v>3429</v>
      </c>
      <c r="C336" s="50" t="s">
        <v>3430</v>
      </c>
      <c r="D336" s="46" t="str">
        <f ca="1">IFERROR(__xludf.DUMMYFUNCTION("REGEXEXTRACT(C336, ""\d+"")"),"170002256494")</f>
        <v>170002256494</v>
      </c>
      <c r="E336" s="44" t="s">
        <v>2428</v>
      </c>
      <c r="F336" s="46" t="str">
        <f ca="1">IFERROR(__xludf.DUMMYFUNCTION("REGEXEXTRACT(B336, ""id=([a-zA-Z0-9-_]+)&amp;usp"")"),"1CFtdDaPsoXopWq1o7LAirOLQb93ub1a7")</f>
        <v>1CFtdDaPsoXopWq1o7LAirOLQb93ub1a7</v>
      </c>
      <c r="G336" s="53" t="e">
        <f t="shared" ca="1" si="1"/>
        <v>#NAME?</v>
      </c>
    </row>
    <row r="337" spans="1:7">
      <c r="A337" s="42" t="s">
        <v>3431</v>
      </c>
      <c r="B337" s="49" t="s">
        <v>3432</v>
      </c>
      <c r="C337" s="50" t="s">
        <v>3433</v>
      </c>
      <c r="D337" s="46" t="str">
        <f ca="1">IFERROR(__xludf.DUMMYFUNCTION("REGEXEXTRACT(C337, ""\d+"")"),"170002149250")</f>
        <v>170002149250</v>
      </c>
      <c r="E337" s="44" t="s">
        <v>2428</v>
      </c>
      <c r="F337" s="46" t="str">
        <f ca="1">IFERROR(__xludf.DUMMYFUNCTION("REGEXEXTRACT(B337, ""id=([a-zA-Z0-9-_]+)&amp;usp"")"),"1CLEJLDBeiRs9aAk2dqd4TKGMdK4D2VKK")</f>
        <v>1CLEJLDBeiRs9aAk2dqd4TKGMdK4D2VKK</v>
      </c>
      <c r="G337" s="53" t="e">
        <f t="shared" ca="1" si="1"/>
        <v>#NAME?</v>
      </c>
    </row>
    <row r="338" spans="1:7">
      <c r="A338" s="42" t="s">
        <v>3434</v>
      </c>
      <c r="B338" s="49" t="s">
        <v>3435</v>
      </c>
      <c r="C338" s="50" t="s">
        <v>3436</v>
      </c>
      <c r="D338" s="46" t="str">
        <f ca="1">IFERROR(__xludf.DUMMYFUNCTION("REGEXEXTRACT(C338, ""\d+"")"),"170002188597")</f>
        <v>170002188597</v>
      </c>
      <c r="E338" s="44" t="s">
        <v>2428</v>
      </c>
      <c r="F338" s="46" t="str">
        <f ca="1">IFERROR(__xludf.DUMMYFUNCTION("REGEXEXTRACT(B338, ""id=([a-zA-Z0-9-_]+)&amp;usp"")"),"1DleMWHwBxY_f0sdoZmB2bA5PvL3wzuZt")</f>
        <v>1DleMWHwBxY_f0sdoZmB2bA5PvL3wzuZt</v>
      </c>
      <c r="G338" s="53" t="e">
        <f t="shared" ca="1" si="1"/>
        <v>#NAME?</v>
      </c>
    </row>
    <row r="339" spans="1:7">
      <c r="A339" s="42" t="s">
        <v>3437</v>
      </c>
      <c r="B339" s="49" t="s">
        <v>3438</v>
      </c>
      <c r="C339" s="50" t="s">
        <v>3439</v>
      </c>
      <c r="D339" s="46" t="str">
        <f ca="1">IFERROR(__xludf.DUMMYFUNCTION("REGEXEXTRACT(C339, ""\d+"")"),"170002147297")</f>
        <v>170002147297</v>
      </c>
      <c r="E339" s="44" t="s">
        <v>2428</v>
      </c>
      <c r="F339" s="46" t="str">
        <f ca="1">IFERROR(__xludf.DUMMYFUNCTION("REGEXEXTRACT(B339, ""id=([a-zA-Z0-9-_]+)&amp;usp"")"),"1FuOCAO5OO3wh2bg-9G759FCa1zxh70as")</f>
        <v>1FuOCAO5OO3wh2bg-9G759FCa1zxh70as</v>
      </c>
      <c r="G339" s="53" t="e">
        <f t="shared" ca="1" si="1"/>
        <v>#NAME?</v>
      </c>
    </row>
    <row r="340" spans="1:7">
      <c r="A340" s="42" t="s">
        <v>3440</v>
      </c>
      <c r="B340" s="49" t="s">
        <v>3441</v>
      </c>
      <c r="C340" s="50" t="s">
        <v>3442</v>
      </c>
      <c r="D340" s="46" t="str">
        <f ca="1">IFERROR(__xludf.DUMMYFUNCTION("REGEXEXTRACT(C340, ""\d+"")"),"170002181570")</f>
        <v>170002181570</v>
      </c>
      <c r="E340" s="44" t="s">
        <v>2428</v>
      </c>
      <c r="F340" s="46" t="str">
        <f ca="1">IFERROR(__xludf.DUMMYFUNCTION("REGEXEXTRACT(B340, ""id=([a-zA-Z0-9-_]+)&amp;usp"")"),"1GhyABSFq8ttGCSZJtoMBDqX9v87m6YmX")</f>
        <v>1GhyABSFq8ttGCSZJtoMBDqX9v87m6YmX</v>
      </c>
      <c r="G340" s="53" t="e">
        <f t="shared" ca="1" si="1"/>
        <v>#NAME?</v>
      </c>
    </row>
    <row r="341" spans="1:7">
      <c r="A341" s="42" t="s">
        <v>3443</v>
      </c>
      <c r="B341" s="49" t="s">
        <v>3444</v>
      </c>
      <c r="C341" s="50" t="s">
        <v>3445</v>
      </c>
      <c r="D341" s="46" t="str">
        <f ca="1">IFERROR(__xludf.DUMMYFUNCTION("REGEXEXTRACT(C341, ""\d+"")"),"170002195081")</f>
        <v>170002195081</v>
      </c>
      <c r="E341" s="44" t="s">
        <v>2428</v>
      </c>
      <c r="F341" s="46" t="str">
        <f ca="1">IFERROR(__xludf.DUMMYFUNCTION("REGEXEXTRACT(B341, ""id=([a-zA-Z0-9-_]+)&amp;usp"")"),"1GtafMJWIv5HAi8FVEPMXvTh31oAkeQU5")</f>
        <v>1GtafMJWIv5HAi8FVEPMXvTh31oAkeQU5</v>
      </c>
      <c r="G341" s="53" t="e">
        <f t="shared" ca="1" si="1"/>
        <v>#NAME?</v>
      </c>
    </row>
    <row r="342" spans="1:7">
      <c r="A342" s="42" t="s">
        <v>3446</v>
      </c>
      <c r="B342" s="49" t="s">
        <v>3447</v>
      </c>
      <c r="C342" s="50" t="s">
        <v>3448</v>
      </c>
      <c r="D342" s="46" t="str">
        <f ca="1">IFERROR(__xludf.DUMMYFUNCTION("REGEXEXTRACT(C342, ""\d+"")"),"170002145872")</f>
        <v>170002145872</v>
      </c>
      <c r="E342" s="44" t="s">
        <v>2428</v>
      </c>
      <c r="F342" s="46" t="str">
        <f ca="1">IFERROR(__xludf.DUMMYFUNCTION("REGEXEXTRACT(B342, ""id=([a-zA-Z0-9-_]+)&amp;usp"")"),"1IfOQgSNRSloz6tq5x-nRFF6rJWxVxjeP")</f>
        <v>1IfOQgSNRSloz6tq5x-nRFF6rJWxVxjeP</v>
      </c>
      <c r="G342" s="53" t="e">
        <f t="shared" ca="1" si="1"/>
        <v>#NAME?</v>
      </c>
    </row>
    <row r="343" spans="1:7">
      <c r="A343" s="42" t="s">
        <v>3449</v>
      </c>
      <c r="B343" s="49" t="s">
        <v>3450</v>
      </c>
      <c r="C343" s="50" t="s">
        <v>3451</v>
      </c>
      <c r="D343" s="46" t="str">
        <f ca="1">IFERROR(__xludf.DUMMYFUNCTION("REGEXEXTRACT(C343, ""\d+"")"),"170002143502")</f>
        <v>170002143502</v>
      </c>
      <c r="E343" s="44" t="s">
        <v>2428</v>
      </c>
      <c r="F343" s="46" t="str">
        <f ca="1">IFERROR(__xludf.DUMMYFUNCTION("REGEXEXTRACT(B343, ""id=([a-zA-Z0-9-_]+)&amp;usp"")"),"1Ii5ZG9qMtp8oXxuB_0BoIDWrU9R_hPXn")</f>
        <v>1Ii5ZG9qMtp8oXxuB_0BoIDWrU9R_hPXn</v>
      </c>
      <c r="G343" s="53" t="e">
        <f t="shared" ca="1" si="1"/>
        <v>#NAME?</v>
      </c>
    </row>
    <row r="344" spans="1:7">
      <c r="A344" s="42" t="s">
        <v>3452</v>
      </c>
      <c r="B344" s="49" t="s">
        <v>3453</v>
      </c>
      <c r="C344" s="50" t="s">
        <v>3454</v>
      </c>
      <c r="D344" s="46" t="str">
        <f ca="1">IFERROR(__xludf.DUMMYFUNCTION("REGEXEXTRACT(C344, ""\d+"")"),"170002143291")</f>
        <v>170002143291</v>
      </c>
      <c r="E344" s="44" t="s">
        <v>2428</v>
      </c>
      <c r="F344" s="46" t="str">
        <f ca="1">IFERROR(__xludf.DUMMYFUNCTION("REGEXEXTRACT(B344, ""id=([a-zA-Z0-9-_]+)&amp;usp"")"),"1J9AjxVlyFvmMvfRtNEAvDTeloG3CFBkp")</f>
        <v>1J9AjxVlyFvmMvfRtNEAvDTeloG3CFBkp</v>
      </c>
      <c r="G344" s="53" t="e">
        <f t="shared" ca="1" si="1"/>
        <v>#NAME?</v>
      </c>
    </row>
    <row r="345" spans="1:7">
      <c r="A345" s="42" t="s">
        <v>3455</v>
      </c>
      <c r="B345" s="49" t="s">
        <v>3456</v>
      </c>
      <c r="C345" s="50" t="s">
        <v>3457</v>
      </c>
      <c r="D345" s="46" t="str">
        <f ca="1">IFERROR(__xludf.DUMMYFUNCTION("REGEXEXTRACT(C345, ""\d+"")"),"170002248243")</f>
        <v>170002248243</v>
      </c>
      <c r="E345" s="44" t="s">
        <v>2428</v>
      </c>
      <c r="F345" s="46" t="str">
        <f ca="1">IFERROR(__xludf.DUMMYFUNCTION("REGEXEXTRACT(B345, ""id=([a-zA-Z0-9-_]+)&amp;usp"")"),"1JDFDho2aJ8dcW-zGvrsrOKQXHi-JbvZJ")</f>
        <v>1JDFDho2aJ8dcW-zGvrsrOKQXHi-JbvZJ</v>
      </c>
      <c r="G345" s="53" t="e">
        <f t="shared" ca="1" si="1"/>
        <v>#NAME?</v>
      </c>
    </row>
    <row r="346" spans="1:7">
      <c r="A346" s="42" t="s">
        <v>3458</v>
      </c>
      <c r="B346" s="49" t="s">
        <v>3459</v>
      </c>
      <c r="C346" s="50" t="s">
        <v>3460</v>
      </c>
      <c r="D346" s="46" t="str">
        <f ca="1">IFERROR(__xludf.DUMMYFUNCTION("REGEXEXTRACT(C346, ""\d+"")"),"170002216966")</f>
        <v>170002216966</v>
      </c>
      <c r="E346" s="44" t="s">
        <v>2428</v>
      </c>
      <c r="F346" s="46" t="str">
        <f ca="1">IFERROR(__xludf.DUMMYFUNCTION("REGEXEXTRACT(B346, ""id=([a-zA-Z0-9-_]+)&amp;usp"")"),"1K1tMifXRclQnOv6_1hmeuHFOXpWJp835")</f>
        <v>1K1tMifXRclQnOv6_1hmeuHFOXpWJp835</v>
      </c>
      <c r="G346" s="53" t="e">
        <f t="shared" ca="1" si="1"/>
        <v>#NAME?</v>
      </c>
    </row>
    <row r="347" spans="1:7">
      <c r="A347" s="42" t="s">
        <v>3461</v>
      </c>
      <c r="B347" s="49" t="s">
        <v>3462</v>
      </c>
      <c r="C347" s="50" t="s">
        <v>3463</v>
      </c>
      <c r="D347" s="46" t="str">
        <f ca="1">IFERROR(__xludf.DUMMYFUNCTION("REGEXEXTRACT(C347, ""\d+"")"),"170002163609")</f>
        <v>170002163609</v>
      </c>
      <c r="E347" s="44" t="s">
        <v>2428</v>
      </c>
      <c r="F347" s="46" t="str">
        <f ca="1">IFERROR(__xludf.DUMMYFUNCTION("REGEXEXTRACT(B347, ""id=([a-zA-Z0-9-_]+)&amp;usp"")"),"1LaAaGSzoWKjjVOnfQZsx28-Sc1X32mhU")</f>
        <v>1LaAaGSzoWKjjVOnfQZsx28-Sc1X32mhU</v>
      </c>
      <c r="G347" s="53" t="e">
        <f t="shared" ca="1" si="1"/>
        <v>#NAME?</v>
      </c>
    </row>
    <row r="348" spans="1:7">
      <c r="A348" s="42" t="s">
        <v>3464</v>
      </c>
      <c r="B348" s="49" t="s">
        <v>3465</v>
      </c>
      <c r="C348" s="50" t="s">
        <v>3466</v>
      </c>
      <c r="D348" s="46" t="str">
        <f ca="1">IFERROR(__xludf.DUMMYFUNCTION("REGEXEXTRACT(C348, ""\d+"")"),"170002242378")</f>
        <v>170002242378</v>
      </c>
      <c r="E348" s="44" t="s">
        <v>2428</v>
      </c>
      <c r="F348" s="46" t="str">
        <f ca="1">IFERROR(__xludf.DUMMYFUNCTION("REGEXEXTRACT(B348, ""id=([a-zA-Z0-9-_]+)&amp;usp"")"),"1Lv5q14Da8GliYE6HSaF7LvJGOJITLsSK")</f>
        <v>1Lv5q14Da8GliYE6HSaF7LvJGOJITLsSK</v>
      </c>
      <c r="G348" s="53" t="e">
        <f t="shared" ca="1" si="1"/>
        <v>#NAME?</v>
      </c>
    </row>
    <row r="349" spans="1:7">
      <c r="A349" s="42" t="s">
        <v>3467</v>
      </c>
      <c r="B349" s="49" t="s">
        <v>3468</v>
      </c>
      <c r="C349" s="50" t="s">
        <v>3469</v>
      </c>
      <c r="D349" s="46" t="str">
        <f ca="1">IFERROR(__xludf.DUMMYFUNCTION("REGEXEXTRACT(C349, ""\d+"")"),"170002197529")</f>
        <v>170002197529</v>
      </c>
      <c r="E349" s="44" t="s">
        <v>2428</v>
      </c>
      <c r="F349" s="46" t="str">
        <f ca="1">IFERROR(__xludf.DUMMYFUNCTION("REGEXEXTRACT(B349, ""id=([a-zA-Z0-9-_]+)&amp;usp"")"),"1MJRY7VsO2I61UdHJcRFtUc_i3hv0zDWo")</f>
        <v>1MJRY7VsO2I61UdHJcRFtUc_i3hv0zDWo</v>
      </c>
      <c r="G349" s="53" t="e">
        <f t="shared" ca="1" si="1"/>
        <v>#NAME?</v>
      </c>
    </row>
    <row r="350" spans="1:7">
      <c r="A350" s="42" t="s">
        <v>3470</v>
      </c>
      <c r="B350" s="49" t="s">
        <v>3471</v>
      </c>
      <c r="C350" s="50" t="s">
        <v>3472</v>
      </c>
      <c r="D350" s="46" t="str">
        <f ca="1">IFERROR(__xludf.DUMMYFUNCTION("REGEXEXTRACT(C350, ""\d+"")"),"170002171744")</f>
        <v>170002171744</v>
      </c>
      <c r="E350" s="44" t="s">
        <v>2428</v>
      </c>
      <c r="F350" s="46" t="str">
        <f ca="1">IFERROR(__xludf.DUMMYFUNCTION("REGEXEXTRACT(B350, ""id=([a-zA-Z0-9-_]+)&amp;usp"")"),"1MUjbkcw_E5HuaDfTI0eFTKuezFGHhymo")</f>
        <v>1MUjbkcw_E5HuaDfTI0eFTKuezFGHhymo</v>
      </c>
      <c r="G350" s="53" t="e">
        <f t="shared" ca="1" si="1"/>
        <v>#NAME?</v>
      </c>
    </row>
    <row r="351" spans="1:7">
      <c r="A351" s="42" t="s">
        <v>3473</v>
      </c>
      <c r="B351" s="49" t="s">
        <v>3474</v>
      </c>
      <c r="C351" s="50" t="s">
        <v>3475</v>
      </c>
      <c r="D351" s="46" t="str">
        <f ca="1">IFERROR(__xludf.DUMMYFUNCTION("REGEXEXTRACT(C351, ""\d+"")"),"170002213687")</f>
        <v>170002213687</v>
      </c>
      <c r="E351" s="44" t="s">
        <v>2428</v>
      </c>
      <c r="F351" s="46" t="str">
        <f ca="1">IFERROR(__xludf.DUMMYFUNCTION("REGEXEXTRACT(B351, ""id=([a-zA-Z0-9-_]+)&amp;usp"")"),"1NakZPKYYP31yuonwpkUIBpIUqRGJ8XMs")</f>
        <v>1NakZPKYYP31yuonwpkUIBpIUqRGJ8XMs</v>
      </c>
      <c r="G351" s="53" t="e">
        <f t="shared" ca="1" si="1"/>
        <v>#NAME?</v>
      </c>
    </row>
    <row r="352" spans="1:7">
      <c r="A352" s="42" t="s">
        <v>3476</v>
      </c>
      <c r="B352" s="49" t="s">
        <v>3477</v>
      </c>
      <c r="C352" s="50" t="s">
        <v>3478</v>
      </c>
      <c r="D352" s="46" t="str">
        <f ca="1">IFERROR(__xludf.DUMMYFUNCTION("REGEXEXTRACT(C352, ""\d+"")"),"170002253817")</f>
        <v>170002253817</v>
      </c>
      <c r="E352" s="44" t="s">
        <v>2428</v>
      </c>
      <c r="F352" s="46" t="str">
        <f ca="1">IFERROR(__xludf.DUMMYFUNCTION("REGEXEXTRACT(B352, ""id=([a-zA-Z0-9-_]+)&amp;usp"")"),"1NyenTEBgBI_EYPcKOn7naoFPaU-hRdgv")</f>
        <v>1NyenTEBgBI_EYPcKOn7naoFPaU-hRdgv</v>
      </c>
      <c r="G352" s="53" t="e">
        <f t="shared" ca="1" si="1"/>
        <v>#NAME?</v>
      </c>
    </row>
    <row r="353" spans="1:7">
      <c r="A353" s="42" t="s">
        <v>3479</v>
      </c>
      <c r="B353" s="49" t="s">
        <v>3480</v>
      </c>
      <c r="C353" s="50" t="s">
        <v>3481</v>
      </c>
      <c r="D353" s="46" t="str">
        <f ca="1">IFERROR(__xludf.DUMMYFUNCTION("REGEXEXTRACT(C353, ""\d+"")"),"170002196732")</f>
        <v>170002196732</v>
      </c>
      <c r="E353" s="44" t="s">
        <v>2428</v>
      </c>
      <c r="F353" s="46" t="str">
        <f ca="1">IFERROR(__xludf.DUMMYFUNCTION("REGEXEXTRACT(B353, ""id=([a-zA-Z0-9-_]+)&amp;usp"")"),"1O7NxS1HFxuA4-P45sAUwLLuofyFcgx7A")</f>
        <v>1O7NxS1HFxuA4-P45sAUwLLuofyFcgx7A</v>
      </c>
      <c r="G353" s="53" t="e">
        <f t="shared" ca="1" si="1"/>
        <v>#NAME?</v>
      </c>
    </row>
    <row r="354" spans="1:7">
      <c r="A354" s="42" t="s">
        <v>3482</v>
      </c>
      <c r="B354" s="49" t="s">
        <v>3483</v>
      </c>
      <c r="C354" s="50" t="s">
        <v>3484</v>
      </c>
      <c r="D354" s="46" t="str">
        <f ca="1">IFERROR(__xludf.DUMMYFUNCTION("REGEXEXTRACT(C354, ""\d+"")"),"170002243148")</f>
        <v>170002243148</v>
      </c>
      <c r="E354" s="44" t="s">
        <v>2428</v>
      </c>
      <c r="F354" s="46" t="str">
        <f ca="1">IFERROR(__xludf.DUMMYFUNCTION("REGEXEXTRACT(B354, ""id=([a-zA-Z0-9-_]+)&amp;usp"")"),"1PVGV5Qn7G_TMuKB4X8l_kJ226Qdnh3QG")</f>
        <v>1PVGV5Qn7G_TMuKB4X8l_kJ226Qdnh3QG</v>
      </c>
      <c r="G354" s="53" t="e">
        <f t="shared" ca="1" si="1"/>
        <v>#NAME?</v>
      </c>
    </row>
    <row r="355" spans="1:7">
      <c r="A355" s="42" t="s">
        <v>3485</v>
      </c>
      <c r="B355" s="49" t="s">
        <v>3486</v>
      </c>
      <c r="C355" s="50" t="s">
        <v>3487</v>
      </c>
      <c r="D355" s="46" t="str">
        <f ca="1">IFERROR(__xludf.DUMMYFUNCTION("REGEXEXTRACT(C355, ""\d+"")"),"170002188250")</f>
        <v>170002188250</v>
      </c>
      <c r="E355" s="44" t="s">
        <v>2428</v>
      </c>
      <c r="F355" s="46" t="str">
        <f ca="1">IFERROR(__xludf.DUMMYFUNCTION("REGEXEXTRACT(B355, ""id=([a-zA-Z0-9-_]+)&amp;usp"")"),"1PxAa11mJ0l2uWnQopZ7ZaoP5SY5FVjBE")</f>
        <v>1PxAa11mJ0l2uWnQopZ7ZaoP5SY5FVjBE</v>
      </c>
      <c r="G355" s="53" t="e">
        <f t="shared" ca="1" si="1"/>
        <v>#NAME?</v>
      </c>
    </row>
    <row r="356" spans="1:7">
      <c r="A356" s="42" t="s">
        <v>3488</v>
      </c>
      <c r="B356" s="49" t="s">
        <v>3489</v>
      </c>
      <c r="C356" s="50" t="s">
        <v>3490</v>
      </c>
      <c r="D356" s="46" t="str">
        <f ca="1">IFERROR(__xludf.DUMMYFUNCTION("REGEXEXTRACT(C356, ""\d+"")"),"170002181013")</f>
        <v>170002181013</v>
      </c>
      <c r="E356" s="44" t="s">
        <v>2428</v>
      </c>
      <c r="F356" s="46" t="str">
        <f ca="1">IFERROR(__xludf.DUMMYFUNCTION("REGEXEXTRACT(B356, ""id=([a-zA-Z0-9-_]+)&amp;usp"")"),"1QJYnNPPyJ2Zrr1-secWB1bNi56L2AEYV")</f>
        <v>1QJYnNPPyJ2Zrr1-secWB1bNi56L2AEYV</v>
      </c>
      <c r="G356" s="53" t="e">
        <f t="shared" ca="1" si="1"/>
        <v>#NAME?</v>
      </c>
    </row>
    <row r="357" spans="1:7">
      <c r="A357" s="42" t="s">
        <v>3491</v>
      </c>
      <c r="B357" s="49" t="s">
        <v>3492</v>
      </c>
      <c r="C357" s="50" t="s">
        <v>3493</v>
      </c>
      <c r="D357" s="46" t="str">
        <f ca="1">IFERROR(__xludf.DUMMYFUNCTION("REGEXEXTRACT(C357, ""\d+"")"),"170002187382")</f>
        <v>170002187382</v>
      </c>
      <c r="E357" s="44" t="s">
        <v>2428</v>
      </c>
      <c r="F357" s="46" t="str">
        <f ca="1">IFERROR(__xludf.DUMMYFUNCTION("REGEXEXTRACT(B357, ""id=([a-zA-Z0-9-_]+)&amp;usp"")"),"1S07il-8r-MCmxAXgmsTqq77LTRr7yTn5")</f>
        <v>1S07il-8r-MCmxAXgmsTqq77LTRr7yTn5</v>
      </c>
      <c r="G357" s="53" t="e">
        <f t="shared" ca="1" si="1"/>
        <v>#NAME?</v>
      </c>
    </row>
    <row r="358" spans="1:7">
      <c r="A358" s="42" t="s">
        <v>3494</v>
      </c>
      <c r="B358" s="49" t="s">
        <v>3495</v>
      </c>
      <c r="C358" s="50" t="s">
        <v>3496</v>
      </c>
      <c r="D358" s="46" t="str">
        <f ca="1">IFERROR(__xludf.DUMMYFUNCTION("REGEXEXTRACT(C358, ""\d+"")"),"170002142143")</f>
        <v>170002142143</v>
      </c>
      <c r="E358" s="44" t="s">
        <v>2428</v>
      </c>
      <c r="F358" s="46" t="str">
        <f ca="1">IFERROR(__xludf.DUMMYFUNCTION("REGEXEXTRACT(B358, ""id=([a-zA-Z0-9-_]+)&amp;usp"")"),"1SH0c9w2AIJoLQuhbZssfjuIJGgGI1ICy")</f>
        <v>1SH0c9w2AIJoLQuhbZssfjuIJGgGI1ICy</v>
      </c>
      <c r="G358" s="53" t="e">
        <f t="shared" ca="1" si="1"/>
        <v>#NAME?</v>
      </c>
    </row>
    <row r="359" spans="1:7">
      <c r="A359" s="42" t="s">
        <v>3497</v>
      </c>
      <c r="B359" s="49" t="s">
        <v>3498</v>
      </c>
      <c r="C359" s="50" t="s">
        <v>3499</v>
      </c>
      <c r="D359" s="46" t="str">
        <f ca="1">IFERROR(__xludf.DUMMYFUNCTION("REGEXEXTRACT(C359, ""\d+"")"),"170002242560")</f>
        <v>170002242560</v>
      </c>
      <c r="E359" s="44" t="s">
        <v>2428</v>
      </c>
      <c r="F359" s="46" t="str">
        <f ca="1">IFERROR(__xludf.DUMMYFUNCTION("REGEXEXTRACT(B359, ""id=([a-zA-Z0-9-_]+)&amp;usp"")"),"1SYp8SbcLH_3_rLCQdkCOJt0GH-QTIhqj")</f>
        <v>1SYp8SbcLH_3_rLCQdkCOJt0GH-QTIhqj</v>
      </c>
      <c r="G359" s="53" t="e">
        <f t="shared" ca="1" si="1"/>
        <v>#NAME?</v>
      </c>
    </row>
    <row r="360" spans="1:7">
      <c r="A360" s="42" t="s">
        <v>3500</v>
      </c>
      <c r="B360" s="49" t="s">
        <v>3501</v>
      </c>
      <c r="C360" s="50" t="s">
        <v>3502</v>
      </c>
      <c r="D360" s="46" t="str">
        <f ca="1">IFERROR(__xludf.DUMMYFUNCTION("REGEXEXTRACT(C360, ""\d+"")"),"170002148499")</f>
        <v>170002148499</v>
      </c>
      <c r="E360" s="44" t="s">
        <v>2428</v>
      </c>
      <c r="F360" s="46" t="str">
        <f ca="1">IFERROR(__xludf.DUMMYFUNCTION("REGEXEXTRACT(B360, ""id=([a-zA-Z0-9-_]+)&amp;usp"")"),"1TyPxKtUZ8f8yIJ8DWeAuw5LVL0yEfyyu")</f>
        <v>1TyPxKtUZ8f8yIJ8DWeAuw5LVL0yEfyyu</v>
      </c>
      <c r="G360" s="53" t="e">
        <f t="shared" ca="1" si="1"/>
        <v>#NAME?</v>
      </c>
    </row>
    <row r="361" spans="1:7">
      <c r="A361" s="42" t="s">
        <v>3503</v>
      </c>
      <c r="B361" s="49" t="s">
        <v>3504</v>
      </c>
      <c r="C361" s="50" t="s">
        <v>3505</v>
      </c>
      <c r="D361" s="46" t="str">
        <f ca="1">IFERROR(__xludf.DUMMYFUNCTION("REGEXEXTRACT(C361, ""\d+"")"),"170002145356")</f>
        <v>170002145356</v>
      </c>
      <c r="E361" s="44" t="s">
        <v>2428</v>
      </c>
      <c r="F361" s="46" t="str">
        <f ca="1">IFERROR(__xludf.DUMMYFUNCTION("REGEXEXTRACT(B361, ""id=([a-zA-Z0-9-_]+)&amp;usp"")"),"1Ut7z1r3FUggcZw1BBRR2W783_l2CZfUV")</f>
        <v>1Ut7z1r3FUggcZw1BBRR2W783_l2CZfUV</v>
      </c>
      <c r="G361" s="53" t="e">
        <f t="shared" ca="1" si="1"/>
        <v>#NAME?</v>
      </c>
    </row>
    <row r="362" spans="1:7">
      <c r="A362" s="42" t="s">
        <v>3506</v>
      </c>
      <c r="B362" s="49" t="s">
        <v>3507</v>
      </c>
      <c r="C362" s="50" t="s">
        <v>3508</v>
      </c>
      <c r="D362" s="46" t="str">
        <f ca="1">IFERROR(__xludf.DUMMYFUNCTION("REGEXEXTRACT(C362, ""\d+"")"),"170002196014")</f>
        <v>170002196014</v>
      </c>
      <c r="E362" s="44" t="s">
        <v>2428</v>
      </c>
      <c r="F362" s="46" t="str">
        <f ca="1">IFERROR(__xludf.DUMMYFUNCTION("REGEXEXTRACT(B362, ""id=([a-zA-Z0-9-_]+)&amp;usp"")"),"1UztX_30U-dx98EgceIpPedDMNCRyFh0j")</f>
        <v>1UztX_30U-dx98EgceIpPedDMNCRyFh0j</v>
      </c>
      <c r="G362" s="53" t="e">
        <f t="shared" ca="1" si="1"/>
        <v>#NAME?</v>
      </c>
    </row>
    <row r="363" spans="1:7">
      <c r="A363" s="42" t="s">
        <v>3509</v>
      </c>
      <c r="B363" s="49" t="s">
        <v>3510</v>
      </c>
      <c r="C363" s="50" t="s">
        <v>3511</v>
      </c>
      <c r="D363" s="46" t="str">
        <f ca="1">IFERROR(__xludf.DUMMYFUNCTION("REGEXEXTRACT(C363, ""\d+"")"),"170002206424")</f>
        <v>170002206424</v>
      </c>
      <c r="E363" s="44" t="s">
        <v>2428</v>
      </c>
      <c r="F363" s="46" t="str">
        <f ca="1">IFERROR(__xludf.DUMMYFUNCTION("REGEXEXTRACT(B363, ""id=([a-zA-Z0-9-_]+)&amp;usp"")"),"1VYawxRzUsQ7J8XLMZeJ0hLcmT_JnMM2Q")</f>
        <v>1VYawxRzUsQ7J8XLMZeJ0hLcmT_JnMM2Q</v>
      </c>
      <c r="G363" s="53" t="e">
        <f t="shared" ca="1" si="1"/>
        <v>#NAME?</v>
      </c>
    </row>
    <row r="364" spans="1:7">
      <c r="A364" s="42" t="s">
        <v>3512</v>
      </c>
      <c r="B364" s="49" t="s">
        <v>3513</v>
      </c>
      <c r="C364" s="50" t="s">
        <v>3514</v>
      </c>
      <c r="D364" s="46" t="str">
        <f ca="1">IFERROR(__xludf.DUMMYFUNCTION("REGEXEXTRACT(C364, ""\d+"")"),"170002149746")</f>
        <v>170002149746</v>
      </c>
      <c r="E364" s="44" t="s">
        <v>2428</v>
      </c>
      <c r="F364" s="46" t="str">
        <f ca="1">IFERROR(__xludf.DUMMYFUNCTION("REGEXEXTRACT(B364, ""id=([a-zA-Z0-9-_]+)&amp;usp"")"),"1VndmwCxAXU8Bwxm-qfr-DRxx4HmBJIKv")</f>
        <v>1VndmwCxAXU8Bwxm-qfr-DRxx4HmBJIKv</v>
      </c>
      <c r="G364" s="53" t="e">
        <f t="shared" ca="1" si="1"/>
        <v>#NAME?</v>
      </c>
    </row>
    <row r="365" spans="1:7">
      <c r="A365" s="42" t="s">
        <v>3515</v>
      </c>
      <c r="B365" s="49" t="s">
        <v>3516</v>
      </c>
      <c r="C365" s="50" t="s">
        <v>3517</v>
      </c>
      <c r="D365" s="46" t="str">
        <f ca="1">IFERROR(__xludf.DUMMYFUNCTION("REGEXEXTRACT(C365, ""\d+"")"),"170002212863")</f>
        <v>170002212863</v>
      </c>
      <c r="E365" s="44" t="s">
        <v>2428</v>
      </c>
      <c r="F365" s="46" t="str">
        <f ca="1">IFERROR(__xludf.DUMMYFUNCTION("REGEXEXTRACT(B365, ""id=([a-zA-Z0-9-_]+)&amp;usp"")"),"1_Ospzi0sEIOqbTgZY2CBsdJHqAxcXrWs")</f>
        <v>1_Ospzi0sEIOqbTgZY2CBsdJHqAxcXrWs</v>
      </c>
      <c r="G365" s="53" t="e">
        <f t="shared" ca="1" si="1"/>
        <v>#NAME?</v>
      </c>
    </row>
    <row r="366" spans="1:7">
      <c r="A366" s="42" t="s">
        <v>3518</v>
      </c>
      <c r="B366" s="49" t="s">
        <v>3519</v>
      </c>
      <c r="C366" s="50" t="s">
        <v>3520</v>
      </c>
      <c r="D366" s="46" t="str">
        <f ca="1">IFERROR(__xludf.DUMMYFUNCTION("REGEXEXTRACT(C366, ""\d+"")"),"170002153739")</f>
        <v>170002153739</v>
      </c>
      <c r="E366" s="44" t="s">
        <v>2428</v>
      </c>
      <c r="F366" s="46" t="str">
        <f ca="1">IFERROR(__xludf.DUMMYFUNCTION("REGEXEXTRACT(B366, ""id=([a-zA-Z0-9-_]+)&amp;usp"")"),"1_XIKDtsvDl6_wb0umFlTuFr-QvLbisJs")</f>
        <v>1_XIKDtsvDl6_wb0umFlTuFr-QvLbisJs</v>
      </c>
      <c r="G366" s="53" t="e">
        <f t="shared" ca="1" si="1"/>
        <v>#NAME?</v>
      </c>
    </row>
    <row r="367" spans="1:7">
      <c r="A367" s="42" t="s">
        <v>3521</v>
      </c>
      <c r="B367" s="49" t="s">
        <v>3522</v>
      </c>
      <c r="C367" s="50" t="s">
        <v>3523</v>
      </c>
      <c r="D367" s="46" t="str">
        <f ca="1">IFERROR(__xludf.DUMMYFUNCTION("REGEXEXTRACT(C367, ""\d+"")"),"170002193094")</f>
        <v>170002193094</v>
      </c>
      <c r="E367" s="44" t="s">
        <v>2428</v>
      </c>
      <c r="F367" s="46" t="str">
        <f ca="1">IFERROR(__xludf.DUMMYFUNCTION("REGEXEXTRACT(B367, ""id=([a-zA-Z0-9-_]+)&amp;usp"")"),"1a-guc68gCZuGnsSM5u2rbUCYj5mKLwyq")</f>
        <v>1a-guc68gCZuGnsSM5u2rbUCYj5mKLwyq</v>
      </c>
      <c r="G367" s="53" t="e">
        <f t="shared" ca="1" si="1"/>
        <v>#NAME?</v>
      </c>
    </row>
    <row r="368" spans="1:7">
      <c r="A368" s="42" t="s">
        <v>3524</v>
      </c>
      <c r="B368" s="49" t="s">
        <v>3525</v>
      </c>
      <c r="C368" s="50" t="s">
        <v>3526</v>
      </c>
      <c r="D368" s="46" t="str">
        <f ca="1">IFERROR(__xludf.DUMMYFUNCTION("REGEXEXTRACT(C368, ""\d+"")"),"170002195128")</f>
        <v>170002195128</v>
      </c>
      <c r="E368" s="44" t="s">
        <v>2428</v>
      </c>
      <c r="F368" s="46" t="str">
        <f ca="1">IFERROR(__xludf.DUMMYFUNCTION("REGEXEXTRACT(B368, ""id=([a-zA-Z0-9-_]+)&amp;usp"")"),"1aFdKbA3QNOfu3Bdx1qcILayZrfNcYk_1")</f>
        <v>1aFdKbA3QNOfu3Bdx1qcILayZrfNcYk_1</v>
      </c>
      <c r="G368" s="53" t="e">
        <f t="shared" ca="1" si="1"/>
        <v>#NAME?</v>
      </c>
    </row>
    <row r="369" spans="1:7">
      <c r="A369" s="42" t="s">
        <v>3527</v>
      </c>
      <c r="B369" s="49" t="s">
        <v>3528</v>
      </c>
      <c r="C369" s="50" t="s">
        <v>3529</v>
      </c>
      <c r="D369" s="46" t="str">
        <f ca="1">IFERROR(__xludf.DUMMYFUNCTION("REGEXEXTRACT(C369, ""\d+"")"),"170002215530")</f>
        <v>170002215530</v>
      </c>
      <c r="E369" s="44" t="s">
        <v>2428</v>
      </c>
      <c r="F369" s="46" t="str">
        <f ca="1">IFERROR(__xludf.DUMMYFUNCTION("REGEXEXTRACT(B369, ""id=([a-zA-Z0-9-_]+)&amp;usp"")"),"1b1bBYkR9Zpyr5iUJeizYAMgXoGUFXawC")</f>
        <v>1b1bBYkR9Zpyr5iUJeizYAMgXoGUFXawC</v>
      </c>
      <c r="G369" s="53" t="e">
        <f t="shared" ca="1" si="1"/>
        <v>#NAME?</v>
      </c>
    </row>
    <row r="370" spans="1:7">
      <c r="A370" s="42" t="s">
        <v>3530</v>
      </c>
      <c r="B370" s="49" t="s">
        <v>3531</v>
      </c>
      <c r="C370" s="50" t="s">
        <v>3532</v>
      </c>
      <c r="D370" s="46" t="str">
        <f ca="1">IFERROR(__xludf.DUMMYFUNCTION("REGEXEXTRACT(C370, ""\d+"")"),"170002216092")</f>
        <v>170002216092</v>
      </c>
      <c r="E370" s="44" t="s">
        <v>2428</v>
      </c>
      <c r="F370" s="46" t="str">
        <f ca="1">IFERROR(__xludf.DUMMYFUNCTION("REGEXEXTRACT(B370, ""id=([a-zA-Z0-9-_]+)&amp;usp"")"),"1b2FNkjIALuTXVYSEfkSM12BCttPKc_Ez")</f>
        <v>1b2FNkjIALuTXVYSEfkSM12BCttPKc_Ez</v>
      </c>
      <c r="G370" s="53" t="e">
        <f t="shared" ca="1" si="1"/>
        <v>#NAME?</v>
      </c>
    </row>
    <row r="371" spans="1:7">
      <c r="A371" s="42" t="s">
        <v>3533</v>
      </c>
      <c r="B371" s="49" t="s">
        <v>3534</v>
      </c>
      <c r="C371" s="50" t="s">
        <v>3535</v>
      </c>
      <c r="D371" s="46" t="str">
        <f ca="1">IFERROR(__xludf.DUMMYFUNCTION("REGEXEXTRACT(C371, ""\d+"")"),"170002225839")</f>
        <v>170002225839</v>
      </c>
      <c r="E371" s="44" t="s">
        <v>2428</v>
      </c>
      <c r="F371" s="46" t="str">
        <f ca="1">IFERROR(__xludf.DUMMYFUNCTION("REGEXEXTRACT(B371, ""id=([a-zA-Z0-9-_]+)&amp;usp"")"),"1bC-qwTGFGicw2hsLyue4oIWyBJwZ4w1a")</f>
        <v>1bC-qwTGFGicw2hsLyue4oIWyBJwZ4w1a</v>
      </c>
      <c r="G371" s="53" t="e">
        <f t="shared" ca="1" si="1"/>
        <v>#NAME?</v>
      </c>
    </row>
    <row r="372" spans="1:7">
      <c r="A372" s="42" t="s">
        <v>3536</v>
      </c>
      <c r="B372" s="49" t="s">
        <v>3537</v>
      </c>
      <c r="C372" s="50" t="s">
        <v>3538</v>
      </c>
      <c r="D372" s="46" t="str">
        <f ca="1">IFERROR(__xludf.DUMMYFUNCTION("REGEXEXTRACT(C372, ""\d+"")"),"170002196438")</f>
        <v>170002196438</v>
      </c>
      <c r="E372" s="44" t="s">
        <v>2428</v>
      </c>
      <c r="F372" s="46" t="str">
        <f ca="1">IFERROR(__xludf.DUMMYFUNCTION("REGEXEXTRACT(B372, ""id=([a-zA-Z0-9-_]+)&amp;usp"")"),"1d9UMW0rf1IBFoMSbYFBCQDJWfzbRy-hz")</f>
        <v>1d9UMW0rf1IBFoMSbYFBCQDJWfzbRy-hz</v>
      </c>
      <c r="G372" s="53" t="e">
        <f t="shared" ca="1" si="1"/>
        <v>#NAME?</v>
      </c>
    </row>
    <row r="373" spans="1:7">
      <c r="A373" s="42" t="s">
        <v>3539</v>
      </c>
      <c r="B373" s="49" t="s">
        <v>3540</v>
      </c>
      <c r="C373" s="50" t="s">
        <v>3541</v>
      </c>
      <c r="D373" s="46" t="str">
        <f ca="1">IFERROR(__xludf.DUMMYFUNCTION("REGEXEXTRACT(C373, ""\d+"")"),"170002201194")</f>
        <v>170002201194</v>
      </c>
      <c r="E373" s="44" t="s">
        <v>2428</v>
      </c>
      <c r="F373" s="46" t="str">
        <f ca="1">IFERROR(__xludf.DUMMYFUNCTION("REGEXEXTRACT(B373, ""id=([a-zA-Z0-9-_]+)&amp;usp"")"),"1dK_k8OiMZQ0jzuvIGCnNWuW5BKM_-zTk")</f>
        <v>1dK_k8OiMZQ0jzuvIGCnNWuW5BKM_-zTk</v>
      </c>
      <c r="G373" s="53" t="e">
        <f t="shared" ca="1" si="1"/>
        <v>#NAME?</v>
      </c>
    </row>
    <row r="374" spans="1:7">
      <c r="A374" s="42" t="s">
        <v>3542</v>
      </c>
      <c r="B374" s="49" t="s">
        <v>3543</v>
      </c>
      <c r="C374" s="50" t="s">
        <v>3544</v>
      </c>
      <c r="D374" s="46" t="str">
        <f ca="1">IFERROR(__xludf.DUMMYFUNCTION("REGEXEXTRACT(C374, ""\d+"")"),"170002148419")</f>
        <v>170002148419</v>
      </c>
      <c r="E374" s="44" t="s">
        <v>2428</v>
      </c>
      <c r="F374" s="46" t="str">
        <f ca="1">IFERROR(__xludf.DUMMYFUNCTION("REGEXEXTRACT(B374, ""id=([a-zA-Z0-9-_]+)&amp;usp"")"),"1dWJzrjrwldQIe0Z4DszRfISAs5t1RHUh")</f>
        <v>1dWJzrjrwldQIe0Z4DszRfISAs5t1RHUh</v>
      </c>
      <c r="G374" s="53" t="e">
        <f t="shared" ca="1" si="1"/>
        <v>#NAME?</v>
      </c>
    </row>
    <row r="375" spans="1:7">
      <c r="A375" s="42" t="s">
        <v>3545</v>
      </c>
      <c r="B375" s="49" t="s">
        <v>3546</v>
      </c>
      <c r="C375" s="50" t="s">
        <v>3547</v>
      </c>
      <c r="D375" s="46" t="str">
        <f ca="1">IFERROR(__xludf.DUMMYFUNCTION("REGEXEXTRACT(C375, ""\d+"")"),"170002155334")</f>
        <v>170002155334</v>
      </c>
      <c r="E375" s="44" t="s">
        <v>2428</v>
      </c>
      <c r="F375" s="46" t="str">
        <f ca="1">IFERROR(__xludf.DUMMYFUNCTION("REGEXEXTRACT(B375, ""id=([a-zA-Z0-9-_]+)&amp;usp"")"),"1e9Tox9UujaH4i3yjC_f28BtPex5tWSJV")</f>
        <v>1e9Tox9UujaH4i3yjC_f28BtPex5tWSJV</v>
      </c>
      <c r="G375" s="53" t="e">
        <f t="shared" ca="1" si="1"/>
        <v>#NAME?</v>
      </c>
    </row>
    <row r="376" spans="1:7">
      <c r="A376" s="42" t="s">
        <v>3548</v>
      </c>
      <c r="B376" s="49" t="s">
        <v>3549</v>
      </c>
      <c r="C376" s="50" t="s">
        <v>3550</v>
      </c>
      <c r="D376" s="46" t="str">
        <f ca="1">IFERROR(__xludf.DUMMYFUNCTION("REGEXEXTRACT(C376, ""\d+"")"),"170002162335")</f>
        <v>170002162335</v>
      </c>
      <c r="E376" s="44" t="s">
        <v>2428</v>
      </c>
      <c r="F376" s="46" t="str">
        <f ca="1">IFERROR(__xludf.DUMMYFUNCTION("REGEXEXTRACT(B376, ""id=([a-zA-Z0-9-_]+)&amp;usp"")"),"1eErTtWnaqaCkESAnkm_kBodjDgPU3aLQ")</f>
        <v>1eErTtWnaqaCkESAnkm_kBodjDgPU3aLQ</v>
      </c>
      <c r="G376" s="53" t="e">
        <f t="shared" ca="1" si="1"/>
        <v>#NAME?</v>
      </c>
    </row>
    <row r="377" spans="1:7">
      <c r="A377" s="42" t="s">
        <v>3551</v>
      </c>
      <c r="B377" s="49" t="s">
        <v>3552</v>
      </c>
      <c r="C377" s="50" t="s">
        <v>3553</v>
      </c>
      <c r="D377" s="46" t="str">
        <f ca="1">IFERROR(__xludf.DUMMYFUNCTION("REGEXEXTRACT(C377, ""\d+"")"),"170002255771")</f>
        <v>170002255771</v>
      </c>
      <c r="E377" s="44" t="s">
        <v>2428</v>
      </c>
      <c r="F377" s="46" t="str">
        <f ca="1">IFERROR(__xludf.DUMMYFUNCTION("REGEXEXTRACT(B377, ""id=([a-zA-Z0-9-_]+)&amp;usp"")"),"1eRy2CSqQ8IJxweCtMF4ioZbz4Pi2ZLRi")</f>
        <v>1eRy2CSqQ8IJxweCtMF4ioZbz4Pi2ZLRi</v>
      </c>
      <c r="G377" s="53" t="e">
        <f t="shared" ca="1" si="1"/>
        <v>#NAME?</v>
      </c>
    </row>
    <row r="378" spans="1:7">
      <c r="A378" s="42" t="s">
        <v>3554</v>
      </c>
      <c r="B378" s="49" t="s">
        <v>3555</v>
      </c>
      <c r="C378" s="50" t="s">
        <v>3556</v>
      </c>
      <c r="D378" s="46" t="str">
        <f ca="1">IFERROR(__xludf.DUMMYFUNCTION("REGEXEXTRACT(C378, ""\d+"")"),"170002243476")</f>
        <v>170002243476</v>
      </c>
      <c r="E378" s="44" t="s">
        <v>2428</v>
      </c>
      <c r="F378" s="46" t="str">
        <f ca="1">IFERROR(__xludf.DUMMYFUNCTION("REGEXEXTRACT(B378, ""id=([a-zA-Z0-9-_]+)&amp;usp"")"),"1eSaDB_NvTGwOgOrpfBkPw8Q622gc_Z3E")</f>
        <v>1eSaDB_NvTGwOgOrpfBkPw8Q622gc_Z3E</v>
      </c>
      <c r="G378" s="53" t="e">
        <f t="shared" ca="1" si="1"/>
        <v>#NAME?</v>
      </c>
    </row>
    <row r="379" spans="1:7">
      <c r="A379" s="42" t="s">
        <v>3557</v>
      </c>
      <c r="B379" s="49" t="s">
        <v>3558</v>
      </c>
      <c r="C379" s="50" t="s">
        <v>3559</v>
      </c>
      <c r="D379" s="46" t="str">
        <f ca="1">IFERROR(__xludf.DUMMYFUNCTION("REGEXEXTRACT(C379, ""\d+"")"),"170002149011")</f>
        <v>170002149011</v>
      </c>
      <c r="E379" s="44" t="s">
        <v>2428</v>
      </c>
      <c r="F379" s="46" t="str">
        <f ca="1">IFERROR(__xludf.DUMMYFUNCTION("REGEXEXTRACT(B379, ""id=([a-zA-Z0-9-_]+)&amp;usp"")"),"1efeTBjEynB_Vq3I7ePP4TgsmT6n-b37G")</f>
        <v>1efeTBjEynB_Vq3I7ePP4TgsmT6n-b37G</v>
      </c>
      <c r="G379" s="53" t="e">
        <f t="shared" ca="1" si="1"/>
        <v>#NAME?</v>
      </c>
    </row>
    <row r="380" spans="1:7">
      <c r="A380" s="42" t="s">
        <v>3560</v>
      </c>
      <c r="B380" s="49" t="s">
        <v>3561</v>
      </c>
      <c r="C380" s="50" t="s">
        <v>3562</v>
      </c>
      <c r="D380" s="46" t="str">
        <f ca="1">IFERROR(__xludf.DUMMYFUNCTION("REGEXEXTRACT(C380, ""\d+"")"),"170002227034")</f>
        <v>170002227034</v>
      </c>
      <c r="E380" s="44" t="s">
        <v>2428</v>
      </c>
      <c r="F380" s="46" t="str">
        <f ca="1">IFERROR(__xludf.DUMMYFUNCTION("REGEXEXTRACT(B380, ""id=([a-zA-Z0-9-_]+)&amp;usp"")"),"1f5PspbiX7HSp7DAogy6lDwiMu8q8QzrA")</f>
        <v>1f5PspbiX7HSp7DAogy6lDwiMu8q8QzrA</v>
      </c>
      <c r="G380" s="53" t="e">
        <f t="shared" ca="1" si="1"/>
        <v>#NAME?</v>
      </c>
    </row>
    <row r="381" spans="1:7">
      <c r="A381" s="42" t="s">
        <v>3563</v>
      </c>
      <c r="B381" s="49" t="s">
        <v>3564</v>
      </c>
      <c r="C381" s="50" t="s">
        <v>3565</v>
      </c>
      <c r="D381" s="46" t="str">
        <f ca="1">IFERROR(__xludf.DUMMYFUNCTION("REGEXEXTRACT(C381, ""\d+"")"),"170002217352")</f>
        <v>170002217352</v>
      </c>
      <c r="E381" s="44" t="s">
        <v>2428</v>
      </c>
      <c r="F381" s="46" t="str">
        <f ca="1">IFERROR(__xludf.DUMMYFUNCTION("REGEXEXTRACT(B381, ""id=([a-zA-Z0-9-_]+)&amp;usp"")"),"1fdQjwZrPAS0spx60zXrQTzkjK4FPaHpT")</f>
        <v>1fdQjwZrPAS0spx60zXrQTzkjK4FPaHpT</v>
      </c>
      <c r="G381" s="53" t="e">
        <f t="shared" ca="1" si="1"/>
        <v>#NAME?</v>
      </c>
    </row>
    <row r="382" spans="1:7">
      <c r="A382" s="42" t="s">
        <v>3566</v>
      </c>
      <c r="B382" s="49" t="s">
        <v>3567</v>
      </c>
      <c r="C382" s="50" t="s">
        <v>3568</v>
      </c>
      <c r="D382" s="46" t="str">
        <f ca="1">IFERROR(__xludf.DUMMYFUNCTION("REGEXEXTRACT(C382, ""\d+"")"),"170002193879")</f>
        <v>170002193879</v>
      </c>
      <c r="E382" s="44" t="s">
        <v>2428</v>
      </c>
      <c r="F382" s="46" t="str">
        <f ca="1">IFERROR(__xludf.DUMMYFUNCTION("REGEXEXTRACT(B382, ""id=([a-zA-Z0-9-_]+)&amp;usp"")"),"1gOwi83R1sj9HyGcaQe99D8Rxtb0d0ZDn")</f>
        <v>1gOwi83R1sj9HyGcaQe99D8Rxtb0d0ZDn</v>
      </c>
      <c r="G382" s="53" t="e">
        <f t="shared" ca="1" si="1"/>
        <v>#NAME?</v>
      </c>
    </row>
    <row r="383" spans="1:7">
      <c r="A383" s="42" t="s">
        <v>3569</v>
      </c>
      <c r="B383" s="49" t="s">
        <v>3570</v>
      </c>
      <c r="C383" s="50" t="s">
        <v>3571</v>
      </c>
      <c r="D383" s="46" t="str">
        <f ca="1">IFERROR(__xludf.DUMMYFUNCTION("REGEXEXTRACT(C383, ""\d+"")"),"170002191657")</f>
        <v>170002191657</v>
      </c>
      <c r="E383" s="44" t="s">
        <v>2428</v>
      </c>
      <c r="F383" s="46" t="str">
        <f ca="1">IFERROR(__xludf.DUMMYFUNCTION("REGEXEXTRACT(B383, ""id=([a-zA-Z0-9-_]+)&amp;usp"")"),"1gb0evkUQUIIbQlJb9Au-rlCLJQfI5SMC")</f>
        <v>1gb0evkUQUIIbQlJb9Au-rlCLJQfI5SMC</v>
      </c>
      <c r="G383" s="53" t="e">
        <f t="shared" ca="1" si="1"/>
        <v>#NAME?</v>
      </c>
    </row>
    <row r="384" spans="1:7">
      <c r="A384" s="42" t="s">
        <v>3572</v>
      </c>
      <c r="B384" s="49" t="s">
        <v>3573</v>
      </c>
      <c r="C384" s="50" t="s">
        <v>3574</v>
      </c>
      <c r="D384" s="46" t="str">
        <f ca="1">IFERROR(__xludf.DUMMYFUNCTION("REGEXEXTRACT(C384, ""\d+"")"),"170002200184")</f>
        <v>170002200184</v>
      </c>
      <c r="E384" s="44" t="s">
        <v>2428</v>
      </c>
      <c r="F384" s="46" t="str">
        <f ca="1">IFERROR(__xludf.DUMMYFUNCTION("REGEXEXTRACT(B384, ""id=([a-zA-Z0-9-_]+)&amp;usp"")"),"1hVht4Db44LySA5pslEpWmKYVm1qPb7DG")</f>
        <v>1hVht4Db44LySA5pslEpWmKYVm1qPb7DG</v>
      </c>
      <c r="G384" s="53" t="e">
        <f t="shared" ca="1" si="1"/>
        <v>#NAME?</v>
      </c>
    </row>
    <row r="385" spans="1:7">
      <c r="A385" s="42" t="s">
        <v>3575</v>
      </c>
      <c r="B385" s="49" t="s">
        <v>3576</v>
      </c>
      <c r="C385" s="50" t="s">
        <v>3577</v>
      </c>
      <c r="D385" s="46" t="str">
        <f ca="1">IFERROR(__xludf.DUMMYFUNCTION("REGEXEXTRACT(C385, ""\d+"")"),"170002203576")</f>
        <v>170002203576</v>
      </c>
      <c r="E385" s="44" t="s">
        <v>2428</v>
      </c>
      <c r="F385" s="46" t="str">
        <f ca="1">IFERROR(__xludf.DUMMYFUNCTION("REGEXEXTRACT(B385, ""id=([a-zA-Z0-9-_]+)&amp;usp"")"),"1hiCsEhEqDq8ZtxyyM1gJLg2gxrsUhwTp")</f>
        <v>1hiCsEhEqDq8ZtxyyM1gJLg2gxrsUhwTp</v>
      </c>
      <c r="G385" s="53" t="e">
        <f t="shared" ca="1" si="1"/>
        <v>#NAME?</v>
      </c>
    </row>
    <row r="386" spans="1:7">
      <c r="A386" s="42" t="s">
        <v>3578</v>
      </c>
      <c r="B386" s="49" t="s">
        <v>3579</v>
      </c>
      <c r="C386" s="50" t="s">
        <v>3580</v>
      </c>
      <c r="D386" s="46" t="str">
        <f ca="1">IFERROR(__xludf.DUMMYFUNCTION("REGEXEXTRACT(C386, ""\d+"")"),"170002155726")</f>
        <v>170002155726</v>
      </c>
      <c r="E386" s="44" t="s">
        <v>2428</v>
      </c>
      <c r="F386" s="46" t="str">
        <f ca="1">IFERROR(__xludf.DUMMYFUNCTION("REGEXEXTRACT(B386, ""id=([a-zA-Z0-9-_]+)&amp;usp"")"),"1iP-NZo1-QHJjAeyJFKOkc3Ku_DaSk33t")</f>
        <v>1iP-NZo1-QHJjAeyJFKOkc3Ku_DaSk33t</v>
      </c>
      <c r="G386" s="53" t="e">
        <f t="shared" ca="1" si="1"/>
        <v>#NAME?</v>
      </c>
    </row>
    <row r="387" spans="1:7">
      <c r="A387" s="42" t="s">
        <v>3581</v>
      </c>
      <c r="B387" s="49" t="s">
        <v>3582</v>
      </c>
      <c r="C387" s="50" t="s">
        <v>3583</v>
      </c>
      <c r="D387" s="46" t="str">
        <f ca="1">IFERROR(__xludf.DUMMYFUNCTION("REGEXEXTRACT(C387, ""\d+"")"),"170002188752")</f>
        <v>170002188752</v>
      </c>
      <c r="E387" s="44" t="s">
        <v>2428</v>
      </c>
      <c r="F387" s="46" t="str">
        <f ca="1">IFERROR(__xludf.DUMMYFUNCTION("REGEXEXTRACT(B387, ""id=([a-zA-Z0-9-_]+)&amp;usp"")"),"1kR4hvp1F5V9P50e58HU6TdZOS9xJejy2")</f>
        <v>1kR4hvp1F5V9P50e58HU6TdZOS9xJejy2</v>
      </c>
      <c r="G387" s="53" t="e">
        <f t="shared" ca="1" si="1"/>
        <v>#NAME?</v>
      </c>
    </row>
    <row r="388" spans="1:7">
      <c r="A388" s="42" t="s">
        <v>3584</v>
      </c>
      <c r="B388" s="49" t="s">
        <v>3585</v>
      </c>
      <c r="C388" s="50" t="s">
        <v>3586</v>
      </c>
      <c r="D388" s="46" t="str">
        <f ca="1">IFERROR(__xludf.DUMMYFUNCTION("REGEXEXTRACT(C388, ""\d+"")"),"170002246187")</f>
        <v>170002246187</v>
      </c>
      <c r="E388" s="44" t="s">
        <v>2428</v>
      </c>
      <c r="F388" s="46" t="str">
        <f ca="1">IFERROR(__xludf.DUMMYFUNCTION("REGEXEXTRACT(B388, ""id=([a-zA-Z0-9-_]+)&amp;usp"")"),"1kpVwOHdRqVZbFtP3S6bgOcRp1iJhmegl")</f>
        <v>1kpVwOHdRqVZbFtP3S6bgOcRp1iJhmegl</v>
      </c>
      <c r="G388" s="53" t="e">
        <f t="shared" ca="1" si="1"/>
        <v>#NAME?</v>
      </c>
    </row>
    <row r="389" spans="1:7">
      <c r="A389" s="42" t="s">
        <v>3587</v>
      </c>
      <c r="B389" s="49" t="s">
        <v>3588</v>
      </c>
      <c r="C389" s="50" t="s">
        <v>3589</v>
      </c>
      <c r="D389" s="46" t="str">
        <f ca="1">IFERROR(__xludf.DUMMYFUNCTION("REGEXEXTRACT(C389, ""\d+"")"),"170002187750")</f>
        <v>170002187750</v>
      </c>
      <c r="E389" s="44" t="s">
        <v>2428</v>
      </c>
      <c r="F389" s="46" t="str">
        <f ca="1">IFERROR(__xludf.DUMMYFUNCTION("REGEXEXTRACT(B389, ""id=([a-zA-Z0-9-_]+)&amp;usp"")"),"1kxrqRoMYvZXRwXcNkuuKZ9S9LAk7lXIf")</f>
        <v>1kxrqRoMYvZXRwXcNkuuKZ9S9LAk7lXIf</v>
      </c>
      <c r="G389" s="53" t="e">
        <f t="shared" ca="1" si="1"/>
        <v>#NAME?</v>
      </c>
    </row>
    <row r="390" spans="1:7">
      <c r="A390" s="42" t="s">
        <v>3590</v>
      </c>
      <c r="B390" s="49" t="s">
        <v>3591</v>
      </c>
      <c r="C390" s="50" t="s">
        <v>3592</v>
      </c>
      <c r="D390" s="46" t="str">
        <f ca="1">IFERROR(__xludf.DUMMYFUNCTION("REGEXEXTRACT(C390, ""\d+"")"),"170002146336")</f>
        <v>170002146336</v>
      </c>
      <c r="E390" s="44" t="s">
        <v>2428</v>
      </c>
      <c r="F390" s="46" t="str">
        <f ca="1">IFERROR(__xludf.DUMMYFUNCTION("REGEXEXTRACT(B390, ""id=([a-zA-Z0-9-_]+)&amp;usp"")"),"1l8vCgwAU6Bi2RYS28PVzLmvGQSS3nV8m")</f>
        <v>1l8vCgwAU6Bi2RYS28PVzLmvGQSS3nV8m</v>
      </c>
      <c r="G390" s="53" t="e">
        <f t="shared" ca="1" si="1"/>
        <v>#NAME?</v>
      </c>
    </row>
    <row r="391" spans="1:7">
      <c r="A391" s="42" t="s">
        <v>3593</v>
      </c>
      <c r="B391" s="49" t="s">
        <v>3594</v>
      </c>
      <c r="C391" s="50" t="s">
        <v>3595</v>
      </c>
      <c r="D391" s="46" t="str">
        <f ca="1">IFERROR(__xludf.DUMMYFUNCTION("REGEXEXTRACT(C391, ""\d+"")"),"170002154954")</f>
        <v>170002154954</v>
      </c>
      <c r="E391" s="44" t="s">
        <v>2428</v>
      </c>
      <c r="F391" s="46" t="str">
        <f ca="1">IFERROR(__xludf.DUMMYFUNCTION("REGEXEXTRACT(B391, ""id=([a-zA-Z0-9-_]+)&amp;usp"")"),"1leDw1-jtTwFoQr7A_pjv0rT3Hh1Y4O5y")</f>
        <v>1leDw1-jtTwFoQr7A_pjv0rT3Hh1Y4O5y</v>
      </c>
      <c r="G391" s="53" t="e">
        <f t="shared" ca="1" si="1"/>
        <v>#NAME?</v>
      </c>
    </row>
    <row r="392" spans="1:7">
      <c r="A392" s="42" t="s">
        <v>3596</v>
      </c>
      <c r="B392" s="49" t="s">
        <v>3597</v>
      </c>
      <c r="C392" s="50" t="s">
        <v>3598</v>
      </c>
      <c r="D392" s="46" t="str">
        <f ca="1">IFERROR(__xludf.DUMMYFUNCTION("REGEXEXTRACT(C392, ""\d+"")"),"170002204243")</f>
        <v>170002204243</v>
      </c>
      <c r="E392" s="44" t="s">
        <v>2428</v>
      </c>
      <c r="F392" s="46" t="str">
        <f ca="1">IFERROR(__xludf.DUMMYFUNCTION("REGEXEXTRACT(B392, ""id=([a-zA-Z0-9-_]+)&amp;usp"")"),"1lg-qlMg4-q2la5o9YSLyaMebRTpa4Hml")</f>
        <v>1lg-qlMg4-q2la5o9YSLyaMebRTpa4Hml</v>
      </c>
      <c r="G392" s="53" t="e">
        <f t="shared" ca="1" si="1"/>
        <v>#NAME?</v>
      </c>
    </row>
    <row r="393" spans="1:7">
      <c r="A393" s="42" t="s">
        <v>3599</v>
      </c>
      <c r="B393" s="49" t="s">
        <v>3600</v>
      </c>
      <c r="C393" s="50" t="s">
        <v>3601</v>
      </c>
      <c r="D393" s="46" t="str">
        <f ca="1">IFERROR(__xludf.DUMMYFUNCTION("REGEXEXTRACT(C393, ""\d+"")"),"170002244295")</f>
        <v>170002244295</v>
      </c>
      <c r="E393" s="44" t="s">
        <v>2428</v>
      </c>
      <c r="F393" s="46" t="str">
        <f ca="1">IFERROR(__xludf.DUMMYFUNCTION("REGEXEXTRACT(B393, ""id=([a-zA-Z0-9-_]+)&amp;usp"")"),"1mI6nDU6j2OF1DXqknC9kEcvDflU-vhh9")</f>
        <v>1mI6nDU6j2OF1DXqknC9kEcvDflU-vhh9</v>
      </c>
      <c r="G393" s="53" t="e">
        <f t="shared" ca="1" si="1"/>
        <v>#NAME?</v>
      </c>
    </row>
    <row r="394" spans="1:7">
      <c r="A394" s="42" t="s">
        <v>3602</v>
      </c>
      <c r="B394" s="49" t="s">
        <v>3603</v>
      </c>
      <c r="C394" s="50" t="s">
        <v>3604</v>
      </c>
      <c r="D394" s="46" t="str">
        <f ca="1">IFERROR(__xludf.DUMMYFUNCTION("REGEXEXTRACT(C394, ""\d+"")"),"170002183861")</f>
        <v>170002183861</v>
      </c>
      <c r="E394" s="44" t="s">
        <v>2428</v>
      </c>
      <c r="F394" s="46" t="str">
        <f ca="1">IFERROR(__xludf.DUMMYFUNCTION("REGEXEXTRACT(B394, ""id=([a-zA-Z0-9-_]+)&amp;usp"")"),"1mO5HYwdOcscZgwmDkA75QLKh6-bxmlJb")</f>
        <v>1mO5HYwdOcscZgwmDkA75QLKh6-bxmlJb</v>
      </c>
      <c r="G394" s="53" t="e">
        <f t="shared" ca="1" si="1"/>
        <v>#NAME?</v>
      </c>
    </row>
    <row r="395" spans="1:7">
      <c r="A395" s="42" t="s">
        <v>3605</v>
      </c>
      <c r="B395" s="49" t="s">
        <v>3606</v>
      </c>
      <c r="C395" s="50" t="s">
        <v>3607</v>
      </c>
      <c r="D395" s="46" t="str">
        <f ca="1">IFERROR(__xludf.DUMMYFUNCTION("REGEXEXTRACT(C395, ""\d+"")"),"170002244178")</f>
        <v>170002244178</v>
      </c>
      <c r="E395" s="44" t="s">
        <v>2428</v>
      </c>
      <c r="F395" s="46" t="str">
        <f ca="1">IFERROR(__xludf.DUMMYFUNCTION("REGEXEXTRACT(B395, ""id=([a-zA-Z0-9-_]+)&amp;usp"")"),"1mPQU9e7OkgX9vRpRTANMkYeUuE5uGptO")</f>
        <v>1mPQU9e7OkgX9vRpRTANMkYeUuE5uGptO</v>
      </c>
      <c r="G395" s="53" t="e">
        <f t="shared" ca="1" si="1"/>
        <v>#NAME?</v>
      </c>
    </row>
    <row r="396" spans="1:7">
      <c r="A396" s="42" t="s">
        <v>3608</v>
      </c>
      <c r="B396" s="49" t="s">
        <v>3609</v>
      </c>
      <c r="C396" s="50" t="s">
        <v>3610</v>
      </c>
      <c r="D396" s="46" t="str">
        <f ca="1">IFERROR(__xludf.DUMMYFUNCTION("REGEXEXTRACT(C396, ""\d+"")"),"170002140671")</f>
        <v>170002140671</v>
      </c>
      <c r="E396" s="44" t="s">
        <v>2428</v>
      </c>
      <c r="F396" s="46" t="str">
        <f ca="1">IFERROR(__xludf.DUMMYFUNCTION("REGEXEXTRACT(B396, ""id=([a-zA-Z0-9-_]+)&amp;usp"")"),"1nVvH877SXMfMIbTIaPZTSKxROQncgQA-")</f>
        <v>1nVvH877SXMfMIbTIaPZTSKxROQncgQA-</v>
      </c>
      <c r="G396" s="53" t="e">
        <f t="shared" ca="1" si="1"/>
        <v>#NAME?</v>
      </c>
    </row>
    <row r="397" spans="1:7">
      <c r="A397" s="42" t="s">
        <v>3611</v>
      </c>
      <c r="B397" s="49" t="s">
        <v>3612</v>
      </c>
      <c r="C397" s="50" t="s">
        <v>3613</v>
      </c>
      <c r="D397" s="46" t="str">
        <f ca="1">IFERROR(__xludf.DUMMYFUNCTION("REGEXEXTRACT(C397, ""\d+"")"),"170002243258")</f>
        <v>170002243258</v>
      </c>
      <c r="E397" s="44" t="s">
        <v>2428</v>
      </c>
      <c r="F397" s="46" t="str">
        <f ca="1">IFERROR(__xludf.DUMMYFUNCTION("REGEXEXTRACT(B397, ""id=([a-zA-Z0-9-_]+)&amp;usp"")"),"1oAz_rtXkewlSDRo-3AlgjxLRSBS8XuTU")</f>
        <v>1oAz_rtXkewlSDRo-3AlgjxLRSBS8XuTU</v>
      </c>
      <c r="G397" s="53" t="e">
        <f t="shared" ca="1" si="1"/>
        <v>#NAME?</v>
      </c>
    </row>
    <row r="398" spans="1:7">
      <c r="A398" s="42" t="s">
        <v>3614</v>
      </c>
      <c r="B398" s="49" t="s">
        <v>3615</v>
      </c>
      <c r="C398" s="50" t="s">
        <v>3616</v>
      </c>
      <c r="D398" s="46" t="str">
        <f ca="1">IFERROR(__xludf.DUMMYFUNCTION("REGEXEXTRACT(C398, ""\d+"")"),"170002241555")</f>
        <v>170002241555</v>
      </c>
      <c r="E398" s="44" t="s">
        <v>2428</v>
      </c>
      <c r="F398" s="46" t="str">
        <f ca="1">IFERROR(__xludf.DUMMYFUNCTION("REGEXEXTRACT(B398, ""id=([a-zA-Z0-9-_]+)&amp;usp"")"),"1oGZtoe0hpDoxx1I7d5UTJNm5opaDIsLW")</f>
        <v>1oGZtoe0hpDoxx1I7d5UTJNm5opaDIsLW</v>
      </c>
      <c r="G398" s="53" t="e">
        <f t="shared" ca="1" si="1"/>
        <v>#NAME?</v>
      </c>
    </row>
    <row r="399" spans="1:7">
      <c r="A399" s="42" t="s">
        <v>3617</v>
      </c>
      <c r="B399" s="49" t="s">
        <v>3618</v>
      </c>
      <c r="C399" s="50" t="s">
        <v>3619</v>
      </c>
      <c r="D399" s="46" t="str">
        <f ca="1">IFERROR(__xludf.DUMMYFUNCTION("REGEXEXTRACT(C399, ""\d+"")"),"170002220384")</f>
        <v>170002220384</v>
      </c>
      <c r="E399" s="44" t="s">
        <v>2428</v>
      </c>
      <c r="F399" s="46" t="str">
        <f ca="1">IFERROR(__xludf.DUMMYFUNCTION("REGEXEXTRACT(B399, ""id=([a-zA-Z0-9-_]+)&amp;usp"")"),"1rBVLvUfbB2Xw9kBCKJfG0qCGqTl_pASA")</f>
        <v>1rBVLvUfbB2Xw9kBCKJfG0qCGqTl_pASA</v>
      </c>
      <c r="G399" s="53" t="e">
        <f t="shared" ca="1" si="1"/>
        <v>#NAME?</v>
      </c>
    </row>
    <row r="400" spans="1:7">
      <c r="A400" s="42" t="s">
        <v>3620</v>
      </c>
      <c r="B400" s="49" t="s">
        <v>3621</v>
      </c>
      <c r="C400" s="50" t="s">
        <v>3622</v>
      </c>
      <c r="D400" s="46" t="str">
        <f ca="1">IFERROR(__xludf.DUMMYFUNCTION("REGEXEXTRACT(C400, ""\d+"")"),"170002212835")</f>
        <v>170002212835</v>
      </c>
      <c r="E400" s="44" t="s">
        <v>2428</v>
      </c>
      <c r="F400" s="46" t="str">
        <f ca="1">IFERROR(__xludf.DUMMYFUNCTION("REGEXEXTRACT(B400, ""id=([a-zA-Z0-9-_]+)&amp;usp"")"),"1rBj2sJFFfI_1HN8al1MLOke-q4glmMAJ")</f>
        <v>1rBj2sJFFfI_1HN8al1MLOke-q4glmMAJ</v>
      </c>
      <c r="G400" s="53" t="e">
        <f t="shared" ca="1" si="1"/>
        <v>#NAME?</v>
      </c>
    </row>
    <row r="401" spans="1:7">
      <c r="A401" s="42" t="s">
        <v>3623</v>
      </c>
      <c r="B401" s="49" t="s">
        <v>3624</v>
      </c>
      <c r="C401" s="50" t="s">
        <v>3625</v>
      </c>
      <c r="D401" s="46" t="str">
        <f ca="1">IFERROR(__xludf.DUMMYFUNCTION("REGEXEXTRACT(C401, ""\d+"")"),"170002149854")</f>
        <v>170002149854</v>
      </c>
      <c r="E401" s="44" t="s">
        <v>2428</v>
      </c>
      <c r="F401" s="46" t="str">
        <f ca="1">IFERROR(__xludf.DUMMYFUNCTION("REGEXEXTRACT(B401, ""id=([a-zA-Z0-9-_]+)&amp;usp"")"),"1tsLYsn4Ucgh8J_WY_ONl-6B6_y_6rSPh")</f>
        <v>1tsLYsn4Ucgh8J_WY_ONl-6B6_y_6rSPh</v>
      </c>
      <c r="G401" s="53" t="e">
        <f t="shared" ca="1" si="1"/>
        <v>#NAME?</v>
      </c>
    </row>
    <row r="402" spans="1:7">
      <c r="A402" s="42" t="s">
        <v>3626</v>
      </c>
      <c r="B402" s="49" t="s">
        <v>3627</v>
      </c>
      <c r="C402" s="50" t="s">
        <v>3628</v>
      </c>
      <c r="D402" s="46" t="str">
        <f ca="1">IFERROR(__xludf.DUMMYFUNCTION("REGEXEXTRACT(C402, ""\d+"")"),"170002144589")</f>
        <v>170002144589</v>
      </c>
      <c r="E402" s="44" t="s">
        <v>2428</v>
      </c>
      <c r="F402" s="46" t="str">
        <f ca="1">IFERROR(__xludf.DUMMYFUNCTION("REGEXEXTRACT(B402, ""id=([a-zA-Z0-9-_]+)&amp;usp"")"),"1uBQXcYyXIDHwg1-h2VJ-1K81IJyCxuZa")</f>
        <v>1uBQXcYyXIDHwg1-h2VJ-1K81IJyCxuZa</v>
      </c>
      <c r="G402" s="53" t="e">
        <f t="shared" ca="1" si="1"/>
        <v>#NAME?</v>
      </c>
    </row>
    <row r="403" spans="1:7">
      <c r="A403" s="42" t="s">
        <v>3629</v>
      </c>
      <c r="B403" s="49" t="s">
        <v>3630</v>
      </c>
      <c r="C403" s="50" t="s">
        <v>3631</v>
      </c>
      <c r="D403" s="46" t="str">
        <f ca="1">IFERROR(__xludf.DUMMYFUNCTION("REGEXEXTRACT(C403, ""\d+"")"),"170002200050")</f>
        <v>170002200050</v>
      </c>
      <c r="E403" s="44" t="s">
        <v>2428</v>
      </c>
      <c r="F403" s="46" t="str">
        <f ca="1">IFERROR(__xludf.DUMMYFUNCTION("REGEXEXTRACT(B403, ""id=([a-zA-Z0-9-_]+)&amp;usp"")"),"1vHSpV0S1trXYLnUz_q7KR5WGMoOzNvsU")</f>
        <v>1vHSpV0S1trXYLnUz_q7KR5WGMoOzNvsU</v>
      </c>
      <c r="G403" s="53" t="e">
        <f t="shared" ca="1" si="1"/>
        <v>#NAME?</v>
      </c>
    </row>
    <row r="404" spans="1:7">
      <c r="A404" s="42" t="s">
        <v>3632</v>
      </c>
      <c r="B404" s="49" t="s">
        <v>3633</v>
      </c>
      <c r="C404" s="50" t="s">
        <v>3634</v>
      </c>
      <c r="D404" s="46" t="str">
        <f ca="1">IFERROR(__xludf.DUMMYFUNCTION("REGEXEXTRACT(C404, ""\d+"")"),"170002217637")</f>
        <v>170002217637</v>
      </c>
      <c r="E404" s="44" t="s">
        <v>2428</v>
      </c>
      <c r="F404" s="46" t="str">
        <f ca="1">IFERROR(__xludf.DUMMYFUNCTION("REGEXEXTRACT(B404, ""id=([a-zA-Z0-9-_]+)&amp;usp"")"),"1vNWsNBiGi5GvRU8vidCvelHoLcq2nO0m")</f>
        <v>1vNWsNBiGi5GvRU8vidCvelHoLcq2nO0m</v>
      </c>
      <c r="G404" s="53" t="e">
        <f t="shared" ca="1" si="1"/>
        <v>#NAME?</v>
      </c>
    </row>
    <row r="405" spans="1:7">
      <c r="A405" s="42" t="s">
        <v>3635</v>
      </c>
      <c r="B405" s="49" t="s">
        <v>3636</v>
      </c>
      <c r="C405" s="50" t="s">
        <v>3637</v>
      </c>
      <c r="D405" s="46" t="str">
        <f ca="1">IFERROR(__xludf.DUMMYFUNCTION("REGEXEXTRACT(C405, ""\d+"")"),"170002199794")</f>
        <v>170002199794</v>
      </c>
      <c r="E405" s="44" t="s">
        <v>2428</v>
      </c>
      <c r="F405" s="46" t="str">
        <f ca="1">IFERROR(__xludf.DUMMYFUNCTION("REGEXEXTRACT(B405, ""id=([a-zA-Z0-9-_]+)&amp;usp"")"),"1w0do1cOrLaQoVl48tAgRiMJ45c85XdPY")</f>
        <v>1w0do1cOrLaQoVl48tAgRiMJ45c85XdPY</v>
      </c>
      <c r="G405" s="53" t="e">
        <f t="shared" ca="1" si="1"/>
        <v>#NAME?</v>
      </c>
    </row>
    <row r="406" spans="1:7">
      <c r="A406" s="42" t="s">
        <v>3638</v>
      </c>
      <c r="B406" s="49" t="s">
        <v>3639</v>
      </c>
      <c r="C406" s="50" t="s">
        <v>3640</v>
      </c>
      <c r="D406" s="46" t="str">
        <f ca="1">IFERROR(__xludf.DUMMYFUNCTION("REGEXEXTRACT(C406, ""\d+"")"),"170002244848")</f>
        <v>170002244848</v>
      </c>
      <c r="E406" s="44" t="s">
        <v>2428</v>
      </c>
      <c r="F406" s="46" t="str">
        <f ca="1">IFERROR(__xludf.DUMMYFUNCTION("REGEXEXTRACT(B406, ""id=([a-zA-Z0-9-_]+)&amp;usp"")"),"1x9D4uo3_dGK7z67W9aITqYVhLKK1EVCP")</f>
        <v>1x9D4uo3_dGK7z67W9aITqYVhLKK1EVCP</v>
      </c>
      <c r="G406" s="53" t="e">
        <f t="shared" ca="1" si="1"/>
        <v>#NAME?</v>
      </c>
    </row>
    <row r="407" spans="1:7">
      <c r="A407" s="42" t="s">
        <v>3641</v>
      </c>
      <c r="B407" s="49" t="s">
        <v>3642</v>
      </c>
      <c r="C407" s="50" t="s">
        <v>3643</v>
      </c>
      <c r="D407" s="46" t="str">
        <f ca="1">IFERROR(__xludf.DUMMYFUNCTION("REGEXEXTRACT(C407, ""\d+"")"),"170002246255")</f>
        <v>170002246255</v>
      </c>
      <c r="E407" s="44" t="s">
        <v>2428</v>
      </c>
      <c r="F407" s="46" t="str">
        <f ca="1">IFERROR(__xludf.DUMMYFUNCTION("REGEXEXTRACT(B407, ""id=([a-zA-Z0-9-_]+)&amp;usp"")"),"1xXckcMeOQ9E_pr4Znfvx377Ao3fuLvdp")</f>
        <v>1xXckcMeOQ9E_pr4Znfvx377Ao3fuLvdp</v>
      </c>
      <c r="G407" s="53" t="e">
        <f t="shared" ca="1" si="1"/>
        <v>#NAME?</v>
      </c>
    </row>
    <row r="408" spans="1:7">
      <c r="A408" s="42" t="s">
        <v>3644</v>
      </c>
      <c r="B408" s="49" t="s">
        <v>3645</v>
      </c>
      <c r="C408" s="50" t="s">
        <v>3646</v>
      </c>
      <c r="D408" s="46" t="str">
        <f ca="1">IFERROR(__xludf.DUMMYFUNCTION("REGEXEXTRACT(C408, ""\d+"")"),"170002201856")</f>
        <v>170002201856</v>
      </c>
      <c r="E408" s="44" t="s">
        <v>2428</v>
      </c>
      <c r="F408" s="46" t="str">
        <f ca="1">IFERROR(__xludf.DUMMYFUNCTION("REGEXEXTRACT(B408, ""id=([a-zA-Z0-9-_]+)&amp;usp"")"),"1yPZMDVYtYHotjnBW-IDDCPs5OddAxJ-r")</f>
        <v>1yPZMDVYtYHotjnBW-IDDCPs5OddAxJ-r</v>
      </c>
      <c r="G408" s="53" t="e">
        <f t="shared" ca="1" si="1"/>
        <v>#NAME?</v>
      </c>
    </row>
    <row r="409" spans="1:7">
      <c r="A409" s="42" t="s">
        <v>3647</v>
      </c>
      <c r="B409" s="49" t="s">
        <v>3648</v>
      </c>
      <c r="C409" s="50" t="s">
        <v>3649</v>
      </c>
      <c r="D409" s="46" t="str">
        <f ca="1">IFERROR(__xludf.DUMMYFUNCTION("REGEXEXTRACT(C409, ""\d+"")"),"170002214303")</f>
        <v>170002214303</v>
      </c>
      <c r="E409" s="44" t="s">
        <v>2428</v>
      </c>
      <c r="F409" s="46" t="str">
        <f ca="1">IFERROR(__xludf.DUMMYFUNCTION("REGEXEXTRACT(B409, ""id=([a-zA-Z0-9-_]+)&amp;usp"")"),"1yaXxcpMa0eFvTzW-DHUDWhAYw7qkR7r0")</f>
        <v>1yaXxcpMa0eFvTzW-DHUDWhAYw7qkR7r0</v>
      </c>
      <c r="G409" s="53" t="e">
        <f t="shared" ca="1" si="1"/>
        <v>#NAME?</v>
      </c>
    </row>
    <row r="410" spans="1:7">
      <c r="A410" s="42" t="s">
        <v>3650</v>
      </c>
      <c r="B410" s="49" t="s">
        <v>3651</v>
      </c>
      <c r="C410" s="50" t="s">
        <v>3652</v>
      </c>
      <c r="D410" s="46" t="str">
        <f ca="1">IFERROR(__xludf.DUMMYFUNCTION("REGEXEXTRACT(C410, ""\d+"")"),"170002148376")</f>
        <v>170002148376</v>
      </c>
      <c r="E410" s="44" t="s">
        <v>2428</v>
      </c>
      <c r="F410" s="46" t="str">
        <f ca="1">IFERROR(__xludf.DUMMYFUNCTION("REGEXEXTRACT(B410, ""id=([a-zA-Z0-9-_]+)&amp;usp"")"),"1zHSsI1e2H7Vgh1q1F2EQhimmg0-hfvbw")</f>
        <v>1zHSsI1e2H7Vgh1q1F2EQhimmg0-hfvbw</v>
      </c>
      <c r="G410" s="53" t="e">
        <f t="shared" ca="1" si="1"/>
        <v>#NAME?</v>
      </c>
    </row>
    <row r="411" spans="1:7">
      <c r="A411" s="42" t="s">
        <v>3653</v>
      </c>
      <c r="B411" s="49" t="s">
        <v>3654</v>
      </c>
      <c r="C411" s="50" t="s">
        <v>3655</v>
      </c>
      <c r="D411" s="46" t="str">
        <f ca="1">IFERROR(__xludf.DUMMYFUNCTION("REGEXEXTRACT(C411, ""\d+"")"),"170002251334")</f>
        <v>170002251334</v>
      </c>
      <c r="E411" s="44" t="s">
        <v>2428</v>
      </c>
      <c r="F411" s="46" t="str">
        <f ca="1">IFERROR(__xludf.DUMMYFUNCTION("REGEXEXTRACT(B411, ""id=([a-zA-Z0-9-_]+)&amp;usp"")"),"1zeIBGzAFqTuteh2yubD8LcTRyzIDuFYR")</f>
        <v>1zeIBGzAFqTuteh2yubD8LcTRyzIDuFYR</v>
      </c>
      <c r="G411" s="53" t="e">
        <f t="shared" ca="1" si="1"/>
        <v>#NAME?</v>
      </c>
    </row>
    <row r="412" spans="1:7">
      <c r="A412" s="42" t="s">
        <v>3656</v>
      </c>
      <c r="B412" s="49" t="s">
        <v>3657</v>
      </c>
      <c r="C412" s="50" t="s">
        <v>3658</v>
      </c>
      <c r="D412" s="46" t="str">
        <f ca="1">IFERROR(__xludf.DUMMYFUNCTION("REGEXEXTRACT(C412, ""\d+"")"),"170002212286")</f>
        <v>170002212286</v>
      </c>
      <c r="E412" s="44" t="s">
        <v>2428</v>
      </c>
      <c r="F412" s="46" t="str">
        <f ca="1">IFERROR(__xludf.DUMMYFUNCTION("REGEXEXTRACT(B412, ""id=([a-zA-Z0-9-_]+)&amp;usp"")"),"1zqqCGBD1gd7bipw2dHZGYzVQ527sRKuv")</f>
        <v>1zqqCGBD1gd7bipw2dHZGYzVQ527sRKuv</v>
      </c>
      <c r="G412" s="53" t="e">
        <f t="shared" ca="1" si="1"/>
        <v>#NAME?</v>
      </c>
    </row>
    <row r="413" spans="1:7">
      <c r="A413" s="42" t="s">
        <v>3659</v>
      </c>
      <c r="B413" s="49" t="s">
        <v>3660</v>
      </c>
      <c r="C413" s="50" t="s">
        <v>3661</v>
      </c>
      <c r="D413" s="46" t="str">
        <f ca="1">IFERROR(__xludf.DUMMYFUNCTION("REGEXEXTRACT(C413, ""\d+"")"),"170002311656")</f>
        <v>170002311656</v>
      </c>
      <c r="E413" s="44" t="s">
        <v>2428</v>
      </c>
      <c r="F413" s="46" t="str">
        <f ca="1">IFERROR(__xludf.DUMMYFUNCTION("REGEXEXTRACT(B413, ""id=([a-zA-Z0-9-_]+)&amp;usp"")"),"1-rac9Isjh_PCvofIfyRpu3kADlSBkBqe")</f>
        <v>1-rac9Isjh_PCvofIfyRpu3kADlSBkBqe</v>
      </c>
      <c r="G413" s="53" t="e">
        <f t="shared" ca="1" si="1"/>
        <v>#NAME?</v>
      </c>
    </row>
    <row r="414" spans="1:7">
      <c r="A414" s="42" t="s">
        <v>3662</v>
      </c>
      <c r="B414" s="49" t="s">
        <v>3663</v>
      </c>
      <c r="C414" s="50" t="s">
        <v>3664</v>
      </c>
      <c r="D414" s="46" t="str">
        <f ca="1">IFERROR(__xludf.DUMMYFUNCTION("REGEXEXTRACT(C414, ""\d+"")"),"170002336465")</f>
        <v>170002336465</v>
      </c>
      <c r="E414" s="44" t="s">
        <v>2428</v>
      </c>
      <c r="F414" s="46" t="str">
        <f ca="1">IFERROR(__xludf.DUMMYFUNCTION("REGEXEXTRACT(B414, ""id=([a-zA-Z0-9-_]+)&amp;usp"")"),"1-useLefM11APoUoQ9d6vJ4FQw7TkkOkS")</f>
        <v>1-useLefM11APoUoQ9d6vJ4FQw7TkkOkS</v>
      </c>
      <c r="G414" s="53" t="e">
        <f t="shared" ca="1" si="1"/>
        <v>#NAME?</v>
      </c>
    </row>
    <row r="415" spans="1:7">
      <c r="A415" s="42" t="s">
        <v>3665</v>
      </c>
      <c r="B415" s="49" t="s">
        <v>3666</v>
      </c>
      <c r="C415" s="50" t="s">
        <v>3667</v>
      </c>
      <c r="D415" s="46" t="str">
        <f ca="1">IFERROR(__xludf.DUMMYFUNCTION("REGEXEXTRACT(C415, ""\d+"")"),"170002279555")</f>
        <v>170002279555</v>
      </c>
      <c r="E415" s="44" t="s">
        <v>2428</v>
      </c>
      <c r="F415" s="46" t="str">
        <f ca="1">IFERROR(__xludf.DUMMYFUNCTION("REGEXEXTRACT(B415, ""id=([a-zA-Z0-9-_]+)&amp;usp"")"),"11UYQx0_B_SKbYQTXti1OiHH5h5cmpVhx")</f>
        <v>11UYQx0_B_SKbYQTXti1OiHH5h5cmpVhx</v>
      </c>
      <c r="G415" s="53" t="e">
        <f t="shared" ca="1" si="1"/>
        <v>#NAME?</v>
      </c>
    </row>
    <row r="416" spans="1:7">
      <c r="A416" s="42" t="s">
        <v>3668</v>
      </c>
      <c r="B416" s="49" t="s">
        <v>3669</v>
      </c>
      <c r="C416" s="50" t="s">
        <v>3670</v>
      </c>
      <c r="D416" s="46" t="str">
        <f ca="1">IFERROR(__xludf.DUMMYFUNCTION("REGEXEXTRACT(C416, ""\d+"")"),"170002309783")</f>
        <v>170002309783</v>
      </c>
      <c r="E416" s="44" t="s">
        <v>2428</v>
      </c>
      <c r="F416" s="46" t="str">
        <f ca="1">IFERROR(__xludf.DUMMYFUNCTION("REGEXEXTRACT(B416, ""id=([a-zA-Z0-9-_]+)&amp;usp"")"),"13M_A4NWITfQhSyywO6512pnfs2UiemQM")</f>
        <v>13M_A4NWITfQhSyywO6512pnfs2UiemQM</v>
      </c>
      <c r="G416" s="53" t="e">
        <f t="shared" ca="1" si="1"/>
        <v>#NAME?</v>
      </c>
    </row>
    <row r="417" spans="1:7">
      <c r="A417" s="42" t="s">
        <v>3671</v>
      </c>
      <c r="B417" s="49" t="s">
        <v>3672</v>
      </c>
      <c r="C417" s="50" t="s">
        <v>3673</v>
      </c>
      <c r="D417" s="46" t="str">
        <f ca="1">IFERROR(__xludf.DUMMYFUNCTION("REGEXEXTRACT(C417, ""\d+"")"),"170002261360")</f>
        <v>170002261360</v>
      </c>
      <c r="E417" s="44" t="s">
        <v>2428</v>
      </c>
      <c r="F417" s="46" t="str">
        <f ca="1">IFERROR(__xludf.DUMMYFUNCTION("REGEXEXTRACT(B417, ""id=([a-zA-Z0-9-_]+)&amp;usp"")"),"14AIrqgeXe-ol7vvcUT-mARkGunXcA4WL")</f>
        <v>14AIrqgeXe-ol7vvcUT-mARkGunXcA4WL</v>
      </c>
      <c r="G417" s="53" t="e">
        <f t="shared" ca="1" si="1"/>
        <v>#NAME?</v>
      </c>
    </row>
    <row r="418" spans="1:7">
      <c r="A418" s="42" t="s">
        <v>3674</v>
      </c>
      <c r="B418" s="49" t="s">
        <v>3675</v>
      </c>
      <c r="C418" s="50" t="s">
        <v>3676</v>
      </c>
      <c r="D418" s="46" t="str">
        <f ca="1">IFERROR(__xludf.DUMMYFUNCTION("REGEXEXTRACT(C418, ""\d+"")"),"170002356962")</f>
        <v>170002356962</v>
      </c>
      <c r="E418" s="44" t="s">
        <v>2428</v>
      </c>
      <c r="F418" s="46" t="str">
        <f ca="1">IFERROR(__xludf.DUMMYFUNCTION("REGEXEXTRACT(B418, ""id=([a-zA-Z0-9-_]+)&amp;usp"")"),"14UXEQtxUPqbfOvqQR80ABJNOo66emTIG")</f>
        <v>14UXEQtxUPqbfOvqQR80ABJNOo66emTIG</v>
      </c>
      <c r="G418" s="53" t="e">
        <f t="shared" ca="1" si="1"/>
        <v>#NAME?</v>
      </c>
    </row>
    <row r="419" spans="1:7">
      <c r="A419" s="42" t="s">
        <v>3677</v>
      </c>
      <c r="B419" s="49" t="s">
        <v>3678</v>
      </c>
      <c r="C419" s="50" t="s">
        <v>3679</v>
      </c>
      <c r="D419" s="46" t="str">
        <f ca="1">IFERROR(__xludf.DUMMYFUNCTION("REGEXEXTRACT(C419, ""\d+"")"),"170002331246")</f>
        <v>170002331246</v>
      </c>
      <c r="E419" s="44" t="s">
        <v>2428</v>
      </c>
      <c r="F419" s="46" t="str">
        <f ca="1">IFERROR(__xludf.DUMMYFUNCTION("REGEXEXTRACT(B419, ""id=([a-zA-Z0-9-_]+)&amp;usp"")"),"15-GfshQGjXePRvu2ZTTrjIhr9hSybxVS")</f>
        <v>15-GfshQGjXePRvu2ZTTrjIhr9hSybxVS</v>
      </c>
      <c r="G419" s="53" t="e">
        <f t="shared" ca="1" si="1"/>
        <v>#NAME?</v>
      </c>
    </row>
    <row r="420" spans="1:7">
      <c r="A420" s="42" t="s">
        <v>3680</v>
      </c>
      <c r="B420" s="49" t="s">
        <v>3681</v>
      </c>
      <c r="C420" s="50" t="s">
        <v>3682</v>
      </c>
      <c r="D420" s="46" t="str">
        <f ca="1">IFERROR(__xludf.DUMMYFUNCTION("REGEXEXTRACT(C420, ""\d+"")"),"170002339322")</f>
        <v>170002339322</v>
      </c>
      <c r="E420" s="44" t="s">
        <v>2428</v>
      </c>
      <c r="F420" s="46" t="str">
        <f ca="1">IFERROR(__xludf.DUMMYFUNCTION("REGEXEXTRACT(B420, ""id=([a-zA-Z0-9-_]+)&amp;usp"")"),"1695ICXoeoPqgh73oNX-bAlWx2rOdw2He")</f>
        <v>1695ICXoeoPqgh73oNX-bAlWx2rOdw2He</v>
      </c>
      <c r="G420" s="53" t="e">
        <f t="shared" ca="1" si="1"/>
        <v>#NAME?</v>
      </c>
    </row>
    <row r="421" spans="1:7">
      <c r="A421" s="42" t="s">
        <v>3683</v>
      </c>
      <c r="B421" s="49" t="s">
        <v>3684</v>
      </c>
      <c r="C421" s="50" t="s">
        <v>3685</v>
      </c>
      <c r="D421" s="46" t="str">
        <f ca="1">IFERROR(__xludf.DUMMYFUNCTION("REGEXEXTRACT(C421, ""\d+"")"),"170002311085")</f>
        <v>170002311085</v>
      </c>
      <c r="E421" s="44" t="s">
        <v>2428</v>
      </c>
      <c r="F421" s="46" t="str">
        <f ca="1">IFERROR(__xludf.DUMMYFUNCTION("REGEXEXTRACT(B421, ""id=([a-zA-Z0-9-_]+)&amp;usp"")"),"16XWcFQaOqWrkgVpphY6Yz0TzA_sTEArC")</f>
        <v>16XWcFQaOqWrkgVpphY6Yz0TzA_sTEArC</v>
      </c>
      <c r="G421" s="53" t="e">
        <f t="shared" ca="1" si="1"/>
        <v>#NAME?</v>
      </c>
    </row>
    <row r="422" spans="1:7">
      <c r="A422" s="42" t="s">
        <v>3686</v>
      </c>
      <c r="B422" s="49" t="s">
        <v>3687</v>
      </c>
      <c r="C422" s="50" t="s">
        <v>3688</v>
      </c>
      <c r="D422" s="46" t="str">
        <f ca="1">IFERROR(__xludf.DUMMYFUNCTION("REGEXEXTRACT(C422, ""\d+"")"),"170002315279")</f>
        <v>170002315279</v>
      </c>
      <c r="E422" s="44" t="s">
        <v>2428</v>
      </c>
      <c r="F422" s="46" t="str">
        <f ca="1">IFERROR(__xludf.DUMMYFUNCTION("REGEXEXTRACT(B422, ""id=([a-zA-Z0-9-_]+)&amp;usp"")"),"18SfzcxXk_rNJK-kSj99-saWr1skb8zPS")</f>
        <v>18SfzcxXk_rNJK-kSj99-saWr1skb8zPS</v>
      </c>
      <c r="G422" s="53" t="e">
        <f t="shared" ca="1" si="1"/>
        <v>#NAME?</v>
      </c>
    </row>
    <row r="423" spans="1:7">
      <c r="A423" s="42" t="s">
        <v>3689</v>
      </c>
      <c r="B423" s="49" t="s">
        <v>3690</v>
      </c>
      <c r="C423" s="50" t="s">
        <v>3691</v>
      </c>
      <c r="D423" s="46" t="str">
        <f ca="1">IFERROR(__xludf.DUMMYFUNCTION("REGEXEXTRACT(C423, ""\d+"")"),"170002311768")</f>
        <v>170002311768</v>
      </c>
      <c r="E423" s="44" t="s">
        <v>2428</v>
      </c>
      <c r="F423" s="46" t="str">
        <f ca="1">IFERROR(__xludf.DUMMYFUNCTION("REGEXEXTRACT(B423, ""id=([a-zA-Z0-9-_]+)&amp;usp"")"),"18SudROybyII5Vl0MY76R7ZRX6TUya_FK")</f>
        <v>18SudROybyII5Vl0MY76R7ZRX6TUya_FK</v>
      </c>
      <c r="G423" s="53" t="e">
        <f t="shared" ca="1" si="1"/>
        <v>#NAME?</v>
      </c>
    </row>
    <row r="424" spans="1:7">
      <c r="A424" s="42" t="s">
        <v>3692</v>
      </c>
      <c r="B424" s="49" t="s">
        <v>3693</v>
      </c>
      <c r="C424" s="50" t="s">
        <v>3694</v>
      </c>
      <c r="D424" s="46" t="str">
        <f ca="1">IFERROR(__xludf.DUMMYFUNCTION("REGEXEXTRACT(C424, ""\d+"")"),"170002261603")</f>
        <v>170002261603</v>
      </c>
      <c r="E424" s="44" t="s">
        <v>2428</v>
      </c>
      <c r="F424" s="46" t="str">
        <f ca="1">IFERROR(__xludf.DUMMYFUNCTION("REGEXEXTRACT(B424, ""id=([a-zA-Z0-9-_]+)&amp;usp"")"),"1943jgkeDVkkTu-NKd7worT9ecrQ8IJxw")</f>
        <v>1943jgkeDVkkTu-NKd7worT9ecrQ8IJxw</v>
      </c>
      <c r="G424" s="53" t="e">
        <f t="shared" ca="1" si="1"/>
        <v>#NAME?</v>
      </c>
    </row>
    <row r="425" spans="1:7">
      <c r="A425" s="42" t="s">
        <v>3695</v>
      </c>
      <c r="B425" s="49" t="s">
        <v>3696</v>
      </c>
      <c r="C425" s="50" t="s">
        <v>3697</v>
      </c>
      <c r="D425" s="46" t="str">
        <f ca="1">IFERROR(__xludf.DUMMYFUNCTION("REGEXEXTRACT(C425, ""\d+"")"),"170002317617")</f>
        <v>170002317617</v>
      </c>
      <c r="E425" s="44" t="s">
        <v>2428</v>
      </c>
      <c r="F425" s="46" t="str">
        <f ca="1">IFERROR(__xludf.DUMMYFUNCTION("REGEXEXTRACT(B425, ""id=([a-zA-Z0-9-_]+)&amp;usp"")"),"1A52Go8-VvGZvqU4tC8cqULnCAcNYh_Dq")</f>
        <v>1A52Go8-VvGZvqU4tC8cqULnCAcNYh_Dq</v>
      </c>
      <c r="G425" s="53" t="e">
        <f t="shared" ca="1" si="1"/>
        <v>#NAME?</v>
      </c>
    </row>
    <row r="426" spans="1:7">
      <c r="A426" s="42" t="s">
        <v>3698</v>
      </c>
      <c r="B426" s="49" t="s">
        <v>3699</v>
      </c>
      <c r="C426" s="50" t="s">
        <v>3700</v>
      </c>
      <c r="D426" s="46" t="str">
        <f ca="1">IFERROR(__xludf.DUMMYFUNCTION("REGEXEXTRACT(C426, ""\d+"")"),"170002282020")</f>
        <v>170002282020</v>
      </c>
      <c r="E426" s="44" t="s">
        <v>2428</v>
      </c>
      <c r="F426" s="46" t="str">
        <f ca="1">IFERROR(__xludf.DUMMYFUNCTION("REGEXEXTRACT(B426, ""id=([a-zA-Z0-9-_]+)&amp;usp"")"),"1CIEviSaSlM0_9ehX5KPkV37SNRc6liXV")</f>
        <v>1CIEviSaSlM0_9ehX5KPkV37SNRc6liXV</v>
      </c>
      <c r="G426" s="53" t="e">
        <f t="shared" ca="1" si="1"/>
        <v>#NAME?</v>
      </c>
    </row>
    <row r="427" spans="1:7">
      <c r="A427" s="42" t="s">
        <v>3701</v>
      </c>
      <c r="B427" s="49" t="s">
        <v>3702</v>
      </c>
      <c r="C427" s="50" t="s">
        <v>3703</v>
      </c>
      <c r="D427" s="46" t="str">
        <f ca="1">IFERROR(__xludf.DUMMYFUNCTION("REGEXEXTRACT(C427, ""\d+"")"),"170002327184")</f>
        <v>170002327184</v>
      </c>
      <c r="E427" s="44" t="s">
        <v>2428</v>
      </c>
      <c r="F427" s="46" t="str">
        <f ca="1">IFERROR(__xludf.DUMMYFUNCTION("REGEXEXTRACT(B427, ""id=([a-zA-Z0-9-_]+)&amp;usp"")"),"1CZK4Ygbb77IjxG4GOiQbsnyuY2Q99aLF")</f>
        <v>1CZK4Ygbb77IjxG4GOiQbsnyuY2Q99aLF</v>
      </c>
      <c r="G427" s="53" t="e">
        <f t="shared" ca="1" si="1"/>
        <v>#NAME?</v>
      </c>
    </row>
    <row r="428" spans="1:7">
      <c r="A428" s="42" t="s">
        <v>3704</v>
      </c>
      <c r="B428" s="49" t="s">
        <v>3705</v>
      </c>
      <c r="C428" s="50" t="s">
        <v>3706</v>
      </c>
      <c r="D428" s="46" t="str">
        <f ca="1">IFERROR(__xludf.DUMMYFUNCTION("REGEXEXTRACT(C428, ""\d+"")"),"170002361109")</f>
        <v>170002361109</v>
      </c>
      <c r="E428" s="44" t="s">
        <v>2428</v>
      </c>
      <c r="F428" s="46" t="str">
        <f ca="1">IFERROR(__xludf.DUMMYFUNCTION("REGEXEXTRACT(B428, ""id=([a-zA-Z0-9-_]+)&amp;usp"")"),"1C_XuAn59SBUqRrOS1a4WYUnpmr2Q1Pb3")</f>
        <v>1C_XuAn59SBUqRrOS1a4WYUnpmr2Q1Pb3</v>
      </c>
      <c r="G428" s="53" t="e">
        <f t="shared" ca="1" si="1"/>
        <v>#NAME?</v>
      </c>
    </row>
    <row r="429" spans="1:7">
      <c r="A429" s="42" t="s">
        <v>3707</v>
      </c>
      <c r="B429" s="49" t="s">
        <v>3708</v>
      </c>
      <c r="C429" s="50" t="s">
        <v>3709</v>
      </c>
      <c r="D429" s="46" t="str">
        <f ca="1">IFERROR(__xludf.DUMMYFUNCTION("REGEXEXTRACT(C429, ""\d+"")"),"170002355158")</f>
        <v>170002355158</v>
      </c>
      <c r="E429" s="44" t="s">
        <v>2428</v>
      </c>
      <c r="F429" s="46" t="str">
        <f ca="1">IFERROR(__xludf.DUMMYFUNCTION("REGEXEXTRACT(B429, ""id=([a-zA-Z0-9-_]+)&amp;usp"")"),"1ESJawNnALNxIPo9ToJwhDURm_RDpauIc")</f>
        <v>1ESJawNnALNxIPo9ToJwhDURm_RDpauIc</v>
      </c>
      <c r="G429" s="53" t="e">
        <f t="shared" ca="1" si="1"/>
        <v>#NAME?</v>
      </c>
    </row>
    <row r="430" spans="1:7">
      <c r="A430" s="42" t="s">
        <v>3710</v>
      </c>
      <c r="B430" s="49" t="s">
        <v>3711</v>
      </c>
      <c r="C430" s="50" t="s">
        <v>3712</v>
      </c>
      <c r="D430" s="46" t="str">
        <f ca="1">IFERROR(__xludf.DUMMYFUNCTION("REGEXEXTRACT(C430, ""\d+"")"),"170002349125")</f>
        <v>170002349125</v>
      </c>
      <c r="E430" s="44" t="s">
        <v>2428</v>
      </c>
      <c r="F430" s="46" t="str">
        <f ca="1">IFERROR(__xludf.DUMMYFUNCTION("REGEXEXTRACT(B430, ""id=([a-zA-Z0-9-_]+)&amp;usp"")"),"1Eou40YSyEU5S3DpHZzCkQqN-nKcaYtcJ")</f>
        <v>1Eou40YSyEU5S3DpHZzCkQqN-nKcaYtcJ</v>
      </c>
      <c r="G430" s="53" t="e">
        <f t="shared" ca="1" si="1"/>
        <v>#NAME?</v>
      </c>
    </row>
    <row r="431" spans="1:7">
      <c r="A431" s="42" t="s">
        <v>3713</v>
      </c>
      <c r="B431" s="49" t="s">
        <v>3714</v>
      </c>
      <c r="C431" s="50" t="s">
        <v>3715</v>
      </c>
      <c r="D431" s="46" t="str">
        <f ca="1">IFERROR(__xludf.DUMMYFUNCTION("REGEXEXTRACT(C431, ""\d+"")"),"170002350325")</f>
        <v>170002350325</v>
      </c>
      <c r="E431" s="44" t="s">
        <v>2428</v>
      </c>
      <c r="F431" s="46" t="str">
        <f ca="1">IFERROR(__xludf.DUMMYFUNCTION("REGEXEXTRACT(B431, ""id=([a-zA-Z0-9-_]+)&amp;usp"")"),"1FSEEk2hJ1moaiB2ot4DqQPWHvvqCyEyX")</f>
        <v>1FSEEk2hJ1moaiB2ot4DqQPWHvvqCyEyX</v>
      </c>
      <c r="G431" s="53" t="e">
        <f t="shared" ca="1" si="1"/>
        <v>#NAME?</v>
      </c>
    </row>
    <row r="432" spans="1:7">
      <c r="A432" s="42" t="s">
        <v>3716</v>
      </c>
      <c r="B432" s="49" t="s">
        <v>3717</v>
      </c>
      <c r="C432" s="50" t="s">
        <v>3718</v>
      </c>
      <c r="D432" s="46" t="str">
        <f ca="1">IFERROR(__xludf.DUMMYFUNCTION("REGEXEXTRACT(C432, ""\d+"")"),"170002333700")</f>
        <v>170002333700</v>
      </c>
      <c r="E432" s="44" t="s">
        <v>2428</v>
      </c>
      <c r="F432" s="46" t="str">
        <f ca="1">IFERROR(__xludf.DUMMYFUNCTION("REGEXEXTRACT(B432, ""id=([a-zA-Z0-9-_]+)&amp;usp"")"),"1GU5vJLxSWmACkML1QLVHYj94Imu8KFFS")</f>
        <v>1GU5vJLxSWmACkML1QLVHYj94Imu8KFFS</v>
      </c>
      <c r="G432" s="53" t="e">
        <f t="shared" ca="1" si="1"/>
        <v>#NAME?</v>
      </c>
    </row>
    <row r="433" spans="1:7">
      <c r="A433" s="42" t="s">
        <v>3719</v>
      </c>
      <c r="B433" s="49" t="s">
        <v>3720</v>
      </c>
      <c r="C433" s="50" t="s">
        <v>3721</v>
      </c>
      <c r="D433" s="46" t="str">
        <f ca="1">IFERROR(__xludf.DUMMYFUNCTION("REGEXEXTRACT(C433, ""\d+"")"),"170002361657")</f>
        <v>170002361657</v>
      </c>
      <c r="E433" s="44" t="s">
        <v>2428</v>
      </c>
      <c r="F433" s="46" t="str">
        <f ca="1">IFERROR(__xludf.DUMMYFUNCTION("REGEXEXTRACT(B433, ""id=([a-zA-Z0-9-_]+)&amp;usp"")"),"1GjC5dBBRkiAoesFo_QwYb3fN5OIrnAxa")</f>
        <v>1GjC5dBBRkiAoesFo_QwYb3fN5OIrnAxa</v>
      </c>
      <c r="G433" s="53" t="e">
        <f t="shared" ca="1" si="1"/>
        <v>#NAME?</v>
      </c>
    </row>
    <row r="434" spans="1:7">
      <c r="A434" s="42" t="s">
        <v>3722</v>
      </c>
      <c r="B434" s="49" t="s">
        <v>3723</v>
      </c>
      <c r="C434" s="50" t="s">
        <v>3724</v>
      </c>
      <c r="D434" s="46" t="str">
        <f ca="1">IFERROR(__xludf.DUMMYFUNCTION("REGEXEXTRACT(C434, ""\d+"")"),"170002264215")</f>
        <v>170002264215</v>
      </c>
      <c r="E434" s="44" t="s">
        <v>2428</v>
      </c>
      <c r="F434" s="46" t="str">
        <f ca="1">IFERROR(__xludf.DUMMYFUNCTION("REGEXEXTRACT(B434, ""id=([a-zA-Z0-9-_]+)&amp;usp"")"),"1H4UPJwQod4Sj3zfat-pBT5qOl3AQ6pEB")</f>
        <v>1H4UPJwQod4Sj3zfat-pBT5qOl3AQ6pEB</v>
      </c>
      <c r="G434" s="53" t="e">
        <f t="shared" ca="1" si="1"/>
        <v>#NAME?</v>
      </c>
    </row>
    <row r="435" spans="1:7">
      <c r="A435" s="42" t="s">
        <v>3725</v>
      </c>
      <c r="B435" s="49" t="s">
        <v>3726</v>
      </c>
      <c r="C435" s="50" t="s">
        <v>3727</v>
      </c>
      <c r="D435" s="46" t="str">
        <f ca="1">IFERROR(__xludf.DUMMYFUNCTION("REGEXEXTRACT(C435, ""\d+"")"),"170002323409")</f>
        <v>170002323409</v>
      </c>
      <c r="E435" s="44" t="s">
        <v>2428</v>
      </c>
      <c r="F435" s="46" t="str">
        <f ca="1">IFERROR(__xludf.DUMMYFUNCTION("REGEXEXTRACT(B435, ""id=([a-zA-Z0-9-_]+)&amp;usp"")"),"1HtyINQG0zx030temkt1YJUOq9Ng9_0Ip")</f>
        <v>1HtyINQG0zx030temkt1YJUOq9Ng9_0Ip</v>
      </c>
      <c r="G435" s="53" t="e">
        <f t="shared" ca="1" si="1"/>
        <v>#NAME?</v>
      </c>
    </row>
    <row r="436" spans="1:7">
      <c r="A436" s="42" t="s">
        <v>3728</v>
      </c>
      <c r="B436" s="49" t="s">
        <v>3729</v>
      </c>
      <c r="C436" s="50" t="s">
        <v>3730</v>
      </c>
      <c r="D436" s="46" t="str">
        <f ca="1">IFERROR(__xludf.DUMMYFUNCTION("REGEXEXTRACT(C436, ""\d+"")"),"170002266934")</f>
        <v>170002266934</v>
      </c>
      <c r="E436" s="44" t="s">
        <v>2428</v>
      </c>
      <c r="F436" s="46" t="str">
        <f ca="1">IFERROR(__xludf.DUMMYFUNCTION("REGEXEXTRACT(B436, ""id=([a-zA-Z0-9-_]+)&amp;usp"")"),"1I4iGXWxxNaItnmhAmi2vnsNKps3qlez-")</f>
        <v>1I4iGXWxxNaItnmhAmi2vnsNKps3qlez-</v>
      </c>
      <c r="G436" s="53" t="e">
        <f t="shared" ca="1" si="1"/>
        <v>#NAME?</v>
      </c>
    </row>
    <row r="437" spans="1:7">
      <c r="A437" s="42" t="s">
        <v>3731</v>
      </c>
      <c r="B437" s="49" t="s">
        <v>3732</v>
      </c>
      <c r="C437" s="50" t="s">
        <v>3733</v>
      </c>
      <c r="D437" s="46" t="str">
        <f ca="1">IFERROR(__xludf.DUMMYFUNCTION("REGEXEXTRACT(C437, ""\d+"")"),"170002319080")</f>
        <v>170002319080</v>
      </c>
      <c r="E437" s="44" t="s">
        <v>2428</v>
      </c>
      <c r="F437" s="46" t="str">
        <f ca="1">IFERROR(__xludf.DUMMYFUNCTION("REGEXEXTRACT(B437, ""id=([a-zA-Z0-9-_]+)&amp;usp"")"),"1I92KVy9__xZvTBbnlXdplGuLMN5-3zbg")</f>
        <v>1I92KVy9__xZvTBbnlXdplGuLMN5-3zbg</v>
      </c>
      <c r="G437" s="53" t="e">
        <f t="shared" ca="1" si="1"/>
        <v>#NAME?</v>
      </c>
    </row>
    <row r="438" spans="1:7">
      <c r="A438" s="42" t="s">
        <v>3734</v>
      </c>
      <c r="B438" s="49" t="s">
        <v>3735</v>
      </c>
      <c r="C438" s="50" t="s">
        <v>3736</v>
      </c>
      <c r="D438" s="46" t="str">
        <f ca="1">IFERROR(__xludf.DUMMYFUNCTION("REGEXEXTRACT(C438, ""\d+"")"),"170002320577")</f>
        <v>170002320577</v>
      </c>
      <c r="E438" s="44" t="s">
        <v>2428</v>
      </c>
      <c r="F438" s="46" t="str">
        <f ca="1">IFERROR(__xludf.DUMMYFUNCTION("REGEXEXTRACT(B438, ""id=([a-zA-Z0-9-_]+)&amp;usp"")"),"1IEDW0v_xreRi9eJkyP_rYciCpfAnPZjp")</f>
        <v>1IEDW0v_xreRi9eJkyP_rYciCpfAnPZjp</v>
      </c>
      <c r="G438" s="53" t="e">
        <f t="shared" ca="1" si="1"/>
        <v>#NAME?</v>
      </c>
    </row>
    <row r="439" spans="1:7">
      <c r="A439" s="42" t="s">
        <v>3737</v>
      </c>
      <c r="B439" s="49" t="s">
        <v>3738</v>
      </c>
      <c r="C439" s="50" t="s">
        <v>3739</v>
      </c>
      <c r="D439" s="46" t="str">
        <f ca="1">IFERROR(__xludf.DUMMYFUNCTION("REGEXEXTRACT(C439, ""\d+"")"),"170002346154")</f>
        <v>170002346154</v>
      </c>
      <c r="E439" s="44" t="s">
        <v>2428</v>
      </c>
      <c r="F439" s="46" t="str">
        <f ca="1">IFERROR(__xludf.DUMMYFUNCTION("REGEXEXTRACT(B439, ""id=([a-zA-Z0-9-_]+)&amp;usp"")"),"1IhsK8piaznnX0GYxPrRDP3tffvlVf1nI")</f>
        <v>1IhsK8piaznnX0GYxPrRDP3tffvlVf1nI</v>
      </c>
      <c r="G439" s="53" t="e">
        <f t="shared" ca="1" si="1"/>
        <v>#NAME?</v>
      </c>
    </row>
    <row r="440" spans="1:7">
      <c r="A440" s="42" t="s">
        <v>3740</v>
      </c>
      <c r="B440" s="49" t="s">
        <v>3741</v>
      </c>
      <c r="C440" s="50" t="s">
        <v>3742</v>
      </c>
      <c r="D440" s="46" t="str">
        <f ca="1">IFERROR(__xludf.DUMMYFUNCTION("REGEXEXTRACT(C440, ""\d+"")"),"170002341648")</f>
        <v>170002341648</v>
      </c>
      <c r="E440" s="44" t="s">
        <v>2428</v>
      </c>
      <c r="F440" s="46" t="str">
        <f ca="1">IFERROR(__xludf.DUMMYFUNCTION("REGEXEXTRACT(B440, ""id=([a-zA-Z0-9-_]+)&amp;usp"")"),"1IilHOrJQYL4E-ioHUz2a7duoK7kxENqi")</f>
        <v>1IilHOrJQYL4E-ioHUz2a7duoK7kxENqi</v>
      </c>
      <c r="G440" s="53" t="e">
        <f t="shared" ca="1" si="1"/>
        <v>#NAME?</v>
      </c>
    </row>
    <row r="441" spans="1:7">
      <c r="A441" s="42" t="s">
        <v>3743</v>
      </c>
      <c r="B441" s="49" t="s">
        <v>3744</v>
      </c>
      <c r="C441" s="50" t="s">
        <v>3745</v>
      </c>
      <c r="D441" s="46" t="str">
        <f ca="1">IFERROR(__xludf.DUMMYFUNCTION("REGEXEXTRACT(C441, ""\d+"")"),"170002354458")</f>
        <v>170002354458</v>
      </c>
      <c r="E441" s="44" t="s">
        <v>2428</v>
      </c>
      <c r="F441" s="46" t="str">
        <f ca="1">IFERROR(__xludf.DUMMYFUNCTION("REGEXEXTRACT(B441, ""id=([a-zA-Z0-9-_]+)&amp;usp"")"),"1Ij90uduT3z9B1VwiAq9MmPQ-ikxdhmm4")</f>
        <v>1Ij90uduT3z9B1VwiAq9MmPQ-ikxdhmm4</v>
      </c>
      <c r="G441" s="53" t="e">
        <f t="shared" ca="1" si="1"/>
        <v>#NAME?</v>
      </c>
    </row>
    <row r="442" spans="1:7">
      <c r="A442" s="42" t="s">
        <v>3746</v>
      </c>
      <c r="B442" s="49" t="s">
        <v>3747</v>
      </c>
      <c r="C442" s="50" t="s">
        <v>3748</v>
      </c>
      <c r="D442" s="46" t="str">
        <f ca="1">IFERROR(__xludf.DUMMYFUNCTION("REGEXEXTRACT(C442, ""\d+"")"),"170002343827")</f>
        <v>170002343827</v>
      </c>
      <c r="E442" s="44" t="s">
        <v>2428</v>
      </c>
      <c r="F442" s="46" t="str">
        <f ca="1">IFERROR(__xludf.DUMMYFUNCTION("REGEXEXTRACT(B442, ""id=([a-zA-Z0-9-_]+)&amp;usp"")"),"1J--z886GwVJ_zgFaF61wc0uCrJ63qXw1")</f>
        <v>1J--z886GwVJ_zgFaF61wc0uCrJ63qXw1</v>
      </c>
      <c r="G442" s="53" t="e">
        <f t="shared" ca="1" si="1"/>
        <v>#NAME?</v>
      </c>
    </row>
    <row r="443" spans="1:7">
      <c r="A443" s="42" t="s">
        <v>3749</v>
      </c>
      <c r="B443" s="49" t="s">
        <v>3750</v>
      </c>
      <c r="C443" s="50" t="s">
        <v>3751</v>
      </c>
      <c r="D443" s="46" t="str">
        <f ca="1">IFERROR(__xludf.DUMMYFUNCTION("REGEXEXTRACT(C443, ""\d+"")"),"170002337321")</f>
        <v>170002337321</v>
      </c>
      <c r="E443" s="44" t="s">
        <v>2428</v>
      </c>
      <c r="F443" s="46" t="str">
        <f ca="1">IFERROR(__xludf.DUMMYFUNCTION("REGEXEXTRACT(B443, ""id=([a-zA-Z0-9-_]+)&amp;usp"")"),"1J6fgdqKpJpkHNFOt4cFcyQvRT4dV_os9")</f>
        <v>1J6fgdqKpJpkHNFOt4cFcyQvRT4dV_os9</v>
      </c>
      <c r="G443" s="53" t="e">
        <f t="shared" ca="1" si="1"/>
        <v>#NAME?</v>
      </c>
    </row>
    <row r="444" spans="1:7">
      <c r="A444" s="42" t="s">
        <v>3752</v>
      </c>
      <c r="B444" s="49" t="s">
        <v>3753</v>
      </c>
      <c r="C444" s="50" t="s">
        <v>3754</v>
      </c>
      <c r="D444" s="46" t="str">
        <f ca="1">IFERROR(__xludf.DUMMYFUNCTION("REGEXEXTRACT(C444, ""\d+"")"),"170002330014")</f>
        <v>170002330014</v>
      </c>
      <c r="E444" s="44" t="s">
        <v>2428</v>
      </c>
      <c r="F444" s="46" t="str">
        <f ca="1">IFERROR(__xludf.DUMMYFUNCTION("REGEXEXTRACT(B444, ""id=([a-zA-Z0-9-_]+)&amp;usp"")"),"1Jnqs0DxmJAtvfx5uE8drWNdCTgti_dfu")</f>
        <v>1Jnqs0DxmJAtvfx5uE8drWNdCTgti_dfu</v>
      </c>
      <c r="G444" s="53" t="e">
        <f t="shared" ca="1" si="1"/>
        <v>#NAME?</v>
      </c>
    </row>
    <row r="445" spans="1:7">
      <c r="A445" s="42" t="s">
        <v>3755</v>
      </c>
      <c r="B445" s="49" t="s">
        <v>3756</v>
      </c>
      <c r="C445" s="50" t="s">
        <v>3757</v>
      </c>
      <c r="D445" s="46" t="str">
        <f ca="1">IFERROR(__xludf.DUMMYFUNCTION("REGEXEXTRACT(C445, ""\d+"")"),"170002271555")</f>
        <v>170002271555</v>
      </c>
      <c r="E445" s="44" t="s">
        <v>2428</v>
      </c>
      <c r="F445" s="46" t="str">
        <f ca="1">IFERROR(__xludf.DUMMYFUNCTION("REGEXEXTRACT(B445, ""id=([a-zA-Z0-9-_]+)&amp;usp"")"),"1K05gIEW031wvhfp9GlIKX__m8PrmB9xG")</f>
        <v>1K05gIEW031wvhfp9GlIKX__m8PrmB9xG</v>
      </c>
      <c r="G445" s="53" t="e">
        <f t="shared" ca="1" si="1"/>
        <v>#NAME?</v>
      </c>
    </row>
    <row r="446" spans="1:7">
      <c r="A446" s="42" t="s">
        <v>3758</v>
      </c>
      <c r="B446" s="49" t="s">
        <v>3759</v>
      </c>
      <c r="C446" s="50" t="s">
        <v>3760</v>
      </c>
      <c r="D446" s="46" t="str">
        <f ca="1">IFERROR(__xludf.DUMMYFUNCTION("REGEXEXTRACT(C446, ""\d+"")"),"170002340452")</f>
        <v>170002340452</v>
      </c>
      <c r="E446" s="44" t="s">
        <v>2428</v>
      </c>
      <c r="F446" s="46" t="str">
        <f ca="1">IFERROR(__xludf.DUMMYFUNCTION("REGEXEXTRACT(B446, ""id=([a-zA-Z0-9-_]+)&amp;usp"")"),"1LO0PgNHceS4lYwuTpbaTLqsNqA9KDL1a")</f>
        <v>1LO0PgNHceS4lYwuTpbaTLqsNqA9KDL1a</v>
      </c>
      <c r="G446" s="53" t="e">
        <f t="shared" ca="1" si="1"/>
        <v>#NAME?</v>
      </c>
    </row>
    <row r="447" spans="1:7">
      <c r="A447" s="42" t="s">
        <v>3761</v>
      </c>
      <c r="B447" s="49" t="s">
        <v>3762</v>
      </c>
      <c r="C447" s="50" t="s">
        <v>3763</v>
      </c>
      <c r="D447" s="46" t="str">
        <f ca="1">IFERROR(__xludf.DUMMYFUNCTION("REGEXEXTRACT(C447, ""\d+"")"),"170002279667")</f>
        <v>170002279667</v>
      </c>
      <c r="E447" s="44" t="s">
        <v>2428</v>
      </c>
      <c r="F447" s="46" t="str">
        <f ca="1">IFERROR(__xludf.DUMMYFUNCTION("REGEXEXTRACT(B447, ""id=([a-zA-Z0-9-_]+)&amp;usp"")"),"1LogQqGfsiEZ0v2DYJ8Hz-M4dAoMvaW0m")</f>
        <v>1LogQqGfsiEZ0v2DYJ8Hz-M4dAoMvaW0m</v>
      </c>
      <c r="G447" s="53" t="e">
        <f t="shared" ca="1" si="1"/>
        <v>#NAME?</v>
      </c>
    </row>
    <row r="448" spans="1:7">
      <c r="A448" s="42" t="s">
        <v>3764</v>
      </c>
      <c r="B448" s="49" t="s">
        <v>3765</v>
      </c>
      <c r="C448" s="50" t="s">
        <v>3766</v>
      </c>
      <c r="D448" s="46" t="str">
        <f ca="1">IFERROR(__xludf.DUMMYFUNCTION("REGEXEXTRACT(C448, ""\d+"")"),"170002372757")</f>
        <v>170002372757</v>
      </c>
      <c r="E448" s="44" t="s">
        <v>2428</v>
      </c>
      <c r="F448" s="46" t="str">
        <f ca="1">IFERROR(__xludf.DUMMYFUNCTION("REGEXEXTRACT(B448, ""id=([a-zA-Z0-9-_]+)&amp;usp"")"),"1LvFbDzIeHxrXxZ6o7UY02iIjxlMih28t")</f>
        <v>1LvFbDzIeHxrXxZ6o7UY02iIjxlMih28t</v>
      </c>
      <c r="G448" s="53" t="e">
        <f t="shared" ca="1" si="1"/>
        <v>#NAME?</v>
      </c>
    </row>
    <row r="449" spans="1:7">
      <c r="A449" s="42" t="s">
        <v>3767</v>
      </c>
      <c r="B449" s="49" t="s">
        <v>3768</v>
      </c>
      <c r="C449" s="50" t="s">
        <v>3769</v>
      </c>
      <c r="D449" s="46" t="str">
        <f ca="1">IFERROR(__xludf.DUMMYFUNCTION("REGEXEXTRACT(C449, ""\d+"")"),"170002329999")</f>
        <v>170002329999</v>
      </c>
      <c r="E449" s="44" t="s">
        <v>2428</v>
      </c>
      <c r="F449" s="46" t="str">
        <f ca="1">IFERROR(__xludf.DUMMYFUNCTION("REGEXEXTRACT(B449, ""id=([a-zA-Z0-9-_]+)&amp;usp"")"),"1N42R0D0cp9k-ub2X-BDgM3-9TGLM02kw")</f>
        <v>1N42R0D0cp9k-ub2X-BDgM3-9TGLM02kw</v>
      </c>
      <c r="G449" s="53" t="e">
        <f t="shared" ca="1" si="1"/>
        <v>#NAME?</v>
      </c>
    </row>
    <row r="450" spans="1:7">
      <c r="A450" s="42" t="s">
        <v>3770</v>
      </c>
      <c r="B450" s="49" t="s">
        <v>3771</v>
      </c>
      <c r="C450" s="50" t="s">
        <v>3772</v>
      </c>
      <c r="D450" s="46" t="str">
        <f ca="1">IFERROR(__xludf.DUMMYFUNCTION("REGEXEXTRACT(C450, ""\d+"")"),"170002257793")</f>
        <v>170002257793</v>
      </c>
      <c r="E450" s="44" t="s">
        <v>2428</v>
      </c>
      <c r="F450" s="46" t="str">
        <f ca="1">IFERROR(__xludf.DUMMYFUNCTION("REGEXEXTRACT(B450, ""id=([a-zA-Z0-9-_]+)&amp;usp"")"),"1O9VFTabIFkPp894G4C2XJL1AHz0xtZwh")</f>
        <v>1O9VFTabIFkPp894G4C2XJL1AHz0xtZwh</v>
      </c>
      <c r="G450" s="53" t="e">
        <f t="shared" ca="1" si="1"/>
        <v>#NAME?</v>
      </c>
    </row>
    <row r="451" spans="1:7">
      <c r="A451" s="42" t="s">
        <v>3773</v>
      </c>
      <c r="B451" s="49" t="s">
        <v>3774</v>
      </c>
      <c r="C451" s="50" t="s">
        <v>3775</v>
      </c>
      <c r="D451" s="46" t="str">
        <f ca="1">IFERROR(__xludf.DUMMYFUNCTION("REGEXEXTRACT(C451, ""\d+"")"),"170002311499")</f>
        <v>170002311499</v>
      </c>
      <c r="E451" s="44" t="s">
        <v>2428</v>
      </c>
      <c r="F451" s="46" t="str">
        <f ca="1">IFERROR(__xludf.DUMMYFUNCTION("REGEXEXTRACT(B451, ""id=([a-zA-Z0-9-_]+)&amp;usp"")"),"1QynADTI8mIbImTXbsj2v-0ojGaOV06p5")</f>
        <v>1QynADTI8mIbImTXbsj2v-0ojGaOV06p5</v>
      </c>
      <c r="G451" s="53" t="e">
        <f t="shared" ca="1" si="1"/>
        <v>#NAME?</v>
      </c>
    </row>
    <row r="452" spans="1:7">
      <c r="A452" s="42" t="s">
        <v>3776</v>
      </c>
      <c r="B452" s="49" t="s">
        <v>3777</v>
      </c>
      <c r="C452" s="50" t="s">
        <v>3778</v>
      </c>
      <c r="D452" s="46" t="str">
        <f ca="1">IFERROR(__xludf.DUMMYFUNCTION("REGEXEXTRACT(C452, ""\d+"")"),"170002282263")</f>
        <v>170002282263</v>
      </c>
      <c r="E452" s="44" t="s">
        <v>2428</v>
      </c>
      <c r="F452" s="46" t="str">
        <f ca="1">IFERROR(__xludf.DUMMYFUNCTION("REGEXEXTRACT(B452, ""id=([a-zA-Z0-9-_]+)&amp;usp"")"),"1R0a1m1x6Bzo2XY5XMAQ7floX1g8BbXGL")</f>
        <v>1R0a1m1x6Bzo2XY5XMAQ7floX1g8BbXGL</v>
      </c>
      <c r="G452" s="53" t="e">
        <f t="shared" ca="1" si="1"/>
        <v>#NAME?</v>
      </c>
    </row>
    <row r="453" spans="1:7">
      <c r="A453" s="42" t="s">
        <v>3779</v>
      </c>
      <c r="B453" s="49" t="s">
        <v>3780</v>
      </c>
      <c r="C453" s="50" t="s">
        <v>3781</v>
      </c>
      <c r="D453" s="46" t="str">
        <f ca="1">IFERROR(__xludf.DUMMYFUNCTION("REGEXEXTRACT(C453, ""\d+"")"),"170002328994")</f>
        <v>170002328994</v>
      </c>
      <c r="E453" s="44" t="s">
        <v>2428</v>
      </c>
      <c r="F453" s="46" t="str">
        <f ca="1">IFERROR(__xludf.DUMMYFUNCTION("REGEXEXTRACT(B453, ""id=([a-zA-Z0-9-_]+)&amp;usp"")"),"1RE6w1-0XtHo4ZjIRr6w-YmiN7L8Cb3Bw")</f>
        <v>1RE6w1-0XtHo4ZjIRr6w-YmiN7L8Cb3Bw</v>
      </c>
      <c r="G453" s="53" t="e">
        <f t="shared" ca="1" si="1"/>
        <v>#NAME?</v>
      </c>
    </row>
    <row r="454" spans="1:7">
      <c r="A454" s="42" t="s">
        <v>3782</v>
      </c>
      <c r="B454" s="49" t="s">
        <v>3783</v>
      </c>
      <c r="C454" s="50" t="s">
        <v>3784</v>
      </c>
      <c r="D454" s="46" t="str">
        <f ca="1">IFERROR(__xludf.DUMMYFUNCTION("REGEXEXTRACT(C454, ""\d+"")"),"170002345707")</f>
        <v>170002345707</v>
      </c>
      <c r="E454" s="44" t="s">
        <v>2428</v>
      </c>
      <c r="F454" s="46" t="str">
        <f ca="1">IFERROR(__xludf.DUMMYFUNCTION("REGEXEXTRACT(B454, ""id=([a-zA-Z0-9-_]+)&amp;usp"")"),"1RGRRZiiluOQZMK28_2nlubyRQbRvSf2L")</f>
        <v>1RGRRZiiluOQZMK28_2nlubyRQbRvSf2L</v>
      </c>
      <c r="G454" s="53" t="e">
        <f t="shared" ca="1" si="1"/>
        <v>#NAME?</v>
      </c>
    </row>
    <row r="455" spans="1:7">
      <c r="A455" s="42" t="s">
        <v>3785</v>
      </c>
      <c r="B455" s="49" t="s">
        <v>3786</v>
      </c>
      <c r="C455" s="50" t="s">
        <v>3787</v>
      </c>
      <c r="D455" s="46" t="str">
        <f ca="1">IFERROR(__xludf.DUMMYFUNCTION("REGEXEXTRACT(C455, ""\d+"")"),"170002280213")</f>
        <v>170002280213</v>
      </c>
      <c r="E455" s="44" t="s">
        <v>2428</v>
      </c>
      <c r="F455" s="46" t="str">
        <f ca="1">IFERROR(__xludf.DUMMYFUNCTION("REGEXEXTRACT(B455, ""id=([a-zA-Z0-9-_]+)&amp;usp"")"),"1RmtJWXSHawfDZsmRUM5URC_I76OW-30d")</f>
        <v>1RmtJWXSHawfDZsmRUM5URC_I76OW-30d</v>
      </c>
      <c r="G455" s="53" t="e">
        <f t="shared" ca="1" si="1"/>
        <v>#NAME?</v>
      </c>
    </row>
    <row r="456" spans="1:7">
      <c r="A456" s="42" t="s">
        <v>3788</v>
      </c>
      <c r="B456" s="49" t="s">
        <v>3789</v>
      </c>
      <c r="C456" s="50" t="s">
        <v>3790</v>
      </c>
      <c r="D456" s="46" t="str">
        <f ca="1">IFERROR(__xludf.DUMMYFUNCTION("REGEXEXTRACT(C456, ""\d+"")"),"170002335181")</f>
        <v>170002335181</v>
      </c>
      <c r="E456" s="44" t="s">
        <v>2428</v>
      </c>
      <c r="F456" s="46" t="str">
        <f ca="1">IFERROR(__xludf.DUMMYFUNCTION("REGEXEXTRACT(B456, ""id=([a-zA-Z0-9-_]+)&amp;usp"")"),"1UO2RMQS4TJzWNdPIpX8zBDPOdSji5P2T")</f>
        <v>1UO2RMQS4TJzWNdPIpX8zBDPOdSji5P2T</v>
      </c>
      <c r="G456" s="53" t="e">
        <f t="shared" ca="1" si="1"/>
        <v>#NAME?</v>
      </c>
    </row>
    <row r="457" spans="1:7">
      <c r="A457" s="42" t="s">
        <v>3791</v>
      </c>
      <c r="B457" s="49" t="s">
        <v>3792</v>
      </c>
      <c r="C457" s="50" t="s">
        <v>3793</v>
      </c>
      <c r="D457" s="46" t="str">
        <f ca="1">IFERROR(__xludf.DUMMYFUNCTION("REGEXEXTRACT(C457, ""\d+"")"),"170002331846")</f>
        <v>170002331846</v>
      </c>
      <c r="E457" s="44" t="s">
        <v>2428</v>
      </c>
      <c r="F457" s="46" t="str">
        <f ca="1">IFERROR(__xludf.DUMMYFUNCTION("REGEXEXTRACT(B457, ""id=([a-zA-Z0-9-_]+)&amp;usp"")"),"1USltRNqriPeTGEm5_Gw8tjjXk8QxJ2Ru")</f>
        <v>1USltRNqriPeTGEm5_Gw8tjjXk8QxJ2Ru</v>
      </c>
      <c r="G457" s="53" t="e">
        <f t="shared" ca="1" si="1"/>
        <v>#NAME?</v>
      </c>
    </row>
    <row r="458" spans="1:7">
      <c r="A458" s="42" t="s">
        <v>3794</v>
      </c>
      <c r="B458" s="49" t="s">
        <v>3795</v>
      </c>
      <c r="C458" s="50" t="s">
        <v>3796</v>
      </c>
      <c r="D458" s="46" t="str">
        <f ca="1">IFERROR(__xludf.DUMMYFUNCTION("REGEXEXTRACT(C458, ""\d+"")"),"170002283980")</f>
        <v>170002283980</v>
      </c>
      <c r="E458" s="44" t="s">
        <v>2428</v>
      </c>
      <c r="F458" s="46" t="str">
        <f ca="1">IFERROR(__xludf.DUMMYFUNCTION("REGEXEXTRACT(B458, ""id=([a-zA-Z0-9-_]+)&amp;usp"")"),"1Uo5cwb-IobssLEWJ0crdEGdndBt9djMJ")</f>
        <v>1Uo5cwb-IobssLEWJ0crdEGdndBt9djMJ</v>
      </c>
      <c r="G458" s="53" t="e">
        <f t="shared" ca="1" si="1"/>
        <v>#NAME?</v>
      </c>
    </row>
    <row r="459" spans="1:7">
      <c r="A459" s="42" t="s">
        <v>3797</v>
      </c>
      <c r="B459" s="49" t="s">
        <v>3798</v>
      </c>
      <c r="C459" s="50" t="s">
        <v>3799</v>
      </c>
      <c r="D459" s="46" t="str">
        <f ca="1">IFERROR(__xludf.DUMMYFUNCTION("REGEXEXTRACT(C459, ""\d+"")"),"170002319174")</f>
        <v>170002319174</v>
      </c>
      <c r="E459" s="44" t="s">
        <v>2428</v>
      </c>
      <c r="F459" s="46" t="str">
        <f ca="1">IFERROR(__xludf.DUMMYFUNCTION("REGEXEXTRACT(B459, ""id=([a-zA-Z0-9-_]+)&amp;usp"")"),"1VfNnVtejyObsmHcU2383mW2NIsDI_zIx")</f>
        <v>1VfNnVtejyObsmHcU2383mW2NIsDI_zIx</v>
      </c>
      <c r="G459" s="53" t="e">
        <f t="shared" ca="1" si="1"/>
        <v>#NAME?</v>
      </c>
    </row>
    <row r="460" spans="1:7">
      <c r="A460" s="42" t="s">
        <v>3800</v>
      </c>
      <c r="B460" s="49" t="s">
        <v>3801</v>
      </c>
      <c r="C460" s="50" t="s">
        <v>3802</v>
      </c>
      <c r="D460" s="46" t="str">
        <f ca="1">IFERROR(__xludf.DUMMYFUNCTION("REGEXEXTRACT(C460, ""\d+"")"),"170002350122")</f>
        <v>170002350122</v>
      </c>
      <c r="E460" s="44" t="s">
        <v>2428</v>
      </c>
      <c r="F460" s="46" t="str">
        <f ca="1">IFERROR(__xludf.DUMMYFUNCTION("REGEXEXTRACT(B460, ""id=([a-zA-Z0-9-_]+)&amp;usp"")"),"1WIDAEqYg29FB70-VMBykzY-P3akB1MtR")</f>
        <v>1WIDAEqYg29FB70-VMBykzY-P3akB1MtR</v>
      </c>
      <c r="G460" s="53" t="e">
        <f t="shared" ca="1" si="1"/>
        <v>#NAME?</v>
      </c>
    </row>
    <row r="461" spans="1:7">
      <c r="A461" s="42" t="s">
        <v>3803</v>
      </c>
      <c r="B461" s="49" t="s">
        <v>3804</v>
      </c>
      <c r="C461" s="50" t="s">
        <v>3805</v>
      </c>
      <c r="D461" s="46" t="str">
        <f ca="1">IFERROR(__xludf.DUMMYFUNCTION("REGEXEXTRACT(C461, ""\d+"")"),"170002343353")</f>
        <v>170002343353</v>
      </c>
      <c r="E461" s="44" t="s">
        <v>2428</v>
      </c>
      <c r="F461" s="46" t="str">
        <f ca="1">IFERROR(__xludf.DUMMYFUNCTION("REGEXEXTRACT(B461, ""id=([a-zA-Z0-9-_]+)&amp;usp"")"),"1X1zES0XLiWSoE-YXaeIzxZOYGgUGjFya")</f>
        <v>1X1zES0XLiWSoE-YXaeIzxZOYGgUGjFya</v>
      </c>
      <c r="G461" s="53" t="e">
        <f t="shared" ca="1" si="1"/>
        <v>#NAME?</v>
      </c>
    </row>
    <row r="462" spans="1:7">
      <c r="A462" s="42" t="s">
        <v>3806</v>
      </c>
      <c r="B462" s="49" t="s">
        <v>3807</v>
      </c>
      <c r="C462" s="50" t="s">
        <v>3808</v>
      </c>
      <c r="D462" s="46" t="str">
        <f ca="1">IFERROR(__xludf.DUMMYFUNCTION("REGEXEXTRACT(C462, ""\d+"")"),"170002323444")</f>
        <v>170002323444</v>
      </c>
      <c r="E462" s="44" t="s">
        <v>2428</v>
      </c>
      <c r="F462" s="46" t="str">
        <f ca="1">IFERROR(__xludf.DUMMYFUNCTION("REGEXEXTRACT(B462, ""id=([a-zA-Z0-9-_]+)&amp;usp"")"),"1YajpKD-DS-uxhhL31RExK6v5XtH4NQ2n")</f>
        <v>1YajpKD-DS-uxhhL31RExK6v5XtH4NQ2n</v>
      </c>
      <c r="G462" s="53" t="e">
        <f t="shared" ca="1" si="1"/>
        <v>#NAME?</v>
      </c>
    </row>
    <row r="463" spans="1:7">
      <c r="A463" s="42" t="s">
        <v>3809</v>
      </c>
      <c r="B463" s="49" t="s">
        <v>3810</v>
      </c>
      <c r="C463" s="50" t="s">
        <v>3811</v>
      </c>
      <c r="D463" s="46" t="str">
        <f ca="1">IFERROR(__xludf.DUMMYFUNCTION("REGEXEXTRACT(C463, ""\d+"")"),"170002317578")</f>
        <v>170002317578</v>
      </c>
      <c r="E463" s="44" t="s">
        <v>2428</v>
      </c>
      <c r="F463" s="46" t="str">
        <f ca="1">IFERROR(__xludf.DUMMYFUNCTION("REGEXEXTRACT(B463, ""id=([a-zA-Z0-9-_]+)&amp;usp"")"),"1ZtY-lzGAmJ2RS4tlxs4fCIFQJi3enXae")</f>
        <v>1ZtY-lzGAmJ2RS4tlxs4fCIFQJi3enXae</v>
      </c>
      <c r="G463" s="53" t="e">
        <f t="shared" ca="1" si="1"/>
        <v>#NAME?</v>
      </c>
    </row>
    <row r="464" spans="1:7">
      <c r="A464" s="42" t="s">
        <v>3812</v>
      </c>
      <c r="B464" s="49" t="s">
        <v>3813</v>
      </c>
      <c r="C464" s="50" t="s">
        <v>3814</v>
      </c>
      <c r="D464" s="46" t="str">
        <f ca="1">IFERROR(__xludf.DUMMYFUNCTION("REGEXEXTRACT(C464, ""\d+"")"),"170002270921")</f>
        <v>170002270921</v>
      </c>
      <c r="E464" s="44" t="s">
        <v>2428</v>
      </c>
      <c r="F464" s="46" t="str">
        <f ca="1">IFERROR(__xludf.DUMMYFUNCTION("REGEXEXTRACT(B464, ""id=([a-zA-Z0-9-_]+)&amp;usp"")"),"1_91NMyU_3bY9sOUphs9QwubmWgmPaU2W")</f>
        <v>1_91NMyU_3bY9sOUphs9QwubmWgmPaU2W</v>
      </c>
      <c r="G464" s="53" t="e">
        <f t="shared" ca="1" si="1"/>
        <v>#NAME?</v>
      </c>
    </row>
    <row r="465" spans="1:7">
      <c r="A465" s="42" t="s">
        <v>3815</v>
      </c>
      <c r="B465" s="49" t="s">
        <v>3816</v>
      </c>
      <c r="C465" s="50" t="s">
        <v>3817</v>
      </c>
      <c r="D465" s="46" t="str">
        <f ca="1">IFERROR(__xludf.DUMMYFUNCTION("REGEXEXTRACT(C465, ""\d+"")"),"170002292329")</f>
        <v>170002292329</v>
      </c>
      <c r="E465" s="44" t="s">
        <v>2428</v>
      </c>
      <c r="F465" s="46" t="str">
        <f ca="1">IFERROR(__xludf.DUMMYFUNCTION("REGEXEXTRACT(B465, ""id=([a-zA-Z0-9-_]+)&amp;usp"")"),"1aS2hVgQBD5uPYCyBqLaIvZZCQza3_KAB")</f>
        <v>1aS2hVgQBD5uPYCyBqLaIvZZCQza3_KAB</v>
      </c>
      <c r="G465" s="53" t="e">
        <f t="shared" ca="1" si="1"/>
        <v>#NAME?</v>
      </c>
    </row>
    <row r="466" spans="1:7">
      <c r="A466" s="42" t="s">
        <v>3818</v>
      </c>
      <c r="B466" s="49" t="s">
        <v>3819</v>
      </c>
      <c r="C466" s="50" t="s">
        <v>3820</v>
      </c>
      <c r="D466" s="46" t="str">
        <f ca="1">IFERROR(__xludf.DUMMYFUNCTION("REGEXEXTRACT(C466, ""\d+"")"),"170002288239")</f>
        <v>170002288239</v>
      </c>
      <c r="E466" s="44" t="s">
        <v>2428</v>
      </c>
      <c r="F466" s="46" t="str">
        <f ca="1">IFERROR(__xludf.DUMMYFUNCTION("REGEXEXTRACT(B466, ""id=([a-zA-Z0-9-_]+)&amp;usp"")"),"1cwFbYi0NJQpq2W1zmlj-sG4aVhkwju6a")</f>
        <v>1cwFbYi0NJQpq2W1zmlj-sG4aVhkwju6a</v>
      </c>
      <c r="G466" s="53" t="e">
        <f t="shared" ca="1" si="1"/>
        <v>#NAME?</v>
      </c>
    </row>
    <row r="467" spans="1:7">
      <c r="A467" s="42" t="s">
        <v>3821</v>
      </c>
      <c r="B467" s="49" t="s">
        <v>3822</v>
      </c>
      <c r="C467" s="50" t="s">
        <v>3823</v>
      </c>
      <c r="D467" s="46" t="str">
        <f ca="1">IFERROR(__xludf.DUMMYFUNCTION("REGEXEXTRACT(C467, ""\d+"")"),"170002276454")</f>
        <v>170002276454</v>
      </c>
      <c r="E467" s="44" t="s">
        <v>2428</v>
      </c>
      <c r="F467" s="46" t="str">
        <f ca="1">IFERROR(__xludf.DUMMYFUNCTION("REGEXEXTRACT(B467, ""id=([a-zA-Z0-9-_]+)&amp;usp"")"),"1dyisdGn1jspO6iE5vtquAqWkShNnGINc")</f>
        <v>1dyisdGn1jspO6iE5vtquAqWkShNnGINc</v>
      </c>
      <c r="G467" s="53" t="e">
        <f t="shared" ca="1" si="1"/>
        <v>#NAME?</v>
      </c>
    </row>
    <row r="468" spans="1:7">
      <c r="A468" s="42" t="s">
        <v>3824</v>
      </c>
      <c r="B468" s="49" t="s">
        <v>3825</v>
      </c>
      <c r="C468" s="50" t="s">
        <v>3826</v>
      </c>
      <c r="D468" s="46" t="str">
        <f ca="1">IFERROR(__xludf.DUMMYFUNCTION("REGEXEXTRACT(C468, ""\d+"")"),"170002323578")</f>
        <v>170002323578</v>
      </c>
      <c r="E468" s="44" t="s">
        <v>2428</v>
      </c>
      <c r="F468" s="46" t="str">
        <f ca="1">IFERROR(__xludf.DUMMYFUNCTION("REGEXEXTRACT(B468, ""id=([a-zA-Z0-9-_]+)&amp;usp"")"),"1eSXHhusEBl9wA_QucpqUB9kRka_Ank--")</f>
        <v>1eSXHhusEBl9wA_QucpqUB9kRka_Ank--</v>
      </c>
      <c r="G468" s="53" t="e">
        <f t="shared" ca="1" si="1"/>
        <v>#NAME?</v>
      </c>
    </row>
    <row r="469" spans="1:7">
      <c r="A469" s="42" t="s">
        <v>3827</v>
      </c>
      <c r="B469" s="49" t="s">
        <v>3828</v>
      </c>
      <c r="C469" s="50" t="s">
        <v>3829</v>
      </c>
      <c r="D469" s="46" t="str">
        <f ca="1">IFERROR(__xludf.DUMMYFUNCTION("REGEXEXTRACT(C469, ""\d+"")"),"170002338338")</f>
        <v>170002338338</v>
      </c>
      <c r="E469" s="44" t="s">
        <v>2428</v>
      </c>
      <c r="F469" s="46" t="str">
        <f ca="1">IFERROR(__xludf.DUMMYFUNCTION("REGEXEXTRACT(B469, ""id=([a-zA-Z0-9-_]+)&amp;usp"")"),"1g4d7CLJQBlQo2bfzerfLbApampkRb7YC")</f>
        <v>1g4d7CLJQBlQo2bfzerfLbApampkRb7YC</v>
      </c>
      <c r="G469" s="53" t="e">
        <f t="shared" ca="1" si="1"/>
        <v>#NAME?</v>
      </c>
    </row>
    <row r="470" spans="1:7">
      <c r="A470" s="42" t="s">
        <v>3830</v>
      </c>
      <c r="B470" s="49" t="s">
        <v>3831</v>
      </c>
      <c r="C470" s="50" t="s">
        <v>3832</v>
      </c>
      <c r="D470" s="46" t="str">
        <f ca="1">IFERROR(__xludf.DUMMYFUNCTION("REGEXEXTRACT(C470, ""\d+"")"),"170002315499")</f>
        <v>170002315499</v>
      </c>
      <c r="E470" s="44" t="s">
        <v>2428</v>
      </c>
      <c r="F470" s="46" t="str">
        <f ca="1">IFERROR(__xludf.DUMMYFUNCTION("REGEXEXTRACT(B470, ""id=([a-zA-Z0-9-_]+)&amp;usp"")"),"1i6ZgLIqXvClnT0HBKghfBnFnpTKeGSy3")</f>
        <v>1i6ZgLIqXvClnT0HBKghfBnFnpTKeGSy3</v>
      </c>
      <c r="G470" s="53" t="e">
        <f t="shared" ca="1" si="1"/>
        <v>#NAME?</v>
      </c>
    </row>
    <row r="471" spans="1:7">
      <c r="A471" s="42" t="s">
        <v>3833</v>
      </c>
      <c r="B471" s="49" t="s">
        <v>3834</v>
      </c>
      <c r="C471" s="50" t="s">
        <v>3835</v>
      </c>
      <c r="D471" s="46" t="str">
        <f ca="1">IFERROR(__xludf.DUMMYFUNCTION("REGEXEXTRACT(C471, ""\d+"")"),"170002323972")</f>
        <v>170002323972</v>
      </c>
      <c r="E471" s="44" t="s">
        <v>2428</v>
      </c>
      <c r="F471" s="46" t="str">
        <f ca="1">IFERROR(__xludf.DUMMYFUNCTION("REGEXEXTRACT(B471, ""id=([a-zA-Z0-9-_]+)&amp;usp"")"),"1i9HHTJKbIlFodxJ5pJ6cPPiuupcdDWLj")</f>
        <v>1i9HHTJKbIlFodxJ5pJ6cPPiuupcdDWLj</v>
      </c>
      <c r="G471" s="53" t="e">
        <f t="shared" ca="1" si="1"/>
        <v>#NAME?</v>
      </c>
    </row>
    <row r="472" spans="1:7">
      <c r="A472" s="42" t="s">
        <v>3836</v>
      </c>
      <c r="B472" s="49" t="s">
        <v>3837</v>
      </c>
      <c r="C472" s="50" t="s">
        <v>3838</v>
      </c>
      <c r="D472" s="46" t="str">
        <f ca="1">IFERROR(__xludf.DUMMYFUNCTION("REGEXEXTRACT(C472, ""\d+"")"),"170002333076")</f>
        <v>170002333076</v>
      </c>
      <c r="E472" s="44" t="s">
        <v>2428</v>
      </c>
      <c r="F472" s="46" t="str">
        <f ca="1">IFERROR(__xludf.DUMMYFUNCTION("REGEXEXTRACT(B472, ""id=([a-zA-Z0-9-_]+)&amp;usp"")"),"1j2z2Pl_E883VpwTarFn-e2WczJzKGFw0")</f>
        <v>1j2z2Pl_E883VpwTarFn-e2WczJzKGFw0</v>
      </c>
      <c r="G472" s="53" t="e">
        <f t="shared" ca="1" si="1"/>
        <v>#NAME?</v>
      </c>
    </row>
    <row r="473" spans="1:7">
      <c r="A473" s="42" t="s">
        <v>3839</v>
      </c>
      <c r="B473" s="49" t="s">
        <v>3840</v>
      </c>
      <c r="C473" s="50" t="s">
        <v>3841</v>
      </c>
      <c r="D473" s="46" t="str">
        <f ca="1">IFERROR(__xludf.DUMMYFUNCTION("REGEXEXTRACT(C473, ""\d+"")"),"170002327085")</f>
        <v>170002327085</v>
      </c>
      <c r="E473" s="44" t="s">
        <v>2428</v>
      </c>
      <c r="F473" s="46" t="str">
        <f ca="1">IFERROR(__xludf.DUMMYFUNCTION("REGEXEXTRACT(B473, ""id=([a-zA-Z0-9-_]+)&amp;usp"")"),"1kN3JPA-ANATZFO0DW48QSbFJguQ3Oh2N")</f>
        <v>1kN3JPA-ANATZFO0DW48QSbFJguQ3Oh2N</v>
      </c>
      <c r="G473" s="53" t="e">
        <f t="shared" ca="1" si="1"/>
        <v>#NAME?</v>
      </c>
    </row>
    <row r="474" spans="1:7">
      <c r="A474" s="42" t="s">
        <v>3842</v>
      </c>
      <c r="B474" s="49" t="s">
        <v>3843</v>
      </c>
      <c r="C474" s="50" t="s">
        <v>3844</v>
      </c>
      <c r="D474" s="46" t="str">
        <f ca="1">IFERROR(__xludf.DUMMYFUNCTION("REGEXEXTRACT(C474, ""\d+"")"),"170002277807")</f>
        <v>170002277807</v>
      </c>
      <c r="E474" s="44" t="s">
        <v>2428</v>
      </c>
      <c r="F474" s="46" t="str">
        <f ca="1">IFERROR(__xludf.DUMMYFUNCTION("REGEXEXTRACT(B474, ""id=([a-zA-Z0-9-_]+)&amp;usp"")"),"1lkWwYJy9xClj3a3m0XOKxQIQthnur39Q")</f>
        <v>1lkWwYJy9xClj3a3m0XOKxQIQthnur39Q</v>
      </c>
      <c r="G474" s="53" t="e">
        <f t="shared" ca="1" si="1"/>
        <v>#NAME?</v>
      </c>
    </row>
    <row r="475" spans="1:7">
      <c r="A475" s="42" t="s">
        <v>3845</v>
      </c>
      <c r="B475" s="49" t="s">
        <v>3846</v>
      </c>
      <c r="C475" s="50" t="s">
        <v>3847</v>
      </c>
      <c r="D475" s="46" t="str">
        <f ca="1">IFERROR(__xludf.DUMMYFUNCTION("REGEXEXTRACT(C475, ""\d+"")"),"170002322957")</f>
        <v>170002322957</v>
      </c>
      <c r="E475" s="44" t="s">
        <v>2428</v>
      </c>
      <c r="F475" s="46" t="str">
        <f ca="1">IFERROR(__xludf.DUMMYFUNCTION("REGEXEXTRACT(B475, ""id=([a-zA-Z0-9-_]+)&amp;usp"")"),"1mJ_xFqyIj6SHNJuE6y8hFgTR0IsZdwYi")</f>
        <v>1mJ_xFqyIj6SHNJuE6y8hFgTR0IsZdwYi</v>
      </c>
      <c r="G475" s="53" t="e">
        <f t="shared" ca="1" si="1"/>
        <v>#NAME?</v>
      </c>
    </row>
    <row r="476" spans="1:7">
      <c r="A476" s="42" t="s">
        <v>3848</v>
      </c>
      <c r="B476" s="49" t="s">
        <v>3849</v>
      </c>
      <c r="C476" s="50" t="s">
        <v>3850</v>
      </c>
      <c r="D476" s="46" t="str">
        <f ca="1">IFERROR(__xludf.DUMMYFUNCTION("REGEXEXTRACT(C476, ""\d+"")"),"170002323592")</f>
        <v>170002323592</v>
      </c>
      <c r="E476" s="44" t="s">
        <v>2428</v>
      </c>
      <c r="F476" s="46" t="str">
        <f ca="1">IFERROR(__xludf.DUMMYFUNCTION("REGEXEXTRACT(B476, ""id=([a-zA-Z0-9-_]+)&amp;usp"")"),"1mYHU7OEWlzYElCvK_VjaZcugd1kMihCx")</f>
        <v>1mYHU7OEWlzYElCvK_VjaZcugd1kMihCx</v>
      </c>
      <c r="G476" s="53" t="e">
        <f t="shared" ca="1" si="1"/>
        <v>#NAME?</v>
      </c>
    </row>
    <row r="477" spans="1:7">
      <c r="A477" s="42" t="s">
        <v>3851</v>
      </c>
      <c r="B477" s="49" t="s">
        <v>3852</v>
      </c>
      <c r="C477" s="50" t="s">
        <v>3853</v>
      </c>
      <c r="D477" s="46" t="str">
        <f ca="1">IFERROR(__xludf.DUMMYFUNCTION("REGEXEXTRACT(C477, ""\d+"")"),"170002286180")</f>
        <v>170002286180</v>
      </c>
      <c r="E477" s="44" t="s">
        <v>2428</v>
      </c>
      <c r="F477" s="46" t="str">
        <f ca="1">IFERROR(__xludf.DUMMYFUNCTION("REGEXEXTRACT(B477, ""id=([a-zA-Z0-9-_]+)&amp;usp"")"),"1miJGm65XUzfxWRxqVbvehBGVJm7JzZUg")</f>
        <v>1miJGm65XUzfxWRxqVbvehBGVJm7JzZUg</v>
      </c>
      <c r="G477" s="53" t="e">
        <f t="shared" ca="1" si="1"/>
        <v>#NAME?</v>
      </c>
    </row>
    <row r="478" spans="1:7">
      <c r="A478" s="42" t="s">
        <v>3854</v>
      </c>
      <c r="B478" s="49" t="s">
        <v>3855</v>
      </c>
      <c r="C478" s="50" t="s">
        <v>3856</v>
      </c>
      <c r="D478" s="46" t="str">
        <f ca="1">IFERROR(__xludf.DUMMYFUNCTION("REGEXEXTRACT(C478, ""\d+"")"),"170002356561")</f>
        <v>170002356561</v>
      </c>
      <c r="E478" s="44" t="s">
        <v>2428</v>
      </c>
      <c r="F478" s="46" t="str">
        <f ca="1">IFERROR(__xludf.DUMMYFUNCTION("REGEXEXTRACT(B478, ""id=([a-zA-Z0-9-_]+)&amp;usp"")"),"1mip6mcJ0Uf2DCE5NZtUJYYwGk-p_Ie09")</f>
        <v>1mip6mcJ0Uf2DCE5NZtUJYYwGk-p_Ie09</v>
      </c>
      <c r="G478" s="53" t="e">
        <f t="shared" ca="1" si="1"/>
        <v>#NAME?</v>
      </c>
    </row>
    <row r="479" spans="1:7">
      <c r="A479" s="42" t="s">
        <v>3857</v>
      </c>
      <c r="B479" s="49" t="s">
        <v>3858</v>
      </c>
      <c r="C479" s="50" t="s">
        <v>3859</v>
      </c>
      <c r="D479" s="46" t="str">
        <f ca="1">IFERROR(__xludf.DUMMYFUNCTION("REGEXEXTRACT(C479, ""\d+"")"),"170002335207")</f>
        <v>170002335207</v>
      </c>
      <c r="E479" s="44" t="s">
        <v>2428</v>
      </c>
      <c r="F479" s="46" t="str">
        <f ca="1">IFERROR(__xludf.DUMMYFUNCTION("REGEXEXTRACT(B479, ""id=([a-zA-Z0-9-_]+)&amp;usp"")"),"1mjSN7jmM7-rwIPcHRpxoEZLmGLDiMRfI")</f>
        <v>1mjSN7jmM7-rwIPcHRpxoEZLmGLDiMRfI</v>
      </c>
      <c r="G479" s="53" t="e">
        <f t="shared" ca="1" si="1"/>
        <v>#NAME?</v>
      </c>
    </row>
    <row r="480" spans="1:7">
      <c r="A480" s="42" t="s">
        <v>3860</v>
      </c>
      <c r="B480" s="49" t="s">
        <v>3861</v>
      </c>
      <c r="C480" s="50" t="s">
        <v>3862</v>
      </c>
      <c r="D480" s="46" t="str">
        <f ca="1">IFERROR(__xludf.DUMMYFUNCTION("REGEXEXTRACT(C480, ""\d+"")"),"170002259035")</f>
        <v>170002259035</v>
      </c>
      <c r="E480" s="44" t="s">
        <v>2428</v>
      </c>
      <c r="F480" s="46" t="str">
        <f ca="1">IFERROR(__xludf.DUMMYFUNCTION("REGEXEXTRACT(B480, ""id=([a-zA-Z0-9-_]+)&amp;usp"")"),"1nN5U9JenyQ1vE-UPiUAHinR4yr5SIjmO")</f>
        <v>1nN5U9JenyQ1vE-UPiUAHinR4yr5SIjmO</v>
      </c>
      <c r="G480" s="53" t="e">
        <f t="shared" ca="1" si="1"/>
        <v>#NAME?</v>
      </c>
    </row>
    <row r="481" spans="1:7">
      <c r="A481" s="42" t="s">
        <v>3863</v>
      </c>
      <c r="B481" s="49" t="s">
        <v>3864</v>
      </c>
      <c r="C481" s="50" t="s">
        <v>3865</v>
      </c>
      <c r="D481" s="46" t="str">
        <f ca="1">IFERROR(__xludf.DUMMYFUNCTION("REGEXEXTRACT(C481, ""\d+"")"),"170002259555")</f>
        <v>170002259555</v>
      </c>
      <c r="E481" s="44" t="s">
        <v>2428</v>
      </c>
      <c r="F481" s="46" t="str">
        <f ca="1">IFERROR(__xludf.DUMMYFUNCTION("REGEXEXTRACT(B481, ""id=([a-zA-Z0-9-_]+)&amp;usp"")"),"1nbE_MTUubtmj1MfSr8X8zVoYWnpwyL55")</f>
        <v>1nbE_MTUubtmj1MfSr8X8zVoYWnpwyL55</v>
      </c>
      <c r="G481" s="53" t="e">
        <f t="shared" ca="1" si="1"/>
        <v>#NAME?</v>
      </c>
    </row>
    <row r="482" spans="1:7">
      <c r="A482" s="42" t="s">
        <v>3866</v>
      </c>
      <c r="B482" s="49" t="s">
        <v>3867</v>
      </c>
      <c r="C482" s="50" t="s">
        <v>3868</v>
      </c>
      <c r="D482" s="46" t="str">
        <f ca="1">IFERROR(__xludf.DUMMYFUNCTION("REGEXEXTRACT(C482, ""\d+"")"),"170002263930")</f>
        <v>170002263930</v>
      </c>
      <c r="E482" s="44" t="s">
        <v>2428</v>
      </c>
      <c r="F482" s="46" t="str">
        <f ca="1">IFERROR(__xludf.DUMMYFUNCTION("REGEXEXTRACT(B482, ""id=([a-zA-Z0-9-_]+)&amp;usp"")"),"1p2leonbDbe9ZhCpfO04ut_weUAUC7SWQ")</f>
        <v>1p2leonbDbe9ZhCpfO04ut_weUAUC7SWQ</v>
      </c>
      <c r="G482" s="53" t="e">
        <f t="shared" ca="1" si="1"/>
        <v>#NAME?</v>
      </c>
    </row>
    <row r="483" spans="1:7">
      <c r="A483" s="42" t="s">
        <v>3869</v>
      </c>
      <c r="B483" s="49" t="s">
        <v>3870</v>
      </c>
      <c r="C483" s="50" t="s">
        <v>3871</v>
      </c>
      <c r="D483" s="46" t="str">
        <f ca="1">IFERROR(__xludf.DUMMYFUNCTION("REGEXEXTRACT(C483, ""\d+"")"),"170002258001")</f>
        <v>170002258001</v>
      </c>
      <c r="E483" s="44" t="s">
        <v>2428</v>
      </c>
      <c r="F483" s="46" t="str">
        <f ca="1">IFERROR(__xludf.DUMMYFUNCTION("REGEXEXTRACT(B483, ""id=([a-zA-Z0-9-_]+)&amp;usp"")"),"1qKJQHjJ5pYCIhmDIPNB22UDsZEHriIhY")</f>
        <v>1qKJQHjJ5pYCIhmDIPNB22UDsZEHriIhY</v>
      </c>
      <c r="G483" s="53" t="e">
        <f t="shared" ca="1" si="1"/>
        <v>#NAME?</v>
      </c>
    </row>
    <row r="484" spans="1:7">
      <c r="A484" s="42" t="s">
        <v>3872</v>
      </c>
      <c r="B484" s="49" t="s">
        <v>3873</v>
      </c>
      <c r="C484" s="50" t="s">
        <v>3874</v>
      </c>
      <c r="D484" s="46" t="str">
        <f ca="1">IFERROR(__xludf.DUMMYFUNCTION("REGEXEXTRACT(C484, ""\d+"")"),"170002315684")</f>
        <v>170002315684</v>
      </c>
      <c r="E484" s="44" t="s">
        <v>2428</v>
      </c>
      <c r="F484" s="46" t="str">
        <f ca="1">IFERROR(__xludf.DUMMYFUNCTION("REGEXEXTRACT(B484, ""id=([a-zA-Z0-9-_]+)&amp;usp"")"),"1rjomqK2r_tXSpE4Igvt_vXWmuLToBaQK")</f>
        <v>1rjomqK2r_tXSpE4Igvt_vXWmuLToBaQK</v>
      </c>
      <c r="G484" s="53" t="e">
        <f t="shared" ca="1" si="1"/>
        <v>#NAME?</v>
      </c>
    </row>
    <row r="485" spans="1:7">
      <c r="A485" s="42" t="s">
        <v>3875</v>
      </c>
      <c r="B485" s="49" t="s">
        <v>3876</v>
      </c>
      <c r="C485" s="50" t="s">
        <v>3877</v>
      </c>
      <c r="D485" s="46" t="str">
        <f ca="1">IFERROR(__xludf.DUMMYFUNCTION("REGEXEXTRACT(C485, ""\d+"")"),"170002293435")</f>
        <v>170002293435</v>
      </c>
      <c r="E485" s="44" t="s">
        <v>2428</v>
      </c>
      <c r="F485" s="46" t="str">
        <f ca="1">IFERROR(__xludf.DUMMYFUNCTION("REGEXEXTRACT(B485, ""id=([a-zA-Z0-9-_]+)&amp;usp"")"),"1s5M_stxJdXt-XxZabpuFKZiEb_pLnBqt")</f>
        <v>1s5M_stxJdXt-XxZabpuFKZiEb_pLnBqt</v>
      </c>
      <c r="G485" s="53" t="e">
        <f t="shared" ca="1" si="1"/>
        <v>#NAME?</v>
      </c>
    </row>
    <row r="486" spans="1:7">
      <c r="A486" s="42" t="s">
        <v>3878</v>
      </c>
      <c r="B486" s="49" t="s">
        <v>3879</v>
      </c>
      <c r="C486" s="50" t="s">
        <v>3880</v>
      </c>
      <c r="D486" s="46" t="str">
        <f ca="1">IFERROR(__xludf.DUMMYFUNCTION("REGEXEXTRACT(C486, ""\d+"")"),"170002320981")</f>
        <v>170002320981</v>
      </c>
      <c r="E486" s="44" t="s">
        <v>2428</v>
      </c>
      <c r="F486" s="46" t="str">
        <f ca="1">IFERROR(__xludf.DUMMYFUNCTION("REGEXEXTRACT(B486, ""id=([a-zA-Z0-9-_]+)&amp;usp"")"),"1sGV65P8qqR6fsUESMmbAyNqEB_3X8SWf")</f>
        <v>1sGV65P8qqR6fsUESMmbAyNqEB_3X8SWf</v>
      </c>
      <c r="G486" s="53" t="e">
        <f t="shared" ca="1" si="1"/>
        <v>#NAME?</v>
      </c>
    </row>
    <row r="487" spans="1:7">
      <c r="A487" s="42" t="s">
        <v>3881</v>
      </c>
      <c r="B487" s="49" t="s">
        <v>3882</v>
      </c>
      <c r="C487" s="50" t="s">
        <v>3883</v>
      </c>
      <c r="D487" s="46" t="str">
        <f ca="1">IFERROR(__xludf.DUMMYFUNCTION("REGEXEXTRACT(C487, ""\d+"")"),"170002257848")</f>
        <v>170002257848</v>
      </c>
      <c r="E487" s="44" t="s">
        <v>2428</v>
      </c>
      <c r="F487" s="46" t="str">
        <f ca="1">IFERROR(__xludf.DUMMYFUNCTION("REGEXEXTRACT(B487, ""id=([a-zA-Z0-9-_]+)&amp;usp"")"),"1t4RP0Ze2__CJvK25YL3f0sonyrHh5yHr")</f>
        <v>1t4RP0Ze2__CJvK25YL3f0sonyrHh5yHr</v>
      </c>
      <c r="G487" s="53" t="e">
        <f t="shared" ca="1" si="1"/>
        <v>#NAME?</v>
      </c>
    </row>
    <row r="488" spans="1:7">
      <c r="A488" s="42" t="s">
        <v>3884</v>
      </c>
      <c r="B488" s="49" t="s">
        <v>3885</v>
      </c>
      <c r="C488" s="50" t="s">
        <v>3886</v>
      </c>
      <c r="D488" s="46" t="str">
        <f ca="1">IFERROR(__xludf.DUMMYFUNCTION("REGEXEXTRACT(C488, ""\d+"")"),"170002273426")</f>
        <v>170002273426</v>
      </c>
      <c r="E488" s="44" t="s">
        <v>2428</v>
      </c>
      <c r="F488" s="46" t="str">
        <f ca="1">IFERROR(__xludf.DUMMYFUNCTION("REGEXEXTRACT(B488, ""id=([a-zA-Z0-9-_]+)&amp;usp"")"),"1u7ZJCP2lfyGMarTSgbHLjWxTzRRNc686")</f>
        <v>1u7ZJCP2lfyGMarTSgbHLjWxTzRRNc686</v>
      </c>
      <c r="G488" s="53" t="e">
        <f t="shared" ca="1" si="1"/>
        <v>#NAME?</v>
      </c>
    </row>
    <row r="489" spans="1:7">
      <c r="A489" s="42" t="s">
        <v>3887</v>
      </c>
      <c r="B489" s="49" t="s">
        <v>3888</v>
      </c>
      <c r="C489" s="50" t="s">
        <v>3889</v>
      </c>
      <c r="D489" s="46" t="str">
        <f ca="1">IFERROR(__xludf.DUMMYFUNCTION("REGEXEXTRACT(C489, ""\d+"")"),"170002332858")</f>
        <v>170002332858</v>
      </c>
      <c r="E489" s="44" t="s">
        <v>2428</v>
      </c>
      <c r="F489" s="46" t="str">
        <f ca="1">IFERROR(__xludf.DUMMYFUNCTION("REGEXEXTRACT(B489, ""id=([a-zA-Z0-9-_]+)&amp;usp"")"),"1vNzS9Nm7liQHN4R4XP2cJM7gUTJ2jwPM")</f>
        <v>1vNzS9Nm7liQHN4R4XP2cJM7gUTJ2jwPM</v>
      </c>
      <c r="G489" s="53" t="e">
        <f t="shared" ca="1" si="1"/>
        <v>#NAME?</v>
      </c>
    </row>
    <row r="490" spans="1:7">
      <c r="A490" s="42" t="s">
        <v>3890</v>
      </c>
      <c r="B490" s="49" t="s">
        <v>3891</v>
      </c>
      <c r="C490" s="50" t="s">
        <v>3892</v>
      </c>
      <c r="D490" s="46" t="str">
        <f ca="1">IFERROR(__xludf.DUMMYFUNCTION("REGEXEXTRACT(C490, ""\d+"")"),"170002261348")</f>
        <v>170002261348</v>
      </c>
      <c r="E490" s="44" t="s">
        <v>2428</v>
      </c>
      <c r="F490" s="46" t="str">
        <f ca="1">IFERROR(__xludf.DUMMYFUNCTION("REGEXEXTRACT(B490, ""id=([a-zA-Z0-9-_]+)&amp;usp"")"),"1vpXAcRZ-M3gA1RpEjap9fdk0Idkw1uxW")</f>
        <v>1vpXAcRZ-M3gA1RpEjap9fdk0Idkw1uxW</v>
      </c>
      <c r="G490" s="53" t="e">
        <f t="shared" ca="1" si="1"/>
        <v>#NAME?</v>
      </c>
    </row>
    <row r="491" spans="1:7">
      <c r="A491" s="42" t="s">
        <v>3893</v>
      </c>
      <c r="B491" s="49" t="s">
        <v>3894</v>
      </c>
      <c r="C491" s="50" t="s">
        <v>3895</v>
      </c>
      <c r="D491" s="46" t="str">
        <f ca="1">IFERROR(__xludf.DUMMYFUNCTION("REGEXEXTRACT(C491, ""\d+"")"),"170002262237")</f>
        <v>170002262237</v>
      </c>
      <c r="E491" s="44" t="s">
        <v>2428</v>
      </c>
      <c r="F491" s="46" t="str">
        <f ca="1">IFERROR(__xludf.DUMMYFUNCTION("REGEXEXTRACT(B491, ""id=([a-zA-Z0-9-_]+)&amp;usp"")"),"1w789tid89LuZx4jSNIneKAv3gagzgI16")</f>
        <v>1w789tid89LuZx4jSNIneKAv3gagzgI16</v>
      </c>
      <c r="G491" s="53" t="e">
        <f t="shared" ca="1" si="1"/>
        <v>#NAME?</v>
      </c>
    </row>
    <row r="492" spans="1:7">
      <c r="A492" s="42" t="s">
        <v>3896</v>
      </c>
      <c r="B492" s="49" t="s">
        <v>3897</v>
      </c>
      <c r="C492" s="50" t="s">
        <v>3898</v>
      </c>
      <c r="D492" s="46" t="str">
        <f ca="1">IFERROR(__xludf.DUMMYFUNCTION("REGEXEXTRACT(C492, ""\d+"")"),"170002337699")</f>
        <v>170002337699</v>
      </c>
      <c r="E492" s="44" t="s">
        <v>2428</v>
      </c>
      <c r="F492" s="46" t="str">
        <f ca="1">IFERROR(__xludf.DUMMYFUNCTION("REGEXEXTRACT(B492, ""id=([a-zA-Z0-9-_]+)&amp;usp"")"),"1wJTn6gD4hT0Zg6oyh4BMGqGUgMZPadkv")</f>
        <v>1wJTn6gD4hT0Zg6oyh4BMGqGUgMZPadkv</v>
      </c>
      <c r="G492" s="53" t="e">
        <f t="shared" ca="1" si="1"/>
        <v>#NAME?</v>
      </c>
    </row>
    <row r="493" spans="1:7">
      <c r="A493" s="42" t="s">
        <v>3899</v>
      </c>
      <c r="B493" s="49" t="s">
        <v>3900</v>
      </c>
      <c r="C493" s="50" t="s">
        <v>3901</v>
      </c>
      <c r="D493" s="46" t="str">
        <f ca="1">IFERROR(__xludf.DUMMYFUNCTION("REGEXEXTRACT(C493, ""\d+"")"),"170002322452")</f>
        <v>170002322452</v>
      </c>
      <c r="E493" s="44" t="s">
        <v>2428</v>
      </c>
      <c r="F493" s="46" t="str">
        <f ca="1">IFERROR(__xludf.DUMMYFUNCTION("REGEXEXTRACT(B493, ""id=([a-zA-Z0-9-_]+)&amp;usp"")"),"1wRMqKy4khP-IOOovx--6JoTPCR4DP_aE")</f>
        <v>1wRMqKy4khP-IOOovx--6JoTPCR4DP_aE</v>
      </c>
      <c r="G493" s="53" t="e">
        <f t="shared" ca="1" si="1"/>
        <v>#NAME?</v>
      </c>
    </row>
    <row r="494" spans="1:7">
      <c r="A494" s="42" t="s">
        <v>3902</v>
      </c>
      <c r="B494" s="49" t="s">
        <v>3903</v>
      </c>
      <c r="C494" s="50" t="s">
        <v>3904</v>
      </c>
      <c r="D494" s="46" t="str">
        <f ca="1">IFERROR(__xludf.DUMMYFUNCTION("REGEXEXTRACT(C494, ""\d+"")"),"170002332785")</f>
        <v>170002332785</v>
      </c>
      <c r="E494" s="44" t="s">
        <v>2428</v>
      </c>
      <c r="F494" s="46" t="str">
        <f ca="1">IFERROR(__xludf.DUMMYFUNCTION("REGEXEXTRACT(B494, ""id=([a-zA-Z0-9-_]+)&amp;usp"")"),"1xkIQ9Rxj3AMqlxBIx4UVireC0TUvtdtk")</f>
        <v>1xkIQ9Rxj3AMqlxBIx4UVireC0TUvtdtk</v>
      </c>
      <c r="G494" s="53" t="e">
        <f t="shared" ca="1" si="1"/>
        <v>#NAME?</v>
      </c>
    </row>
    <row r="495" spans="1:7">
      <c r="A495" s="42" t="s">
        <v>3905</v>
      </c>
      <c r="B495" s="49" t="s">
        <v>3906</v>
      </c>
      <c r="C495" s="50" t="s">
        <v>3907</v>
      </c>
      <c r="D495" s="46" t="str">
        <f ca="1">IFERROR(__xludf.DUMMYFUNCTION("REGEXEXTRACT(C495, ""\d+"")"),"170002321356")</f>
        <v>170002321356</v>
      </c>
      <c r="E495" s="44" t="s">
        <v>2428</v>
      </c>
      <c r="F495" s="46" t="str">
        <f ca="1">IFERROR(__xludf.DUMMYFUNCTION("REGEXEXTRACT(B495, ""id=([a-zA-Z0-9-_]+)&amp;usp"")"),"1z2GNU1d8qZFN31L5PTUcIC7H9Zo8i92H")</f>
        <v>1z2GNU1d8qZFN31L5PTUcIC7H9Zo8i92H</v>
      </c>
      <c r="G495" s="53" t="e">
        <f t="shared" ca="1" si="1"/>
        <v>#NAME?</v>
      </c>
    </row>
    <row r="496" spans="1:7">
      <c r="A496" s="42" t="s">
        <v>3908</v>
      </c>
      <c r="B496" s="49" t="s">
        <v>3909</v>
      </c>
      <c r="C496" s="50" t="s">
        <v>3910</v>
      </c>
      <c r="D496" s="46" t="str">
        <f ca="1">IFERROR(__xludf.DUMMYFUNCTION("REGEXEXTRACT(C496, ""\d+"")"),"170002260141")</f>
        <v>170002260141</v>
      </c>
      <c r="E496" s="44" t="s">
        <v>2428</v>
      </c>
      <c r="F496" s="46" t="str">
        <f ca="1">IFERROR(__xludf.DUMMYFUNCTION("REGEXEXTRACT(B496, ""id=([a-zA-Z0-9-_]+)&amp;usp"")"),"1zoSTkgKNppjZoP3W1AZZ_rdg1ojCROg-")</f>
        <v>1zoSTkgKNppjZoP3W1AZZ_rdg1ojCROg-</v>
      </c>
      <c r="G496" s="53" t="e">
        <f t="shared" ca="1" si="1"/>
        <v>#NAME?</v>
      </c>
    </row>
    <row r="497" spans="1:7">
      <c r="A497" s="42" t="s">
        <v>3911</v>
      </c>
      <c r="B497" s="49" t="s">
        <v>3912</v>
      </c>
      <c r="C497" s="50" t="s">
        <v>3913</v>
      </c>
      <c r="D497" s="46" t="str">
        <f ca="1">IFERROR(__xludf.DUMMYFUNCTION("REGEXEXTRACT(C497, ""\d+"")"),"170002379378")</f>
        <v>170002379378</v>
      </c>
      <c r="E497" s="44" t="s">
        <v>2428</v>
      </c>
      <c r="F497" s="46" t="str">
        <f ca="1">IFERROR(__xludf.DUMMYFUNCTION("REGEXEXTRACT(B497, ""id=([a-zA-Z0-9-_]+)&amp;usp"")"),"19ImP1xAcruOgJS7ArQBc9pVrLBtNeSUs")</f>
        <v>19ImP1xAcruOgJS7ArQBc9pVrLBtNeSUs</v>
      </c>
      <c r="G497" s="53" t="e">
        <f t="shared" ca="1" si="1"/>
        <v>#NAME?</v>
      </c>
    </row>
    <row r="498" spans="1:7">
      <c r="A498" s="42" t="s">
        <v>3914</v>
      </c>
      <c r="B498" s="49" t="s">
        <v>3915</v>
      </c>
      <c r="C498" s="50" t="s">
        <v>3916</v>
      </c>
      <c r="D498" s="46" t="str">
        <f ca="1">IFERROR(__xludf.DUMMYFUNCTION("REGEXEXTRACT(C498, ""\d+"")"),"170002386501")</f>
        <v>170002386501</v>
      </c>
      <c r="E498" s="44" t="s">
        <v>2428</v>
      </c>
      <c r="F498" s="46" t="str">
        <f ca="1">IFERROR(__xludf.DUMMYFUNCTION("REGEXEXTRACT(B498, ""id=([a-zA-Z0-9-_]+)&amp;usp"")"),"1lyYgBk_vDrDFS7yMqIwItTliqbHtY7IO")</f>
        <v>1lyYgBk_vDrDFS7yMqIwItTliqbHtY7IO</v>
      </c>
      <c r="G498" s="53" t="e">
        <f t="shared" ca="1" si="1"/>
        <v>#NAME?</v>
      </c>
    </row>
    <row r="499" spans="1:7">
      <c r="A499" s="42" t="s">
        <v>3917</v>
      </c>
      <c r="B499" s="49" t="s">
        <v>3918</v>
      </c>
      <c r="C499" s="50" t="s">
        <v>3919</v>
      </c>
      <c r="D499" s="46" t="str">
        <f ca="1">IFERROR(__xludf.DUMMYFUNCTION("REGEXEXTRACT(C499, ""\d+"")"),"170002392403")</f>
        <v>170002392403</v>
      </c>
      <c r="E499" s="44" t="s">
        <v>2428</v>
      </c>
      <c r="F499" s="46" t="str">
        <f ca="1">IFERROR(__xludf.DUMMYFUNCTION("REGEXEXTRACT(B499, ""id=([a-zA-Z0-9-_]+)&amp;usp"")"),"1iLjVtQsvwb6WpKHdsLarFwT1a_PoQJAm")</f>
        <v>1iLjVtQsvwb6WpKHdsLarFwT1a_PoQJAm</v>
      </c>
      <c r="G499" s="53" t="e">
        <f t="shared" ca="1" si="1"/>
        <v>#NAME?</v>
      </c>
    </row>
    <row r="500" spans="1:7">
      <c r="A500" s="42" t="s">
        <v>3920</v>
      </c>
      <c r="B500" s="49" t="s">
        <v>3921</v>
      </c>
      <c r="C500" s="50" t="s">
        <v>3922</v>
      </c>
      <c r="D500" s="46" t="str">
        <f ca="1">IFERROR(__xludf.DUMMYFUNCTION("REGEXEXTRACT(C500, ""\d+"")"),"170002383561")</f>
        <v>170002383561</v>
      </c>
      <c r="E500" s="44" t="s">
        <v>2428</v>
      </c>
      <c r="F500" s="46" t="str">
        <f ca="1">IFERROR(__xludf.DUMMYFUNCTION("REGEXEXTRACT(B500, ""id=([a-zA-Z0-9-_]+)&amp;usp"")"),"1kx7cAZi_jMcu7TPF90Vxq8qCJ-iHPhg_")</f>
        <v>1kx7cAZi_jMcu7TPF90Vxq8qCJ-iHPhg_</v>
      </c>
      <c r="G500" s="53" t="e">
        <f t="shared" ca="1" si="1"/>
        <v>#NAME?</v>
      </c>
    </row>
    <row r="501" spans="1:7">
      <c r="A501" s="42" t="s">
        <v>3923</v>
      </c>
      <c r="B501" s="49" t="s">
        <v>3924</v>
      </c>
      <c r="C501" s="50" t="s">
        <v>3925</v>
      </c>
      <c r="D501" s="46" t="str">
        <f ca="1">IFERROR(__xludf.DUMMYFUNCTION("REGEXEXTRACT(C501, ""\d+"")"),"170002395900")</f>
        <v>170002395900</v>
      </c>
      <c r="E501" s="44" t="s">
        <v>2428</v>
      </c>
      <c r="F501" s="46" t="str">
        <f ca="1">IFERROR(__xludf.DUMMYFUNCTION("REGEXEXTRACT(B501, ""id=([a-zA-Z0-9-_]+)&amp;usp"")"),"14W2huttz3_86uDEN_bSbPtODqeFVT_w_")</f>
        <v>14W2huttz3_86uDEN_bSbPtODqeFVT_w_</v>
      </c>
      <c r="G501" s="53" t="e">
        <f t="shared" ca="1" si="1"/>
        <v>#NAME?</v>
      </c>
    </row>
    <row r="502" spans="1:7">
      <c r="A502" s="42" t="s">
        <v>3926</v>
      </c>
      <c r="B502" s="49" t="s">
        <v>3927</v>
      </c>
      <c r="C502" s="50" t="s">
        <v>3928</v>
      </c>
      <c r="D502" s="46" t="str">
        <f ca="1">IFERROR(__xludf.DUMMYFUNCTION("REGEXEXTRACT(C502, ""\d+"")"),"170002389933")</f>
        <v>170002389933</v>
      </c>
      <c r="E502" s="44" t="s">
        <v>2428</v>
      </c>
      <c r="F502" s="46" t="str">
        <f ca="1">IFERROR(__xludf.DUMMYFUNCTION("REGEXEXTRACT(B502, ""id=([a-zA-Z0-9-_]+)&amp;usp"")"),"13f3beWYL0Il4BRsNSusb-KFTL7B6nvIe")</f>
        <v>13f3beWYL0Il4BRsNSusb-KFTL7B6nvIe</v>
      </c>
      <c r="G502" s="53" t="e">
        <f t="shared" ca="1" si="1"/>
        <v>#NAME?</v>
      </c>
    </row>
    <row r="503" spans="1:7">
      <c r="A503" s="42" t="s">
        <v>3929</v>
      </c>
      <c r="B503" s="49" t="s">
        <v>3930</v>
      </c>
      <c r="C503" s="50" t="s">
        <v>3931</v>
      </c>
      <c r="D503" s="46" t="str">
        <f ca="1">IFERROR(__xludf.DUMMYFUNCTION("REGEXEXTRACT(C503, ""\d+"")"),"170002377472")</f>
        <v>170002377472</v>
      </c>
      <c r="E503" s="44" t="s">
        <v>2428</v>
      </c>
      <c r="F503" s="46" t="str">
        <f ca="1">IFERROR(__xludf.DUMMYFUNCTION("REGEXEXTRACT(B503, ""id=([a-zA-Z0-9-_]+)&amp;usp"")"),"1fH15mTpMozUjzcqyy7Y4QKXavb9gqjEN")</f>
        <v>1fH15mTpMozUjzcqyy7Y4QKXavb9gqjEN</v>
      </c>
      <c r="G503" s="53" t="e">
        <f t="shared" ca="1" si="1"/>
        <v>#NAME?</v>
      </c>
    </row>
    <row r="504" spans="1:7">
      <c r="A504" s="42" t="s">
        <v>3932</v>
      </c>
      <c r="B504" s="49" t="s">
        <v>3933</v>
      </c>
      <c r="C504" s="50" t="s">
        <v>3934</v>
      </c>
      <c r="D504" s="46" t="str">
        <f ca="1">IFERROR(__xludf.DUMMYFUNCTION("REGEXEXTRACT(C504, ""\d+"")"),"170002375538")</f>
        <v>170002375538</v>
      </c>
      <c r="E504" s="44" t="s">
        <v>2428</v>
      </c>
      <c r="F504" s="46" t="str">
        <f ca="1">IFERROR(__xludf.DUMMYFUNCTION("REGEXEXTRACT(B504, ""id=([a-zA-Z0-9-_]+)&amp;usp"")"),"1ryve3P4T507UVdtpUGVVeL26EMSu75cZ")</f>
        <v>1ryve3P4T507UVdtpUGVVeL26EMSu75cZ</v>
      </c>
      <c r="G504" s="53" t="e">
        <f t="shared" ca="1" si="1"/>
        <v>#NAME?</v>
      </c>
    </row>
    <row r="505" spans="1:7">
      <c r="A505" s="5"/>
    </row>
    <row r="506" spans="1:7">
      <c r="A506" s="5"/>
    </row>
    <row r="507" spans="1:7">
      <c r="A507" s="5"/>
    </row>
    <row r="508" spans="1:7">
      <c r="A508" s="5"/>
    </row>
    <row r="509" spans="1:7">
      <c r="A509" s="5"/>
    </row>
    <row r="510" spans="1:7">
      <c r="A510" s="5"/>
    </row>
    <row r="511" spans="1:7">
      <c r="A511" s="5"/>
    </row>
    <row r="512" spans="1:7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</sheetData>
  <hyperlinks>
    <hyperlink ref="B2" r:id="rId1" xr:uid="{00000000-0004-0000-0200-000000000000}"/>
    <hyperlink ref="C2" r:id="rId2" xr:uid="{00000000-0004-0000-0200-000001000000}"/>
    <hyperlink ref="E2" r:id="rId3" xr:uid="{00000000-0004-0000-0200-000002000000}"/>
    <hyperlink ref="B3" r:id="rId4" xr:uid="{00000000-0004-0000-0200-000003000000}"/>
    <hyperlink ref="C3" r:id="rId5" xr:uid="{00000000-0004-0000-0200-000004000000}"/>
    <hyperlink ref="E3" r:id="rId6" xr:uid="{00000000-0004-0000-0200-000005000000}"/>
    <hyperlink ref="B4" r:id="rId7" xr:uid="{00000000-0004-0000-0200-000006000000}"/>
    <hyperlink ref="C4" r:id="rId8" xr:uid="{00000000-0004-0000-0200-000007000000}"/>
    <hyperlink ref="E4" r:id="rId9" xr:uid="{00000000-0004-0000-0200-000008000000}"/>
    <hyperlink ref="B5" r:id="rId10" xr:uid="{00000000-0004-0000-0200-000009000000}"/>
    <hyperlink ref="C5" r:id="rId11" xr:uid="{00000000-0004-0000-0200-00000A000000}"/>
    <hyperlink ref="E5" r:id="rId12" xr:uid="{00000000-0004-0000-0200-00000B000000}"/>
    <hyperlink ref="B6" r:id="rId13" xr:uid="{00000000-0004-0000-0200-00000C000000}"/>
    <hyperlink ref="C6" r:id="rId14" xr:uid="{00000000-0004-0000-0200-00000D000000}"/>
    <hyperlink ref="E6" r:id="rId15" xr:uid="{00000000-0004-0000-0200-00000E000000}"/>
    <hyperlink ref="B7" r:id="rId16" xr:uid="{00000000-0004-0000-0200-00000F000000}"/>
    <hyperlink ref="C7" r:id="rId17" xr:uid="{00000000-0004-0000-0200-000010000000}"/>
    <hyperlink ref="E7" r:id="rId18" xr:uid="{00000000-0004-0000-0200-000011000000}"/>
    <hyperlink ref="B8" r:id="rId19" xr:uid="{00000000-0004-0000-0200-000012000000}"/>
    <hyperlink ref="C8" r:id="rId20" xr:uid="{00000000-0004-0000-0200-000013000000}"/>
    <hyperlink ref="E8" r:id="rId21" xr:uid="{00000000-0004-0000-0200-000014000000}"/>
    <hyperlink ref="B9" r:id="rId22" xr:uid="{00000000-0004-0000-0200-000015000000}"/>
    <hyperlink ref="C9" r:id="rId23" xr:uid="{00000000-0004-0000-0200-000016000000}"/>
    <hyperlink ref="E9" r:id="rId24" xr:uid="{00000000-0004-0000-0200-000017000000}"/>
    <hyperlink ref="B10" r:id="rId25" xr:uid="{00000000-0004-0000-0200-000018000000}"/>
    <hyperlink ref="C10" r:id="rId26" xr:uid="{00000000-0004-0000-0200-000019000000}"/>
    <hyperlink ref="E10" r:id="rId27" xr:uid="{00000000-0004-0000-0200-00001A000000}"/>
    <hyperlink ref="B11" r:id="rId28" xr:uid="{00000000-0004-0000-0200-00001B000000}"/>
    <hyperlink ref="C11" r:id="rId29" xr:uid="{00000000-0004-0000-0200-00001C000000}"/>
    <hyperlink ref="E11" r:id="rId30" xr:uid="{00000000-0004-0000-0200-00001D000000}"/>
    <hyperlink ref="B12" r:id="rId31" xr:uid="{00000000-0004-0000-0200-00001E000000}"/>
    <hyperlink ref="C12" r:id="rId32" xr:uid="{00000000-0004-0000-0200-00001F000000}"/>
    <hyperlink ref="E12" r:id="rId33" xr:uid="{00000000-0004-0000-0200-000020000000}"/>
    <hyperlink ref="B13" r:id="rId34" xr:uid="{00000000-0004-0000-0200-000021000000}"/>
    <hyperlink ref="C13" r:id="rId35" xr:uid="{00000000-0004-0000-0200-000022000000}"/>
    <hyperlink ref="E13" r:id="rId36" xr:uid="{00000000-0004-0000-0200-000023000000}"/>
    <hyperlink ref="B14" r:id="rId37" xr:uid="{00000000-0004-0000-0200-000024000000}"/>
    <hyperlink ref="C14" r:id="rId38" xr:uid="{00000000-0004-0000-0200-000025000000}"/>
    <hyperlink ref="E14" r:id="rId39" xr:uid="{00000000-0004-0000-0200-000026000000}"/>
    <hyperlink ref="B15" r:id="rId40" xr:uid="{00000000-0004-0000-0200-000027000000}"/>
    <hyperlink ref="C15" r:id="rId41" xr:uid="{00000000-0004-0000-0200-000028000000}"/>
    <hyperlink ref="E15" r:id="rId42" xr:uid="{00000000-0004-0000-0200-000029000000}"/>
    <hyperlink ref="B16" r:id="rId43" xr:uid="{00000000-0004-0000-0200-00002A000000}"/>
    <hyperlink ref="C16" r:id="rId44" xr:uid="{00000000-0004-0000-0200-00002B000000}"/>
    <hyperlink ref="E16" r:id="rId45" xr:uid="{00000000-0004-0000-0200-00002C000000}"/>
    <hyperlink ref="B17" r:id="rId46" xr:uid="{00000000-0004-0000-0200-00002D000000}"/>
    <hyperlink ref="C17" r:id="rId47" xr:uid="{00000000-0004-0000-0200-00002E000000}"/>
    <hyperlink ref="E17" r:id="rId48" xr:uid="{00000000-0004-0000-0200-00002F000000}"/>
    <hyperlink ref="B18" r:id="rId49" xr:uid="{00000000-0004-0000-0200-000030000000}"/>
    <hyperlink ref="C18" r:id="rId50" xr:uid="{00000000-0004-0000-0200-000031000000}"/>
    <hyperlink ref="E18" r:id="rId51" xr:uid="{00000000-0004-0000-0200-000032000000}"/>
    <hyperlink ref="B19" r:id="rId52" xr:uid="{00000000-0004-0000-0200-000033000000}"/>
    <hyperlink ref="C19" r:id="rId53" xr:uid="{00000000-0004-0000-0200-000034000000}"/>
    <hyperlink ref="E19" r:id="rId54" xr:uid="{00000000-0004-0000-0200-000035000000}"/>
    <hyperlink ref="B20" r:id="rId55" xr:uid="{00000000-0004-0000-0200-000036000000}"/>
    <hyperlink ref="C20" r:id="rId56" xr:uid="{00000000-0004-0000-0200-000037000000}"/>
    <hyperlink ref="E20" r:id="rId57" xr:uid="{00000000-0004-0000-0200-000038000000}"/>
    <hyperlink ref="B21" r:id="rId58" xr:uid="{00000000-0004-0000-0200-000039000000}"/>
    <hyperlink ref="C21" r:id="rId59" xr:uid="{00000000-0004-0000-0200-00003A000000}"/>
    <hyperlink ref="E21" r:id="rId60" xr:uid="{00000000-0004-0000-0200-00003B000000}"/>
    <hyperlink ref="B22" r:id="rId61" xr:uid="{00000000-0004-0000-0200-00003C000000}"/>
    <hyperlink ref="C22" r:id="rId62" xr:uid="{00000000-0004-0000-0200-00003D000000}"/>
    <hyperlink ref="E22" r:id="rId63" xr:uid="{00000000-0004-0000-0200-00003E000000}"/>
    <hyperlink ref="B23" r:id="rId64" xr:uid="{00000000-0004-0000-0200-00003F000000}"/>
    <hyperlink ref="C23" r:id="rId65" xr:uid="{00000000-0004-0000-0200-000040000000}"/>
    <hyperlink ref="E23" r:id="rId66" xr:uid="{00000000-0004-0000-0200-000041000000}"/>
    <hyperlink ref="B24" r:id="rId67" xr:uid="{00000000-0004-0000-0200-000042000000}"/>
    <hyperlink ref="C24" r:id="rId68" xr:uid="{00000000-0004-0000-0200-000043000000}"/>
    <hyperlink ref="E24" r:id="rId69" xr:uid="{00000000-0004-0000-0200-000044000000}"/>
    <hyperlink ref="B25" r:id="rId70" xr:uid="{00000000-0004-0000-0200-000045000000}"/>
    <hyperlink ref="C25" r:id="rId71" xr:uid="{00000000-0004-0000-0200-000046000000}"/>
    <hyperlink ref="E25" r:id="rId72" xr:uid="{00000000-0004-0000-0200-000047000000}"/>
    <hyperlink ref="B26" r:id="rId73" xr:uid="{00000000-0004-0000-0200-000048000000}"/>
    <hyperlink ref="C26" r:id="rId74" xr:uid="{00000000-0004-0000-0200-000049000000}"/>
    <hyperlink ref="E26" r:id="rId75" xr:uid="{00000000-0004-0000-0200-00004A000000}"/>
    <hyperlink ref="B27" r:id="rId76" xr:uid="{00000000-0004-0000-0200-00004B000000}"/>
    <hyperlink ref="C27" r:id="rId77" xr:uid="{00000000-0004-0000-0200-00004C000000}"/>
    <hyperlink ref="E27" r:id="rId78" xr:uid="{00000000-0004-0000-0200-00004D000000}"/>
    <hyperlink ref="B28" r:id="rId79" xr:uid="{00000000-0004-0000-0200-00004E000000}"/>
    <hyperlink ref="C28" r:id="rId80" xr:uid="{00000000-0004-0000-0200-00004F000000}"/>
    <hyperlink ref="E28" r:id="rId81" xr:uid="{00000000-0004-0000-0200-000050000000}"/>
    <hyperlink ref="B29" r:id="rId82" xr:uid="{00000000-0004-0000-0200-000051000000}"/>
    <hyperlink ref="C29" r:id="rId83" xr:uid="{00000000-0004-0000-0200-000052000000}"/>
    <hyperlink ref="E29" r:id="rId84" xr:uid="{00000000-0004-0000-0200-000053000000}"/>
    <hyperlink ref="B30" r:id="rId85" xr:uid="{00000000-0004-0000-0200-000054000000}"/>
    <hyperlink ref="C30" r:id="rId86" xr:uid="{00000000-0004-0000-0200-000055000000}"/>
    <hyperlink ref="E30" r:id="rId87" xr:uid="{00000000-0004-0000-0200-000056000000}"/>
    <hyperlink ref="B31" r:id="rId88" xr:uid="{00000000-0004-0000-0200-000057000000}"/>
    <hyperlink ref="C31" r:id="rId89" xr:uid="{00000000-0004-0000-0200-000058000000}"/>
    <hyperlink ref="E31" r:id="rId90" xr:uid="{00000000-0004-0000-0200-000059000000}"/>
    <hyperlink ref="B32" r:id="rId91" xr:uid="{00000000-0004-0000-0200-00005A000000}"/>
    <hyperlink ref="C32" r:id="rId92" xr:uid="{00000000-0004-0000-0200-00005B000000}"/>
    <hyperlink ref="E32" r:id="rId93" xr:uid="{00000000-0004-0000-0200-00005C000000}"/>
    <hyperlink ref="B33" r:id="rId94" xr:uid="{00000000-0004-0000-0200-00005D000000}"/>
    <hyperlink ref="C33" r:id="rId95" xr:uid="{00000000-0004-0000-0200-00005E000000}"/>
    <hyperlink ref="E33" r:id="rId96" xr:uid="{00000000-0004-0000-0200-00005F000000}"/>
    <hyperlink ref="B34" r:id="rId97" xr:uid="{00000000-0004-0000-0200-000060000000}"/>
    <hyperlink ref="C34" r:id="rId98" xr:uid="{00000000-0004-0000-0200-000061000000}"/>
    <hyperlink ref="E34" r:id="rId99" xr:uid="{00000000-0004-0000-0200-000062000000}"/>
    <hyperlink ref="B35" r:id="rId100" xr:uid="{00000000-0004-0000-0200-000063000000}"/>
    <hyperlink ref="C35" r:id="rId101" xr:uid="{00000000-0004-0000-0200-000064000000}"/>
    <hyperlink ref="E35" r:id="rId102" xr:uid="{00000000-0004-0000-0200-000065000000}"/>
    <hyperlink ref="B36" r:id="rId103" xr:uid="{00000000-0004-0000-0200-000066000000}"/>
    <hyperlink ref="C36" r:id="rId104" xr:uid="{00000000-0004-0000-0200-000067000000}"/>
    <hyperlink ref="E36" r:id="rId105" xr:uid="{00000000-0004-0000-0200-000068000000}"/>
    <hyperlink ref="B37" r:id="rId106" xr:uid="{00000000-0004-0000-0200-000069000000}"/>
    <hyperlink ref="C37" r:id="rId107" xr:uid="{00000000-0004-0000-0200-00006A000000}"/>
    <hyperlink ref="E37" r:id="rId108" xr:uid="{00000000-0004-0000-0200-00006B000000}"/>
    <hyperlink ref="B38" r:id="rId109" xr:uid="{00000000-0004-0000-0200-00006C000000}"/>
    <hyperlink ref="C38" r:id="rId110" xr:uid="{00000000-0004-0000-0200-00006D000000}"/>
    <hyperlink ref="E38" r:id="rId111" xr:uid="{00000000-0004-0000-0200-00006E000000}"/>
    <hyperlink ref="B39" r:id="rId112" xr:uid="{00000000-0004-0000-0200-00006F000000}"/>
    <hyperlink ref="C39" r:id="rId113" xr:uid="{00000000-0004-0000-0200-000070000000}"/>
    <hyperlink ref="E39" r:id="rId114" xr:uid="{00000000-0004-0000-0200-000071000000}"/>
    <hyperlink ref="B40" r:id="rId115" xr:uid="{00000000-0004-0000-0200-000072000000}"/>
    <hyperlink ref="C40" r:id="rId116" xr:uid="{00000000-0004-0000-0200-000073000000}"/>
    <hyperlink ref="E40" r:id="rId117" xr:uid="{00000000-0004-0000-0200-000074000000}"/>
    <hyperlink ref="B41" r:id="rId118" xr:uid="{00000000-0004-0000-0200-000075000000}"/>
    <hyperlink ref="C41" r:id="rId119" xr:uid="{00000000-0004-0000-0200-000076000000}"/>
    <hyperlink ref="E41" r:id="rId120" xr:uid="{00000000-0004-0000-0200-000077000000}"/>
    <hyperlink ref="B42" r:id="rId121" xr:uid="{00000000-0004-0000-0200-000078000000}"/>
    <hyperlink ref="C42" r:id="rId122" xr:uid="{00000000-0004-0000-0200-000079000000}"/>
    <hyperlink ref="E42" r:id="rId123" xr:uid="{00000000-0004-0000-0200-00007A000000}"/>
    <hyperlink ref="B43" r:id="rId124" xr:uid="{00000000-0004-0000-0200-00007B000000}"/>
    <hyperlink ref="C43" r:id="rId125" xr:uid="{00000000-0004-0000-0200-00007C000000}"/>
    <hyperlink ref="E43" r:id="rId126" xr:uid="{00000000-0004-0000-0200-00007D000000}"/>
    <hyperlink ref="B44" r:id="rId127" xr:uid="{00000000-0004-0000-0200-00007E000000}"/>
    <hyperlink ref="C44" r:id="rId128" xr:uid="{00000000-0004-0000-0200-00007F000000}"/>
    <hyperlink ref="E44" r:id="rId129" xr:uid="{00000000-0004-0000-0200-000080000000}"/>
    <hyperlink ref="B45" r:id="rId130" xr:uid="{00000000-0004-0000-0200-000081000000}"/>
    <hyperlink ref="C45" r:id="rId131" xr:uid="{00000000-0004-0000-0200-000082000000}"/>
    <hyperlink ref="E45" r:id="rId132" xr:uid="{00000000-0004-0000-0200-000083000000}"/>
    <hyperlink ref="B46" r:id="rId133" xr:uid="{00000000-0004-0000-0200-000084000000}"/>
    <hyperlink ref="C46" r:id="rId134" xr:uid="{00000000-0004-0000-0200-000085000000}"/>
    <hyperlink ref="E46" r:id="rId135" xr:uid="{00000000-0004-0000-0200-000086000000}"/>
    <hyperlink ref="B47" r:id="rId136" xr:uid="{00000000-0004-0000-0200-000087000000}"/>
    <hyperlink ref="C47" r:id="rId137" xr:uid="{00000000-0004-0000-0200-000088000000}"/>
    <hyperlink ref="E47" r:id="rId138" xr:uid="{00000000-0004-0000-0200-000089000000}"/>
    <hyperlink ref="B48" r:id="rId139" xr:uid="{00000000-0004-0000-0200-00008A000000}"/>
    <hyperlink ref="C48" r:id="rId140" xr:uid="{00000000-0004-0000-0200-00008B000000}"/>
    <hyperlink ref="E48" r:id="rId141" xr:uid="{00000000-0004-0000-0200-00008C000000}"/>
    <hyperlink ref="B49" r:id="rId142" xr:uid="{00000000-0004-0000-0200-00008D000000}"/>
    <hyperlink ref="C49" r:id="rId143" xr:uid="{00000000-0004-0000-0200-00008E000000}"/>
    <hyperlink ref="E49" r:id="rId144" xr:uid="{00000000-0004-0000-0200-00008F000000}"/>
    <hyperlink ref="B50" r:id="rId145" xr:uid="{00000000-0004-0000-0200-000090000000}"/>
    <hyperlink ref="C50" r:id="rId146" xr:uid="{00000000-0004-0000-0200-000091000000}"/>
    <hyperlink ref="E50" r:id="rId147" xr:uid="{00000000-0004-0000-0200-000092000000}"/>
    <hyperlink ref="B51" r:id="rId148" xr:uid="{00000000-0004-0000-0200-000093000000}"/>
    <hyperlink ref="C51" r:id="rId149" xr:uid="{00000000-0004-0000-0200-000094000000}"/>
    <hyperlink ref="E51" r:id="rId150" xr:uid="{00000000-0004-0000-0200-000095000000}"/>
    <hyperlink ref="B52" r:id="rId151" xr:uid="{00000000-0004-0000-0200-000096000000}"/>
    <hyperlink ref="C52" r:id="rId152" xr:uid="{00000000-0004-0000-0200-000097000000}"/>
    <hyperlink ref="E52" r:id="rId153" xr:uid="{00000000-0004-0000-0200-000098000000}"/>
    <hyperlink ref="B53" r:id="rId154" xr:uid="{00000000-0004-0000-0200-000099000000}"/>
    <hyperlink ref="C53" r:id="rId155" xr:uid="{00000000-0004-0000-0200-00009A000000}"/>
    <hyperlink ref="E53" r:id="rId156" xr:uid="{00000000-0004-0000-0200-00009B000000}"/>
    <hyperlink ref="B54" r:id="rId157" xr:uid="{00000000-0004-0000-0200-00009C000000}"/>
    <hyperlink ref="C54" r:id="rId158" xr:uid="{00000000-0004-0000-0200-00009D000000}"/>
    <hyperlink ref="E54" r:id="rId159" xr:uid="{00000000-0004-0000-0200-00009E000000}"/>
    <hyperlink ref="B55" r:id="rId160" xr:uid="{00000000-0004-0000-0200-00009F000000}"/>
    <hyperlink ref="C55" r:id="rId161" xr:uid="{00000000-0004-0000-0200-0000A0000000}"/>
    <hyperlink ref="E55" r:id="rId162" xr:uid="{00000000-0004-0000-0200-0000A1000000}"/>
    <hyperlink ref="B56" r:id="rId163" xr:uid="{00000000-0004-0000-0200-0000A2000000}"/>
    <hyperlink ref="C56" r:id="rId164" xr:uid="{00000000-0004-0000-0200-0000A3000000}"/>
    <hyperlink ref="E56" r:id="rId165" xr:uid="{00000000-0004-0000-0200-0000A4000000}"/>
    <hyperlink ref="B57" r:id="rId166" xr:uid="{00000000-0004-0000-0200-0000A5000000}"/>
    <hyperlink ref="C57" r:id="rId167" xr:uid="{00000000-0004-0000-0200-0000A6000000}"/>
    <hyperlink ref="E57" r:id="rId168" xr:uid="{00000000-0004-0000-0200-0000A7000000}"/>
    <hyperlink ref="B58" r:id="rId169" xr:uid="{00000000-0004-0000-0200-0000A8000000}"/>
    <hyperlink ref="C58" r:id="rId170" xr:uid="{00000000-0004-0000-0200-0000A9000000}"/>
    <hyperlink ref="E58" r:id="rId171" xr:uid="{00000000-0004-0000-0200-0000AA000000}"/>
    <hyperlink ref="B59" r:id="rId172" xr:uid="{00000000-0004-0000-0200-0000AB000000}"/>
    <hyperlink ref="C59" r:id="rId173" xr:uid="{00000000-0004-0000-0200-0000AC000000}"/>
    <hyperlink ref="E59" r:id="rId174" xr:uid="{00000000-0004-0000-0200-0000AD000000}"/>
    <hyperlink ref="B60" r:id="rId175" xr:uid="{00000000-0004-0000-0200-0000AE000000}"/>
    <hyperlink ref="C60" r:id="rId176" xr:uid="{00000000-0004-0000-0200-0000AF000000}"/>
    <hyperlink ref="E60" r:id="rId177" xr:uid="{00000000-0004-0000-0200-0000B0000000}"/>
    <hyperlink ref="B61" r:id="rId178" xr:uid="{00000000-0004-0000-0200-0000B1000000}"/>
    <hyperlink ref="C61" r:id="rId179" xr:uid="{00000000-0004-0000-0200-0000B2000000}"/>
    <hyperlink ref="E61" r:id="rId180" xr:uid="{00000000-0004-0000-0200-0000B3000000}"/>
    <hyperlink ref="B62" r:id="rId181" xr:uid="{00000000-0004-0000-0200-0000B4000000}"/>
    <hyperlink ref="C62" r:id="rId182" xr:uid="{00000000-0004-0000-0200-0000B5000000}"/>
    <hyperlink ref="E62" r:id="rId183" xr:uid="{00000000-0004-0000-0200-0000B6000000}"/>
    <hyperlink ref="B63" r:id="rId184" xr:uid="{00000000-0004-0000-0200-0000B7000000}"/>
    <hyperlink ref="C63" r:id="rId185" xr:uid="{00000000-0004-0000-0200-0000B8000000}"/>
    <hyperlink ref="E63" r:id="rId186" xr:uid="{00000000-0004-0000-0200-0000B9000000}"/>
    <hyperlink ref="B64" r:id="rId187" xr:uid="{00000000-0004-0000-0200-0000BA000000}"/>
    <hyperlink ref="C64" r:id="rId188" xr:uid="{00000000-0004-0000-0200-0000BB000000}"/>
    <hyperlink ref="E64" r:id="rId189" xr:uid="{00000000-0004-0000-0200-0000BC000000}"/>
    <hyperlink ref="B65" r:id="rId190" xr:uid="{00000000-0004-0000-0200-0000BD000000}"/>
    <hyperlink ref="C65" r:id="rId191" xr:uid="{00000000-0004-0000-0200-0000BE000000}"/>
    <hyperlink ref="E65" r:id="rId192" xr:uid="{00000000-0004-0000-0200-0000BF000000}"/>
    <hyperlink ref="B66" r:id="rId193" xr:uid="{00000000-0004-0000-0200-0000C0000000}"/>
    <hyperlink ref="C66" r:id="rId194" xr:uid="{00000000-0004-0000-0200-0000C1000000}"/>
    <hyperlink ref="E66" r:id="rId195" xr:uid="{00000000-0004-0000-0200-0000C2000000}"/>
    <hyperlink ref="B67" r:id="rId196" xr:uid="{00000000-0004-0000-0200-0000C3000000}"/>
    <hyperlink ref="C67" r:id="rId197" xr:uid="{00000000-0004-0000-0200-0000C4000000}"/>
    <hyperlink ref="E67" r:id="rId198" xr:uid="{00000000-0004-0000-0200-0000C5000000}"/>
    <hyperlink ref="B68" r:id="rId199" xr:uid="{00000000-0004-0000-0200-0000C6000000}"/>
    <hyperlink ref="C68" r:id="rId200" xr:uid="{00000000-0004-0000-0200-0000C7000000}"/>
    <hyperlink ref="E68" r:id="rId201" xr:uid="{00000000-0004-0000-0200-0000C8000000}"/>
    <hyperlink ref="B69" r:id="rId202" xr:uid="{00000000-0004-0000-0200-0000C9000000}"/>
    <hyperlink ref="C69" r:id="rId203" xr:uid="{00000000-0004-0000-0200-0000CA000000}"/>
    <hyperlink ref="E69" r:id="rId204" xr:uid="{00000000-0004-0000-0200-0000CB000000}"/>
    <hyperlink ref="B70" r:id="rId205" xr:uid="{00000000-0004-0000-0200-0000CC000000}"/>
    <hyperlink ref="C70" r:id="rId206" xr:uid="{00000000-0004-0000-0200-0000CD000000}"/>
    <hyperlink ref="E70" r:id="rId207" xr:uid="{00000000-0004-0000-0200-0000CE000000}"/>
    <hyperlink ref="B71" r:id="rId208" xr:uid="{00000000-0004-0000-0200-0000CF000000}"/>
    <hyperlink ref="C71" r:id="rId209" xr:uid="{00000000-0004-0000-0200-0000D0000000}"/>
    <hyperlink ref="E71" r:id="rId210" xr:uid="{00000000-0004-0000-0200-0000D1000000}"/>
    <hyperlink ref="B72" r:id="rId211" xr:uid="{00000000-0004-0000-0200-0000D2000000}"/>
    <hyperlink ref="C72" r:id="rId212" xr:uid="{00000000-0004-0000-0200-0000D3000000}"/>
    <hyperlink ref="E72" r:id="rId213" xr:uid="{00000000-0004-0000-0200-0000D4000000}"/>
    <hyperlink ref="B73" r:id="rId214" xr:uid="{00000000-0004-0000-0200-0000D5000000}"/>
    <hyperlink ref="C73" r:id="rId215" xr:uid="{00000000-0004-0000-0200-0000D6000000}"/>
    <hyperlink ref="E73" r:id="rId216" xr:uid="{00000000-0004-0000-0200-0000D7000000}"/>
    <hyperlink ref="B74" r:id="rId217" xr:uid="{00000000-0004-0000-0200-0000D8000000}"/>
    <hyperlink ref="C74" r:id="rId218" xr:uid="{00000000-0004-0000-0200-0000D9000000}"/>
    <hyperlink ref="E74" r:id="rId219" xr:uid="{00000000-0004-0000-0200-0000DA000000}"/>
    <hyperlink ref="B75" r:id="rId220" xr:uid="{00000000-0004-0000-0200-0000DB000000}"/>
    <hyperlink ref="C75" r:id="rId221" xr:uid="{00000000-0004-0000-0200-0000DC000000}"/>
    <hyperlink ref="E75" r:id="rId222" xr:uid="{00000000-0004-0000-0200-0000DD000000}"/>
    <hyperlink ref="B76" r:id="rId223" xr:uid="{00000000-0004-0000-0200-0000DE000000}"/>
    <hyperlink ref="C76" r:id="rId224" xr:uid="{00000000-0004-0000-0200-0000DF000000}"/>
    <hyperlink ref="E76" r:id="rId225" xr:uid="{00000000-0004-0000-0200-0000E0000000}"/>
    <hyperlink ref="B77" r:id="rId226" xr:uid="{00000000-0004-0000-0200-0000E1000000}"/>
    <hyperlink ref="C77" r:id="rId227" xr:uid="{00000000-0004-0000-0200-0000E2000000}"/>
    <hyperlink ref="E77" r:id="rId228" xr:uid="{00000000-0004-0000-0200-0000E3000000}"/>
    <hyperlink ref="B78" r:id="rId229" xr:uid="{00000000-0004-0000-0200-0000E4000000}"/>
    <hyperlink ref="C78" r:id="rId230" xr:uid="{00000000-0004-0000-0200-0000E5000000}"/>
    <hyperlink ref="E78" r:id="rId231" xr:uid="{00000000-0004-0000-0200-0000E6000000}"/>
    <hyperlink ref="B79" r:id="rId232" xr:uid="{00000000-0004-0000-0200-0000E7000000}"/>
    <hyperlink ref="C79" r:id="rId233" xr:uid="{00000000-0004-0000-0200-0000E8000000}"/>
    <hyperlink ref="E79" r:id="rId234" xr:uid="{00000000-0004-0000-0200-0000E9000000}"/>
    <hyperlink ref="B80" r:id="rId235" xr:uid="{00000000-0004-0000-0200-0000EA000000}"/>
    <hyperlink ref="C80" r:id="rId236" xr:uid="{00000000-0004-0000-0200-0000EB000000}"/>
    <hyperlink ref="E80" r:id="rId237" xr:uid="{00000000-0004-0000-0200-0000EC000000}"/>
    <hyperlink ref="B81" r:id="rId238" xr:uid="{00000000-0004-0000-0200-0000ED000000}"/>
    <hyperlink ref="C81" r:id="rId239" xr:uid="{00000000-0004-0000-0200-0000EE000000}"/>
    <hyperlink ref="E81" r:id="rId240" xr:uid="{00000000-0004-0000-0200-0000EF000000}"/>
    <hyperlink ref="B82" r:id="rId241" xr:uid="{00000000-0004-0000-0200-0000F0000000}"/>
    <hyperlink ref="C82" r:id="rId242" xr:uid="{00000000-0004-0000-0200-0000F1000000}"/>
    <hyperlink ref="E82" r:id="rId243" xr:uid="{00000000-0004-0000-0200-0000F2000000}"/>
    <hyperlink ref="B83" r:id="rId244" xr:uid="{00000000-0004-0000-0200-0000F3000000}"/>
    <hyperlink ref="C83" r:id="rId245" xr:uid="{00000000-0004-0000-0200-0000F4000000}"/>
    <hyperlink ref="E83" r:id="rId246" xr:uid="{00000000-0004-0000-0200-0000F5000000}"/>
    <hyperlink ref="B84" r:id="rId247" xr:uid="{00000000-0004-0000-0200-0000F6000000}"/>
    <hyperlink ref="C84" r:id="rId248" xr:uid="{00000000-0004-0000-0200-0000F7000000}"/>
    <hyperlink ref="E84" r:id="rId249" xr:uid="{00000000-0004-0000-0200-0000F8000000}"/>
    <hyperlink ref="B85" r:id="rId250" xr:uid="{00000000-0004-0000-0200-0000F9000000}"/>
    <hyperlink ref="C85" r:id="rId251" xr:uid="{00000000-0004-0000-0200-0000FA000000}"/>
    <hyperlink ref="E85" r:id="rId252" xr:uid="{00000000-0004-0000-0200-0000FB000000}"/>
    <hyperlink ref="B86" r:id="rId253" xr:uid="{00000000-0004-0000-0200-0000FC000000}"/>
    <hyperlink ref="C86" r:id="rId254" xr:uid="{00000000-0004-0000-0200-0000FD000000}"/>
    <hyperlink ref="E86" r:id="rId255" xr:uid="{00000000-0004-0000-0200-0000FE000000}"/>
    <hyperlink ref="B87" r:id="rId256" xr:uid="{00000000-0004-0000-0200-0000FF000000}"/>
    <hyperlink ref="C87" r:id="rId257" xr:uid="{00000000-0004-0000-0200-000000010000}"/>
    <hyperlink ref="E87" r:id="rId258" xr:uid="{00000000-0004-0000-0200-000001010000}"/>
    <hyperlink ref="B88" r:id="rId259" xr:uid="{00000000-0004-0000-0200-000002010000}"/>
    <hyperlink ref="C88" r:id="rId260" xr:uid="{00000000-0004-0000-0200-000003010000}"/>
    <hyperlink ref="E88" r:id="rId261" xr:uid="{00000000-0004-0000-0200-000004010000}"/>
    <hyperlink ref="B89" r:id="rId262" xr:uid="{00000000-0004-0000-0200-000005010000}"/>
    <hyperlink ref="C89" r:id="rId263" xr:uid="{00000000-0004-0000-0200-000006010000}"/>
    <hyperlink ref="E89" r:id="rId264" xr:uid="{00000000-0004-0000-0200-000007010000}"/>
    <hyperlink ref="B90" r:id="rId265" xr:uid="{00000000-0004-0000-0200-000008010000}"/>
    <hyperlink ref="C90" r:id="rId266" xr:uid="{00000000-0004-0000-0200-000009010000}"/>
    <hyperlink ref="E90" r:id="rId267" xr:uid="{00000000-0004-0000-0200-00000A010000}"/>
    <hyperlink ref="B91" r:id="rId268" xr:uid="{00000000-0004-0000-0200-00000B010000}"/>
    <hyperlink ref="C91" r:id="rId269" xr:uid="{00000000-0004-0000-0200-00000C010000}"/>
    <hyperlink ref="E91" r:id="rId270" xr:uid="{00000000-0004-0000-0200-00000D010000}"/>
    <hyperlink ref="B92" r:id="rId271" xr:uid="{00000000-0004-0000-0200-00000E010000}"/>
    <hyperlink ref="C92" r:id="rId272" xr:uid="{00000000-0004-0000-0200-00000F010000}"/>
    <hyperlink ref="E92" r:id="rId273" xr:uid="{00000000-0004-0000-0200-000010010000}"/>
    <hyperlink ref="B93" r:id="rId274" xr:uid="{00000000-0004-0000-0200-000011010000}"/>
    <hyperlink ref="C93" r:id="rId275" xr:uid="{00000000-0004-0000-0200-000012010000}"/>
    <hyperlink ref="E93" r:id="rId276" xr:uid="{00000000-0004-0000-0200-000013010000}"/>
    <hyperlink ref="B94" r:id="rId277" xr:uid="{00000000-0004-0000-0200-000014010000}"/>
    <hyperlink ref="C94" r:id="rId278" xr:uid="{00000000-0004-0000-0200-000015010000}"/>
    <hyperlink ref="E94" r:id="rId279" xr:uid="{00000000-0004-0000-0200-000016010000}"/>
    <hyperlink ref="B95" r:id="rId280" xr:uid="{00000000-0004-0000-0200-000017010000}"/>
    <hyperlink ref="C95" r:id="rId281" xr:uid="{00000000-0004-0000-0200-000018010000}"/>
    <hyperlink ref="E95" r:id="rId282" xr:uid="{00000000-0004-0000-0200-000019010000}"/>
    <hyperlink ref="B96" r:id="rId283" xr:uid="{00000000-0004-0000-0200-00001A010000}"/>
    <hyperlink ref="C96" r:id="rId284" xr:uid="{00000000-0004-0000-0200-00001B010000}"/>
    <hyperlink ref="E96" r:id="rId285" xr:uid="{00000000-0004-0000-0200-00001C010000}"/>
    <hyperlink ref="B97" r:id="rId286" xr:uid="{00000000-0004-0000-0200-00001D010000}"/>
    <hyperlink ref="C97" r:id="rId287" xr:uid="{00000000-0004-0000-0200-00001E010000}"/>
    <hyperlink ref="E97" r:id="rId288" xr:uid="{00000000-0004-0000-0200-00001F010000}"/>
    <hyperlink ref="B98" r:id="rId289" xr:uid="{00000000-0004-0000-0200-000020010000}"/>
    <hyperlink ref="C98" r:id="rId290" xr:uid="{00000000-0004-0000-0200-000021010000}"/>
    <hyperlink ref="E98" r:id="rId291" xr:uid="{00000000-0004-0000-0200-000022010000}"/>
    <hyperlink ref="B99" r:id="rId292" xr:uid="{00000000-0004-0000-0200-000023010000}"/>
    <hyperlink ref="C99" r:id="rId293" xr:uid="{00000000-0004-0000-0200-000024010000}"/>
    <hyperlink ref="E99" r:id="rId294" xr:uid="{00000000-0004-0000-0200-000025010000}"/>
    <hyperlink ref="B100" r:id="rId295" xr:uid="{00000000-0004-0000-0200-000026010000}"/>
    <hyperlink ref="C100" r:id="rId296" xr:uid="{00000000-0004-0000-0200-000027010000}"/>
    <hyperlink ref="E100" r:id="rId297" xr:uid="{00000000-0004-0000-0200-000028010000}"/>
    <hyperlink ref="B101" r:id="rId298" xr:uid="{00000000-0004-0000-0200-000029010000}"/>
    <hyperlink ref="C101" r:id="rId299" xr:uid="{00000000-0004-0000-0200-00002A010000}"/>
    <hyperlink ref="E101" r:id="rId300" xr:uid="{00000000-0004-0000-0200-00002B010000}"/>
    <hyperlink ref="B102" r:id="rId301" xr:uid="{00000000-0004-0000-0200-00002C010000}"/>
    <hyperlink ref="C102" r:id="rId302" xr:uid="{00000000-0004-0000-0200-00002D010000}"/>
    <hyperlink ref="E102" r:id="rId303" xr:uid="{00000000-0004-0000-0200-00002E010000}"/>
    <hyperlink ref="B103" r:id="rId304" xr:uid="{00000000-0004-0000-0200-00002F010000}"/>
    <hyperlink ref="C103" r:id="rId305" xr:uid="{00000000-0004-0000-0200-000030010000}"/>
    <hyperlink ref="E103" r:id="rId306" xr:uid="{00000000-0004-0000-0200-000031010000}"/>
    <hyperlink ref="B104" r:id="rId307" xr:uid="{00000000-0004-0000-0200-000032010000}"/>
    <hyperlink ref="C104" r:id="rId308" xr:uid="{00000000-0004-0000-0200-000033010000}"/>
    <hyperlink ref="E104" r:id="rId309" xr:uid="{00000000-0004-0000-0200-000034010000}"/>
    <hyperlink ref="B105" r:id="rId310" xr:uid="{00000000-0004-0000-0200-000035010000}"/>
    <hyperlink ref="C105" r:id="rId311" xr:uid="{00000000-0004-0000-0200-000036010000}"/>
    <hyperlink ref="E105" r:id="rId312" xr:uid="{00000000-0004-0000-0200-000037010000}"/>
    <hyperlink ref="B106" r:id="rId313" xr:uid="{00000000-0004-0000-0200-000038010000}"/>
    <hyperlink ref="C106" r:id="rId314" xr:uid="{00000000-0004-0000-0200-000039010000}"/>
    <hyperlink ref="E106" r:id="rId315" xr:uid="{00000000-0004-0000-0200-00003A010000}"/>
    <hyperlink ref="B107" r:id="rId316" xr:uid="{00000000-0004-0000-0200-00003B010000}"/>
    <hyperlink ref="C107" r:id="rId317" xr:uid="{00000000-0004-0000-0200-00003C010000}"/>
    <hyperlink ref="E107" r:id="rId318" xr:uid="{00000000-0004-0000-0200-00003D010000}"/>
    <hyperlink ref="B108" r:id="rId319" xr:uid="{00000000-0004-0000-0200-00003E010000}"/>
    <hyperlink ref="C108" r:id="rId320" xr:uid="{00000000-0004-0000-0200-00003F010000}"/>
    <hyperlink ref="E108" r:id="rId321" xr:uid="{00000000-0004-0000-0200-000040010000}"/>
    <hyperlink ref="B109" r:id="rId322" xr:uid="{00000000-0004-0000-0200-000041010000}"/>
    <hyperlink ref="C109" r:id="rId323" xr:uid="{00000000-0004-0000-0200-000042010000}"/>
    <hyperlink ref="E109" r:id="rId324" xr:uid="{00000000-0004-0000-0200-000043010000}"/>
    <hyperlink ref="B110" r:id="rId325" xr:uid="{00000000-0004-0000-0200-000044010000}"/>
    <hyperlink ref="C110" r:id="rId326" xr:uid="{00000000-0004-0000-0200-000045010000}"/>
    <hyperlink ref="E110" r:id="rId327" xr:uid="{00000000-0004-0000-0200-000046010000}"/>
    <hyperlink ref="B111" r:id="rId328" xr:uid="{00000000-0004-0000-0200-000047010000}"/>
    <hyperlink ref="C111" r:id="rId329" xr:uid="{00000000-0004-0000-0200-000048010000}"/>
    <hyperlink ref="E111" r:id="rId330" xr:uid="{00000000-0004-0000-0200-000049010000}"/>
    <hyperlink ref="B112" r:id="rId331" xr:uid="{00000000-0004-0000-0200-00004A010000}"/>
    <hyperlink ref="C112" r:id="rId332" xr:uid="{00000000-0004-0000-0200-00004B010000}"/>
    <hyperlink ref="E112" r:id="rId333" xr:uid="{00000000-0004-0000-0200-00004C010000}"/>
    <hyperlink ref="B113" r:id="rId334" xr:uid="{00000000-0004-0000-0200-00004D010000}"/>
    <hyperlink ref="C113" r:id="rId335" xr:uid="{00000000-0004-0000-0200-00004E010000}"/>
    <hyperlink ref="E113" r:id="rId336" xr:uid="{00000000-0004-0000-0200-00004F010000}"/>
    <hyperlink ref="B114" r:id="rId337" xr:uid="{00000000-0004-0000-0200-000050010000}"/>
    <hyperlink ref="C114" r:id="rId338" xr:uid="{00000000-0004-0000-0200-000051010000}"/>
    <hyperlink ref="E114" r:id="rId339" xr:uid="{00000000-0004-0000-0200-000052010000}"/>
    <hyperlink ref="B115" r:id="rId340" xr:uid="{00000000-0004-0000-0200-000053010000}"/>
    <hyperlink ref="C115" r:id="rId341" xr:uid="{00000000-0004-0000-0200-000054010000}"/>
    <hyperlink ref="E115" r:id="rId342" xr:uid="{00000000-0004-0000-0200-000055010000}"/>
    <hyperlink ref="B116" r:id="rId343" xr:uid="{00000000-0004-0000-0200-000056010000}"/>
    <hyperlink ref="C116" r:id="rId344" xr:uid="{00000000-0004-0000-0200-000057010000}"/>
    <hyperlink ref="E116" r:id="rId345" xr:uid="{00000000-0004-0000-0200-000058010000}"/>
    <hyperlink ref="B117" r:id="rId346" xr:uid="{00000000-0004-0000-0200-000059010000}"/>
    <hyperlink ref="C117" r:id="rId347" xr:uid="{00000000-0004-0000-0200-00005A010000}"/>
    <hyperlink ref="E117" r:id="rId348" xr:uid="{00000000-0004-0000-0200-00005B010000}"/>
    <hyperlink ref="B118" r:id="rId349" xr:uid="{00000000-0004-0000-0200-00005C010000}"/>
    <hyperlink ref="C118" r:id="rId350" xr:uid="{00000000-0004-0000-0200-00005D010000}"/>
    <hyperlink ref="E118" r:id="rId351" xr:uid="{00000000-0004-0000-0200-00005E010000}"/>
    <hyperlink ref="B119" r:id="rId352" xr:uid="{00000000-0004-0000-0200-00005F010000}"/>
    <hyperlink ref="C119" r:id="rId353" xr:uid="{00000000-0004-0000-0200-000060010000}"/>
    <hyperlink ref="E119" r:id="rId354" xr:uid="{00000000-0004-0000-0200-000061010000}"/>
    <hyperlink ref="B120" r:id="rId355" xr:uid="{00000000-0004-0000-0200-000062010000}"/>
    <hyperlink ref="C120" r:id="rId356" xr:uid="{00000000-0004-0000-0200-000063010000}"/>
    <hyperlink ref="E120" r:id="rId357" xr:uid="{00000000-0004-0000-0200-000064010000}"/>
    <hyperlink ref="B121" r:id="rId358" xr:uid="{00000000-0004-0000-0200-000065010000}"/>
    <hyperlink ref="C121" r:id="rId359" xr:uid="{00000000-0004-0000-0200-000066010000}"/>
    <hyperlink ref="E121" r:id="rId360" xr:uid="{00000000-0004-0000-0200-000067010000}"/>
    <hyperlink ref="B122" r:id="rId361" xr:uid="{00000000-0004-0000-0200-000068010000}"/>
    <hyperlink ref="C122" r:id="rId362" xr:uid="{00000000-0004-0000-0200-000069010000}"/>
    <hyperlink ref="E122" r:id="rId363" xr:uid="{00000000-0004-0000-0200-00006A010000}"/>
    <hyperlink ref="B123" r:id="rId364" xr:uid="{00000000-0004-0000-0200-00006B010000}"/>
    <hyperlink ref="C123" r:id="rId365" xr:uid="{00000000-0004-0000-0200-00006C010000}"/>
    <hyperlink ref="E123" r:id="rId366" xr:uid="{00000000-0004-0000-0200-00006D010000}"/>
    <hyperlink ref="B124" r:id="rId367" xr:uid="{00000000-0004-0000-0200-00006E010000}"/>
    <hyperlink ref="C124" r:id="rId368" xr:uid="{00000000-0004-0000-0200-00006F010000}"/>
    <hyperlink ref="E124" r:id="rId369" xr:uid="{00000000-0004-0000-0200-000070010000}"/>
    <hyperlink ref="B125" r:id="rId370" xr:uid="{00000000-0004-0000-0200-000071010000}"/>
    <hyperlink ref="C125" r:id="rId371" xr:uid="{00000000-0004-0000-0200-000072010000}"/>
    <hyperlink ref="E125" r:id="rId372" xr:uid="{00000000-0004-0000-0200-000073010000}"/>
    <hyperlink ref="B126" r:id="rId373" xr:uid="{00000000-0004-0000-0200-000074010000}"/>
    <hyperlink ref="C126" r:id="rId374" xr:uid="{00000000-0004-0000-0200-000075010000}"/>
    <hyperlink ref="E126" r:id="rId375" xr:uid="{00000000-0004-0000-0200-000076010000}"/>
    <hyperlink ref="B127" r:id="rId376" xr:uid="{00000000-0004-0000-0200-000077010000}"/>
    <hyperlink ref="C127" r:id="rId377" xr:uid="{00000000-0004-0000-0200-000078010000}"/>
    <hyperlink ref="E127" r:id="rId378" xr:uid="{00000000-0004-0000-0200-000079010000}"/>
    <hyperlink ref="B128" r:id="rId379" xr:uid="{00000000-0004-0000-0200-00007A010000}"/>
    <hyperlink ref="C128" r:id="rId380" xr:uid="{00000000-0004-0000-0200-00007B010000}"/>
    <hyperlink ref="E128" r:id="rId381" xr:uid="{00000000-0004-0000-0200-00007C010000}"/>
    <hyperlink ref="B129" r:id="rId382" xr:uid="{00000000-0004-0000-0200-00007D010000}"/>
    <hyperlink ref="C129" r:id="rId383" xr:uid="{00000000-0004-0000-0200-00007E010000}"/>
    <hyperlink ref="E129" r:id="rId384" xr:uid="{00000000-0004-0000-0200-00007F010000}"/>
    <hyperlink ref="B130" r:id="rId385" xr:uid="{00000000-0004-0000-0200-000080010000}"/>
    <hyperlink ref="C130" r:id="rId386" xr:uid="{00000000-0004-0000-0200-000081010000}"/>
    <hyperlink ref="E130" r:id="rId387" xr:uid="{00000000-0004-0000-0200-000082010000}"/>
    <hyperlink ref="B131" r:id="rId388" xr:uid="{00000000-0004-0000-0200-000083010000}"/>
    <hyperlink ref="C131" r:id="rId389" xr:uid="{00000000-0004-0000-0200-000084010000}"/>
    <hyperlink ref="E131" r:id="rId390" xr:uid="{00000000-0004-0000-0200-000085010000}"/>
    <hyperlink ref="B132" r:id="rId391" xr:uid="{00000000-0004-0000-0200-000086010000}"/>
    <hyperlink ref="C132" r:id="rId392" xr:uid="{00000000-0004-0000-0200-000087010000}"/>
    <hyperlink ref="E132" r:id="rId393" xr:uid="{00000000-0004-0000-0200-000088010000}"/>
    <hyperlink ref="B133" r:id="rId394" xr:uid="{00000000-0004-0000-0200-000089010000}"/>
    <hyperlink ref="C133" r:id="rId395" xr:uid="{00000000-0004-0000-0200-00008A010000}"/>
    <hyperlink ref="E133" r:id="rId396" xr:uid="{00000000-0004-0000-0200-00008B010000}"/>
    <hyperlink ref="B134" r:id="rId397" xr:uid="{00000000-0004-0000-0200-00008C010000}"/>
    <hyperlink ref="C134" r:id="rId398" xr:uid="{00000000-0004-0000-0200-00008D010000}"/>
    <hyperlink ref="E134" r:id="rId399" xr:uid="{00000000-0004-0000-0200-00008E010000}"/>
    <hyperlink ref="B135" r:id="rId400" xr:uid="{00000000-0004-0000-0200-00008F010000}"/>
    <hyperlink ref="C135" r:id="rId401" xr:uid="{00000000-0004-0000-0200-000090010000}"/>
    <hyperlink ref="E135" r:id="rId402" xr:uid="{00000000-0004-0000-0200-000091010000}"/>
    <hyperlink ref="B136" r:id="rId403" xr:uid="{00000000-0004-0000-0200-000092010000}"/>
    <hyperlink ref="C136" r:id="rId404" xr:uid="{00000000-0004-0000-0200-000093010000}"/>
    <hyperlink ref="E136" r:id="rId405" xr:uid="{00000000-0004-0000-0200-000094010000}"/>
    <hyperlink ref="B137" r:id="rId406" xr:uid="{00000000-0004-0000-0200-000095010000}"/>
    <hyperlink ref="C137" r:id="rId407" xr:uid="{00000000-0004-0000-0200-000096010000}"/>
    <hyperlink ref="E137" r:id="rId408" xr:uid="{00000000-0004-0000-0200-000097010000}"/>
    <hyperlink ref="B138" r:id="rId409" xr:uid="{00000000-0004-0000-0200-000098010000}"/>
    <hyperlink ref="C138" r:id="rId410" xr:uid="{00000000-0004-0000-0200-000099010000}"/>
    <hyperlink ref="E138" r:id="rId411" xr:uid="{00000000-0004-0000-0200-00009A010000}"/>
    <hyperlink ref="B139" r:id="rId412" xr:uid="{00000000-0004-0000-0200-00009B010000}"/>
    <hyperlink ref="C139" r:id="rId413" xr:uid="{00000000-0004-0000-0200-00009C010000}"/>
    <hyperlink ref="E139" r:id="rId414" xr:uid="{00000000-0004-0000-0200-00009D010000}"/>
    <hyperlink ref="B140" r:id="rId415" xr:uid="{00000000-0004-0000-0200-00009E010000}"/>
    <hyperlink ref="C140" r:id="rId416" xr:uid="{00000000-0004-0000-0200-00009F010000}"/>
    <hyperlink ref="E140" r:id="rId417" xr:uid="{00000000-0004-0000-0200-0000A0010000}"/>
    <hyperlink ref="B141" r:id="rId418" xr:uid="{00000000-0004-0000-0200-0000A1010000}"/>
    <hyperlink ref="C141" r:id="rId419" xr:uid="{00000000-0004-0000-0200-0000A2010000}"/>
    <hyperlink ref="E141" r:id="rId420" xr:uid="{00000000-0004-0000-0200-0000A3010000}"/>
    <hyperlink ref="B142" r:id="rId421" xr:uid="{00000000-0004-0000-0200-0000A4010000}"/>
    <hyperlink ref="C142" r:id="rId422" xr:uid="{00000000-0004-0000-0200-0000A5010000}"/>
    <hyperlink ref="E142" r:id="rId423" xr:uid="{00000000-0004-0000-0200-0000A6010000}"/>
    <hyperlink ref="B143" r:id="rId424" xr:uid="{00000000-0004-0000-0200-0000A7010000}"/>
    <hyperlink ref="C143" r:id="rId425" xr:uid="{00000000-0004-0000-0200-0000A8010000}"/>
    <hyperlink ref="E143" r:id="rId426" xr:uid="{00000000-0004-0000-0200-0000A9010000}"/>
    <hyperlink ref="B144" r:id="rId427" xr:uid="{00000000-0004-0000-0200-0000AA010000}"/>
    <hyperlink ref="C144" r:id="rId428" xr:uid="{00000000-0004-0000-0200-0000AB010000}"/>
    <hyperlink ref="E144" r:id="rId429" xr:uid="{00000000-0004-0000-0200-0000AC010000}"/>
    <hyperlink ref="B145" r:id="rId430" xr:uid="{00000000-0004-0000-0200-0000AD010000}"/>
    <hyperlink ref="C145" r:id="rId431" xr:uid="{00000000-0004-0000-0200-0000AE010000}"/>
    <hyperlink ref="E145" r:id="rId432" xr:uid="{00000000-0004-0000-0200-0000AF010000}"/>
    <hyperlink ref="B146" r:id="rId433" xr:uid="{00000000-0004-0000-0200-0000B0010000}"/>
    <hyperlink ref="C146" r:id="rId434" xr:uid="{00000000-0004-0000-0200-0000B1010000}"/>
    <hyperlink ref="E146" r:id="rId435" xr:uid="{00000000-0004-0000-0200-0000B2010000}"/>
    <hyperlink ref="B147" r:id="rId436" xr:uid="{00000000-0004-0000-0200-0000B3010000}"/>
    <hyperlink ref="C147" r:id="rId437" xr:uid="{00000000-0004-0000-0200-0000B4010000}"/>
    <hyperlink ref="E147" r:id="rId438" xr:uid="{00000000-0004-0000-0200-0000B5010000}"/>
    <hyperlink ref="B148" r:id="rId439" xr:uid="{00000000-0004-0000-0200-0000B6010000}"/>
    <hyperlink ref="C148" r:id="rId440" xr:uid="{00000000-0004-0000-0200-0000B7010000}"/>
    <hyperlink ref="E148" r:id="rId441" xr:uid="{00000000-0004-0000-0200-0000B8010000}"/>
    <hyperlink ref="B149" r:id="rId442" xr:uid="{00000000-0004-0000-0200-0000B9010000}"/>
    <hyperlink ref="C149" r:id="rId443" xr:uid="{00000000-0004-0000-0200-0000BA010000}"/>
    <hyperlink ref="E149" r:id="rId444" xr:uid="{00000000-0004-0000-0200-0000BB010000}"/>
    <hyperlink ref="B150" r:id="rId445" xr:uid="{00000000-0004-0000-0200-0000BC010000}"/>
    <hyperlink ref="C150" r:id="rId446" xr:uid="{00000000-0004-0000-0200-0000BD010000}"/>
    <hyperlink ref="E150" r:id="rId447" xr:uid="{00000000-0004-0000-0200-0000BE010000}"/>
    <hyperlink ref="B151" r:id="rId448" xr:uid="{00000000-0004-0000-0200-0000BF010000}"/>
    <hyperlink ref="C151" r:id="rId449" xr:uid="{00000000-0004-0000-0200-0000C0010000}"/>
    <hyperlink ref="E151" r:id="rId450" xr:uid="{00000000-0004-0000-0200-0000C1010000}"/>
    <hyperlink ref="B152" r:id="rId451" xr:uid="{00000000-0004-0000-0200-0000C2010000}"/>
    <hyperlink ref="C152" r:id="rId452" xr:uid="{00000000-0004-0000-0200-0000C3010000}"/>
    <hyperlink ref="E152" r:id="rId453" xr:uid="{00000000-0004-0000-0200-0000C4010000}"/>
    <hyperlink ref="B153" r:id="rId454" xr:uid="{00000000-0004-0000-0200-0000C5010000}"/>
    <hyperlink ref="C153" r:id="rId455" xr:uid="{00000000-0004-0000-0200-0000C6010000}"/>
    <hyperlink ref="E153" r:id="rId456" xr:uid="{00000000-0004-0000-0200-0000C7010000}"/>
    <hyperlink ref="B154" r:id="rId457" xr:uid="{00000000-0004-0000-0200-0000C8010000}"/>
    <hyperlink ref="C154" r:id="rId458" xr:uid="{00000000-0004-0000-0200-0000C9010000}"/>
    <hyperlink ref="E154" r:id="rId459" xr:uid="{00000000-0004-0000-0200-0000CA010000}"/>
    <hyperlink ref="B155" r:id="rId460" xr:uid="{00000000-0004-0000-0200-0000CB010000}"/>
    <hyperlink ref="C155" r:id="rId461" xr:uid="{00000000-0004-0000-0200-0000CC010000}"/>
    <hyperlink ref="E155" r:id="rId462" xr:uid="{00000000-0004-0000-0200-0000CD010000}"/>
    <hyperlink ref="B156" r:id="rId463" xr:uid="{00000000-0004-0000-0200-0000CE010000}"/>
    <hyperlink ref="C156" r:id="rId464" xr:uid="{00000000-0004-0000-0200-0000CF010000}"/>
    <hyperlink ref="E156" r:id="rId465" xr:uid="{00000000-0004-0000-0200-0000D0010000}"/>
    <hyperlink ref="B157" r:id="rId466" xr:uid="{00000000-0004-0000-0200-0000D1010000}"/>
    <hyperlink ref="C157" r:id="rId467" xr:uid="{00000000-0004-0000-0200-0000D2010000}"/>
    <hyperlink ref="E157" r:id="rId468" xr:uid="{00000000-0004-0000-0200-0000D3010000}"/>
    <hyperlink ref="B158" r:id="rId469" xr:uid="{00000000-0004-0000-0200-0000D4010000}"/>
    <hyperlink ref="C158" r:id="rId470" xr:uid="{00000000-0004-0000-0200-0000D5010000}"/>
    <hyperlink ref="E158" r:id="rId471" xr:uid="{00000000-0004-0000-0200-0000D6010000}"/>
    <hyperlink ref="B159" r:id="rId472" xr:uid="{00000000-0004-0000-0200-0000D7010000}"/>
    <hyperlink ref="C159" r:id="rId473" xr:uid="{00000000-0004-0000-0200-0000D8010000}"/>
    <hyperlink ref="E159" r:id="rId474" xr:uid="{00000000-0004-0000-0200-0000D9010000}"/>
    <hyperlink ref="B160" r:id="rId475" xr:uid="{00000000-0004-0000-0200-0000DA010000}"/>
    <hyperlink ref="C160" r:id="rId476" xr:uid="{00000000-0004-0000-0200-0000DB010000}"/>
    <hyperlink ref="E160" r:id="rId477" xr:uid="{00000000-0004-0000-0200-0000DC010000}"/>
    <hyperlink ref="B161" r:id="rId478" xr:uid="{00000000-0004-0000-0200-0000DD010000}"/>
    <hyperlink ref="C161" r:id="rId479" xr:uid="{00000000-0004-0000-0200-0000DE010000}"/>
    <hyperlink ref="E161" r:id="rId480" xr:uid="{00000000-0004-0000-0200-0000DF010000}"/>
    <hyperlink ref="B162" r:id="rId481" xr:uid="{00000000-0004-0000-0200-0000E0010000}"/>
    <hyperlink ref="C162" r:id="rId482" xr:uid="{00000000-0004-0000-0200-0000E1010000}"/>
    <hyperlink ref="E162" r:id="rId483" xr:uid="{00000000-0004-0000-0200-0000E2010000}"/>
    <hyperlink ref="B163" r:id="rId484" xr:uid="{00000000-0004-0000-0200-0000E3010000}"/>
    <hyperlink ref="C163" r:id="rId485" xr:uid="{00000000-0004-0000-0200-0000E4010000}"/>
    <hyperlink ref="E163" r:id="rId486" xr:uid="{00000000-0004-0000-0200-0000E5010000}"/>
    <hyperlink ref="B164" r:id="rId487" xr:uid="{00000000-0004-0000-0200-0000E6010000}"/>
    <hyperlink ref="C164" r:id="rId488" xr:uid="{00000000-0004-0000-0200-0000E7010000}"/>
    <hyperlink ref="E164" r:id="rId489" xr:uid="{00000000-0004-0000-0200-0000E8010000}"/>
    <hyperlink ref="B165" r:id="rId490" xr:uid="{00000000-0004-0000-0200-0000E9010000}"/>
    <hyperlink ref="C165" r:id="rId491" xr:uid="{00000000-0004-0000-0200-0000EA010000}"/>
    <hyperlink ref="E165" r:id="rId492" xr:uid="{00000000-0004-0000-0200-0000EB010000}"/>
    <hyperlink ref="B166" r:id="rId493" xr:uid="{00000000-0004-0000-0200-0000EC010000}"/>
    <hyperlink ref="C166" r:id="rId494" xr:uid="{00000000-0004-0000-0200-0000ED010000}"/>
    <hyperlink ref="E166" r:id="rId495" xr:uid="{00000000-0004-0000-0200-0000EE010000}"/>
    <hyperlink ref="B167" r:id="rId496" xr:uid="{00000000-0004-0000-0200-0000EF010000}"/>
    <hyperlink ref="C167" r:id="rId497" xr:uid="{00000000-0004-0000-0200-0000F0010000}"/>
    <hyperlink ref="E167" r:id="rId498" xr:uid="{00000000-0004-0000-0200-0000F1010000}"/>
    <hyperlink ref="B168" r:id="rId499" xr:uid="{00000000-0004-0000-0200-0000F2010000}"/>
    <hyperlink ref="C168" r:id="rId500" xr:uid="{00000000-0004-0000-0200-0000F3010000}"/>
    <hyperlink ref="E168" r:id="rId501" xr:uid="{00000000-0004-0000-0200-0000F4010000}"/>
    <hyperlink ref="B169" r:id="rId502" xr:uid="{00000000-0004-0000-0200-0000F5010000}"/>
    <hyperlink ref="C169" r:id="rId503" xr:uid="{00000000-0004-0000-0200-0000F6010000}"/>
    <hyperlink ref="E169" r:id="rId504" xr:uid="{00000000-0004-0000-0200-0000F7010000}"/>
    <hyperlink ref="B170" r:id="rId505" xr:uid="{00000000-0004-0000-0200-0000F8010000}"/>
    <hyperlink ref="C170" r:id="rId506" xr:uid="{00000000-0004-0000-0200-0000F9010000}"/>
    <hyperlink ref="E170" r:id="rId507" xr:uid="{00000000-0004-0000-0200-0000FA010000}"/>
    <hyperlink ref="B171" r:id="rId508" xr:uid="{00000000-0004-0000-0200-0000FB010000}"/>
    <hyperlink ref="C171" r:id="rId509" xr:uid="{00000000-0004-0000-0200-0000FC010000}"/>
    <hyperlink ref="E171" r:id="rId510" xr:uid="{00000000-0004-0000-0200-0000FD010000}"/>
    <hyperlink ref="B172" r:id="rId511" xr:uid="{00000000-0004-0000-0200-0000FE010000}"/>
    <hyperlink ref="C172" r:id="rId512" xr:uid="{00000000-0004-0000-0200-0000FF010000}"/>
    <hyperlink ref="E172" r:id="rId513" xr:uid="{00000000-0004-0000-0200-000000020000}"/>
    <hyperlink ref="B173" r:id="rId514" xr:uid="{00000000-0004-0000-0200-000001020000}"/>
    <hyperlink ref="C173" r:id="rId515" xr:uid="{00000000-0004-0000-0200-000002020000}"/>
    <hyperlink ref="E173" r:id="rId516" xr:uid="{00000000-0004-0000-0200-000003020000}"/>
    <hyperlink ref="B174" r:id="rId517" xr:uid="{00000000-0004-0000-0200-000004020000}"/>
    <hyperlink ref="C174" r:id="rId518" xr:uid="{00000000-0004-0000-0200-000005020000}"/>
    <hyperlink ref="E174" r:id="rId519" xr:uid="{00000000-0004-0000-0200-000006020000}"/>
    <hyperlink ref="B175" r:id="rId520" xr:uid="{00000000-0004-0000-0200-000007020000}"/>
    <hyperlink ref="C175" r:id="rId521" xr:uid="{00000000-0004-0000-0200-000008020000}"/>
    <hyperlink ref="E175" r:id="rId522" xr:uid="{00000000-0004-0000-0200-000009020000}"/>
    <hyperlink ref="B176" r:id="rId523" xr:uid="{00000000-0004-0000-0200-00000A020000}"/>
    <hyperlink ref="C176" r:id="rId524" xr:uid="{00000000-0004-0000-0200-00000B020000}"/>
    <hyperlink ref="E176" r:id="rId525" xr:uid="{00000000-0004-0000-0200-00000C020000}"/>
    <hyperlink ref="B177" r:id="rId526" xr:uid="{00000000-0004-0000-0200-00000D020000}"/>
    <hyperlink ref="C177" r:id="rId527" xr:uid="{00000000-0004-0000-0200-00000E020000}"/>
    <hyperlink ref="E177" r:id="rId528" xr:uid="{00000000-0004-0000-0200-00000F020000}"/>
    <hyperlink ref="B178" r:id="rId529" xr:uid="{00000000-0004-0000-0200-000010020000}"/>
    <hyperlink ref="C178" r:id="rId530" xr:uid="{00000000-0004-0000-0200-000011020000}"/>
    <hyperlink ref="E178" r:id="rId531" xr:uid="{00000000-0004-0000-0200-000012020000}"/>
    <hyperlink ref="B179" r:id="rId532" xr:uid="{00000000-0004-0000-0200-000013020000}"/>
    <hyperlink ref="C179" r:id="rId533" xr:uid="{00000000-0004-0000-0200-000014020000}"/>
    <hyperlink ref="E179" r:id="rId534" xr:uid="{00000000-0004-0000-0200-000015020000}"/>
    <hyperlink ref="B180" r:id="rId535" xr:uid="{00000000-0004-0000-0200-000016020000}"/>
    <hyperlink ref="C180" r:id="rId536" xr:uid="{00000000-0004-0000-0200-000017020000}"/>
    <hyperlink ref="E180" r:id="rId537" xr:uid="{00000000-0004-0000-0200-000018020000}"/>
    <hyperlink ref="B181" r:id="rId538" xr:uid="{00000000-0004-0000-0200-000019020000}"/>
    <hyperlink ref="C181" r:id="rId539" xr:uid="{00000000-0004-0000-0200-00001A020000}"/>
    <hyperlink ref="E181" r:id="rId540" xr:uid="{00000000-0004-0000-0200-00001B020000}"/>
    <hyperlink ref="B182" r:id="rId541" xr:uid="{00000000-0004-0000-0200-00001C020000}"/>
    <hyperlink ref="C182" r:id="rId542" xr:uid="{00000000-0004-0000-0200-00001D020000}"/>
    <hyperlink ref="E182" r:id="rId543" xr:uid="{00000000-0004-0000-0200-00001E020000}"/>
    <hyperlink ref="B183" r:id="rId544" xr:uid="{00000000-0004-0000-0200-00001F020000}"/>
    <hyperlink ref="C183" r:id="rId545" xr:uid="{00000000-0004-0000-0200-000020020000}"/>
    <hyperlink ref="E183" r:id="rId546" xr:uid="{00000000-0004-0000-0200-000021020000}"/>
    <hyperlink ref="B184" r:id="rId547" xr:uid="{00000000-0004-0000-0200-000022020000}"/>
    <hyperlink ref="C184" r:id="rId548" xr:uid="{00000000-0004-0000-0200-000023020000}"/>
    <hyperlink ref="E184" r:id="rId549" xr:uid="{00000000-0004-0000-0200-000024020000}"/>
    <hyperlink ref="B185" r:id="rId550" xr:uid="{00000000-0004-0000-0200-000025020000}"/>
    <hyperlink ref="C185" r:id="rId551" xr:uid="{00000000-0004-0000-0200-000026020000}"/>
    <hyperlink ref="E185" r:id="rId552" xr:uid="{00000000-0004-0000-0200-000027020000}"/>
    <hyperlink ref="B186" r:id="rId553" xr:uid="{00000000-0004-0000-0200-000028020000}"/>
    <hyperlink ref="C186" r:id="rId554" xr:uid="{00000000-0004-0000-0200-000029020000}"/>
    <hyperlink ref="E186" r:id="rId555" xr:uid="{00000000-0004-0000-0200-00002A020000}"/>
    <hyperlink ref="B187" r:id="rId556" xr:uid="{00000000-0004-0000-0200-00002B020000}"/>
    <hyperlink ref="C187" r:id="rId557" xr:uid="{00000000-0004-0000-0200-00002C020000}"/>
    <hyperlink ref="E187" r:id="rId558" xr:uid="{00000000-0004-0000-0200-00002D020000}"/>
    <hyperlink ref="B188" r:id="rId559" xr:uid="{00000000-0004-0000-0200-00002E020000}"/>
    <hyperlink ref="C188" r:id="rId560" xr:uid="{00000000-0004-0000-0200-00002F020000}"/>
    <hyperlink ref="E188" r:id="rId561" xr:uid="{00000000-0004-0000-0200-000030020000}"/>
    <hyperlink ref="B189" r:id="rId562" xr:uid="{00000000-0004-0000-0200-000031020000}"/>
    <hyperlink ref="C189" r:id="rId563" xr:uid="{00000000-0004-0000-0200-000032020000}"/>
    <hyperlink ref="E189" r:id="rId564" xr:uid="{00000000-0004-0000-0200-000033020000}"/>
    <hyperlink ref="B190" r:id="rId565" xr:uid="{00000000-0004-0000-0200-000034020000}"/>
    <hyperlink ref="C190" r:id="rId566" xr:uid="{00000000-0004-0000-0200-000035020000}"/>
    <hyperlink ref="E190" r:id="rId567" xr:uid="{00000000-0004-0000-0200-000036020000}"/>
    <hyperlink ref="B191" r:id="rId568" xr:uid="{00000000-0004-0000-0200-000037020000}"/>
    <hyperlink ref="C191" r:id="rId569" xr:uid="{00000000-0004-0000-0200-000038020000}"/>
    <hyperlink ref="E191" r:id="rId570" xr:uid="{00000000-0004-0000-0200-000039020000}"/>
    <hyperlink ref="B192" r:id="rId571" xr:uid="{00000000-0004-0000-0200-00003A020000}"/>
    <hyperlink ref="C192" r:id="rId572" xr:uid="{00000000-0004-0000-0200-00003B020000}"/>
    <hyperlink ref="E192" r:id="rId573" xr:uid="{00000000-0004-0000-0200-00003C020000}"/>
    <hyperlink ref="B193" r:id="rId574" xr:uid="{00000000-0004-0000-0200-00003D020000}"/>
    <hyperlink ref="C193" r:id="rId575" xr:uid="{00000000-0004-0000-0200-00003E020000}"/>
    <hyperlink ref="E193" r:id="rId576" xr:uid="{00000000-0004-0000-0200-00003F020000}"/>
    <hyperlink ref="B194" r:id="rId577" xr:uid="{00000000-0004-0000-0200-000040020000}"/>
    <hyperlink ref="C194" r:id="rId578" xr:uid="{00000000-0004-0000-0200-000041020000}"/>
    <hyperlink ref="E194" r:id="rId579" xr:uid="{00000000-0004-0000-0200-000042020000}"/>
    <hyperlink ref="B195" r:id="rId580" xr:uid="{00000000-0004-0000-0200-000043020000}"/>
    <hyperlink ref="C195" r:id="rId581" xr:uid="{00000000-0004-0000-0200-000044020000}"/>
    <hyperlink ref="E195" r:id="rId582" xr:uid="{00000000-0004-0000-0200-000045020000}"/>
    <hyperlink ref="B196" r:id="rId583" xr:uid="{00000000-0004-0000-0200-000046020000}"/>
    <hyperlink ref="C196" r:id="rId584" xr:uid="{00000000-0004-0000-0200-000047020000}"/>
    <hyperlink ref="E196" r:id="rId585" xr:uid="{00000000-0004-0000-0200-000048020000}"/>
    <hyperlink ref="B197" r:id="rId586" xr:uid="{00000000-0004-0000-0200-000049020000}"/>
    <hyperlink ref="C197" r:id="rId587" xr:uid="{00000000-0004-0000-0200-00004A020000}"/>
    <hyperlink ref="E197" r:id="rId588" xr:uid="{00000000-0004-0000-0200-00004B020000}"/>
    <hyperlink ref="B198" r:id="rId589" xr:uid="{00000000-0004-0000-0200-00004C020000}"/>
    <hyperlink ref="C198" r:id="rId590" xr:uid="{00000000-0004-0000-0200-00004D020000}"/>
    <hyperlink ref="E198" r:id="rId591" xr:uid="{00000000-0004-0000-0200-00004E020000}"/>
    <hyperlink ref="B199" r:id="rId592" xr:uid="{00000000-0004-0000-0200-00004F020000}"/>
    <hyperlink ref="C199" r:id="rId593" xr:uid="{00000000-0004-0000-0200-000050020000}"/>
    <hyperlink ref="E199" r:id="rId594" xr:uid="{00000000-0004-0000-0200-000051020000}"/>
    <hyperlink ref="B200" r:id="rId595" xr:uid="{00000000-0004-0000-0200-000052020000}"/>
    <hyperlink ref="C200" r:id="rId596" xr:uid="{00000000-0004-0000-0200-000053020000}"/>
    <hyperlink ref="E200" r:id="rId597" xr:uid="{00000000-0004-0000-0200-000054020000}"/>
    <hyperlink ref="B201" r:id="rId598" xr:uid="{00000000-0004-0000-0200-000055020000}"/>
    <hyperlink ref="C201" r:id="rId599" xr:uid="{00000000-0004-0000-0200-000056020000}"/>
    <hyperlink ref="E201" r:id="rId600" xr:uid="{00000000-0004-0000-0200-000057020000}"/>
    <hyperlink ref="B202" r:id="rId601" xr:uid="{00000000-0004-0000-0200-000058020000}"/>
    <hyperlink ref="C202" r:id="rId602" xr:uid="{00000000-0004-0000-0200-000059020000}"/>
    <hyperlink ref="E202" r:id="rId603" xr:uid="{00000000-0004-0000-0200-00005A020000}"/>
    <hyperlink ref="B203" r:id="rId604" xr:uid="{00000000-0004-0000-0200-00005B020000}"/>
    <hyperlink ref="C203" r:id="rId605" xr:uid="{00000000-0004-0000-0200-00005C020000}"/>
    <hyperlink ref="E203" r:id="rId606" xr:uid="{00000000-0004-0000-0200-00005D020000}"/>
    <hyperlink ref="B204" r:id="rId607" xr:uid="{00000000-0004-0000-0200-00005E020000}"/>
    <hyperlink ref="C204" r:id="rId608" xr:uid="{00000000-0004-0000-0200-00005F020000}"/>
    <hyperlink ref="E204" r:id="rId609" xr:uid="{00000000-0004-0000-0200-000060020000}"/>
    <hyperlink ref="B205" r:id="rId610" xr:uid="{00000000-0004-0000-0200-000061020000}"/>
    <hyperlink ref="C205" r:id="rId611" xr:uid="{00000000-0004-0000-0200-000062020000}"/>
    <hyperlink ref="E205" r:id="rId612" xr:uid="{00000000-0004-0000-0200-000063020000}"/>
    <hyperlink ref="B206" r:id="rId613" xr:uid="{00000000-0004-0000-0200-000064020000}"/>
    <hyperlink ref="C206" r:id="rId614" xr:uid="{00000000-0004-0000-0200-000065020000}"/>
    <hyperlink ref="E206" r:id="rId615" xr:uid="{00000000-0004-0000-0200-000066020000}"/>
    <hyperlink ref="B207" r:id="rId616" xr:uid="{00000000-0004-0000-0200-000067020000}"/>
    <hyperlink ref="C207" r:id="rId617" xr:uid="{00000000-0004-0000-0200-000068020000}"/>
    <hyperlink ref="E207" r:id="rId618" xr:uid="{00000000-0004-0000-0200-000069020000}"/>
    <hyperlink ref="B208" r:id="rId619" xr:uid="{00000000-0004-0000-0200-00006A020000}"/>
    <hyperlink ref="C208" r:id="rId620" xr:uid="{00000000-0004-0000-0200-00006B020000}"/>
    <hyperlink ref="E208" r:id="rId621" xr:uid="{00000000-0004-0000-0200-00006C020000}"/>
    <hyperlink ref="B209" r:id="rId622" xr:uid="{00000000-0004-0000-0200-00006D020000}"/>
    <hyperlink ref="C209" r:id="rId623" xr:uid="{00000000-0004-0000-0200-00006E020000}"/>
    <hyperlink ref="E209" r:id="rId624" xr:uid="{00000000-0004-0000-0200-00006F020000}"/>
    <hyperlink ref="B210" r:id="rId625" xr:uid="{00000000-0004-0000-0200-000070020000}"/>
    <hyperlink ref="C210" r:id="rId626" xr:uid="{00000000-0004-0000-0200-000071020000}"/>
    <hyperlink ref="E210" r:id="rId627" xr:uid="{00000000-0004-0000-0200-000072020000}"/>
    <hyperlink ref="B211" r:id="rId628" xr:uid="{00000000-0004-0000-0200-000073020000}"/>
    <hyperlink ref="C211" r:id="rId629" xr:uid="{00000000-0004-0000-0200-000074020000}"/>
    <hyperlink ref="E211" r:id="rId630" xr:uid="{00000000-0004-0000-0200-000075020000}"/>
    <hyperlink ref="B212" r:id="rId631" xr:uid="{00000000-0004-0000-0200-000076020000}"/>
    <hyperlink ref="C212" r:id="rId632" xr:uid="{00000000-0004-0000-0200-000077020000}"/>
    <hyperlink ref="E212" r:id="rId633" xr:uid="{00000000-0004-0000-0200-000078020000}"/>
    <hyperlink ref="B213" r:id="rId634" xr:uid="{00000000-0004-0000-0200-000079020000}"/>
    <hyperlink ref="C213" r:id="rId635" xr:uid="{00000000-0004-0000-0200-00007A020000}"/>
    <hyperlink ref="E213" r:id="rId636" xr:uid="{00000000-0004-0000-0200-00007B020000}"/>
    <hyperlink ref="B214" r:id="rId637" xr:uid="{00000000-0004-0000-0200-00007C020000}"/>
    <hyperlink ref="C214" r:id="rId638" xr:uid="{00000000-0004-0000-0200-00007D020000}"/>
    <hyperlink ref="E214" r:id="rId639" xr:uid="{00000000-0004-0000-0200-00007E020000}"/>
    <hyperlink ref="B215" r:id="rId640" xr:uid="{00000000-0004-0000-0200-00007F020000}"/>
    <hyperlink ref="C215" r:id="rId641" xr:uid="{00000000-0004-0000-0200-000080020000}"/>
    <hyperlink ref="E215" r:id="rId642" xr:uid="{00000000-0004-0000-0200-000081020000}"/>
    <hyperlink ref="B216" r:id="rId643" xr:uid="{00000000-0004-0000-0200-000082020000}"/>
    <hyperlink ref="C216" r:id="rId644" xr:uid="{00000000-0004-0000-0200-000083020000}"/>
    <hyperlink ref="E216" r:id="rId645" xr:uid="{00000000-0004-0000-0200-000084020000}"/>
    <hyperlink ref="B217" r:id="rId646" xr:uid="{00000000-0004-0000-0200-000085020000}"/>
    <hyperlink ref="C217" r:id="rId647" xr:uid="{00000000-0004-0000-0200-000086020000}"/>
    <hyperlink ref="E217" r:id="rId648" xr:uid="{00000000-0004-0000-0200-000087020000}"/>
    <hyperlink ref="B218" r:id="rId649" xr:uid="{00000000-0004-0000-0200-000088020000}"/>
    <hyperlink ref="C218" r:id="rId650" xr:uid="{00000000-0004-0000-0200-000089020000}"/>
    <hyperlink ref="E218" r:id="rId651" xr:uid="{00000000-0004-0000-0200-00008A020000}"/>
    <hyperlink ref="B219" r:id="rId652" xr:uid="{00000000-0004-0000-0200-00008B020000}"/>
    <hyperlink ref="C219" r:id="rId653" xr:uid="{00000000-0004-0000-0200-00008C020000}"/>
    <hyperlink ref="E219" r:id="rId654" xr:uid="{00000000-0004-0000-0200-00008D020000}"/>
    <hyperlink ref="B220" r:id="rId655" xr:uid="{00000000-0004-0000-0200-00008E020000}"/>
    <hyperlink ref="C220" r:id="rId656" xr:uid="{00000000-0004-0000-0200-00008F020000}"/>
    <hyperlink ref="E220" r:id="rId657" xr:uid="{00000000-0004-0000-0200-000090020000}"/>
    <hyperlink ref="B221" r:id="rId658" xr:uid="{00000000-0004-0000-0200-000091020000}"/>
    <hyperlink ref="C221" r:id="rId659" xr:uid="{00000000-0004-0000-0200-000092020000}"/>
    <hyperlink ref="E221" r:id="rId660" xr:uid="{00000000-0004-0000-0200-000093020000}"/>
    <hyperlink ref="B222" r:id="rId661" xr:uid="{00000000-0004-0000-0200-000094020000}"/>
    <hyperlink ref="C222" r:id="rId662" xr:uid="{00000000-0004-0000-0200-000095020000}"/>
    <hyperlink ref="E222" r:id="rId663" xr:uid="{00000000-0004-0000-0200-000096020000}"/>
    <hyperlink ref="B223" r:id="rId664" xr:uid="{00000000-0004-0000-0200-000097020000}"/>
    <hyperlink ref="C223" r:id="rId665" xr:uid="{00000000-0004-0000-0200-000098020000}"/>
    <hyperlink ref="E223" r:id="rId666" xr:uid="{00000000-0004-0000-0200-000099020000}"/>
    <hyperlink ref="B224" r:id="rId667" xr:uid="{00000000-0004-0000-0200-00009A020000}"/>
    <hyperlink ref="C224" r:id="rId668" xr:uid="{00000000-0004-0000-0200-00009B020000}"/>
    <hyperlink ref="E224" r:id="rId669" xr:uid="{00000000-0004-0000-0200-00009C020000}"/>
    <hyperlink ref="B225" r:id="rId670" xr:uid="{00000000-0004-0000-0200-00009D020000}"/>
    <hyperlink ref="C225" r:id="rId671" xr:uid="{00000000-0004-0000-0200-00009E020000}"/>
    <hyperlink ref="E225" r:id="rId672" xr:uid="{00000000-0004-0000-0200-00009F020000}"/>
    <hyperlink ref="B226" r:id="rId673" xr:uid="{00000000-0004-0000-0200-0000A0020000}"/>
    <hyperlink ref="C226" r:id="rId674" xr:uid="{00000000-0004-0000-0200-0000A1020000}"/>
    <hyperlink ref="E226" r:id="rId675" xr:uid="{00000000-0004-0000-0200-0000A2020000}"/>
    <hyperlink ref="B227" r:id="rId676" xr:uid="{00000000-0004-0000-0200-0000A3020000}"/>
    <hyperlink ref="C227" r:id="rId677" xr:uid="{00000000-0004-0000-0200-0000A4020000}"/>
    <hyperlink ref="E227" r:id="rId678" xr:uid="{00000000-0004-0000-0200-0000A5020000}"/>
    <hyperlink ref="B228" r:id="rId679" xr:uid="{00000000-0004-0000-0200-0000A6020000}"/>
    <hyperlink ref="C228" r:id="rId680" xr:uid="{00000000-0004-0000-0200-0000A7020000}"/>
    <hyperlink ref="E228" r:id="rId681" xr:uid="{00000000-0004-0000-0200-0000A8020000}"/>
    <hyperlink ref="B229" r:id="rId682" xr:uid="{00000000-0004-0000-0200-0000A9020000}"/>
    <hyperlink ref="C229" r:id="rId683" xr:uid="{00000000-0004-0000-0200-0000AA020000}"/>
    <hyperlink ref="E229" r:id="rId684" xr:uid="{00000000-0004-0000-0200-0000AB020000}"/>
    <hyperlink ref="B230" r:id="rId685" xr:uid="{00000000-0004-0000-0200-0000AC020000}"/>
    <hyperlink ref="C230" r:id="rId686" xr:uid="{00000000-0004-0000-0200-0000AD020000}"/>
    <hyperlink ref="E230" r:id="rId687" xr:uid="{00000000-0004-0000-0200-0000AE020000}"/>
    <hyperlink ref="B231" r:id="rId688" xr:uid="{00000000-0004-0000-0200-0000AF020000}"/>
    <hyperlink ref="C231" r:id="rId689" xr:uid="{00000000-0004-0000-0200-0000B0020000}"/>
    <hyperlink ref="E231" r:id="rId690" xr:uid="{00000000-0004-0000-0200-0000B1020000}"/>
    <hyperlink ref="B232" r:id="rId691" xr:uid="{00000000-0004-0000-0200-0000B2020000}"/>
    <hyperlink ref="C232" r:id="rId692" xr:uid="{00000000-0004-0000-0200-0000B3020000}"/>
    <hyperlink ref="E232" r:id="rId693" xr:uid="{00000000-0004-0000-0200-0000B4020000}"/>
    <hyperlink ref="B233" r:id="rId694" xr:uid="{00000000-0004-0000-0200-0000B5020000}"/>
    <hyperlink ref="C233" r:id="rId695" xr:uid="{00000000-0004-0000-0200-0000B6020000}"/>
    <hyperlink ref="E233" r:id="rId696" xr:uid="{00000000-0004-0000-0200-0000B7020000}"/>
    <hyperlink ref="B234" r:id="rId697" xr:uid="{00000000-0004-0000-0200-0000B8020000}"/>
    <hyperlink ref="C234" r:id="rId698" xr:uid="{00000000-0004-0000-0200-0000B9020000}"/>
    <hyperlink ref="E234" r:id="rId699" xr:uid="{00000000-0004-0000-0200-0000BA020000}"/>
    <hyperlink ref="B235" r:id="rId700" xr:uid="{00000000-0004-0000-0200-0000BB020000}"/>
    <hyperlink ref="C235" r:id="rId701" xr:uid="{00000000-0004-0000-0200-0000BC020000}"/>
    <hyperlink ref="E235" r:id="rId702" xr:uid="{00000000-0004-0000-0200-0000BD020000}"/>
    <hyperlink ref="B236" r:id="rId703" xr:uid="{00000000-0004-0000-0200-0000BE020000}"/>
    <hyperlink ref="C236" r:id="rId704" xr:uid="{00000000-0004-0000-0200-0000BF020000}"/>
    <hyperlink ref="E236" r:id="rId705" xr:uid="{00000000-0004-0000-0200-0000C0020000}"/>
    <hyperlink ref="B237" r:id="rId706" xr:uid="{00000000-0004-0000-0200-0000C1020000}"/>
    <hyperlink ref="C237" r:id="rId707" xr:uid="{00000000-0004-0000-0200-0000C2020000}"/>
    <hyperlink ref="E237" r:id="rId708" xr:uid="{00000000-0004-0000-0200-0000C3020000}"/>
    <hyperlink ref="B238" r:id="rId709" xr:uid="{00000000-0004-0000-0200-0000C4020000}"/>
    <hyperlink ref="C238" r:id="rId710" xr:uid="{00000000-0004-0000-0200-0000C5020000}"/>
    <hyperlink ref="E238" r:id="rId711" xr:uid="{00000000-0004-0000-0200-0000C6020000}"/>
    <hyperlink ref="B239" r:id="rId712" xr:uid="{00000000-0004-0000-0200-0000C7020000}"/>
    <hyperlink ref="C239" r:id="rId713" xr:uid="{00000000-0004-0000-0200-0000C8020000}"/>
    <hyperlink ref="E239" r:id="rId714" xr:uid="{00000000-0004-0000-0200-0000C9020000}"/>
    <hyperlink ref="B240" r:id="rId715" xr:uid="{00000000-0004-0000-0200-0000CA020000}"/>
    <hyperlink ref="C240" r:id="rId716" xr:uid="{00000000-0004-0000-0200-0000CB020000}"/>
    <hyperlink ref="E240" r:id="rId717" xr:uid="{00000000-0004-0000-0200-0000CC020000}"/>
    <hyperlink ref="B241" r:id="rId718" xr:uid="{00000000-0004-0000-0200-0000CD020000}"/>
    <hyperlink ref="C241" r:id="rId719" xr:uid="{00000000-0004-0000-0200-0000CE020000}"/>
    <hyperlink ref="E241" r:id="rId720" xr:uid="{00000000-0004-0000-0200-0000CF020000}"/>
    <hyperlink ref="B242" r:id="rId721" xr:uid="{00000000-0004-0000-0200-0000D0020000}"/>
    <hyperlink ref="C242" r:id="rId722" xr:uid="{00000000-0004-0000-0200-0000D1020000}"/>
    <hyperlink ref="E242" r:id="rId723" xr:uid="{00000000-0004-0000-0200-0000D2020000}"/>
    <hyperlink ref="B243" r:id="rId724" xr:uid="{00000000-0004-0000-0200-0000D3020000}"/>
    <hyperlink ref="C243" r:id="rId725" xr:uid="{00000000-0004-0000-0200-0000D4020000}"/>
    <hyperlink ref="E243" r:id="rId726" xr:uid="{00000000-0004-0000-0200-0000D5020000}"/>
    <hyperlink ref="B244" r:id="rId727" xr:uid="{00000000-0004-0000-0200-0000D6020000}"/>
    <hyperlink ref="C244" r:id="rId728" xr:uid="{00000000-0004-0000-0200-0000D7020000}"/>
    <hyperlink ref="E244" r:id="rId729" xr:uid="{00000000-0004-0000-0200-0000D8020000}"/>
    <hyperlink ref="B245" r:id="rId730" xr:uid="{00000000-0004-0000-0200-0000D9020000}"/>
    <hyperlink ref="C245" r:id="rId731" xr:uid="{00000000-0004-0000-0200-0000DA020000}"/>
    <hyperlink ref="E245" r:id="rId732" xr:uid="{00000000-0004-0000-0200-0000DB020000}"/>
    <hyperlink ref="B246" r:id="rId733" xr:uid="{00000000-0004-0000-0200-0000DC020000}"/>
    <hyperlink ref="C246" r:id="rId734" xr:uid="{00000000-0004-0000-0200-0000DD020000}"/>
    <hyperlink ref="E246" r:id="rId735" xr:uid="{00000000-0004-0000-0200-0000DE020000}"/>
    <hyperlink ref="B247" r:id="rId736" xr:uid="{00000000-0004-0000-0200-0000DF020000}"/>
    <hyperlink ref="C247" r:id="rId737" xr:uid="{00000000-0004-0000-0200-0000E0020000}"/>
    <hyperlink ref="E247" r:id="rId738" xr:uid="{00000000-0004-0000-0200-0000E1020000}"/>
    <hyperlink ref="B248" r:id="rId739" xr:uid="{00000000-0004-0000-0200-0000E2020000}"/>
    <hyperlink ref="C248" r:id="rId740" xr:uid="{00000000-0004-0000-0200-0000E3020000}"/>
    <hyperlink ref="E248" r:id="rId741" xr:uid="{00000000-0004-0000-0200-0000E4020000}"/>
    <hyperlink ref="B249" r:id="rId742" xr:uid="{00000000-0004-0000-0200-0000E5020000}"/>
    <hyperlink ref="C249" r:id="rId743" xr:uid="{00000000-0004-0000-0200-0000E6020000}"/>
    <hyperlink ref="E249" r:id="rId744" xr:uid="{00000000-0004-0000-0200-0000E7020000}"/>
    <hyperlink ref="B250" r:id="rId745" xr:uid="{00000000-0004-0000-0200-0000E8020000}"/>
    <hyperlink ref="C250" r:id="rId746" xr:uid="{00000000-0004-0000-0200-0000E9020000}"/>
    <hyperlink ref="E250" r:id="rId747" xr:uid="{00000000-0004-0000-0200-0000EA020000}"/>
    <hyperlink ref="B251" r:id="rId748" xr:uid="{00000000-0004-0000-0200-0000EB020000}"/>
    <hyperlink ref="C251" r:id="rId749" xr:uid="{00000000-0004-0000-0200-0000EC020000}"/>
    <hyperlink ref="E251" r:id="rId750" xr:uid="{00000000-0004-0000-0200-0000ED020000}"/>
    <hyperlink ref="B252" r:id="rId751" xr:uid="{00000000-0004-0000-0200-0000EE020000}"/>
    <hyperlink ref="C252" r:id="rId752" xr:uid="{00000000-0004-0000-0200-0000EF020000}"/>
    <hyperlink ref="E252" r:id="rId753" xr:uid="{00000000-0004-0000-0200-0000F0020000}"/>
    <hyperlink ref="B253" r:id="rId754" xr:uid="{00000000-0004-0000-0200-0000F1020000}"/>
    <hyperlink ref="C253" r:id="rId755" xr:uid="{00000000-0004-0000-0200-0000F2020000}"/>
    <hyperlink ref="E253" r:id="rId756" xr:uid="{00000000-0004-0000-0200-0000F3020000}"/>
    <hyperlink ref="B254" r:id="rId757" xr:uid="{00000000-0004-0000-0200-0000F4020000}"/>
    <hyperlink ref="C254" r:id="rId758" xr:uid="{00000000-0004-0000-0200-0000F5020000}"/>
    <hyperlink ref="E254" r:id="rId759" xr:uid="{00000000-0004-0000-0200-0000F6020000}"/>
    <hyperlink ref="B255" r:id="rId760" xr:uid="{00000000-0004-0000-0200-0000F7020000}"/>
    <hyperlink ref="C255" r:id="rId761" xr:uid="{00000000-0004-0000-0200-0000F8020000}"/>
    <hyperlink ref="E255" r:id="rId762" xr:uid="{00000000-0004-0000-0200-0000F9020000}"/>
    <hyperlink ref="B256" r:id="rId763" xr:uid="{00000000-0004-0000-0200-0000FA020000}"/>
    <hyperlink ref="C256" r:id="rId764" xr:uid="{00000000-0004-0000-0200-0000FB020000}"/>
    <hyperlink ref="E256" r:id="rId765" xr:uid="{00000000-0004-0000-0200-0000FC020000}"/>
    <hyperlink ref="B257" r:id="rId766" xr:uid="{00000000-0004-0000-0200-0000FD020000}"/>
    <hyperlink ref="C257" r:id="rId767" xr:uid="{00000000-0004-0000-0200-0000FE020000}"/>
    <hyperlink ref="E257" r:id="rId768" xr:uid="{00000000-0004-0000-0200-0000FF020000}"/>
    <hyperlink ref="B258" r:id="rId769" xr:uid="{00000000-0004-0000-0200-000000030000}"/>
    <hyperlink ref="C258" r:id="rId770" xr:uid="{00000000-0004-0000-0200-000001030000}"/>
    <hyperlink ref="E258" r:id="rId771" xr:uid="{00000000-0004-0000-0200-000002030000}"/>
    <hyperlink ref="B259" r:id="rId772" xr:uid="{00000000-0004-0000-0200-000003030000}"/>
    <hyperlink ref="C259" r:id="rId773" xr:uid="{00000000-0004-0000-0200-000004030000}"/>
    <hyperlink ref="E259" r:id="rId774" xr:uid="{00000000-0004-0000-0200-000005030000}"/>
    <hyperlink ref="B260" r:id="rId775" xr:uid="{00000000-0004-0000-0200-000006030000}"/>
    <hyperlink ref="C260" r:id="rId776" xr:uid="{00000000-0004-0000-0200-000007030000}"/>
    <hyperlink ref="E260" r:id="rId777" xr:uid="{00000000-0004-0000-0200-000008030000}"/>
    <hyperlink ref="B261" r:id="rId778" xr:uid="{00000000-0004-0000-0200-000009030000}"/>
    <hyperlink ref="C261" r:id="rId779" xr:uid="{00000000-0004-0000-0200-00000A030000}"/>
    <hyperlink ref="E261" r:id="rId780" xr:uid="{00000000-0004-0000-0200-00000B030000}"/>
    <hyperlink ref="B262" r:id="rId781" xr:uid="{00000000-0004-0000-0200-00000C030000}"/>
    <hyperlink ref="C262" r:id="rId782" xr:uid="{00000000-0004-0000-0200-00000D030000}"/>
    <hyperlink ref="E262" r:id="rId783" xr:uid="{00000000-0004-0000-0200-00000E030000}"/>
    <hyperlink ref="B263" r:id="rId784" xr:uid="{00000000-0004-0000-0200-00000F030000}"/>
    <hyperlink ref="C263" r:id="rId785" xr:uid="{00000000-0004-0000-0200-000010030000}"/>
    <hyperlink ref="E263" r:id="rId786" xr:uid="{00000000-0004-0000-0200-000011030000}"/>
    <hyperlink ref="B264" r:id="rId787" xr:uid="{00000000-0004-0000-0200-000012030000}"/>
    <hyperlink ref="C264" r:id="rId788" xr:uid="{00000000-0004-0000-0200-000013030000}"/>
    <hyperlink ref="E264" r:id="rId789" xr:uid="{00000000-0004-0000-0200-000014030000}"/>
    <hyperlink ref="B265" r:id="rId790" xr:uid="{00000000-0004-0000-0200-000015030000}"/>
    <hyperlink ref="C265" r:id="rId791" xr:uid="{00000000-0004-0000-0200-000016030000}"/>
    <hyperlink ref="E265" r:id="rId792" xr:uid="{00000000-0004-0000-0200-000017030000}"/>
    <hyperlink ref="B266" r:id="rId793" xr:uid="{00000000-0004-0000-0200-000018030000}"/>
    <hyperlink ref="C266" r:id="rId794" xr:uid="{00000000-0004-0000-0200-000019030000}"/>
    <hyperlink ref="E266" r:id="rId795" xr:uid="{00000000-0004-0000-0200-00001A030000}"/>
    <hyperlink ref="B267" r:id="rId796" xr:uid="{00000000-0004-0000-0200-00001B030000}"/>
    <hyperlink ref="C267" r:id="rId797" xr:uid="{00000000-0004-0000-0200-00001C030000}"/>
    <hyperlink ref="E267" r:id="rId798" xr:uid="{00000000-0004-0000-0200-00001D030000}"/>
    <hyperlink ref="B268" r:id="rId799" xr:uid="{00000000-0004-0000-0200-00001E030000}"/>
    <hyperlink ref="C268" r:id="rId800" xr:uid="{00000000-0004-0000-0200-00001F030000}"/>
    <hyperlink ref="E268" r:id="rId801" xr:uid="{00000000-0004-0000-0200-000020030000}"/>
    <hyperlink ref="B269" r:id="rId802" xr:uid="{00000000-0004-0000-0200-000021030000}"/>
    <hyperlink ref="C269" r:id="rId803" xr:uid="{00000000-0004-0000-0200-000022030000}"/>
    <hyperlink ref="E269" r:id="rId804" xr:uid="{00000000-0004-0000-0200-000023030000}"/>
    <hyperlink ref="B270" r:id="rId805" xr:uid="{00000000-0004-0000-0200-000024030000}"/>
    <hyperlink ref="C270" r:id="rId806" xr:uid="{00000000-0004-0000-0200-000025030000}"/>
    <hyperlink ref="E270" r:id="rId807" xr:uid="{00000000-0004-0000-0200-000026030000}"/>
    <hyperlink ref="B271" r:id="rId808" xr:uid="{00000000-0004-0000-0200-000027030000}"/>
    <hyperlink ref="C271" r:id="rId809" xr:uid="{00000000-0004-0000-0200-000028030000}"/>
    <hyperlink ref="E271" r:id="rId810" xr:uid="{00000000-0004-0000-0200-000029030000}"/>
    <hyperlink ref="B272" r:id="rId811" xr:uid="{00000000-0004-0000-0200-00002A030000}"/>
    <hyperlink ref="C272" r:id="rId812" xr:uid="{00000000-0004-0000-0200-00002B030000}"/>
    <hyperlink ref="E272" r:id="rId813" xr:uid="{00000000-0004-0000-0200-00002C030000}"/>
    <hyperlink ref="B273" r:id="rId814" xr:uid="{00000000-0004-0000-0200-00002D030000}"/>
    <hyperlink ref="C273" r:id="rId815" xr:uid="{00000000-0004-0000-0200-00002E030000}"/>
    <hyperlink ref="E273" r:id="rId816" xr:uid="{00000000-0004-0000-0200-00002F030000}"/>
    <hyperlink ref="B274" r:id="rId817" xr:uid="{00000000-0004-0000-0200-000030030000}"/>
    <hyperlink ref="C274" r:id="rId818" xr:uid="{00000000-0004-0000-0200-000031030000}"/>
    <hyperlink ref="E274" r:id="rId819" xr:uid="{00000000-0004-0000-0200-000032030000}"/>
    <hyperlink ref="B275" r:id="rId820" xr:uid="{00000000-0004-0000-0200-000033030000}"/>
    <hyperlink ref="C275" r:id="rId821" xr:uid="{00000000-0004-0000-0200-000034030000}"/>
    <hyperlink ref="E275" r:id="rId822" xr:uid="{00000000-0004-0000-0200-000035030000}"/>
    <hyperlink ref="B276" r:id="rId823" xr:uid="{00000000-0004-0000-0200-000036030000}"/>
    <hyperlink ref="C276" r:id="rId824" xr:uid="{00000000-0004-0000-0200-000037030000}"/>
    <hyperlink ref="E276" r:id="rId825" xr:uid="{00000000-0004-0000-0200-000038030000}"/>
    <hyperlink ref="B277" r:id="rId826" xr:uid="{00000000-0004-0000-0200-000039030000}"/>
    <hyperlink ref="C277" r:id="rId827" xr:uid="{00000000-0004-0000-0200-00003A030000}"/>
    <hyperlink ref="E277" r:id="rId828" xr:uid="{00000000-0004-0000-0200-00003B030000}"/>
    <hyperlink ref="B278" r:id="rId829" xr:uid="{00000000-0004-0000-0200-00003C030000}"/>
    <hyperlink ref="C278" r:id="rId830" xr:uid="{00000000-0004-0000-0200-00003D030000}"/>
    <hyperlink ref="E278" r:id="rId831" xr:uid="{00000000-0004-0000-0200-00003E030000}"/>
    <hyperlink ref="B279" r:id="rId832" xr:uid="{00000000-0004-0000-0200-00003F030000}"/>
    <hyperlink ref="C279" r:id="rId833" xr:uid="{00000000-0004-0000-0200-000040030000}"/>
    <hyperlink ref="E279" r:id="rId834" xr:uid="{00000000-0004-0000-0200-000041030000}"/>
    <hyperlink ref="B280" r:id="rId835" xr:uid="{00000000-0004-0000-0200-000042030000}"/>
    <hyperlink ref="C280" r:id="rId836" xr:uid="{00000000-0004-0000-0200-000043030000}"/>
    <hyperlink ref="E280" r:id="rId837" xr:uid="{00000000-0004-0000-0200-000044030000}"/>
    <hyperlink ref="B281" r:id="rId838" xr:uid="{00000000-0004-0000-0200-000045030000}"/>
    <hyperlink ref="C281" r:id="rId839" xr:uid="{00000000-0004-0000-0200-000046030000}"/>
    <hyperlink ref="E281" r:id="rId840" xr:uid="{00000000-0004-0000-0200-000047030000}"/>
    <hyperlink ref="B282" r:id="rId841" xr:uid="{00000000-0004-0000-0200-000048030000}"/>
    <hyperlink ref="C282" r:id="rId842" xr:uid="{00000000-0004-0000-0200-000049030000}"/>
    <hyperlink ref="E282" r:id="rId843" xr:uid="{00000000-0004-0000-0200-00004A030000}"/>
    <hyperlink ref="B283" r:id="rId844" xr:uid="{00000000-0004-0000-0200-00004B030000}"/>
    <hyperlink ref="C283" r:id="rId845" xr:uid="{00000000-0004-0000-0200-00004C030000}"/>
    <hyperlink ref="E283" r:id="rId846" xr:uid="{00000000-0004-0000-0200-00004D030000}"/>
    <hyperlink ref="B284" r:id="rId847" xr:uid="{00000000-0004-0000-0200-00004E030000}"/>
    <hyperlink ref="C284" r:id="rId848" xr:uid="{00000000-0004-0000-0200-00004F030000}"/>
    <hyperlink ref="E284" r:id="rId849" xr:uid="{00000000-0004-0000-0200-000050030000}"/>
    <hyperlink ref="B285" r:id="rId850" xr:uid="{00000000-0004-0000-0200-000051030000}"/>
    <hyperlink ref="C285" r:id="rId851" xr:uid="{00000000-0004-0000-0200-000052030000}"/>
    <hyperlink ref="E285" r:id="rId852" xr:uid="{00000000-0004-0000-0200-000053030000}"/>
    <hyperlink ref="B286" r:id="rId853" xr:uid="{00000000-0004-0000-0200-000054030000}"/>
    <hyperlink ref="C286" r:id="rId854" xr:uid="{00000000-0004-0000-0200-000055030000}"/>
    <hyperlink ref="E286" r:id="rId855" xr:uid="{00000000-0004-0000-0200-000056030000}"/>
    <hyperlink ref="B287" r:id="rId856" xr:uid="{00000000-0004-0000-0200-000057030000}"/>
    <hyperlink ref="C287" r:id="rId857" xr:uid="{00000000-0004-0000-0200-000058030000}"/>
    <hyperlink ref="E287" r:id="rId858" xr:uid="{00000000-0004-0000-0200-000059030000}"/>
    <hyperlink ref="B288" r:id="rId859" xr:uid="{00000000-0004-0000-0200-00005A030000}"/>
    <hyperlink ref="C288" r:id="rId860" xr:uid="{00000000-0004-0000-0200-00005B030000}"/>
    <hyperlink ref="E288" r:id="rId861" xr:uid="{00000000-0004-0000-0200-00005C030000}"/>
    <hyperlink ref="B289" r:id="rId862" xr:uid="{00000000-0004-0000-0200-00005D030000}"/>
    <hyperlink ref="C289" r:id="rId863" xr:uid="{00000000-0004-0000-0200-00005E030000}"/>
    <hyperlink ref="E289" r:id="rId864" xr:uid="{00000000-0004-0000-0200-00005F030000}"/>
    <hyperlink ref="B290" r:id="rId865" xr:uid="{00000000-0004-0000-0200-000060030000}"/>
    <hyperlink ref="C290" r:id="rId866" xr:uid="{00000000-0004-0000-0200-000061030000}"/>
    <hyperlink ref="E290" r:id="rId867" xr:uid="{00000000-0004-0000-0200-000062030000}"/>
    <hyperlink ref="B291" r:id="rId868" xr:uid="{00000000-0004-0000-0200-000063030000}"/>
    <hyperlink ref="C291" r:id="rId869" xr:uid="{00000000-0004-0000-0200-000064030000}"/>
    <hyperlink ref="E291" r:id="rId870" xr:uid="{00000000-0004-0000-0200-000065030000}"/>
    <hyperlink ref="B292" r:id="rId871" xr:uid="{00000000-0004-0000-0200-000066030000}"/>
    <hyperlink ref="C292" r:id="rId872" xr:uid="{00000000-0004-0000-0200-000067030000}"/>
    <hyperlink ref="E292" r:id="rId873" xr:uid="{00000000-0004-0000-0200-000068030000}"/>
    <hyperlink ref="B293" r:id="rId874" xr:uid="{00000000-0004-0000-0200-000069030000}"/>
    <hyperlink ref="C293" r:id="rId875" xr:uid="{00000000-0004-0000-0200-00006A030000}"/>
    <hyperlink ref="E293" r:id="rId876" xr:uid="{00000000-0004-0000-0200-00006B030000}"/>
    <hyperlink ref="B294" r:id="rId877" xr:uid="{00000000-0004-0000-0200-00006C030000}"/>
    <hyperlink ref="C294" r:id="rId878" xr:uid="{00000000-0004-0000-0200-00006D030000}"/>
    <hyperlink ref="E294" r:id="rId879" xr:uid="{00000000-0004-0000-0200-00006E030000}"/>
    <hyperlink ref="B295" r:id="rId880" xr:uid="{00000000-0004-0000-0200-00006F030000}"/>
    <hyperlink ref="C295" r:id="rId881" xr:uid="{00000000-0004-0000-0200-000070030000}"/>
    <hyperlink ref="E295" r:id="rId882" xr:uid="{00000000-0004-0000-0200-000071030000}"/>
    <hyperlink ref="B296" r:id="rId883" xr:uid="{00000000-0004-0000-0200-000072030000}"/>
    <hyperlink ref="C296" r:id="rId884" xr:uid="{00000000-0004-0000-0200-000073030000}"/>
    <hyperlink ref="E296" r:id="rId885" xr:uid="{00000000-0004-0000-0200-000074030000}"/>
    <hyperlink ref="B297" r:id="rId886" xr:uid="{00000000-0004-0000-0200-000075030000}"/>
    <hyperlink ref="C297" r:id="rId887" xr:uid="{00000000-0004-0000-0200-000076030000}"/>
    <hyperlink ref="E297" r:id="rId888" xr:uid="{00000000-0004-0000-0200-000077030000}"/>
    <hyperlink ref="B298" r:id="rId889" xr:uid="{00000000-0004-0000-0200-000078030000}"/>
    <hyperlink ref="C298" r:id="rId890" xr:uid="{00000000-0004-0000-0200-000079030000}"/>
    <hyperlink ref="E298" r:id="rId891" xr:uid="{00000000-0004-0000-0200-00007A030000}"/>
    <hyperlink ref="B299" r:id="rId892" xr:uid="{00000000-0004-0000-0200-00007B030000}"/>
    <hyperlink ref="C299" r:id="rId893" xr:uid="{00000000-0004-0000-0200-00007C030000}"/>
    <hyperlink ref="E299" r:id="rId894" xr:uid="{00000000-0004-0000-0200-00007D030000}"/>
    <hyperlink ref="B300" r:id="rId895" xr:uid="{00000000-0004-0000-0200-00007E030000}"/>
    <hyperlink ref="C300" r:id="rId896" xr:uid="{00000000-0004-0000-0200-00007F030000}"/>
    <hyperlink ref="E300" r:id="rId897" xr:uid="{00000000-0004-0000-0200-000080030000}"/>
    <hyperlink ref="B301" r:id="rId898" xr:uid="{00000000-0004-0000-0200-000081030000}"/>
    <hyperlink ref="C301" r:id="rId899" xr:uid="{00000000-0004-0000-0200-000082030000}"/>
    <hyperlink ref="E301" r:id="rId900" xr:uid="{00000000-0004-0000-0200-000083030000}"/>
    <hyperlink ref="B302" r:id="rId901" xr:uid="{00000000-0004-0000-0200-000084030000}"/>
    <hyperlink ref="C302" r:id="rId902" xr:uid="{00000000-0004-0000-0200-000085030000}"/>
    <hyperlink ref="E302" r:id="rId903" xr:uid="{00000000-0004-0000-0200-000086030000}"/>
    <hyperlink ref="B303" r:id="rId904" xr:uid="{00000000-0004-0000-0200-000087030000}"/>
    <hyperlink ref="C303" r:id="rId905" xr:uid="{00000000-0004-0000-0200-000088030000}"/>
    <hyperlink ref="E303" r:id="rId906" xr:uid="{00000000-0004-0000-0200-000089030000}"/>
    <hyperlink ref="B304" r:id="rId907" xr:uid="{00000000-0004-0000-0200-00008A030000}"/>
    <hyperlink ref="C304" r:id="rId908" xr:uid="{00000000-0004-0000-0200-00008B030000}"/>
    <hyperlink ref="E304" r:id="rId909" xr:uid="{00000000-0004-0000-0200-00008C030000}"/>
    <hyperlink ref="B305" r:id="rId910" xr:uid="{00000000-0004-0000-0200-00008D030000}"/>
    <hyperlink ref="C305" r:id="rId911" xr:uid="{00000000-0004-0000-0200-00008E030000}"/>
    <hyperlink ref="E305" r:id="rId912" xr:uid="{00000000-0004-0000-0200-00008F030000}"/>
    <hyperlink ref="B306" r:id="rId913" xr:uid="{00000000-0004-0000-0200-000090030000}"/>
    <hyperlink ref="C306" r:id="rId914" xr:uid="{00000000-0004-0000-0200-000091030000}"/>
    <hyperlink ref="E306" r:id="rId915" xr:uid="{00000000-0004-0000-0200-000092030000}"/>
    <hyperlink ref="B307" r:id="rId916" xr:uid="{00000000-0004-0000-0200-000093030000}"/>
    <hyperlink ref="C307" r:id="rId917" xr:uid="{00000000-0004-0000-0200-000094030000}"/>
    <hyperlink ref="E307" r:id="rId918" xr:uid="{00000000-0004-0000-0200-000095030000}"/>
    <hyperlink ref="B308" r:id="rId919" xr:uid="{00000000-0004-0000-0200-000096030000}"/>
    <hyperlink ref="C308" r:id="rId920" xr:uid="{00000000-0004-0000-0200-000097030000}"/>
    <hyperlink ref="E308" r:id="rId921" xr:uid="{00000000-0004-0000-0200-000098030000}"/>
    <hyperlink ref="B309" r:id="rId922" xr:uid="{00000000-0004-0000-0200-000099030000}"/>
    <hyperlink ref="C309" r:id="rId923" xr:uid="{00000000-0004-0000-0200-00009A030000}"/>
    <hyperlink ref="E309" r:id="rId924" xr:uid="{00000000-0004-0000-0200-00009B030000}"/>
    <hyperlink ref="B310" r:id="rId925" xr:uid="{00000000-0004-0000-0200-00009C030000}"/>
    <hyperlink ref="C310" r:id="rId926" xr:uid="{00000000-0004-0000-0200-00009D030000}"/>
    <hyperlink ref="E310" r:id="rId927" xr:uid="{00000000-0004-0000-0200-00009E030000}"/>
    <hyperlink ref="B311" r:id="rId928" xr:uid="{00000000-0004-0000-0200-00009F030000}"/>
    <hyperlink ref="C311" r:id="rId929" xr:uid="{00000000-0004-0000-0200-0000A0030000}"/>
    <hyperlink ref="E311" r:id="rId930" xr:uid="{00000000-0004-0000-0200-0000A1030000}"/>
    <hyperlink ref="B312" r:id="rId931" xr:uid="{00000000-0004-0000-0200-0000A2030000}"/>
    <hyperlink ref="C312" r:id="rId932" xr:uid="{00000000-0004-0000-0200-0000A3030000}"/>
    <hyperlink ref="E312" r:id="rId933" xr:uid="{00000000-0004-0000-0200-0000A4030000}"/>
    <hyperlink ref="B313" r:id="rId934" xr:uid="{00000000-0004-0000-0200-0000A5030000}"/>
    <hyperlink ref="C313" r:id="rId935" xr:uid="{00000000-0004-0000-0200-0000A6030000}"/>
    <hyperlink ref="E313" r:id="rId936" xr:uid="{00000000-0004-0000-0200-0000A7030000}"/>
    <hyperlink ref="B314" r:id="rId937" xr:uid="{00000000-0004-0000-0200-0000A8030000}"/>
    <hyperlink ref="C314" r:id="rId938" xr:uid="{00000000-0004-0000-0200-0000A9030000}"/>
    <hyperlink ref="E314" r:id="rId939" xr:uid="{00000000-0004-0000-0200-0000AA030000}"/>
    <hyperlink ref="B315" r:id="rId940" xr:uid="{00000000-0004-0000-0200-0000AB030000}"/>
    <hyperlink ref="C315" r:id="rId941" xr:uid="{00000000-0004-0000-0200-0000AC030000}"/>
    <hyperlink ref="E315" r:id="rId942" xr:uid="{00000000-0004-0000-0200-0000AD030000}"/>
    <hyperlink ref="B316" r:id="rId943" xr:uid="{00000000-0004-0000-0200-0000AE030000}"/>
    <hyperlink ref="C316" r:id="rId944" xr:uid="{00000000-0004-0000-0200-0000AF030000}"/>
    <hyperlink ref="E316" r:id="rId945" xr:uid="{00000000-0004-0000-0200-0000B0030000}"/>
    <hyperlink ref="B317" r:id="rId946" xr:uid="{00000000-0004-0000-0200-0000B1030000}"/>
    <hyperlink ref="C317" r:id="rId947" xr:uid="{00000000-0004-0000-0200-0000B2030000}"/>
    <hyperlink ref="E317" r:id="rId948" xr:uid="{00000000-0004-0000-0200-0000B3030000}"/>
    <hyperlink ref="B318" r:id="rId949" xr:uid="{00000000-0004-0000-0200-0000B4030000}"/>
    <hyperlink ref="C318" r:id="rId950" xr:uid="{00000000-0004-0000-0200-0000B5030000}"/>
    <hyperlink ref="E318" r:id="rId951" xr:uid="{00000000-0004-0000-0200-0000B6030000}"/>
    <hyperlink ref="B319" r:id="rId952" xr:uid="{00000000-0004-0000-0200-0000B7030000}"/>
    <hyperlink ref="C319" r:id="rId953" xr:uid="{00000000-0004-0000-0200-0000B8030000}"/>
    <hyperlink ref="E319" r:id="rId954" xr:uid="{00000000-0004-0000-0200-0000B9030000}"/>
    <hyperlink ref="B320" r:id="rId955" xr:uid="{00000000-0004-0000-0200-0000BA030000}"/>
    <hyperlink ref="C320" r:id="rId956" xr:uid="{00000000-0004-0000-0200-0000BB030000}"/>
    <hyperlink ref="E320" r:id="rId957" xr:uid="{00000000-0004-0000-0200-0000BC030000}"/>
    <hyperlink ref="B321" r:id="rId958" xr:uid="{00000000-0004-0000-0200-0000BD030000}"/>
    <hyperlink ref="C321" r:id="rId959" xr:uid="{00000000-0004-0000-0200-0000BE030000}"/>
    <hyperlink ref="E321" r:id="rId960" xr:uid="{00000000-0004-0000-0200-0000BF030000}"/>
    <hyperlink ref="B322" r:id="rId961" xr:uid="{00000000-0004-0000-0200-0000C0030000}"/>
    <hyperlink ref="C322" r:id="rId962" xr:uid="{00000000-0004-0000-0200-0000C1030000}"/>
    <hyperlink ref="E322" r:id="rId963" xr:uid="{00000000-0004-0000-0200-0000C2030000}"/>
    <hyperlink ref="B323" r:id="rId964" xr:uid="{00000000-0004-0000-0200-0000C3030000}"/>
    <hyperlink ref="C323" r:id="rId965" xr:uid="{00000000-0004-0000-0200-0000C4030000}"/>
    <hyperlink ref="E323" r:id="rId966" xr:uid="{00000000-0004-0000-0200-0000C5030000}"/>
    <hyperlink ref="B324" r:id="rId967" xr:uid="{00000000-0004-0000-0200-0000C6030000}"/>
    <hyperlink ref="C324" r:id="rId968" xr:uid="{00000000-0004-0000-0200-0000C7030000}"/>
    <hyperlink ref="E324" r:id="rId969" xr:uid="{00000000-0004-0000-0200-0000C8030000}"/>
    <hyperlink ref="B325" r:id="rId970" xr:uid="{00000000-0004-0000-0200-0000C9030000}"/>
    <hyperlink ref="C325" r:id="rId971" xr:uid="{00000000-0004-0000-0200-0000CA030000}"/>
    <hyperlink ref="E325" r:id="rId972" xr:uid="{00000000-0004-0000-0200-0000CB030000}"/>
    <hyperlink ref="B326" r:id="rId973" xr:uid="{00000000-0004-0000-0200-0000CC030000}"/>
    <hyperlink ref="C326" r:id="rId974" xr:uid="{00000000-0004-0000-0200-0000CD030000}"/>
    <hyperlink ref="E326" r:id="rId975" xr:uid="{00000000-0004-0000-0200-0000CE030000}"/>
    <hyperlink ref="B327" r:id="rId976" xr:uid="{00000000-0004-0000-0200-0000CF030000}"/>
    <hyperlink ref="C327" r:id="rId977" xr:uid="{00000000-0004-0000-0200-0000D0030000}"/>
    <hyperlink ref="E327" r:id="rId978" xr:uid="{00000000-0004-0000-0200-0000D1030000}"/>
    <hyperlink ref="B328" r:id="rId979" xr:uid="{00000000-0004-0000-0200-0000D2030000}"/>
    <hyperlink ref="C328" r:id="rId980" xr:uid="{00000000-0004-0000-0200-0000D3030000}"/>
    <hyperlink ref="E328" r:id="rId981" xr:uid="{00000000-0004-0000-0200-0000D4030000}"/>
    <hyperlink ref="B329" r:id="rId982" xr:uid="{00000000-0004-0000-0200-0000D5030000}"/>
    <hyperlink ref="C329" r:id="rId983" xr:uid="{00000000-0004-0000-0200-0000D6030000}"/>
    <hyperlink ref="E329" r:id="rId984" xr:uid="{00000000-0004-0000-0200-0000D7030000}"/>
    <hyperlink ref="B330" r:id="rId985" xr:uid="{00000000-0004-0000-0200-0000D8030000}"/>
    <hyperlink ref="C330" r:id="rId986" xr:uid="{00000000-0004-0000-0200-0000D9030000}"/>
    <hyperlink ref="E330" r:id="rId987" xr:uid="{00000000-0004-0000-0200-0000DA030000}"/>
    <hyperlink ref="B331" r:id="rId988" xr:uid="{00000000-0004-0000-0200-0000DB030000}"/>
    <hyperlink ref="C331" r:id="rId989" xr:uid="{00000000-0004-0000-0200-0000DC030000}"/>
    <hyperlink ref="E331" r:id="rId990" xr:uid="{00000000-0004-0000-0200-0000DD030000}"/>
    <hyperlink ref="B332" r:id="rId991" xr:uid="{00000000-0004-0000-0200-0000DE030000}"/>
    <hyperlink ref="C332" r:id="rId992" xr:uid="{00000000-0004-0000-0200-0000DF030000}"/>
    <hyperlink ref="E332" r:id="rId993" xr:uid="{00000000-0004-0000-0200-0000E0030000}"/>
    <hyperlink ref="B333" r:id="rId994" xr:uid="{00000000-0004-0000-0200-0000E1030000}"/>
    <hyperlink ref="C333" r:id="rId995" xr:uid="{00000000-0004-0000-0200-0000E2030000}"/>
    <hyperlink ref="E333" r:id="rId996" xr:uid="{00000000-0004-0000-0200-0000E3030000}"/>
    <hyperlink ref="B334" r:id="rId997" xr:uid="{00000000-0004-0000-0200-0000E4030000}"/>
    <hyperlink ref="C334" r:id="rId998" xr:uid="{00000000-0004-0000-0200-0000E5030000}"/>
    <hyperlink ref="E334" r:id="rId999" xr:uid="{00000000-0004-0000-0200-0000E6030000}"/>
    <hyperlink ref="B335" r:id="rId1000" xr:uid="{00000000-0004-0000-0200-0000E7030000}"/>
    <hyperlink ref="C335" r:id="rId1001" xr:uid="{00000000-0004-0000-0200-0000E8030000}"/>
    <hyperlink ref="E335" r:id="rId1002" xr:uid="{00000000-0004-0000-0200-0000E9030000}"/>
    <hyperlink ref="B336" r:id="rId1003" xr:uid="{00000000-0004-0000-0200-0000EA030000}"/>
    <hyperlink ref="C336" r:id="rId1004" xr:uid="{00000000-0004-0000-0200-0000EB030000}"/>
    <hyperlink ref="E336" r:id="rId1005" xr:uid="{00000000-0004-0000-0200-0000EC030000}"/>
    <hyperlink ref="B337" r:id="rId1006" xr:uid="{00000000-0004-0000-0200-0000ED030000}"/>
    <hyperlink ref="C337" r:id="rId1007" xr:uid="{00000000-0004-0000-0200-0000EE030000}"/>
    <hyperlink ref="E337" r:id="rId1008" xr:uid="{00000000-0004-0000-0200-0000EF030000}"/>
    <hyperlink ref="B338" r:id="rId1009" xr:uid="{00000000-0004-0000-0200-0000F0030000}"/>
    <hyperlink ref="C338" r:id="rId1010" xr:uid="{00000000-0004-0000-0200-0000F1030000}"/>
    <hyperlink ref="E338" r:id="rId1011" xr:uid="{00000000-0004-0000-0200-0000F2030000}"/>
    <hyperlink ref="B339" r:id="rId1012" xr:uid="{00000000-0004-0000-0200-0000F3030000}"/>
    <hyperlink ref="C339" r:id="rId1013" xr:uid="{00000000-0004-0000-0200-0000F4030000}"/>
    <hyperlink ref="E339" r:id="rId1014" xr:uid="{00000000-0004-0000-0200-0000F5030000}"/>
    <hyperlink ref="B340" r:id="rId1015" xr:uid="{00000000-0004-0000-0200-0000F6030000}"/>
    <hyperlink ref="C340" r:id="rId1016" xr:uid="{00000000-0004-0000-0200-0000F7030000}"/>
    <hyperlink ref="E340" r:id="rId1017" xr:uid="{00000000-0004-0000-0200-0000F8030000}"/>
    <hyperlink ref="B341" r:id="rId1018" xr:uid="{00000000-0004-0000-0200-0000F9030000}"/>
    <hyperlink ref="C341" r:id="rId1019" xr:uid="{00000000-0004-0000-0200-0000FA030000}"/>
    <hyperlink ref="E341" r:id="rId1020" xr:uid="{00000000-0004-0000-0200-0000FB030000}"/>
    <hyperlink ref="B342" r:id="rId1021" xr:uid="{00000000-0004-0000-0200-0000FC030000}"/>
    <hyperlink ref="C342" r:id="rId1022" xr:uid="{00000000-0004-0000-0200-0000FD030000}"/>
    <hyperlink ref="E342" r:id="rId1023" xr:uid="{00000000-0004-0000-0200-0000FE030000}"/>
    <hyperlink ref="B343" r:id="rId1024" xr:uid="{00000000-0004-0000-0200-0000FF030000}"/>
    <hyperlink ref="C343" r:id="rId1025" xr:uid="{00000000-0004-0000-0200-000000040000}"/>
    <hyperlink ref="E343" r:id="rId1026" xr:uid="{00000000-0004-0000-0200-000001040000}"/>
    <hyperlink ref="B344" r:id="rId1027" xr:uid="{00000000-0004-0000-0200-000002040000}"/>
    <hyperlink ref="C344" r:id="rId1028" xr:uid="{00000000-0004-0000-0200-000003040000}"/>
    <hyperlink ref="E344" r:id="rId1029" xr:uid="{00000000-0004-0000-0200-000004040000}"/>
    <hyperlink ref="B345" r:id="rId1030" xr:uid="{00000000-0004-0000-0200-000005040000}"/>
    <hyperlink ref="C345" r:id="rId1031" xr:uid="{00000000-0004-0000-0200-000006040000}"/>
    <hyperlink ref="E345" r:id="rId1032" xr:uid="{00000000-0004-0000-0200-000007040000}"/>
    <hyperlink ref="B346" r:id="rId1033" xr:uid="{00000000-0004-0000-0200-000008040000}"/>
    <hyperlink ref="C346" r:id="rId1034" xr:uid="{00000000-0004-0000-0200-000009040000}"/>
    <hyperlink ref="E346" r:id="rId1035" xr:uid="{00000000-0004-0000-0200-00000A040000}"/>
    <hyperlink ref="B347" r:id="rId1036" xr:uid="{00000000-0004-0000-0200-00000B040000}"/>
    <hyperlink ref="C347" r:id="rId1037" xr:uid="{00000000-0004-0000-0200-00000C040000}"/>
    <hyperlink ref="E347" r:id="rId1038" xr:uid="{00000000-0004-0000-0200-00000D040000}"/>
    <hyperlink ref="B348" r:id="rId1039" xr:uid="{00000000-0004-0000-0200-00000E040000}"/>
    <hyperlink ref="C348" r:id="rId1040" xr:uid="{00000000-0004-0000-0200-00000F040000}"/>
    <hyperlink ref="E348" r:id="rId1041" xr:uid="{00000000-0004-0000-0200-000010040000}"/>
    <hyperlink ref="B349" r:id="rId1042" xr:uid="{00000000-0004-0000-0200-000011040000}"/>
    <hyperlink ref="C349" r:id="rId1043" xr:uid="{00000000-0004-0000-0200-000012040000}"/>
    <hyperlink ref="E349" r:id="rId1044" xr:uid="{00000000-0004-0000-0200-000013040000}"/>
    <hyperlink ref="B350" r:id="rId1045" xr:uid="{00000000-0004-0000-0200-000014040000}"/>
    <hyperlink ref="C350" r:id="rId1046" xr:uid="{00000000-0004-0000-0200-000015040000}"/>
    <hyperlink ref="E350" r:id="rId1047" xr:uid="{00000000-0004-0000-0200-000016040000}"/>
    <hyperlink ref="B351" r:id="rId1048" xr:uid="{00000000-0004-0000-0200-000017040000}"/>
    <hyperlink ref="C351" r:id="rId1049" xr:uid="{00000000-0004-0000-0200-000018040000}"/>
    <hyperlink ref="E351" r:id="rId1050" xr:uid="{00000000-0004-0000-0200-000019040000}"/>
    <hyperlink ref="B352" r:id="rId1051" xr:uid="{00000000-0004-0000-0200-00001A040000}"/>
    <hyperlink ref="C352" r:id="rId1052" xr:uid="{00000000-0004-0000-0200-00001B040000}"/>
    <hyperlink ref="E352" r:id="rId1053" xr:uid="{00000000-0004-0000-0200-00001C040000}"/>
    <hyperlink ref="B353" r:id="rId1054" xr:uid="{00000000-0004-0000-0200-00001D040000}"/>
    <hyperlink ref="C353" r:id="rId1055" xr:uid="{00000000-0004-0000-0200-00001E040000}"/>
    <hyperlink ref="E353" r:id="rId1056" xr:uid="{00000000-0004-0000-0200-00001F040000}"/>
    <hyperlink ref="B354" r:id="rId1057" xr:uid="{00000000-0004-0000-0200-000020040000}"/>
    <hyperlink ref="C354" r:id="rId1058" xr:uid="{00000000-0004-0000-0200-000021040000}"/>
    <hyperlink ref="E354" r:id="rId1059" xr:uid="{00000000-0004-0000-0200-000022040000}"/>
    <hyperlink ref="B355" r:id="rId1060" xr:uid="{00000000-0004-0000-0200-000023040000}"/>
    <hyperlink ref="C355" r:id="rId1061" xr:uid="{00000000-0004-0000-0200-000024040000}"/>
    <hyperlink ref="E355" r:id="rId1062" xr:uid="{00000000-0004-0000-0200-000025040000}"/>
    <hyperlink ref="B356" r:id="rId1063" xr:uid="{00000000-0004-0000-0200-000026040000}"/>
    <hyperlink ref="C356" r:id="rId1064" xr:uid="{00000000-0004-0000-0200-000027040000}"/>
    <hyperlink ref="E356" r:id="rId1065" xr:uid="{00000000-0004-0000-0200-000028040000}"/>
    <hyperlink ref="B357" r:id="rId1066" xr:uid="{00000000-0004-0000-0200-000029040000}"/>
    <hyperlink ref="C357" r:id="rId1067" xr:uid="{00000000-0004-0000-0200-00002A040000}"/>
    <hyperlink ref="E357" r:id="rId1068" xr:uid="{00000000-0004-0000-0200-00002B040000}"/>
    <hyperlink ref="B358" r:id="rId1069" xr:uid="{00000000-0004-0000-0200-00002C040000}"/>
    <hyperlink ref="C358" r:id="rId1070" xr:uid="{00000000-0004-0000-0200-00002D040000}"/>
    <hyperlink ref="E358" r:id="rId1071" xr:uid="{00000000-0004-0000-0200-00002E040000}"/>
    <hyperlink ref="B359" r:id="rId1072" xr:uid="{00000000-0004-0000-0200-00002F040000}"/>
    <hyperlink ref="C359" r:id="rId1073" xr:uid="{00000000-0004-0000-0200-000030040000}"/>
    <hyperlink ref="E359" r:id="rId1074" xr:uid="{00000000-0004-0000-0200-000031040000}"/>
    <hyperlink ref="B360" r:id="rId1075" xr:uid="{00000000-0004-0000-0200-000032040000}"/>
    <hyperlink ref="C360" r:id="rId1076" xr:uid="{00000000-0004-0000-0200-000033040000}"/>
    <hyperlink ref="E360" r:id="rId1077" xr:uid="{00000000-0004-0000-0200-000034040000}"/>
    <hyperlink ref="B361" r:id="rId1078" xr:uid="{00000000-0004-0000-0200-000035040000}"/>
    <hyperlink ref="C361" r:id="rId1079" xr:uid="{00000000-0004-0000-0200-000036040000}"/>
    <hyperlink ref="E361" r:id="rId1080" xr:uid="{00000000-0004-0000-0200-000037040000}"/>
    <hyperlink ref="B362" r:id="rId1081" xr:uid="{00000000-0004-0000-0200-000038040000}"/>
    <hyperlink ref="C362" r:id="rId1082" xr:uid="{00000000-0004-0000-0200-000039040000}"/>
    <hyperlink ref="E362" r:id="rId1083" xr:uid="{00000000-0004-0000-0200-00003A040000}"/>
    <hyperlink ref="B363" r:id="rId1084" xr:uid="{00000000-0004-0000-0200-00003B040000}"/>
    <hyperlink ref="C363" r:id="rId1085" xr:uid="{00000000-0004-0000-0200-00003C040000}"/>
    <hyperlink ref="E363" r:id="rId1086" xr:uid="{00000000-0004-0000-0200-00003D040000}"/>
    <hyperlink ref="B364" r:id="rId1087" xr:uid="{00000000-0004-0000-0200-00003E040000}"/>
    <hyperlink ref="C364" r:id="rId1088" xr:uid="{00000000-0004-0000-0200-00003F040000}"/>
    <hyperlink ref="E364" r:id="rId1089" xr:uid="{00000000-0004-0000-0200-000040040000}"/>
    <hyperlink ref="B365" r:id="rId1090" xr:uid="{00000000-0004-0000-0200-000041040000}"/>
    <hyperlink ref="C365" r:id="rId1091" xr:uid="{00000000-0004-0000-0200-000042040000}"/>
    <hyperlink ref="E365" r:id="rId1092" xr:uid="{00000000-0004-0000-0200-000043040000}"/>
    <hyperlink ref="B366" r:id="rId1093" xr:uid="{00000000-0004-0000-0200-000044040000}"/>
    <hyperlink ref="C366" r:id="rId1094" xr:uid="{00000000-0004-0000-0200-000045040000}"/>
    <hyperlink ref="E366" r:id="rId1095" xr:uid="{00000000-0004-0000-0200-000046040000}"/>
    <hyperlink ref="B367" r:id="rId1096" xr:uid="{00000000-0004-0000-0200-000047040000}"/>
    <hyperlink ref="C367" r:id="rId1097" xr:uid="{00000000-0004-0000-0200-000048040000}"/>
    <hyperlink ref="E367" r:id="rId1098" xr:uid="{00000000-0004-0000-0200-000049040000}"/>
    <hyperlink ref="B368" r:id="rId1099" xr:uid="{00000000-0004-0000-0200-00004A040000}"/>
    <hyperlink ref="C368" r:id="rId1100" xr:uid="{00000000-0004-0000-0200-00004B040000}"/>
    <hyperlink ref="E368" r:id="rId1101" xr:uid="{00000000-0004-0000-0200-00004C040000}"/>
    <hyperlink ref="B369" r:id="rId1102" xr:uid="{00000000-0004-0000-0200-00004D040000}"/>
    <hyperlink ref="C369" r:id="rId1103" xr:uid="{00000000-0004-0000-0200-00004E040000}"/>
    <hyperlink ref="E369" r:id="rId1104" xr:uid="{00000000-0004-0000-0200-00004F040000}"/>
    <hyperlink ref="B370" r:id="rId1105" xr:uid="{00000000-0004-0000-0200-000050040000}"/>
    <hyperlink ref="C370" r:id="rId1106" xr:uid="{00000000-0004-0000-0200-000051040000}"/>
    <hyperlink ref="E370" r:id="rId1107" xr:uid="{00000000-0004-0000-0200-000052040000}"/>
    <hyperlink ref="B371" r:id="rId1108" xr:uid="{00000000-0004-0000-0200-000053040000}"/>
    <hyperlink ref="C371" r:id="rId1109" xr:uid="{00000000-0004-0000-0200-000054040000}"/>
    <hyperlink ref="E371" r:id="rId1110" xr:uid="{00000000-0004-0000-0200-000055040000}"/>
    <hyperlink ref="B372" r:id="rId1111" xr:uid="{00000000-0004-0000-0200-000056040000}"/>
    <hyperlink ref="C372" r:id="rId1112" xr:uid="{00000000-0004-0000-0200-000057040000}"/>
    <hyperlink ref="E372" r:id="rId1113" xr:uid="{00000000-0004-0000-0200-000058040000}"/>
    <hyperlink ref="B373" r:id="rId1114" xr:uid="{00000000-0004-0000-0200-000059040000}"/>
    <hyperlink ref="C373" r:id="rId1115" xr:uid="{00000000-0004-0000-0200-00005A040000}"/>
    <hyperlink ref="E373" r:id="rId1116" xr:uid="{00000000-0004-0000-0200-00005B040000}"/>
    <hyperlink ref="B374" r:id="rId1117" xr:uid="{00000000-0004-0000-0200-00005C040000}"/>
    <hyperlink ref="C374" r:id="rId1118" xr:uid="{00000000-0004-0000-0200-00005D040000}"/>
    <hyperlink ref="E374" r:id="rId1119" xr:uid="{00000000-0004-0000-0200-00005E040000}"/>
    <hyperlink ref="B375" r:id="rId1120" xr:uid="{00000000-0004-0000-0200-00005F040000}"/>
    <hyperlink ref="C375" r:id="rId1121" xr:uid="{00000000-0004-0000-0200-000060040000}"/>
    <hyperlink ref="E375" r:id="rId1122" xr:uid="{00000000-0004-0000-0200-000061040000}"/>
    <hyperlink ref="B376" r:id="rId1123" xr:uid="{00000000-0004-0000-0200-000062040000}"/>
    <hyperlink ref="C376" r:id="rId1124" xr:uid="{00000000-0004-0000-0200-000063040000}"/>
    <hyperlink ref="E376" r:id="rId1125" xr:uid="{00000000-0004-0000-0200-000064040000}"/>
    <hyperlink ref="B377" r:id="rId1126" xr:uid="{00000000-0004-0000-0200-000065040000}"/>
    <hyperlink ref="C377" r:id="rId1127" xr:uid="{00000000-0004-0000-0200-000066040000}"/>
    <hyperlink ref="E377" r:id="rId1128" xr:uid="{00000000-0004-0000-0200-000067040000}"/>
    <hyperlink ref="B378" r:id="rId1129" xr:uid="{00000000-0004-0000-0200-000068040000}"/>
    <hyperlink ref="C378" r:id="rId1130" xr:uid="{00000000-0004-0000-0200-000069040000}"/>
    <hyperlink ref="E378" r:id="rId1131" xr:uid="{00000000-0004-0000-0200-00006A040000}"/>
    <hyperlink ref="B379" r:id="rId1132" xr:uid="{00000000-0004-0000-0200-00006B040000}"/>
    <hyperlink ref="C379" r:id="rId1133" xr:uid="{00000000-0004-0000-0200-00006C040000}"/>
    <hyperlink ref="E379" r:id="rId1134" xr:uid="{00000000-0004-0000-0200-00006D040000}"/>
    <hyperlink ref="B380" r:id="rId1135" xr:uid="{00000000-0004-0000-0200-00006E040000}"/>
    <hyperlink ref="C380" r:id="rId1136" xr:uid="{00000000-0004-0000-0200-00006F040000}"/>
    <hyperlink ref="E380" r:id="rId1137" xr:uid="{00000000-0004-0000-0200-000070040000}"/>
    <hyperlink ref="B381" r:id="rId1138" xr:uid="{00000000-0004-0000-0200-000071040000}"/>
    <hyperlink ref="C381" r:id="rId1139" xr:uid="{00000000-0004-0000-0200-000072040000}"/>
    <hyperlink ref="E381" r:id="rId1140" xr:uid="{00000000-0004-0000-0200-000073040000}"/>
    <hyperlink ref="B382" r:id="rId1141" xr:uid="{00000000-0004-0000-0200-000074040000}"/>
    <hyperlink ref="C382" r:id="rId1142" xr:uid="{00000000-0004-0000-0200-000075040000}"/>
    <hyperlink ref="E382" r:id="rId1143" xr:uid="{00000000-0004-0000-0200-000076040000}"/>
    <hyperlink ref="B383" r:id="rId1144" xr:uid="{00000000-0004-0000-0200-000077040000}"/>
    <hyperlink ref="C383" r:id="rId1145" xr:uid="{00000000-0004-0000-0200-000078040000}"/>
    <hyperlink ref="E383" r:id="rId1146" xr:uid="{00000000-0004-0000-0200-000079040000}"/>
    <hyperlink ref="B384" r:id="rId1147" xr:uid="{00000000-0004-0000-0200-00007A040000}"/>
    <hyperlink ref="C384" r:id="rId1148" xr:uid="{00000000-0004-0000-0200-00007B040000}"/>
    <hyperlink ref="E384" r:id="rId1149" xr:uid="{00000000-0004-0000-0200-00007C040000}"/>
    <hyperlink ref="B385" r:id="rId1150" xr:uid="{00000000-0004-0000-0200-00007D040000}"/>
    <hyperlink ref="C385" r:id="rId1151" xr:uid="{00000000-0004-0000-0200-00007E040000}"/>
    <hyperlink ref="E385" r:id="rId1152" xr:uid="{00000000-0004-0000-0200-00007F040000}"/>
    <hyperlink ref="B386" r:id="rId1153" xr:uid="{00000000-0004-0000-0200-000080040000}"/>
    <hyperlink ref="C386" r:id="rId1154" xr:uid="{00000000-0004-0000-0200-000081040000}"/>
    <hyperlink ref="E386" r:id="rId1155" xr:uid="{00000000-0004-0000-0200-000082040000}"/>
    <hyperlink ref="B387" r:id="rId1156" xr:uid="{00000000-0004-0000-0200-000083040000}"/>
    <hyperlink ref="C387" r:id="rId1157" xr:uid="{00000000-0004-0000-0200-000084040000}"/>
    <hyperlink ref="E387" r:id="rId1158" xr:uid="{00000000-0004-0000-0200-000085040000}"/>
    <hyperlink ref="B388" r:id="rId1159" xr:uid="{00000000-0004-0000-0200-000086040000}"/>
    <hyperlink ref="C388" r:id="rId1160" xr:uid="{00000000-0004-0000-0200-000087040000}"/>
    <hyperlink ref="E388" r:id="rId1161" xr:uid="{00000000-0004-0000-0200-000088040000}"/>
    <hyperlink ref="B389" r:id="rId1162" xr:uid="{00000000-0004-0000-0200-000089040000}"/>
    <hyperlink ref="C389" r:id="rId1163" xr:uid="{00000000-0004-0000-0200-00008A040000}"/>
    <hyperlink ref="E389" r:id="rId1164" xr:uid="{00000000-0004-0000-0200-00008B040000}"/>
    <hyperlink ref="B390" r:id="rId1165" xr:uid="{00000000-0004-0000-0200-00008C040000}"/>
    <hyperlink ref="C390" r:id="rId1166" xr:uid="{00000000-0004-0000-0200-00008D040000}"/>
    <hyperlink ref="E390" r:id="rId1167" xr:uid="{00000000-0004-0000-0200-00008E040000}"/>
    <hyperlink ref="B391" r:id="rId1168" xr:uid="{00000000-0004-0000-0200-00008F040000}"/>
    <hyperlink ref="C391" r:id="rId1169" xr:uid="{00000000-0004-0000-0200-000090040000}"/>
    <hyperlink ref="E391" r:id="rId1170" xr:uid="{00000000-0004-0000-0200-000091040000}"/>
    <hyperlink ref="B392" r:id="rId1171" xr:uid="{00000000-0004-0000-0200-000092040000}"/>
    <hyperlink ref="C392" r:id="rId1172" xr:uid="{00000000-0004-0000-0200-000093040000}"/>
    <hyperlink ref="E392" r:id="rId1173" xr:uid="{00000000-0004-0000-0200-000094040000}"/>
    <hyperlink ref="B393" r:id="rId1174" xr:uid="{00000000-0004-0000-0200-000095040000}"/>
    <hyperlink ref="C393" r:id="rId1175" xr:uid="{00000000-0004-0000-0200-000096040000}"/>
    <hyperlink ref="E393" r:id="rId1176" xr:uid="{00000000-0004-0000-0200-000097040000}"/>
    <hyperlink ref="B394" r:id="rId1177" xr:uid="{00000000-0004-0000-0200-000098040000}"/>
    <hyperlink ref="C394" r:id="rId1178" xr:uid="{00000000-0004-0000-0200-000099040000}"/>
    <hyperlink ref="E394" r:id="rId1179" xr:uid="{00000000-0004-0000-0200-00009A040000}"/>
    <hyperlink ref="B395" r:id="rId1180" xr:uid="{00000000-0004-0000-0200-00009B040000}"/>
    <hyperlink ref="C395" r:id="rId1181" xr:uid="{00000000-0004-0000-0200-00009C040000}"/>
    <hyperlink ref="E395" r:id="rId1182" xr:uid="{00000000-0004-0000-0200-00009D040000}"/>
    <hyperlink ref="B396" r:id="rId1183" xr:uid="{00000000-0004-0000-0200-00009E040000}"/>
    <hyperlink ref="C396" r:id="rId1184" xr:uid="{00000000-0004-0000-0200-00009F040000}"/>
    <hyperlink ref="E396" r:id="rId1185" xr:uid="{00000000-0004-0000-0200-0000A0040000}"/>
    <hyperlink ref="B397" r:id="rId1186" xr:uid="{00000000-0004-0000-0200-0000A1040000}"/>
    <hyperlink ref="C397" r:id="rId1187" xr:uid="{00000000-0004-0000-0200-0000A2040000}"/>
    <hyperlink ref="E397" r:id="rId1188" xr:uid="{00000000-0004-0000-0200-0000A3040000}"/>
    <hyperlink ref="B398" r:id="rId1189" xr:uid="{00000000-0004-0000-0200-0000A4040000}"/>
    <hyperlink ref="C398" r:id="rId1190" xr:uid="{00000000-0004-0000-0200-0000A5040000}"/>
    <hyperlink ref="E398" r:id="rId1191" xr:uid="{00000000-0004-0000-0200-0000A6040000}"/>
    <hyperlink ref="B399" r:id="rId1192" xr:uid="{00000000-0004-0000-0200-0000A7040000}"/>
    <hyperlink ref="C399" r:id="rId1193" xr:uid="{00000000-0004-0000-0200-0000A8040000}"/>
    <hyperlink ref="E399" r:id="rId1194" xr:uid="{00000000-0004-0000-0200-0000A9040000}"/>
    <hyperlink ref="B400" r:id="rId1195" xr:uid="{00000000-0004-0000-0200-0000AA040000}"/>
    <hyperlink ref="C400" r:id="rId1196" xr:uid="{00000000-0004-0000-0200-0000AB040000}"/>
    <hyperlink ref="E400" r:id="rId1197" xr:uid="{00000000-0004-0000-0200-0000AC040000}"/>
    <hyperlink ref="B401" r:id="rId1198" xr:uid="{00000000-0004-0000-0200-0000AD040000}"/>
    <hyperlink ref="C401" r:id="rId1199" xr:uid="{00000000-0004-0000-0200-0000AE040000}"/>
    <hyperlink ref="E401" r:id="rId1200" xr:uid="{00000000-0004-0000-0200-0000AF040000}"/>
    <hyperlink ref="B402" r:id="rId1201" xr:uid="{00000000-0004-0000-0200-0000B0040000}"/>
    <hyperlink ref="C402" r:id="rId1202" xr:uid="{00000000-0004-0000-0200-0000B1040000}"/>
    <hyperlink ref="E402" r:id="rId1203" xr:uid="{00000000-0004-0000-0200-0000B2040000}"/>
    <hyperlink ref="B403" r:id="rId1204" xr:uid="{00000000-0004-0000-0200-0000B3040000}"/>
    <hyperlink ref="C403" r:id="rId1205" xr:uid="{00000000-0004-0000-0200-0000B4040000}"/>
    <hyperlink ref="E403" r:id="rId1206" xr:uid="{00000000-0004-0000-0200-0000B5040000}"/>
    <hyperlink ref="B404" r:id="rId1207" xr:uid="{00000000-0004-0000-0200-0000B6040000}"/>
    <hyperlink ref="C404" r:id="rId1208" xr:uid="{00000000-0004-0000-0200-0000B7040000}"/>
    <hyperlink ref="E404" r:id="rId1209" xr:uid="{00000000-0004-0000-0200-0000B8040000}"/>
    <hyperlink ref="B405" r:id="rId1210" xr:uid="{00000000-0004-0000-0200-0000B9040000}"/>
    <hyperlink ref="C405" r:id="rId1211" xr:uid="{00000000-0004-0000-0200-0000BA040000}"/>
    <hyperlink ref="E405" r:id="rId1212" xr:uid="{00000000-0004-0000-0200-0000BB040000}"/>
    <hyperlink ref="B406" r:id="rId1213" xr:uid="{00000000-0004-0000-0200-0000BC040000}"/>
    <hyperlink ref="C406" r:id="rId1214" xr:uid="{00000000-0004-0000-0200-0000BD040000}"/>
    <hyperlink ref="E406" r:id="rId1215" xr:uid="{00000000-0004-0000-0200-0000BE040000}"/>
    <hyperlink ref="B407" r:id="rId1216" xr:uid="{00000000-0004-0000-0200-0000BF040000}"/>
    <hyperlink ref="C407" r:id="rId1217" xr:uid="{00000000-0004-0000-0200-0000C0040000}"/>
    <hyperlink ref="E407" r:id="rId1218" xr:uid="{00000000-0004-0000-0200-0000C1040000}"/>
    <hyperlink ref="B408" r:id="rId1219" xr:uid="{00000000-0004-0000-0200-0000C2040000}"/>
    <hyperlink ref="C408" r:id="rId1220" xr:uid="{00000000-0004-0000-0200-0000C3040000}"/>
    <hyperlink ref="E408" r:id="rId1221" xr:uid="{00000000-0004-0000-0200-0000C4040000}"/>
    <hyperlink ref="B409" r:id="rId1222" xr:uid="{00000000-0004-0000-0200-0000C5040000}"/>
    <hyperlink ref="C409" r:id="rId1223" xr:uid="{00000000-0004-0000-0200-0000C6040000}"/>
    <hyperlink ref="E409" r:id="rId1224" xr:uid="{00000000-0004-0000-0200-0000C7040000}"/>
    <hyperlink ref="B410" r:id="rId1225" xr:uid="{00000000-0004-0000-0200-0000C8040000}"/>
    <hyperlink ref="C410" r:id="rId1226" xr:uid="{00000000-0004-0000-0200-0000C9040000}"/>
    <hyperlink ref="E410" r:id="rId1227" xr:uid="{00000000-0004-0000-0200-0000CA040000}"/>
    <hyperlink ref="B411" r:id="rId1228" xr:uid="{00000000-0004-0000-0200-0000CB040000}"/>
    <hyperlink ref="C411" r:id="rId1229" xr:uid="{00000000-0004-0000-0200-0000CC040000}"/>
    <hyperlink ref="E411" r:id="rId1230" xr:uid="{00000000-0004-0000-0200-0000CD040000}"/>
    <hyperlink ref="B412" r:id="rId1231" xr:uid="{00000000-0004-0000-0200-0000CE040000}"/>
    <hyperlink ref="C412" r:id="rId1232" xr:uid="{00000000-0004-0000-0200-0000CF040000}"/>
    <hyperlink ref="E412" r:id="rId1233" xr:uid="{00000000-0004-0000-0200-0000D0040000}"/>
    <hyperlink ref="B413" r:id="rId1234" xr:uid="{00000000-0004-0000-0200-0000D1040000}"/>
    <hyperlink ref="C413" r:id="rId1235" xr:uid="{00000000-0004-0000-0200-0000D2040000}"/>
    <hyperlink ref="E413" r:id="rId1236" xr:uid="{00000000-0004-0000-0200-0000D3040000}"/>
    <hyperlink ref="B414" r:id="rId1237" xr:uid="{00000000-0004-0000-0200-0000D4040000}"/>
    <hyperlink ref="C414" r:id="rId1238" xr:uid="{00000000-0004-0000-0200-0000D5040000}"/>
    <hyperlink ref="E414" r:id="rId1239" xr:uid="{00000000-0004-0000-0200-0000D6040000}"/>
    <hyperlink ref="B415" r:id="rId1240" xr:uid="{00000000-0004-0000-0200-0000D7040000}"/>
    <hyperlink ref="C415" r:id="rId1241" xr:uid="{00000000-0004-0000-0200-0000D8040000}"/>
    <hyperlink ref="E415" r:id="rId1242" xr:uid="{00000000-0004-0000-0200-0000D9040000}"/>
    <hyperlink ref="B416" r:id="rId1243" xr:uid="{00000000-0004-0000-0200-0000DA040000}"/>
    <hyperlink ref="C416" r:id="rId1244" xr:uid="{00000000-0004-0000-0200-0000DB040000}"/>
    <hyperlink ref="E416" r:id="rId1245" xr:uid="{00000000-0004-0000-0200-0000DC040000}"/>
    <hyperlink ref="B417" r:id="rId1246" xr:uid="{00000000-0004-0000-0200-0000DD040000}"/>
    <hyperlink ref="C417" r:id="rId1247" xr:uid="{00000000-0004-0000-0200-0000DE040000}"/>
    <hyperlink ref="E417" r:id="rId1248" xr:uid="{00000000-0004-0000-0200-0000DF040000}"/>
    <hyperlink ref="B418" r:id="rId1249" xr:uid="{00000000-0004-0000-0200-0000E0040000}"/>
    <hyperlink ref="C418" r:id="rId1250" xr:uid="{00000000-0004-0000-0200-0000E1040000}"/>
    <hyperlink ref="E418" r:id="rId1251" xr:uid="{00000000-0004-0000-0200-0000E2040000}"/>
    <hyperlink ref="B419" r:id="rId1252" xr:uid="{00000000-0004-0000-0200-0000E3040000}"/>
    <hyperlink ref="C419" r:id="rId1253" xr:uid="{00000000-0004-0000-0200-0000E4040000}"/>
    <hyperlink ref="E419" r:id="rId1254" xr:uid="{00000000-0004-0000-0200-0000E5040000}"/>
    <hyperlink ref="B420" r:id="rId1255" xr:uid="{00000000-0004-0000-0200-0000E6040000}"/>
    <hyperlink ref="C420" r:id="rId1256" xr:uid="{00000000-0004-0000-0200-0000E7040000}"/>
    <hyperlink ref="E420" r:id="rId1257" xr:uid="{00000000-0004-0000-0200-0000E8040000}"/>
    <hyperlink ref="B421" r:id="rId1258" xr:uid="{00000000-0004-0000-0200-0000E9040000}"/>
    <hyperlink ref="C421" r:id="rId1259" xr:uid="{00000000-0004-0000-0200-0000EA040000}"/>
    <hyperlink ref="E421" r:id="rId1260" xr:uid="{00000000-0004-0000-0200-0000EB040000}"/>
    <hyperlink ref="B422" r:id="rId1261" xr:uid="{00000000-0004-0000-0200-0000EC040000}"/>
    <hyperlink ref="C422" r:id="rId1262" xr:uid="{00000000-0004-0000-0200-0000ED040000}"/>
    <hyperlink ref="E422" r:id="rId1263" xr:uid="{00000000-0004-0000-0200-0000EE040000}"/>
    <hyperlink ref="B423" r:id="rId1264" xr:uid="{00000000-0004-0000-0200-0000EF040000}"/>
    <hyperlink ref="C423" r:id="rId1265" xr:uid="{00000000-0004-0000-0200-0000F0040000}"/>
    <hyperlink ref="E423" r:id="rId1266" xr:uid="{00000000-0004-0000-0200-0000F1040000}"/>
    <hyperlink ref="B424" r:id="rId1267" xr:uid="{00000000-0004-0000-0200-0000F2040000}"/>
    <hyperlink ref="C424" r:id="rId1268" xr:uid="{00000000-0004-0000-0200-0000F3040000}"/>
    <hyperlink ref="E424" r:id="rId1269" xr:uid="{00000000-0004-0000-0200-0000F4040000}"/>
    <hyperlink ref="B425" r:id="rId1270" xr:uid="{00000000-0004-0000-0200-0000F5040000}"/>
    <hyperlink ref="C425" r:id="rId1271" xr:uid="{00000000-0004-0000-0200-0000F6040000}"/>
    <hyperlink ref="E425" r:id="rId1272" xr:uid="{00000000-0004-0000-0200-0000F7040000}"/>
    <hyperlink ref="B426" r:id="rId1273" xr:uid="{00000000-0004-0000-0200-0000F8040000}"/>
    <hyperlink ref="C426" r:id="rId1274" xr:uid="{00000000-0004-0000-0200-0000F9040000}"/>
    <hyperlink ref="E426" r:id="rId1275" xr:uid="{00000000-0004-0000-0200-0000FA040000}"/>
    <hyperlink ref="B427" r:id="rId1276" xr:uid="{00000000-0004-0000-0200-0000FB040000}"/>
    <hyperlink ref="C427" r:id="rId1277" xr:uid="{00000000-0004-0000-0200-0000FC040000}"/>
    <hyperlink ref="E427" r:id="rId1278" xr:uid="{00000000-0004-0000-0200-0000FD040000}"/>
    <hyperlink ref="B428" r:id="rId1279" xr:uid="{00000000-0004-0000-0200-0000FE040000}"/>
    <hyperlink ref="C428" r:id="rId1280" xr:uid="{00000000-0004-0000-0200-0000FF040000}"/>
    <hyperlink ref="E428" r:id="rId1281" xr:uid="{00000000-0004-0000-0200-000000050000}"/>
    <hyperlink ref="B429" r:id="rId1282" xr:uid="{00000000-0004-0000-0200-000001050000}"/>
    <hyperlink ref="C429" r:id="rId1283" xr:uid="{00000000-0004-0000-0200-000002050000}"/>
    <hyperlink ref="E429" r:id="rId1284" xr:uid="{00000000-0004-0000-0200-000003050000}"/>
    <hyperlink ref="B430" r:id="rId1285" xr:uid="{00000000-0004-0000-0200-000004050000}"/>
    <hyperlink ref="C430" r:id="rId1286" xr:uid="{00000000-0004-0000-0200-000005050000}"/>
    <hyperlink ref="E430" r:id="rId1287" xr:uid="{00000000-0004-0000-0200-000006050000}"/>
    <hyperlink ref="B431" r:id="rId1288" xr:uid="{00000000-0004-0000-0200-000007050000}"/>
    <hyperlink ref="C431" r:id="rId1289" xr:uid="{00000000-0004-0000-0200-000008050000}"/>
    <hyperlink ref="E431" r:id="rId1290" xr:uid="{00000000-0004-0000-0200-000009050000}"/>
    <hyperlink ref="B432" r:id="rId1291" xr:uid="{00000000-0004-0000-0200-00000A050000}"/>
    <hyperlink ref="C432" r:id="rId1292" xr:uid="{00000000-0004-0000-0200-00000B050000}"/>
    <hyperlink ref="E432" r:id="rId1293" xr:uid="{00000000-0004-0000-0200-00000C050000}"/>
    <hyperlink ref="B433" r:id="rId1294" xr:uid="{00000000-0004-0000-0200-00000D050000}"/>
    <hyperlink ref="C433" r:id="rId1295" xr:uid="{00000000-0004-0000-0200-00000E050000}"/>
    <hyperlink ref="E433" r:id="rId1296" xr:uid="{00000000-0004-0000-0200-00000F050000}"/>
    <hyperlink ref="B434" r:id="rId1297" xr:uid="{00000000-0004-0000-0200-000010050000}"/>
    <hyperlink ref="C434" r:id="rId1298" xr:uid="{00000000-0004-0000-0200-000011050000}"/>
    <hyperlink ref="E434" r:id="rId1299" xr:uid="{00000000-0004-0000-0200-000012050000}"/>
    <hyperlink ref="B435" r:id="rId1300" xr:uid="{00000000-0004-0000-0200-000013050000}"/>
    <hyperlink ref="C435" r:id="rId1301" xr:uid="{00000000-0004-0000-0200-000014050000}"/>
    <hyperlink ref="E435" r:id="rId1302" xr:uid="{00000000-0004-0000-0200-000015050000}"/>
    <hyperlink ref="B436" r:id="rId1303" xr:uid="{00000000-0004-0000-0200-000016050000}"/>
    <hyperlink ref="C436" r:id="rId1304" xr:uid="{00000000-0004-0000-0200-000017050000}"/>
    <hyperlink ref="E436" r:id="rId1305" xr:uid="{00000000-0004-0000-0200-000018050000}"/>
    <hyperlink ref="B437" r:id="rId1306" xr:uid="{00000000-0004-0000-0200-000019050000}"/>
    <hyperlink ref="C437" r:id="rId1307" xr:uid="{00000000-0004-0000-0200-00001A050000}"/>
    <hyperlink ref="E437" r:id="rId1308" xr:uid="{00000000-0004-0000-0200-00001B050000}"/>
    <hyperlink ref="B438" r:id="rId1309" xr:uid="{00000000-0004-0000-0200-00001C050000}"/>
    <hyperlink ref="C438" r:id="rId1310" xr:uid="{00000000-0004-0000-0200-00001D050000}"/>
    <hyperlink ref="E438" r:id="rId1311" xr:uid="{00000000-0004-0000-0200-00001E050000}"/>
    <hyperlink ref="B439" r:id="rId1312" xr:uid="{00000000-0004-0000-0200-00001F050000}"/>
    <hyperlink ref="C439" r:id="rId1313" xr:uid="{00000000-0004-0000-0200-000020050000}"/>
    <hyperlink ref="E439" r:id="rId1314" xr:uid="{00000000-0004-0000-0200-000021050000}"/>
    <hyperlink ref="B440" r:id="rId1315" xr:uid="{00000000-0004-0000-0200-000022050000}"/>
    <hyperlink ref="C440" r:id="rId1316" xr:uid="{00000000-0004-0000-0200-000023050000}"/>
    <hyperlink ref="E440" r:id="rId1317" xr:uid="{00000000-0004-0000-0200-000024050000}"/>
    <hyperlink ref="B441" r:id="rId1318" xr:uid="{00000000-0004-0000-0200-000025050000}"/>
    <hyperlink ref="C441" r:id="rId1319" xr:uid="{00000000-0004-0000-0200-000026050000}"/>
    <hyperlink ref="E441" r:id="rId1320" xr:uid="{00000000-0004-0000-0200-000027050000}"/>
    <hyperlink ref="B442" r:id="rId1321" xr:uid="{00000000-0004-0000-0200-000028050000}"/>
    <hyperlink ref="C442" r:id="rId1322" xr:uid="{00000000-0004-0000-0200-000029050000}"/>
    <hyperlink ref="E442" r:id="rId1323" xr:uid="{00000000-0004-0000-0200-00002A050000}"/>
    <hyperlink ref="B443" r:id="rId1324" xr:uid="{00000000-0004-0000-0200-00002B050000}"/>
    <hyperlink ref="C443" r:id="rId1325" xr:uid="{00000000-0004-0000-0200-00002C050000}"/>
    <hyperlink ref="E443" r:id="rId1326" xr:uid="{00000000-0004-0000-0200-00002D050000}"/>
    <hyperlink ref="B444" r:id="rId1327" xr:uid="{00000000-0004-0000-0200-00002E050000}"/>
    <hyperlink ref="C444" r:id="rId1328" xr:uid="{00000000-0004-0000-0200-00002F050000}"/>
    <hyperlink ref="E444" r:id="rId1329" xr:uid="{00000000-0004-0000-0200-000030050000}"/>
    <hyperlink ref="B445" r:id="rId1330" xr:uid="{00000000-0004-0000-0200-000031050000}"/>
    <hyperlink ref="C445" r:id="rId1331" xr:uid="{00000000-0004-0000-0200-000032050000}"/>
    <hyperlink ref="E445" r:id="rId1332" xr:uid="{00000000-0004-0000-0200-000033050000}"/>
    <hyperlink ref="B446" r:id="rId1333" xr:uid="{00000000-0004-0000-0200-000034050000}"/>
    <hyperlink ref="C446" r:id="rId1334" xr:uid="{00000000-0004-0000-0200-000035050000}"/>
    <hyperlink ref="E446" r:id="rId1335" xr:uid="{00000000-0004-0000-0200-000036050000}"/>
    <hyperlink ref="B447" r:id="rId1336" xr:uid="{00000000-0004-0000-0200-000037050000}"/>
    <hyperlink ref="C447" r:id="rId1337" xr:uid="{00000000-0004-0000-0200-000038050000}"/>
    <hyperlink ref="E447" r:id="rId1338" xr:uid="{00000000-0004-0000-0200-000039050000}"/>
    <hyperlink ref="B448" r:id="rId1339" xr:uid="{00000000-0004-0000-0200-00003A050000}"/>
    <hyperlink ref="C448" r:id="rId1340" xr:uid="{00000000-0004-0000-0200-00003B050000}"/>
    <hyperlink ref="E448" r:id="rId1341" xr:uid="{00000000-0004-0000-0200-00003C050000}"/>
    <hyperlink ref="B449" r:id="rId1342" xr:uid="{00000000-0004-0000-0200-00003D050000}"/>
    <hyperlink ref="C449" r:id="rId1343" xr:uid="{00000000-0004-0000-0200-00003E050000}"/>
    <hyperlink ref="E449" r:id="rId1344" xr:uid="{00000000-0004-0000-0200-00003F050000}"/>
    <hyperlink ref="B450" r:id="rId1345" xr:uid="{00000000-0004-0000-0200-000040050000}"/>
    <hyperlink ref="C450" r:id="rId1346" xr:uid="{00000000-0004-0000-0200-000041050000}"/>
    <hyperlink ref="E450" r:id="rId1347" xr:uid="{00000000-0004-0000-0200-000042050000}"/>
    <hyperlink ref="B451" r:id="rId1348" xr:uid="{00000000-0004-0000-0200-000043050000}"/>
    <hyperlink ref="C451" r:id="rId1349" xr:uid="{00000000-0004-0000-0200-000044050000}"/>
    <hyperlink ref="E451" r:id="rId1350" xr:uid="{00000000-0004-0000-0200-000045050000}"/>
    <hyperlink ref="B452" r:id="rId1351" xr:uid="{00000000-0004-0000-0200-000046050000}"/>
    <hyperlink ref="C452" r:id="rId1352" xr:uid="{00000000-0004-0000-0200-000047050000}"/>
    <hyperlink ref="E452" r:id="rId1353" xr:uid="{00000000-0004-0000-0200-000048050000}"/>
    <hyperlink ref="B453" r:id="rId1354" xr:uid="{00000000-0004-0000-0200-000049050000}"/>
    <hyperlink ref="C453" r:id="rId1355" xr:uid="{00000000-0004-0000-0200-00004A050000}"/>
    <hyperlink ref="E453" r:id="rId1356" xr:uid="{00000000-0004-0000-0200-00004B050000}"/>
    <hyperlink ref="B454" r:id="rId1357" xr:uid="{00000000-0004-0000-0200-00004C050000}"/>
    <hyperlink ref="C454" r:id="rId1358" xr:uid="{00000000-0004-0000-0200-00004D050000}"/>
    <hyperlink ref="E454" r:id="rId1359" xr:uid="{00000000-0004-0000-0200-00004E050000}"/>
    <hyperlink ref="B455" r:id="rId1360" xr:uid="{00000000-0004-0000-0200-00004F050000}"/>
    <hyperlink ref="C455" r:id="rId1361" xr:uid="{00000000-0004-0000-0200-000050050000}"/>
    <hyperlink ref="E455" r:id="rId1362" xr:uid="{00000000-0004-0000-0200-000051050000}"/>
    <hyperlink ref="B456" r:id="rId1363" xr:uid="{00000000-0004-0000-0200-000052050000}"/>
    <hyperlink ref="C456" r:id="rId1364" xr:uid="{00000000-0004-0000-0200-000053050000}"/>
    <hyperlink ref="E456" r:id="rId1365" xr:uid="{00000000-0004-0000-0200-000054050000}"/>
    <hyperlink ref="B457" r:id="rId1366" xr:uid="{00000000-0004-0000-0200-000055050000}"/>
    <hyperlink ref="C457" r:id="rId1367" xr:uid="{00000000-0004-0000-0200-000056050000}"/>
    <hyperlink ref="E457" r:id="rId1368" xr:uid="{00000000-0004-0000-0200-000057050000}"/>
    <hyperlink ref="B458" r:id="rId1369" xr:uid="{00000000-0004-0000-0200-000058050000}"/>
    <hyperlink ref="C458" r:id="rId1370" xr:uid="{00000000-0004-0000-0200-000059050000}"/>
    <hyperlink ref="E458" r:id="rId1371" xr:uid="{00000000-0004-0000-0200-00005A050000}"/>
    <hyperlink ref="B459" r:id="rId1372" xr:uid="{00000000-0004-0000-0200-00005B050000}"/>
    <hyperlink ref="C459" r:id="rId1373" xr:uid="{00000000-0004-0000-0200-00005C050000}"/>
    <hyperlink ref="E459" r:id="rId1374" xr:uid="{00000000-0004-0000-0200-00005D050000}"/>
    <hyperlink ref="B460" r:id="rId1375" xr:uid="{00000000-0004-0000-0200-00005E050000}"/>
    <hyperlink ref="C460" r:id="rId1376" xr:uid="{00000000-0004-0000-0200-00005F050000}"/>
    <hyperlink ref="E460" r:id="rId1377" xr:uid="{00000000-0004-0000-0200-000060050000}"/>
    <hyperlink ref="B461" r:id="rId1378" xr:uid="{00000000-0004-0000-0200-000061050000}"/>
    <hyperlink ref="C461" r:id="rId1379" xr:uid="{00000000-0004-0000-0200-000062050000}"/>
    <hyperlink ref="E461" r:id="rId1380" xr:uid="{00000000-0004-0000-0200-000063050000}"/>
    <hyperlink ref="B462" r:id="rId1381" xr:uid="{00000000-0004-0000-0200-000064050000}"/>
    <hyperlink ref="C462" r:id="rId1382" xr:uid="{00000000-0004-0000-0200-000065050000}"/>
    <hyperlink ref="E462" r:id="rId1383" xr:uid="{00000000-0004-0000-0200-000066050000}"/>
    <hyperlink ref="B463" r:id="rId1384" xr:uid="{00000000-0004-0000-0200-000067050000}"/>
    <hyperlink ref="C463" r:id="rId1385" xr:uid="{00000000-0004-0000-0200-000068050000}"/>
    <hyperlink ref="E463" r:id="rId1386" xr:uid="{00000000-0004-0000-0200-000069050000}"/>
    <hyperlink ref="B464" r:id="rId1387" xr:uid="{00000000-0004-0000-0200-00006A050000}"/>
    <hyperlink ref="C464" r:id="rId1388" xr:uid="{00000000-0004-0000-0200-00006B050000}"/>
    <hyperlink ref="E464" r:id="rId1389" xr:uid="{00000000-0004-0000-0200-00006C050000}"/>
    <hyperlink ref="B465" r:id="rId1390" xr:uid="{00000000-0004-0000-0200-00006D050000}"/>
    <hyperlink ref="C465" r:id="rId1391" xr:uid="{00000000-0004-0000-0200-00006E050000}"/>
    <hyperlink ref="E465" r:id="rId1392" xr:uid="{00000000-0004-0000-0200-00006F050000}"/>
    <hyperlink ref="B466" r:id="rId1393" xr:uid="{00000000-0004-0000-0200-000070050000}"/>
    <hyperlink ref="C466" r:id="rId1394" xr:uid="{00000000-0004-0000-0200-000071050000}"/>
    <hyperlink ref="E466" r:id="rId1395" xr:uid="{00000000-0004-0000-0200-000072050000}"/>
    <hyperlink ref="B467" r:id="rId1396" xr:uid="{00000000-0004-0000-0200-000073050000}"/>
    <hyperlink ref="C467" r:id="rId1397" xr:uid="{00000000-0004-0000-0200-000074050000}"/>
    <hyperlink ref="E467" r:id="rId1398" xr:uid="{00000000-0004-0000-0200-000075050000}"/>
    <hyperlink ref="B468" r:id="rId1399" xr:uid="{00000000-0004-0000-0200-000076050000}"/>
    <hyperlink ref="C468" r:id="rId1400" xr:uid="{00000000-0004-0000-0200-000077050000}"/>
    <hyperlink ref="E468" r:id="rId1401" xr:uid="{00000000-0004-0000-0200-000078050000}"/>
    <hyperlink ref="B469" r:id="rId1402" xr:uid="{00000000-0004-0000-0200-000079050000}"/>
    <hyperlink ref="C469" r:id="rId1403" xr:uid="{00000000-0004-0000-0200-00007A050000}"/>
    <hyperlink ref="E469" r:id="rId1404" xr:uid="{00000000-0004-0000-0200-00007B050000}"/>
    <hyperlink ref="B470" r:id="rId1405" xr:uid="{00000000-0004-0000-0200-00007C050000}"/>
    <hyperlink ref="C470" r:id="rId1406" xr:uid="{00000000-0004-0000-0200-00007D050000}"/>
    <hyperlink ref="E470" r:id="rId1407" xr:uid="{00000000-0004-0000-0200-00007E050000}"/>
    <hyperlink ref="B471" r:id="rId1408" xr:uid="{00000000-0004-0000-0200-00007F050000}"/>
    <hyperlink ref="C471" r:id="rId1409" xr:uid="{00000000-0004-0000-0200-000080050000}"/>
    <hyperlink ref="E471" r:id="rId1410" xr:uid="{00000000-0004-0000-0200-000081050000}"/>
    <hyperlink ref="B472" r:id="rId1411" xr:uid="{00000000-0004-0000-0200-000082050000}"/>
    <hyperlink ref="C472" r:id="rId1412" xr:uid="{00000000-0004-0000-0200-000083050000}"/>
    <hyperlink ref="E472" r:id="rId1413" xr:uid="{00000000-0004-0000-0200-000084050000}"/>
    <hyperlink ref="B473" r:id="rId1414" xr:uid="{00000000-0004-0000-0200-000085050000}"/>
    <hyperlink ref="C473" r:id="rId1415" xr:uid="{00000000-0004-0000-0200-000086050000}"/>
    <hyperlink ref="E473" r:id="rId1416" xr:uid="{00000000-0004-0000-0200-000087050000}"/>
    <hyperlink ref="B474" r:id="rId1417" xr:uid="{00000000-0004-0000-0200-000088050000}"/>
    <hyperlink ref="C474" r:id="rId1418" xr:uid="{00000000-0004-0000-0200-000089050000}"/>
    <hyperlink ref="E474" r:id="rId1419" xr:uid="{00000000-0004-0000-0200-00008A050000}"/>
    <hyperlink ref="B475" r:id="rId1420" xr:uid="{00000000-0004-0000-0200-00008B050000}"/>
    <hyperlink ref="C475" r:id="rId1421" xr:uid="{00000000-0004-0000-0200-00008C050000}"/>
    <hyperlink ref="E475" r:id="rId1422" xr:uid="{00000000-0004-0000-0200-00008D050000}"/>
    <hyperlink ref="B476" r:id="rId1423" xr:uid="{00000000-0004-0000-0200-00008E050000}"/>
    <hyperlink ref="C476" r:id="rId1424" xr:uid="{00000000-0004-0000-0200-00008F050000}"/>
    <hyperlink ref="E476" r:id="rId1425" xr:uid="{00000000-0004-0000-0200-000090050000}"/>
    <hyperlink ref="B477" r:id="rId1426" xr:uid="{00000000-0004-0000-0200-000091050000}"/>
    <hyperlink ref="C477" r:id="rId1427" xr:uid="{00000000-0004-0000-0200-000092050000}"/>
    <hyperlink ref="E477" r:id="rId1428" xr:uid="{00000000-0004-0000-0200-000093050000}"/>
    <hyperlink ref="B478" r:id="rId1429" xr:uid="{00000000-0004-0000-0200-000094050000}"/>
    <hyperlink ref="C478" r:id="rId1430" xr:uid="{00000000-0004-0000-0200-000095050000}"/>
    <hyperlink ref="E478" r:id="rId1431" xr:uid="{00000000-0004-0000-0200-000096050000}"/>
    <hyperlink ref="B479" r:id="rId1432" xr:uid="{00000000-0004-0000-0200-000097050000}"/>
    <hyperlink ref="C479" r:id="rId1433" xr:uid="{00000000-0004-0000-0200-000098050000}"/>
    <hyperlink ref="E479" r:id="rId1434" xr:uid="{00000000-0004-0000-0200-000099050000}"/>
    <hyperlink ref="B480" r:id="rId1435" xr:uid="{00000000-0004-0000-0200-00009A050000}"/>
    <hyperlink ref="C480" r:id="rId1436" xr:uid="{00000000-0004-0000-0200-00009B050000}"/>
    <hyperlink ref="E480" r:id="rId1437" xr:uid="{00000000-0004-0000-0200-00009C050000}"/>
    <hyperlink ref="B481" r:id="rId1438" xr:uid="{00000000-0004-0000-0200-00009D050000}"/>
    <hyperlink ref="C481" r:id="rId1439" xr:uid="{00000000-0004-0000-0200-00009E050000}"/>
    <hyperlink ref="E481" r:id="rId1440" xr:uid="{00000000-0004-0000-0200-00009F050000}"/>
    <hyperlink ref="B482" r:id="rId1441" xr:uid="{00000000-0004-0000-0200-0000A0050000}"/>
    <hyperlink ref="C482" r:id="rId1442" xr:uid="{00000000-0004-0000-0200-0000A1050000}"/>
    <hyperlink ref="E482" r:id="rId1443" xr:uid="{00000000-0004-0000-0200-0000A2050000}"/>
    <hyperlink ref="B483" r:id="rId1444" xr:uid="{00000000-0004-0000-0200-0000A3050000}"/>
    <hyperlink ref="C483" r:id="rId1445" xr:uid="{00000000-0004-0000-0200-0000A4050000}"/>
    <hyperlink ref="E483" r:id="rId1446" xr:uid="{00000000-0004-0000-0200-0000A5050000}"/>
    <hyperlink ref="B484" r:id="rId1447" xr:uid="{00000000-0004-0000-0200-0000A6050000}"/>
    <hyperlink ref="C484" r:id="rId1448" xr:uid="{00000000-0004-0000-0200-0000A7050000}"/>
    <hyperlink ref="E484" r:id="rId1449" xr:uid="{00000000-0004-0000-0200-0000A8050000}"/>
    <hyperlink ref="B485" r:id="rId1450" xr:uid="{00000000-0004-0000-0200-0000A9050000}"/>
    <hyperlink ref="C485" r:id="rId1451" xr:uid="{00000000-0004-0000-0200-0000AA050000}"/>
    <hyperlink ref="E485" r:id="rId1452" xr:uid="{00000000-0004-0000-0200-0000AB050000}"/>
    <hyperlink ref="B486" r:id="rId1453" xr:uid="{00000000-0004-0000-0200-0000AC050000}"/>
    <hyperlink ref="C486" r:id="rId1454" xr:uid="{00000000-0004-0000-0200-0000AD050000}"/>
    <hyperlink ref="E486" r:id="rId1455" xr:uid="{00000000-0004-0000-0200-0000AE050000}"/>
    <hyperlink ref="B487" r:id="rId1456" xr:uid="{00000000-0004-0000-0200-0000AF050000}"/>
    <hyperlink ref="C487" r:id="rId1457" xr:uid="{00000000-0004-0000-0200-0000B0050000}"/>
    <hyperlink ref="E487" r:id="rId1458" xr:uid="{00000000-0004-0000-0200-0000B1050000}"/>
    <hyperlink ref="B488" r:id="rId1459" xr:uid="{00000000-0004-0000-0200-0000B2050000}"/>
    <hyperlink ref="C488" r:id="rId1460" xr:uid="{00000000-0004-0000-0200-0000B3050000}"/>
    <hyperlink ref="E488" r:id="rId1461" xr:uid="{00000000-0004-0000-0200-0000B4050000}"/>
    <hyperlink ref="B489" r:id="rId1462" xr:uid="{00000000-0004-0000-0200-0000B5050000}"/>
    <hyperlink ref="C489" r:id="rId1463" xr:uid="{00000000-0004-0000-0200-0000B6050000}"/>
    <hyperlink ref="E489" r:id="rId1464" xr:uid="{00000000-0004-0000-0200-0000B7050000}"/>
    <hyperlink ref="B490" r:id="rId1465" xr:uid="{00000000-0004-0000-0200-0000B8050000}"/>
    <hyperlink ref="C490" r:id="rId1466" xr:uid="{00000000-0004-0000-0200-0000B9050000}"/>
    <hyperlink ref="E490" r:id="rId1467" xr:uid="{00000000-0004-0000-0200-0000BA050000}"/>
    <hyperlink ref="B491" r:id="rId1468" xr:uid="{00000000-0004-0000-0200-0000BB050000}"/>
    <hyperlink ref="C491" r:id="rId1469" xr:uid="{00000000-0004-0000-0200-0000BC050000}"/>
    <hyperlink ref="E491" r:id="rId1470" xr:uid="{00000000-0004-0000-0200-0000BD050000}"/>
    <hyperlink ref="B492" r:id="rId1471" xr:uid="{00000000-0004-0000-0200-0000BE050000}"/>
    <hyperlink ref="C492" r:id="rId1472" xr:uid="{00000000-0004-0000-0200-0000BF050000}"/>
    <hyperlink ref="E492" r:id="rId1473" xr:uid="{00000000-0004-0000-0200-0000C0050000}"/>
    <hyperlink ref="B493" r:id="rId1474" xr:uid="{00000000-0004-0000-0200-0000C1050000}"/>
    <hyperlink ref="C493" r:id="rId1475" xr:uid="{00000000-0004-0000-0200-0000C2050000}"/>
    <hyperlink ref="E493" r:id="rId1476" xr:uid="{00000000-0004-0000-0200-0000C3050000}"/>
    <hyperlink ref="B494" r:id="rId1477" xr:uid="{00000000-0004-0000-0200-0000C4050000}"/>
    <hyperlink ref="C494" r:id="rId1478" xr:uid="{00000000-0004-0000-0200-0000C5050000}"/>
    <hyperlink ref="E494" r:id="rId1479" xr:uid="{00000000-0004-0000-0200-0000C6050000}"/>
    <hyperlink ref="B495" r:id="rId1480" xr:uid="{00000000-0004-0000-0200-0000C7050000}"/>
    <hyperlink ref="C495" r:id="rId1481" xr:uid="{00000000-0004-0000-0200-0000C8050000}"/>
    <hyperlink ref="E495" r:id="rId1482" xr:uid="{00000000-0004-0000-0200-0000C9050000}"/>
    <hyperlink ref="B496" r:id="rId1483" xr:uid="{00000000-0004-0000-0200-0000CA050000}"/>
    <hyperlink ref="C496" r:id="rId1484" xr:uid="{00000000-0004-0000-0200-0000CB050000}"/>
    <hyperlink ref="E496" r:id="rId1485" xr:uid="{00000000-0004-0000-0200-0000CC050000}"/>
    <hyperlink ref="B497" r:id="rId1486" xr:uid="{00000000-0004-0000-0200-0000CD050000}"/>
    <hyperlink ref="C497" r:id="rId1487" xr:uid="{00000000-0004-0000-0200-0000CE050000}"/>
    <hyperlink ref="E497" r:id="rId1488" xr:uid="{00000000-0004-0000-0200-0000CF050000}"/>
    <hyperlink ref="B498" r:id="rId1489" xr:uid="{00000000-0004-0000-0200-0000D0050000}"/>
    <hyperlink ref="C498" r:id="rId1490" xr:uid="{00000000-0004-0000-0200-0000D1050000}"/>
    <hyperlink ref="E498" r:id="rId1491" xr:uid="{00000000-0004-0000-0200-0000D2050000}"/>
    <hyperlink ref="B499" r:id="rId1492" xr:uid="{00000000-0004-0000-0200-0000D3050000}"/>
    <hyperlink ref="C499" r:id="rId1493" xr:uid="{00000000-0004-0000-0200-0000D4050000}"/>
    <hyperlink ref="E499" r:id="rId1494" xr:uid="{00000000-0004-0000-0200-0000D5050000}"/>
    <hyperlink ref="B500" r:id="rId1495" xr:uid="{00000000-0004-0000-0200-0000D6050000}"/>
    <hyperlink ref="C500" r:id="rId1496" xr:uid="{00000000-0004-0000-0200-0000D7050000}"/>
    <hyperlink ref="E500" r:id="rId1497" xr:uid="{00000000-0004-0000-0200-0000D8050000}"/>
    <hyperlink ref="B501" r:id="rId1498" xr:uid="{00000000-0004-0000-0200-0000D9050000}"/>
    <hyperlink ref="C501" r:id="rId1499" xr:uid="{00000000-0004-0000-0200-0000DA050000}"/>
    <hyperlink ref="E501" r:id="rId1500" xr:uid="{00000000-0004-0000-0200-0000DB050000}"/>
    <hyperlink ref="B502" r:id="rId1501" xr:uid="{00000000-0004-0000-0200-0000DC050000}"/>
    <hyperlink ref="C502" r:id="rId1502" xr:uid="{00000000-0004-0000-0200-0000DD050000}"/>
    <hyperlink ref="E502" r:id="rId1503" xr:uid="{00000000-0004-0000-0200-0000DE050000}"/>
    <hyperlink ref="B503" r:id="rId1504" xr:uid="{00000000-0004-0000-0200-0000DF050000}"/>
    <hyperlink ref="C503" r:id="rId1505" xr:uid="{00000000-0004-0000-0200-0000E0050000}"/>
    <hyperlink ref="E503" r:id="rId1506" xr:uid="{00000000-0004-0000-0200-0000E1050000}"/>
    <hyperlink ref="B504" r:id="rId1507" xr:uid="{00000000-0004-0000-0200-0000E2050000}"/>
    <hyperlink ref="C504" r:id="rId1508" xr:uid="{00000000-0004-0000-0200-0000E3050000}"/>
    <hyperlink ref="E504" r:id="rId1509" xr:uid="{00000000-0004-0000-0200-0000E4050000}"/>
  </hyperlinks>
  <pageMargins left="0.511811024" right="0.511811024" top="0.78740157499999996" bottom="0.78740157499999996" header="0.31496062000000002" footer="0.31496062000000002"/>
  <tableParts count="1">
    <tablePart r:id="rId15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85"/>
  <sheetViews>
    <sheetView workbookViewId="0">
      <pane ySplit="1" topLeftCell="A2" activePane="bottomLeft" state="frozen"/>
      <selection pane="bottomLeft" activeCell="D185" sqref="D2:D185"/>
    </sheetView>
  </sheetViews>
  <sheetFormatPr defaultColWidth="12.59765625" defaultRowHeight="15.75" customHeight="1"/>
  <cols>
    <col min="1" max="1" width="27.59765625" customWidth="1"/>
    <col min="5" max="5" width="13.86328125" customWidth="1"/>
  </cols>
  <sheetData>
    <row r="1" spans="1:8">
      <c r="A1" s="33" t="s">
        <v>3935</v>
      </c>
      <c r="B1" s="34" t="s">
        <v>3936</v>
      </c>
      <c r="C1" s="34" t="s">
        <v>3937</v>
      </c>
      <c r="D1" s="34" t="s">
        <v>3938</v>
      </c>
      <c r="E1" s="34" t="s">
        <v>3939</v>
      </c>
      <c r="F1" s="34" t="s">
        <v>3940</v>
      </c>
      <c r="G1" s="34" t="s">
        <v>3941</v>
      </c>
      <c r="H1" s="36" t="s">
        <v>3942</v>
      </c>
    </row>
    <row r="2" spans="1:8">
      <c r="A2" s="54" t="s">
        <v>25</v>
      </c>
      <c r="B2" s="55">
        <v>3530</v>
      </c>
      <c r="C2" s="55">
        <v>4841</v>
      </c>
      <c r="D2" s="55">
        <v>58991</v>
      </c>
      <c r="E2" s="56">
        <f t="shared" ref="E2:E185" si="0">SUM(B2:D2)</f>
        <v>67362</v>
      </c>
      <c r="F2" s="57">
        <f t="shared" ref="F2:F185" si="1">B2/E2</f>
        <v>5.2403432202131763E-2</v>
      </c>
      <c r="G2" s="57">
        <f t="shared" ref="G2:G185" si="2">C2/E2</f>
        <v>7.1865443425076447E-2</v>
      </c>
      <c r="H2" s="58">
        <f t="shared" ref="H2:H185" si="3">D2/E2</f>
        <v>0.87573112437279177</v>
      </c>
    </row>
    <row r="3" spans="1:8">
      <c r="A3" s="59" t="s">
        <v>66</v>
      </c>
      <c r="B3" s="60">
        <v>383</v>
      </c>
      <c r="C3" s="60">
        <v>755</v>
      </c>
      <c r="D3" s="61">
        <v>22670</v>
      </c>
      <c r="E3" s="62">
        <f t="shared" si="0"/>
        <v>23808</v>
      </c>
      <c r="F3" s="63">
        <f t="shared" si="1"/>
        <v>1.6087029569892473E-2</v>
      </c>
      <c r="G3" s="63">
        <f t="shared" si="2"/>
        <v>3.1712029569892476E-2</v>
      </c>
      <c r="H3" s="64">
        <f t="shared" si="3"/>
        <v>0.95220094086021501</v>
      </c>
    </row>
    <row r="4" spans="1:8">
      <c r="A4" s="54" t="s">
        <v>79</v>
      </c>
      <c r="B4" s="65">
        <v>194</v>
      </c>
      <c r="C4" s="66">
        <v>546</v>
      </c>
      <c r="D4" s="66">
        <v>14472</v>
      </c>
      <c r="E4" s="67">
        <f t="shared" si="0"/>
        <v>15212</v>
      </c>
      <c r="F4" s="57">
        <f t="shared" si="1"/>
        <v>1.2753089666053116E-2</v>
      </c>
      <c r="G4" s="57">
        <f t="shared" si="2"/>
        <v>3.5892716276623715E-2</v>
      </c>
      <c r="H4" s="68">
        <f t="shared" si="3"/>
        <v>0.95135419405732313</v>
      </c>
    </row>
    <row r="5" spans="1:8">
      <c r="A5" s="59" t="s">
        <v>103</v>
      </c>
      <c r="B5" s="60">
        <v>297</v>
      </c>
      <c r="C5" s="69">
        <v>708</v>
      </c>
      <c r="D5" s="69">
        <v>17109</v>
      </c>
      <c r="E5" s="70">
        <f t="shared" si="0"/>
        <v>18114</v>
      </c>
      <c r="F5" s="63">
        <f t="shared" si="1"/>
        <v>1.639615766810202E-2</v>
      </c>
      <c r="G5" s="63">
        <f t="shared" si="2"/>
        <v>3.9085789996687645E-2</v>
      </c>
      <c r="H5" s="71">
        <f t="shared" si="3"/>
        <v>0.94451805233521036</v>
      </c>
    </row>
    <row r="6" spans="1:8">
      <c r="A6" s="54" t="s">
        <v>115</v>
      </c>
      <c r="B6" s="72">
        <v>231</v>
      </c>
      <c r="C6" s="72">
        <v>471</v>
      </c>
      <c r="D6" s="73">
        <v>15931</v>
      </c>
      <c r="E6" s="74">
        <f t="shared" si="0"/>
        <v>16633</v>
      </c>
      <c r="F6" s="57">
        <f t="shared" si="1"/>
        <v>1.3888053868815007E-2</v>
      </c>
      <c r="G6" s="57">
        <f t="shared" si="2"/>
        <v>2.8317200745505922E-2</v>
      </c>
      <c r="H6" s="75">
        <f t="shared" si="3"/>
        <v>0.9577947453856791</v>
      </c>
    </row>
    <row r="7" spans="1:8">
      <c r="A7" s="59" t="s">
        <v>119</v>
      </c>
      <c r="B7" s="76">
        <v>292</v>
      </c>
      <c r="C7" s="76">
        <v>967</v>
      </c>
      <c r="D7" s="77">
        <v>24986</v>
      </c>
      <c r="E7" s="78">
        <f t="shared" si="0"/>
        <v>26245</v>
      </c>
      <c r="F7" s="63">
        <f t="shared" si="1"/>
        <v>1.1125928748333016E-2</v>
      </c>
      <c r="G7" s="63">
        <f t="shared" si="2"/>
        <v>3.6845113354924748E-2</v>
      </c>
      <c r="H7" s="79">
        <f t="shared" si="3"/>
        <v>0.95202895789674225</v>
      </c>
    </row>
    <row r="8" spans="1:8">
      <c r="A8" s="54" t="s">
        <v>135</v>
      </c>
      <c r="B8" s="72">
        <v>206</v>
      </c>
      <c r="C8" s="66">
        <v>419</v>
      </c>
      <c r="D8" s="66">
        <v>9738</v>
      </c>
      <c r="E8" s="67">
        <f t="shared" si="0"/>
        <v>10363</v>
      </c>
      <c r="F8" s="57">
        <f t="shared" si="1"/>
        <v>1.987841358679919E-2</v>
      </c>
      <c r="G8" s="57">
        <f t="shared" si="2"/>
        <v>4.0432307246936215E-2</v>
      </c>
      <c r="H8" s="68">
        <f t="shared" si="3"/>
        <v>0.93968927916626455</v>
      </c>
    </row>
    <row r="9" spans="1:8">
      <c r="A9" s="59" t="s">
        <v>150</v>
      </c>
      <c r="B9" s="80">
        <v>726</v>
      </c>
      <c r="C9" s="80">
        <v>1151</v>
      </c>
      <c r="D9" s="80">
        <v>21366</v>
      </c>
      <c r="E9" s="81">
        <f t="shared" si="0"/>
        <v>23243</v>
      </c>
      <c r="F9" s="63">
        <f t="shared" si="1"/>
        <v>3.1235210601041175E-2</v>
      </c>
      <c r="G9" s="63">
        <f t="shared" si="2"/>
        <v>4.9520285677408252E-2</v>
      </c>
      <c r="H9" s="82">
        <f t="shared" si="3"/>
        <v>0.91924450372155053</v>
      </c>
    </row>
    <row r="10" spans="1:8">
      <c r="A10" s="54" t="s">
        <v>173</v>
      </c>
      <c r="B10" s="83">
        <v>268</v>
      </c>
      <c r="C10" s="83">
        <v>588</v>
      </c>
      <c r="D10" s="83">
        <v>13985</v>
      </c>
      <c r="E10" s="84">
        <f t="shared" si="0"/>
        <v>14841</v>
      </c>
      <c r="F10" s="57">
        <f t="shared" si="1"/>
        <v>1.8058082339464994E-2</v>
      </c>
      <c r="G10" s="57">
        <f t="shared" si="2"/>
        <v>3.9619971700020212E-2</v>
      </c>
      <c r="H10" s="85">
        <f t="shared" si="3"/>
        <v>0.94232194596051477</v>
      </c>
    </row>
    <row r="11" spans="1:8">
      <c r="A11" s="59" t="s">
        <v>187</v>
      </c>
      <c r="B11" s="80">
        <v>144</v>
      </c>
      <c r="C11" s="80">
        <v>438</v>
      </c>
      <c r="D11" s="80">
        <v>14135</v>
      </c>
      <c r="E11" s="81">
        <f t="shared" si="0"/>
        <v>14717</v>
      </c>
      <c r="F11" s="63">
        <f t="shared" si="1"/>
        <v>9.7846028402527683E-3</v>
      </c>
      <c r="G11" s="63">
        <f t="shared" si="2"/>
        <v>2.9761500305768837E-2</v>
      </c>
      <c r="H11" s="82">
        <f t="shared" si="3"/>
        <v>0.96045389685397842</v>
      </c>
    </row>
    <row r="12" spans="1:8">
      <c r="A12" s="54" t="s">
        <v>203</v>
      </c>
      <c r="B12" s="83">
        <v>62</v>
      </c>
      <c r="C12" s="83">
        <v>199</v>
      </c>
      <c r="D12" s="83">
        <v>7749</v>
      </c>
      <c r="E12" s="84">
        <f t="shared" si="0"/>
        <v>8010</v>
      </c>
      <c r="F12" s="57">
        <f t="shared" si="1"/>
        <v>7.7403245942571789E-3</v>
      </c>
      <c r="G12" s="57">
        <f t="shared" si="2"/>
        <v>2.4843945068664171E-2</v>
      </c>
      <c r="H12" s="85">
        <f t="shared" si="3"/>
        <v>0.96741573033707862</v>
      </c>
    </row>
    <row r="13" spans="1:8">
      <c r="A13" s="59" t="s">
        <v>213</v>
      </c>
      <c r="B13" s="80">
        <v>223</v>
      </c>
      <c r="C13" s="80">
        <v>458</v>
      </c>
      <c r="D13" s="80">
        <v>15054</v>
      </c>
      <c r="E13" s="81">
        <f t="shared" si="0"/>
        <v>15735</v>
      </c>
      <c r="F13" s="63">
        <f t="shared" si="1"/>
        <v>1.4172227518271369E-2</v>
      </c>
      <c r="G13" s="63">
        <f t="shared" si="2"/>
        <v>2.9107086113759135E-2</v>
      </c>
      <c r="H13" s="82">
        <f t="shared" si="3"/>
        <v>0.95672068636796948</v>
      </c>
    </row>
    <row r="14" spans="1:8">
      <c r="A14" s="54" t="s">
        <v>223</v>
      </c>
      <c r="B14" s="83">
        <v>674</v>
      </c>
      <c r="C14" s="83">
        <v>1837</v>
      </c>
      <c r="D14" s="83">
        <v>46711</v>
      </c>
      <c r="E14" s="84">
        <f t="shared" si="0"/>
        <v>49222</v>
      </c>
      <c r="F14" s="57">
        <f t="shared" si="1"/>
        <v>1.3693064077038722E-2</v>
      </c>
      <c r="G14" s="57">
        <f t="shared" si="2"/>
        <v>3.7320710251513553E-2</v>
      </c>
      <c r="H14" s="85">
        <f t="shared" si="3"/>
        <v>0.94898622567144775</v>
      </c>
    </row>
    <row r="15" spans="1:8">
      <c r="A15" s="59" t="s">
        <v>238</v>
      </c>
      <c r="B15" s="80">
        <v>958</v>
      </c>
      <c r="C15" s="80">
        <v>1658</v>
      </c>
      <c r="D15" s="80">
        <v>39024</v>
      </c>
      <c r="E15" s="81">
        <f t="shared" si="0"/>
        <v>41640</v>
      </c>
      <c r="F15" s="63">
        <f t="shared" si="1"/>
        <v>2.3006724303554275E-2</v>
      </c>
      <c r="G15" s="63">
        <f t="shared" si="2"/>
        <v>3.9817483189241117E-2</v>
      </c>
      <c r="H15" s="82">
        <f t="shared" si="3"/>
        <v>0.93717579250720462</v>
      </c>
    </row>
    <row r="16" spans="1:8">
      <c r="A16" s="54" t="s">
        <v>258</v>
      </c>
      <c r="B16" s="83">
        <v>198</v>
      </c>
      <c r="C16" s="83">
        <v>387</v>
      </c>
      <c r="D16" s="83">
        <v>8326</v>
      </c>
      <c r="E16" s="84">
        <f t="shared" si="0"/>
        <v>8911</v>
      </c>
      <c r="F16" s="57">
        <f t="shared" si="1"/>
        <v>2.2219728425541464E-2</v>
      </c>
      <c r="G16" s="57">
        <f t="shared" si="2"/>
        <v>4.3429469195376498E-2</v>
      </c>
      <c r="H16" s="85">
        <f t="shared" si="3"/>
        <v>0.93435080237908208</v>
      </c>
    </row>
    <row r="17" spans="1:8">
      <c r="A17" s="59" t="s">
        <v>267</v>
      </c>
      <c r="B17" s="80">
        <v>651</v>
      </c>
      <c r="C17" s="80">
        <v>944</v>
      </c>
      <c r="D17" s="80">
        <v>22586</v>
      </c>
      <c r="E17" s="81">
        <f t="shared" si="0"/>
        <v>24181</v>
      </c>
      <c r="F17" s="63">
        <f t="shared" si="1"/>
        <v>2.6921963525081676E-2</v>
      </c>
      <c r="G17" s="63">
        <f t="shared" si="2"/>
        <v>3.9038914850502461E-2</v>
      </c>
      <c r="H17" s="82">
        <f t="shared" si="3"/>
        <v>0.93403912162441582</v>
      </c>
    </row>
    <row r="18" spans="1:8">
      <c r="A18" s="54" t="s">
        <v>290</v>
      </c>
      <c r="B18" s="86">
        <v>64</v>
      </c>
      <c r="C18" s="83">
        <v>148</v>
      </c>
      <c r="D18" s="83">
        <v>8029</v>
      </c>
      <c r="E18" s="84">
        <f t="shared" si="0"/>
        <v>8241</v>
      </c>
      <c r="F18" s="57">
        <f t="shared" si="1"/>
        <v>7.7660478097318283E-3</v>
      </c>
      <c r="G18" s="57">
        <f t="shared" si="2"/>
        <v>1.7958985560004855E-2</v>
      </c>
      <c r="H18" s="85">
        <f t="shared" si="3"/>
        <v>0.97427496663026336</v>
      </c>
    </row>
    <row r="19" spans="1:8">
      <c r="A19" s="59" t="s">
        <v>300</v>
      </c>
      <c r="B19" s="80">
        <v>97</v>
      </c>
      <c r="C19" s="80">
        <v>403</v>
      </c>
      <c r="D19" s="80">
        <v>12925</v>
      </c>
      <c r="E19" s="81">
        <f t="shared" si="0"/>
        <v>13425</v>
      </c>
      <c r="F19" s="63">
        <f t="shared" si="1"/>
        <v>7.2253258845437615E-3</v>
      </c>
      <c r="G19" s="63">
        <f t="shared" si="2"/>
        <v>3.0018621973929238E-2</v>
      </c>
      <c r="H19" s="82">
        <f t="shared" si="3"/>
        <v>0.96275605214152704</v>
      </c>
    </row>
    <row r="20" spans="1:8">
      <c r="A20" s="54" t="s">
        <v>311</v>
      </c>
      <c r="B20" s="83">
        <v>1992</v>
      </c>
      <c r="C20" s="83">
        <v>3071</v>
      </c>
      <c r="D20" s="83">
        <v>45570</v>
      </c>
      <c r="E20" s="84">
        <f t="shared" si="0"/>
        <v>50633</v>
      </c>
      <c r="F20" s="57">
        <f t="shared" si="1"/>
        <v>3.9341931151620484E-2</v>
      </c>
      <c r="G20" s="57">
        <f t="shared" si="2"/>
        <v>6.0652143858748245E-2</v>
      </c>
      <c r="H20" s="85">
        <f t="shared" si="3"/>
        <v>0.90000592498963128</v>
      </c>
    </row>
    <row r="21" spans="1:8">
      <c r="A21" s="59" t="s">
        <v>329</v>
      </c>
      <c r="B21" s="80">
        <v>72</v>
      </c>
      <c r="C21" s="80">
        <v>303</v>
      </c>
      <c r="D21" s="80">
        <v>8231</v>
      </c>
      <c r="E21" s="81">
        <f t="shared" si="0"/>
        <v>8606</v>
      </c>
      <c r="F21" s="63">
        <f t="shared" si="1"/>
        <v>8.3662561003950732E-3</v>
      </c>
      <c r="G21" s="63">
        <f t="shared" si="2"/>
        <v>3.5207994422495933E-2</v>
      </c>
      <c r="H21" s="82">
        <f t="shared" si="3"/>
        <v>0.95642574947710901</v>
      </c>
    </row>
    <row r="22" spans="1:8">
      <c r="A22" s="54" t="s">
        <v>344</v>
      </c>
      <c r="B22" s="83">
        <v>1143</v>
      </c>
      <c r="C22" s="83">
        <v>1575</v>
      </c>
      <c r="D22" s="83">
        <v>37898</v>
      </c>
      <c r="E22" s="84">
        <f t="shared" si="0"/>
        <v>40616</v>
      </c>
      <c r="F22" s="57">
        <f t="shared" si="1"/>
        <v>2.8141619066377781E-2</v>
      </c>
      <c r="G22" s="57">
        <f t="shared" si="2"/>
        <v>3.8777821548158363E-2</v>
      </c>
      <c r="H22" s="85">
        <f t="shared" si="3"/>
        <v>0.93308055938546386</v>
      </c>
    </row>
    <row r="23" spans="1:8">
      <c r="A23" s="59" t="s">
        <v>358</v>
      </c>
      <c r="B23" s="80">
        <v>189</v>
      </c>
      <c r="C23" s="80">
        <v>723</v>
      </c>
      <c r="D23" s="80">
        <v>23327</v>
      </c>
      <c r="E23" s="81">
        <f t="shared" si="0"/>
        <v>24239</v>
      </c>
      <c r="F23" s="63">
        <f t="shared" si="1"/>
        <v>7.7973513758818431E-3</v>
      </c>
      <c r="G23" s="63">
        <f t="shared" si="2"/>
        <v>2.9827963199801973E-2</v>
      </c>
      <c r="H23" s="82">
        <f t="shared" si="3"/>
        <v>0.96237468542431615</v>
      </c>
    </row>
    <row r="24" spans="1:8">
      <c r="A24" s="54" t="s">
        <v>371</v>
      </c>
      <c r="B24" s="83">
        <v>279</v>
      </c>
      <c r="C24" s="83">
        <v>1076</v>
      </c>
      <c r="D24" s="83">
        <v>26076</v>
      </c>
      <c r="E24" s="84">
        <f t="shared" si="0"/>
        <v>27431</v>
      </c>
      <c r="F24" s="57">
        <f t="shared" si="1"/>
        <v>1.0170974444971018E-2</v>
      </c>
      <c r="G24" s="57">
        <f t="shared" si="2"/>
        <v>3.9225693558382853E-2</v>
      </c>
      <c r="H24" s="85">
        <f t="shared" si="3"/>
        <v>0.95060333199664615</v>
      </c>
    </row>
    <row r="25" spans="1:8">
      <c r="A25" s="59" t="s">
        <v>391</v>
      </c>
      <c r="B25" s="80">
        <v>485</v>
      </c>
      <c r="C25" s="80">
        <v>984</v>
      </c>
      <c r="D25" s="80">
        <v>23608</v>
      </c>
      <c r="E25" s="81">
        <f t="shared" si="0"/>
        <v>25077</v>
      </c>
      <c r="F25" s="63">
        <f t="shared" si="1"/>
        <v>1.9340431471069106E-2</v>
      </c>
      <c r="G25" s="63">
        <f t="shared" si="2"/>
        <v>3.9239143438210312E-2</v>
      </c>
      <c r="H25" s="82">
        <f t="shared" si="3"/>
        <v>0.94142042509072055</v>
      </c>
    </row>
    <row r="26" spans="1:8">
      <c r="A26" s="54" t="s">
        <v>402</v>
      </c>
      <c r="B26" s="83">
        <v>352</v>
      </c>
      <c r="C26" s="83">
        <v>904</v>
      </c>
      <c r="D26" s="83">
        <v>24582</v>
      </c>
      <c r="E26" s="84">
        <f t="shared" si="0"/>
        <v>25838</v>
      </c>
      <c r="F26" s="57">
        <f t="shared" si="1"/>
        <v>1.3623345460174937E-2</v>
      </c>
      <c r="G26" s="57">
        <f t="shared" si="2"/>
        <v>3.4987228113631086E-2</v>
      </c>
      <c r="H26" s="85">
        <f t="shared" si="3"/>
        <v>0.95138942642619395</v>
      </c>
    </row>
    <row r="27" spans="1:8">
      <c r="A27" s="59" t="s">
        <v>416</v>
      </c>
      <c r="B27" s="80">
        <v>69</v>
      </c>
      <c r="C27" s="80">
        <v>199</v>
      </c>
      <c r="D27" s="80">
        <v>8286</v>
      </c>
      <c r="E27" s="81">
        <f t="shared" si="0"/>
        <v>8554</v>
      </c>
      <c r="F27" s="63">
        <f t="shared" si="1"/>
        <v>8.0664016834229597E-3</v>
      </c>
      <c r="G27" s="63">
        <f t="shared" si="2"/>
        <v>2.3263970072480711E-2</v>
      </c>
      <c r="H27" s="82">
        <f t="shared" si="3"/>
        <v>0.9686696282440963</v>
      </c>
    </row>
    <row r="28" spans="1:8">
      <c r="A28" s="54" t="s">
        <v>430</v>
      </c>
      <c r="B28" s="83">
        <v>53</v>
      </c>
      <c r="C28" s="83">
        <v>171</v>
      </c>
      <c r="D28" s="83">
        <v>6353</v>
      </c>
      <c r="E28" s="84">
        <f t="shared" si="0"/>
        <v>6577</v>
      </c>
      <c r="F28" s="57">
        <f t="shared" si="1"/>
        <v>8.0583852820434853E-3</v>
      </c>
      <c r="G28" s="57">
        <f t="shared" si="2"/>
        <v>2.5999695909989358E-2</v>
      </c>
      <c r="H28" s="85">
        <f t="shared" si="3"/>
        <v>0.9659419188079672</v>
      </c>
    </row>
    <row r="29" spans="1:8">
      <c r="A29" s="59" t="s">
        <v>438</v>
      </c>
      <c r="B29" s="80">
        <v>722</v>
      </c>
      <c r="C29" s="80">
        <v>1091</v>
      </c>
      <c r="D29" s="80">
        <v>26795</v>
      </c>
      <c r="E29" s="81">
        <f t="shared" si="0"/>
        <v>28608</v>
      </c>
      <c r="F29" s="63">
        <f t="shared" si="1"/>
        <v>2.5237695749440715E-2</v>
      </c>
      <c r="G29" s="63">
        <f t="shared" si="2"/>
        <v>3.8136185682326622E-2</v>
      </c>
      <c r="H29" s="82">
        <f t="shared" si="3"/>
        <v>0.93662611856823264</v>
      </c>
    </row>
    <row r="30" spans="1:8">
      <c r="A30" s="54" t="s">
        <v>459</v>
      </c>
      <c r="B30" s="83">
        <v>110</v>
      </c>
      <c r="C30" s="83">
        <v>395</v>
      </c>
      <c r="D30" s="83">
        <v>10336</v>
      </c>
      <c r="E30" s="84">
        <f t="shared" si="0"/>
        <v>10841</v>
      </c>
      <c r="F30" s="57">
        <f t="shared" si="1"/>
        <v>1.0146665436767826E-2</v>
      </c>
      <c r="G30" s="57">
        <f t="shared" si="2"/>
        <v>3.6435753159302649E-2</v>
      </c>
      <c r="H30" s="85">
        <f t="shared" si="3"/>
        <v>0.95341758140392951</v>
      </c>
    </row>
    <row r="31" spans="1:8">
      <c r="A31" s="59" t="s">
        <v>469</v>
      </c>
      <c r="B31" s="80">
        <v>388</v>
      </c>
      <c r="C31" s="80">
        <v>1614</v>
      </c>
      <c r="D31" s="80">
        <v>29106</v>
      </c>
      <c r="E31" s="81">
        <f t="shared" si="0"/>
        <v>31108</v>
      </c>
      <c r="F31" s="63">
        <f t="shared" si="1"/>
        <v>1.2472675839012473E-2</v>
      </c>
      <c r="G31" s="63">
        <f t="shared" si="2"/>
        <v>5.1883759804551885E-2</v>
      </c>
      <c r="H31" s="82">
        <f t="shared" si="3"/>
        <v>0.9356435643564357</v>
      </c>
    </row>
    <row r="32" spans="1:8">
      <c r="A32" s="54" t="s">
        <v>479</v>
      </c>
      <c r="B32" s="83">
        <v>5447</v>
      </c>
      <c r="C32" s="83">
        <v>8516</v>
      </c>
      <c r="D32" s="83">
        <v>128879</v>
      </c>
      <c r="E32" s="84">
        <f t="shared" si="0"/>
        <v>142842</v>
      </c>
      <c r="F32" s="57">
        <f t="shared" si="1"/>
        <v>3.8133042102462864E-2</v>
      </c>
      <c r="G32" s="57">
        <f t="shared" si="2"/>
        <v>5.961831954187144E-2</v>
      </c>
      <c r="H32" s="85">
        <f t="shared" si="3"/>
        <v>0.90224863835566571</v>
      </c>
    </row>
    <row r="33" spans="1:8">
      <c r="A33" s="59" t="s">
        <v>501</v>
      </c>
      <c r="B33" s="80">
        <v>220</v>
      </c>
      <c r="C33" s="80">
        <v>793</v>
      </c>
      <c r="D33" s="80">
        <v>20909</v>
      </c>
      <c r="E33" s="81">
        <f t="shared" si="0"/>
        <v>21922</v>
      </c>
      <c r="F33" s="63">
        <f t="shared" si="1"/>
        <v>1.0035580695192045E-2</v>
      </c>
      <c r="G33" s="63">
        <f t="shared" si="2"/>
        <v>3.6173706778578597E-2</v>
      </c>
      <c r="H33" s="82">
        <f t="shared" si="3"/>
        <v>0.95379071252622938</v>
      </c>
    </row>
    <row r="34" spans="1:8">
      <c r="A34" s="54" t="s">
        <v>513</v>
      </c>
      <c r="B34" s="83">
        <v>238</v>
      </c>
      <c r="C34" s="83">
        <v>355</v>
      </c>
      <c r="D34" s="83">
        <v>13253</v>
      </c>
      <c r="E34" s="84">
        <f t="shared" si="0"/>
        <v>13846</v>
      </c>
      <c r="F34" s="57">
        <f t="shared" si="1"/>
        <v>1.7189079878665317E-2</v>
      </c>
      <c r="G34" s="57">
        <f t="shared" si="2"/>
        <v>2.563917376859743E-2</v>
      </c>
      <c r="H34" s="85">
        <f t="shared" si="3"/>
        <v>0.95717174635273727</v>
      </c>
    </row>
    <row r="35" spans="1:8">
      <c r="A35" s="59" t="s">
        <v>525</v>
      </c>
      <c r="B35" s="80">
        <v>412</v>
      </c>
      <c r="C35" s="80">
        <v>641</v>
      </c>
      <c r="D35" s="80">
        <v>14356</v>
      </c>
      <c r="E35" s="81">
        <f t="shared" si="0"/>
        <v>15409</v>
      </c>
      <c r="F35" s="63">
        <f t="shared" si="1"/>
        <v>2.6737620870919594E-2</v>
      </c>
      <c r="G35" s="63">
        <f t="shared" si="2"/>
        <v>4.1599065481212276E-2</v>
      </c>
      <c r="H35" s="82">
        <f t="shared" si="3"/>
        <v>0.93166331364786814</v>
      </c>
    </row>
    <row r="36" spans="1:8">
      <c r="A36" s="54" t="s">
        <v>533</v>
      </c>
      <c r="B36" s="83">
        <v>63</v>
      </c>
      <c r="C36" s="83">
        <v>185</v>
      </c>
      <c r="D36" s="83">
        <v>6722</v>
      </c>
      <c r="E36" s="84">
        <f t="shared" si="0"/>
        <v>6970</v>
      </c>
      <c r="F36" s="57">
        <f t="shared" si="1"/>
        <v>9.0387374461979916E-3</v>
      </c>
      <c r="G36" s="57">
        <f t="shared" si="2"/>
        <v>2.654232424677188E-2</v>
      </c>
      <c r="H36" s="85">
        <f t="shared" si="3"/>
        <v>0.96441893830703018</v>
      </c>
    </row>
    <row r="37" spans="1:8">
      <c r="A37" s="59" t="s">
        <v>541</v>
      </c>
      <c r="B37" s="80">
        <v>41</v>
      </c>
      <c r="C37" s="80">
        <v>139</v>
      </c>
      <c r="D37" s="80">
        <v>6174</v>
      </c>
      <c r="E37" s="81">
        <f t="shared" si="0"/>
        <v>6354</v>
      </c>
      <c r="F37" s="63">
        <f t="shared" si="1"/>
        <v>6.4526282656594269E-3</v>
      </c>
      <c r="G37" s="63">
        <f t="shared" si="2"/>
        <v>2.1875983632357571E-2</v>
      </c>
      <c r="H37" s="82">
        <f t="shared" si="3"/>
        <v>0.97167138810198306</v>
      </c>
    </row>
    <row r="38" spans="1:8">
      <c r="A38" s="54" t="s">
        <v>549</v>
      </c>
      <c r="B38" s="83">
        <v>4910</v>
      </c>
      <c r="C38" s="83">
        <v>7776</v>
      </c>
      <c r="D38" s="83">
        <v>92463</v>
      </c>
      <c r="E38" s="84">
        <f t="shared" si="0"/>
        <v>105149</v>
      </c>
      <c r="F38" s="57">
        <f t="shared" si="1"/>
        <v>4.669564142312338E-2</v>
      </c>
      <c r="G38" s="57">
        <f t="shared" si="2"/>
        <v>7.3952201162160364E-2</v>
      </c>
      <c r="H38" s="85">
        <f t="shared" si="3"/>
        <v>0.87935215741471628</v>
      </c>
    </row>
    <row r="39" spans="1:8">
      <c r="A39" s="59" t="s">
        <v>568</v>
      </c>
      <c r="B39" s="80">
        <v>328</v>
      </c>
      <c r="C39" s="80">
        <v>639</v>
      </c>
      <c r="D39" s="80">
        <v>12346</v>
      </c>
      <c r="E39" s="81">
        <f t="shared" si="0"/>
        <v>13313</v>
      </c>
      <c r="F39" s="63">
        <f t="shared" si="1"/>
        <v>2.4637572297754075E-2</v>
      </c>
      <c r="G39" s="63">
        <f t="shared" si="2"/>
        <v>4.7998197250807478E-2</v>
      </c>
      <c r="H39" s="82">
        <f t="shared" si="3"/>
        <v>0.92736423045143845</v>
      </c>
    </row>
    <row r="40" spans="1:8">
      <c r="A40" s="54" t="s">
        <v>578</v>
      </c>
      <c r="B40" s="83">
        <v>78</v>
      </c>
      <c r="C40" s="83">
        <v>164</v>
      </c>
      <c r="D40" s="83">
        <v>6056</v>
      </c>
      <c r="E40" s="84">
        <f t="shared" si="0"/>
        <v>6298</v>
      </c>
      <c r="F40" s="57">
        <f t="shared" si="1"/>
        <v>1.2384884090187362E-2</v>
      </c>
      <c r="G40" s="57">
        <f t="shared" si="2"/>
        <v>2.6040012702445221E-2</v>
      </c>
      <c r="H40" s="85">
        <f t="shared" si="3"/>
        <v>0.96157510320736739</v>
      </c>
    </row>
    <row r="41" spans="1:8">
      <c r="A41" s="59" t="s">
        <v>587</v>
      </c>
      <c r="B41" s="80">
        <v>324</v>
      </c>
      <c r="C41" s="80">
        <v>683</v>
      </c>
      <c r="D41" s="80">
        <v>12773</v>
      </c>
      <c r="E41" s="81">
        <f t="shared" si="0"/>
        <v>13780</v>
      </c>
      <c r="F41" s="63">
        <f t="shared" si="1"/>
        <v>2.351233671988389E-2</v>
      </c>
      <c r="G41" s="63">
        <f t="shared" si="2"/>
        <v>4.9564586357039191E-2</v>
      </c>
      <c r="H41" s="82">
        <f t="shared" si="3"/>
        <v>0.92692307692307696</v>
      </c>
    </row>
    <row r="42" spans="1:8">
      <c r="A42" s="54" t="s">
        <v>596</v>
      </c>
      <c r="B42" s="83">
        <v>279</v>
      </c>
      <c r="C42" s="83">
        <v>536</v>
      </c>
      <c r="D42" s="83">
        <v>11967</v>
      </c>
      <c r="E42" s="84">
        <f t="shared" si="0"/>
        <v>12782</v>
      </c>
      <c r="F42" s="57">
        <f t="shared" si="1"/>
        <v>2.1827570020341105E-2</v>
      </c>
      <c r="G42" s="57">
        <f t="shared" si="2"/>
        <v>4.1933969644813017E-2</v>
      </c>
      <c r="H42" s="85">
        <f t="shared" si="3"/>
        <v>0.93623846033484592</v>
      </c>
    </row>
    <row r="43" spans="1:8">
      <c r="A43" s="59" t="s">
        <v>607</v>
      </c>
      <c r="B43" s="80">
        <v>111</v>
      </c>
      <c r="C43" s="80">
        <v>390</v>
      </c>
      <c r="D43" s="80">
        <v>13755</v>
      </c>
      <c r="E43" s="81">
        <f t="shared" si="0"/>
        <v>14256</v>
      </c>
      <c r="F43" s="63">
        <f t="shared" si="1"/>
        <v>7.7861952861952863E-3</v>
      </c>
      <c r="G43" s="63">
        <f t="shared" si="2"/>
        <v>2.7356902356902357E-2</v>
      </c>
      <c r="H43" s="82">
        <f t="shared" si="3"/>
        <v>0.96485690235690236</v>
      </c>
    </row>
    <row r="44" spans="1:8">
      <c r="A44" s="54" t="s">
        <v>616</v>
      </c>
      <c r="B44" s="83">
        <v>77</v>
      </c>
      <c r="C44" s="83">
        <v>352</v>
      </c>
      <c r="D44" s="83">
        <v>10916</v>
      </c>
      <c r="E44" s="84">
        <f t="shared" si="0"/>
        <v>11345</v>
      </c>
      <c r="F44" s="57">
        <f t="shared" si="1"/>
        <v>6.7871308946672541E-3</v>
      </c>
      <c r="G44" s="57">
        <f t="shared" si="2"/>
        <v>3.1026884089907447E-2</v>
      </c>
      <c r="H44" s="85">
        <f t="shared" si="3"/>
        <v>0.96218598501542529</v>
      </c>
    </row>
    <row r="45" spans="1:8">
      <c r="A45" s="59" t="s">
        <v>626</v>
      </c>
      <c r="B45" s="80">
        <v>826</v>
      </c>
      <c r="C45" s="80">
        <v>1610</v>
      </c>
      <c r="D45" s="87">
        <v>48489</v>
      </c>
      <c r="E45" s="39">
        <f t="shared" si="0"/>
        <v>50925</v>
      </c>
      <c r="F45" s="63">
        <f t="shared" si="1"/>
        <v>1.6219931271477663E-2</v>
      </c>
      <c r="G45" s="63">
        <f t="shared" si="2"/>
        <v>3.1615120274914088E-2</v>
      </c>
      <c r="H45" s="88">
        <f t="shared" si="3"/>
        <v>0.95216494845360822</v>
      </c>
    </row>
    <row r="46" spans="1:8">
      <c r="A46" s="54" t="s">
        <v>651</v>
      </c>
      <c r="B46" s="83">
        <v>5443</v>
      </c>
      <c r="C46" s="83">
        <v>8072</v>
      </c>
      <c r="D46" s="83">
        <v>193989</v>
      </c>
      <c r="E46" s="84">
        <f t="shared" si="0"/>
        <v>207504</v>
      </c>
      <c r="F46" s="57">
        <f t="shared" si="1"/>
        <v>2.623081964685018E-2</v>
      </c>
      <c r="G46" s="57">
        <f t="shared" si="2"/>
        <v>3.890045493098928E-2</v>
      </c>
      <c r="H46" s="85">
        <f t="shared" si="3"/>
        <v>0.93486872542216048</v>
      </c>
    </row>
    <row r="47" spans="1:8">
      <c r="A47" s="59" t="s">
        <v>707</v>
      </c>
      <c r="B47" s="80">
        <v>180</v>
      </c>
      <c r="C47" s="80">
        <v>474</v>
      </c>
      <c r="D47" s="80">
        <v>9432</v>
      </c>
      <c r="E47" s="81">
        <f t="shared" si="0"/>
        <v>10086</v>
      </c>
      <c r="F47" s="63">
        <f t="shared" si="1"/>
        <v>1.784651992861392E-2</v>
      </c>
      <c r="G47" s="63">
        <f t="shared" si="2"/>
        <v>4.6995835812016655E-2</v>
      </c>
      <c r="H47" s="82">
        <f t="shared" si="3"/>
        <v>0.93515764425936942</v>
      </c>
    </row>
    <row r="48" spans="1:8">
      <c r="A48" s="54" t="s">
        <v>683</v>
      </c>
      <c r="B48" s="83">
        <v>227</v>
      </c>
      <c r="C48" s="83">
        <v>606</v>
      </c>
      <c r="D48" s="83">
        <v>21174</v>
      </c>
      <c r="E48" s="84">
        <f t="shared" si="0"/>
        <v>22007</v>
      </c>
      <c r="F48" s="57">
        <f t="shared" si="1"/>
        <v>1.0314899804607624E-2</v>
      </c>
      <c r="G48" s="57">
        <f t="shared" si="2"/>
        <v>2.7536692870450311E-2</v>
      </c>
      <c r="H48" s="85">
        <f t="shared" si="3"/>
        <v>0.96214840732494211</v>
      </c>
    </row>
    <row r="49" spans="1:8">
      <c r="A49" s="59" t="s">
        <v>712</v>
      </c>
      <c r="B49" s="80">
        <v>82</v>
      </c>
      <c r="C49" s="80">
        <v>207</v>
      </c>
      <c r="D49" s="80">
        <v>7841</v>
      </c>
      <c r="E49" s="81">
        <f t="shared" si="0"/>
        <v>8130</v>
      </c>
      <c r="F49" s="63">
        <f t="shared" si="1"/>
        <v>1.0086100861008611E-2</v>
      </c>
      <c r="G49" s="63">
        <f t="shared" si="2"/>
        <v>2.5461254612546124E-2</v>
      </c>
      <c r="H49" s="82">
        <f t="shared" si="3"/>
        <v>0.9644526445264453</v>
      </c>
    </row>
    <row r="50" spans="1:8">
      <c r="A50" s="54" t="s">
        <v>717</v>
      </c>
      <c r="B50" s="83">
        <v>117</v>
      </c>
      <c r="C50" s="83">
        <v>358</v>
      </c>
      <c r="D50" s="83">
        <v>9793</v>
      </c>
      <c r="E50" s="84">
        <f t="shared" si="0"/>
        <v>10268</v>
      </c>
      <c r="F50" s="57">
        <f t="shared" si="1"/>
        <v>1.1394624074795481E-2</v>
      </c>
      <c r="G50" s="57">
        <f t="shared" si="2"/>
        <v>3.4865601869887027E-2</v>
      </c>
      <c r="H50" s="85">
        <f t="shared" si="3"/>
        <v>0.95373977405531751</v>
      </c>
    </row>
    <row r="51" spans="1:8">
      <c r="A51" s="59" t="s">
        <v>727</v>
      </c>
      <c r="B51" s="80">
        <v>349</v>
      </c>
      <c r="C51" s="80">
        <v>747</v>
      </c>
      <c r="D51" s="80">
        <v>15555</v>
      </c>
      <c r="E51" s="81">
        <f t="shared" si="0"/>
        <v>16651</v>
      </c>
      <c r="F51" s="63">
        <f t="shared" si="1"/>
        <v>2.0959702119992794E-2</v>
      </c>
      <c r="G51" s="63">
        <f t="shared" si="2"/>
        <v>4.4862170440213803E-2</v>
      </c>
      <c r="H51" s="82">
        <f t="shared" si="3"/>
        <v>0.93417812743979345</v>
      </c>
    </row>
    <row r="52" spans="1:8">
      <c r="A52" s="54" t="s">
        <v>737</v>
      </c>
      <c r="B52" s="83">
        <v>286</v>
      </c>
      <c r="C52" s="83">
        <v>7380</v>
      </c>
      <c r="D52" s="83">
        <v>9428</v>
      </c>
      <c r="E52" s="84">
        <f t="shared" si="0"/>
        <v>17094</v>
      </c>
      <c r="F52" s="57">
        <f t="shared" si="1"/>
        <v>1.6731016731016731E-2</v>
      </c>
      <c r="G52" s="57">
        <f t="shared" si="2"/>
        <v>0.43173043173043174</v>
      </c>
      <c r="H52" s="85">
        <f t="shared" si="3"/>
        <v>0.55153855153855158</v>
      </c>
    </row>
    <row r="53" spans="1:8">
      <c r="A53" s="59" t="s">
        <v>750</v>
      </c>
      <c r="B53" s="80">
        <v>93</v>
      </c>
      <c r="C53" s="80">
        <v>283</v>
      </c>
      <c r="D53" s="80">
        <v>11206</v>
      </c>
      <c r="E53" s="81">
        <f t="shared" si="0"/>
        <v>11582</v>
      </c>
      <c r="F53" s="63">
        <f t="shared" si="1"/>
        <v>8.0297012605767566E-3</v>
      </c>
      <c r="G53" s="63">
        <f t="shared" si="2"/>
        <v>2.4434467276808841E-2</v>
      </c>
      <c r="H53" s="82">
        <f t="shared" si="3"/>
        <v>0.96753583146261435</v>
      </c>
    </row>
    <row r="54" spans="1:8">
      <c r="A54" s="54" t="s">
        <v>759</v>
      </c>
      <c r="B54" s="83">
        <v>97</v>
      </c>
      <c r="C54" s="83">
        <v>266</v>
      </c>
      <c r="D54" s="83">
        <v>9132</v>
      </c>
      <c r="E54" s="84">
        <f t="shared" si="0"/>
        <v>9495</v>
      </c>
      <c r="F54" s="57">
        <f t="shared" si="1"/>
        <v>1.0215903106898367E-2</v>
      </c>
      <c r="G54" s="57">
        <f t="shared" si="2"/>
        <v>2.8014744602422328E-2</v>
      </c>
      <c r="H54" s="85">
        <f t="shared" si="3"/>
        <v>0.96176935229067928</v>
      </c>
    </row>
    <row r="55" spans="1:8">
      <c r="A55" s="59" t="s">
        <v>780</v>
      </c>
      <c r="B55" s="80">
        <v>191</v>
      </c>
      <c r="C55" s="80">
        <v>191</v>
      </c>
      <c r="D55" s="80">
        <v>11828</v>
      </c>
      <c r="E55" s="81">
        <f t="shared" si="0"/>
        <v>12210</v>
      </c>
      <c r="F55" s="63">
        <f t="shared" si="1"/>
        <v>1.5642915642915645E-2</v>
      </c>
      <c r="G55" s="63">
        <f t="shared" si="2"/>
        <v>1.5642915642915645E-2</v>
      </c>
      <c r="H55" s="82">
        <f t="shared" si="3"/>
        <v>0.96871416871416871</v>
      </c>
    </row>
    <row r="56" spans="1:8">
      <c r="A56" s="54" t="s">
        <v>785</v>
      </c>
      <c r="B56" s="83">
        <v>556</v>
      </c>
      <c r="C56" s="83">
        <v>807</v>
      </c>
      <c r="D56" s="83">
        <v>14946</v>
      </c>
      <c r="E56" s="84">
        <f t="shared" si="0"/>
        <v>16309</v>
      </c>
      <c r="F56" s="57">
        <f t="shared" si="1"/>
        <v>3.4091605861794098E-2</v>
      </c>
      <c r="G56" s="57">
        <f t="shared" si="2"/>
        <v>4.9481881169906185E-2</v>
      </c>
      <c r="H56" s="85">
        <f t="shared" si="3"/>
        <v>0.91642651296829969</v>
      </c>
    </row>
    <row r="57" spans="1:8">
      <c r="A57" s="59" t="s">
        <v>798</v>
      </c>
      <c r="B57" s="80">
        <v>302</v>
      </c>
      <c r="C57" s="80">
        <v>742</v>
      </c>
      <c r="D57" s="80">
        <v>22533</v>
      </c>
      <c r="E57" s="81">
        <f t="shared" si="0"/>
        <v>23577</v>
      </c>
      <c r="F57" s="63">
        <f t="shared" si="1"/>
        <v>1.280909360817746E-2</v>
      </c>
      <c r="G57" s="63">
        <f t="shared" si="2"/>
        <v>3.1471349196250581E-2</v>
      </c>
      <c r="H57" s="82">
        <f t="shared" si="3"/>
        <v>0.955719557195572</v>
      </c>
    </row>
    <row r="58" spans="1:8">
      <c r="A58" s="54" t="s">
        <v>353</v>
      </c>
      <c r="B58" s="83">
        <v>1237</v>
      </c>
      <c r="C58" s="83">
        <v>1089</v>
      </c>
      <c r="D58" s="83">
        <v>11727</v>
      </c>
      <c r="E58" s="84">
        <f t="shared" si="0"/>
        <v>14053</v>
      </c>
      <c r="F58" s="57">
        <f t="shared" si="1"/>
        <v>8.8023909485519108E-2</v>
      </c>
      <c r="G58" s="57">
        <f t="shared" si="2"/>
        <v>7.7492350387817543E-2</v>
      </c>
      <c r="H58" s="85">
        <f t="shared" si="3"/>
        <v>0.83448374012666338</v>
      </c>
    </row>
    <row r="59" spans="1:8">
      <c r="A59" s="59" t="s">
        <v>813</v>
      </c>
      <c r="B59" s="80">
        <v>529</v>
      </c>
      <c r="C59" s="80">
        <v>1293</v>
      </c>
      <c r="D59" s="80">
        <v>38600</v>
      </c>
      <c r="E59" s="81">
        <f t="shared" si="0"/>
        <v>40422</v>
      </c>
      <c r="F59" s="63">
        <f t="shared" si="1"/>
        <v>1.3086932858344466E-2</v>
      </c>
      <c r="G59" s="63">
        <f t="shared" si="2"/>
        <v>3.1987531542229476E-2</v>
      </c>
      <c r="H59" s="82">
        <f t="shared" si="3"/>
        <v>0.95492553559942606</v>
      </c>
    </row>
    <row r="60" spans="1:8">
      <c r="A60" s="54" t="s">
        <v>825</v>
      </c>
      <c r="B60" s="83">
        <v>239</v>
      </c>
      <c r="C60" s="83">
        <v>1011</v>
      </c>
      <c r="D60" s="83">
        <v>22845</v>
      </c>
      <c r="E60" s="84">
        <f t="shared" si="0"/>
        <v>24095</v>
      </c>
      <c r="F60" s="57">
        <f t="shared" si="1"/>
        <v>9.9190703465449268E-3</v>
      </c>
      <c r="G60" s="57">
        <f t="shared" si="2"/>
        <v>4.1958912637476656E-2</v>
      </c>
      <c r="H60" s="85">
        <f t="shared" si="3"/>
        <v>0.94812201701597842</v>
      </c>
    </row>
    <row r="61" spans="1:8">
      <c r="A61" s="59" t="s">
        <v>837</v>
      </c>
      <c r="B61" s="80">
        <v>302</v>
      </c>
      <c r="C61" s="80">
        <v>605</v>
      </c>
      <c r="D61" s="80">
        <v>14541</v>
      </c>
      <c r="E61" s="81">
        <f t="shared" si="0"/>
        <v>15448</v>
      </c>
      <c r="F61" s="63">
        <f t="shared" si="1"/>
        <v>1.9549456240290006E-2</v>
      </c>
      <c r="G61" s="63">
        <f t="shared" si="2"/>
        <v>3.9163645779388918E-2</v>
      </c>
      <c r="H61" s="82">
        <f t="shared" si="3"/>
        <v>0.94128689798032106</v>
      </c>
    </row>
    <row r="62" spans="1:8">
      <c r="A62" s="54" t="s">
        <v>846</v>
      </c>
      <c r="B62" s="83">
        <v>113</v>
      </c>
      <c r="C62" s="83">
        <v>259</v>
      </c>
      <c r="D62" s="83">
        <v>8527</v>
      </c>
      <c r="E62" s="84">
        <f t="shared" si="0"/>
        <v>8899</v>
      </c>
      <c r="F62" s="57">
        <f t="shared" si="1"/>
        <v>1.2698055961343971E-2</v>
      </c>
      <c r="G62" s="57">
        <f t="shared" si="2"/>
        <v>2.9104393752106977E-2</v>
      </c>
      <c r="H62" s="85">
        <f t="shared" si="3"/>
        <v>0.95819755028654907</v>
      </c>
    </row>
    <row r="63" spans="1:8">
      <c r="A63" s="59" t="s">
        <v>858</v>
      </c>
      <c r="B63" s="80">
        <v>439</v>
      </c>
      <c r="C63" s="80">
        <v>772</v>
      </c>
      <c r="D63" s="80">
        <v>12070</v>
      </c>
      <c r="E63" s="81">
        <f t="shared" si="0"/>
        <v>13281</v>
      </c>
      <c r="F63" s="63">
        <f t="shared" si="1"/>
        <v>3.3054739853926665E-2</v>
      </c>
      <c r="G63" s="63">
        <f t="shared" si="2"/>
        <v>5.8128153000527066E-2</v>
      </c>
      <c r="H63" s="82">
        <f t="shared" si="3"/>
        <v>0.90881710714554631</v>
      </c>
    </row>
    <row r="64" spans="1:8">
      <c r="A64" s="54" t="s">
        <v>875</v>
      </c>
      <c r="B64" s="83">
        <v>180</v>
      </c>
      <c r="C64" s="83">
        <v>535</v>
      </c>
      <c r="D64" s="83">
        <v>20134</v>
      </c>
      <c r="E64" s="84">
        <f t="shared" si="0"/>
        <v>20849</v>
      </c>
      <c r="F64" s="57">
        <f t="shared" si="1"/>
        <v>8.6335076022830831E-3</v>
      </c>
      <c r="G64" s="57">
        <f t="shared" si="2"/>
        <v>2.5660703151230275E-2</v>
      </c>
      <c r="H64" s="85">
        <f t="shared" si="3"/>
        <v>0.96570578924648665</v>
      </c>
    </row>
    <row r="65" spans="1:8">
      <c r="A65" s="59" t="s">
        <v>880</v>
      </c>
      <c r="B65" s="80">
        <v>74</v>
      </c>
      <c r="C65" s="80">
        <v>182</v>
      </c>
      <c r="D65" s="80">
        <v>11494</v>
      </c>
      <c r="E65" s="81">
        <f t="shared" si="0"/>
        <v>11750</v>
      </c>
      <c r="F65" s="63">
        <f t="shared" si="1"/>
        <v>6.2978723404255319E-3</v>
      </c>
      <c r="G65" s="63">
        <f t="shared" si="2"/>
        <v>1.548936170212766E-2</v>
      </c>
      <c r="H65" s="82">
        <f t="shared" si="3"/>
        <v>0.97821276595744677</v>
      </c>
    </row>
    <row r="66" spans="1:8">
      <c r="A66" s="54" t="s">
        <v>895</v>
      </c>
      <c r="B66" s="83">
        <v>158</v>
      </c>
      <c r="C66" s="83">
        <v>395</v>
      </c>
      <c r="D66" s="83">
        <v>11927</v>
      </c>
      <c r="E66" s="84">
        <f t="shared" si="0"/>
        <v>12480</v>
      </c>
      <c r="F66" s="57">
        <f t="shared" si="1"/>
        <v>1.266025641025641E-2</v>
      </c>
      <c r="G66" s="57">
        <f t="shared" si="2"/>
        <v>3.1650641025641024E-2</v>
      </c>
      <c r="H66" s="85">
        <f t="shared" si="3"/>
        <v>0.95568910256410255</v>
      </c>
    </row>
    <row r="67" spans="1:8">
      <c r="A67" s="59" t="s">
        <v>913</v>
      </c>
      <c r="B67" s="80">
        <v>3578</v>
      </c>
      <c r="C67" s="80">
        <v>4285</v>
      </c>
      <c r="D67" s="80">
        <v>69828</v>
      </c>
      <c r="E67" s="81">
        <f t="shared" si="0"/>
        <v>77691</v>
      </c>
      <c r="F67" s="63">
        <f t="shared" si="1"/>
        <v>4.6054240516919594E-2</v>
      </c>
      <c r="G67" s="63">
        <f t="shared" si="2"/>
        <v>5.5154393687814544E-2</v>
      </c>
      <c r="H67" s="82">
        <f t="shared" si="3"/>
        <v>0.89879136579526586</v>
      </c>
    </row>
    <row r="68" spans="1:8">
      <c r="A68" s="54" t="s">
        <v>3943</v>
      </c>
      <c r="B68" s="83">
        <v>350</v>
      </c>
      <c r="C68" s="83">
        <v>846</v>
      </c>
      <c r="D68" s="83">
        <v>18298</v>
      </c>
      <c r="E68" s="84">
        <f t="shared" si="0"/>
        <v>19494</v>
      </c>
      <c r="F68" s="57">
        <f t="shared" si="1"/>
        <v>1.7954242330973633E-2</v>
      </c>
      <c r="G68" s="57">
        <f t="shared" si="2"/>
        <v>4.339796860572484E-2</v>
      </c>
      <c r="H68" s="85">
        <f t="shared" si="3"/>
        <v>0.93864778906330149</v>
      </c>
    </row>
    <row r="69" spans="1:8">
      <c r="A69" s="59" t="s">
        <v>937</v>
      </c>
      <c r="B69" s="80">
        <v>1339</v>
      </c>
      <c r="C69" s="80">
        <v>1835</v>
      </c>
      <c r="D69" s="80">
        <v>53233</v>
      </c>
      <c r="E69" s="81">
        <f t="shared" si="0"/>
        <v>56407</v>
      </c>
      <c r="F69" s="63">
        <f t="shared" si="1"/>
        <v>2.3738188522701084E-2</v>
      </c>
      <c r="G69" s="63">
        <f t="shared" si="2"/>
        <v>3.2531423404896558E-2</v>
      </c>
      <c r="H69" s="82">
        <f t="shared" si="3"/>
        <v>0.94373038807240239</v>
      </c>
    </row>
    <row r="70" spans="1:8">
      <c r="A70" s="54" t="s">
        <v>959</v>
      </c>
      <c r="B70" s="83">
        <v>41</v>
      </c>
      <c r="C70" s="83">
        <v>160</v>
      </c>
      <c r="D70" s="83">
        <v>5989</v>
      </c>
      <c r="E70" s="84">
        <f t="shared" si="0"/>
        <v>6190</v>
      </c>
      <c r="F70" s="57">
        <f t="shared" si="1"/>
        <v>6.6235864297253637E-3</v>
      </c>
      <c r="G70" s="57">
        <f t="shared" si="2"/>
        <v>2.5848142164781908E-2</v>
      </c>
      <c r="H70" s="85">
        <f t="shared" si="3"/>
        <v>0.96752827140549269</v>
      </c>
    </row>
    <row r="71" spans="1:8">
      <c r="A71" s="59" t="s">
        <v>968</v>
      </c>
      <c r="B71" s="87">
        <v>1619</v>
      </c>
      <c r="C71" s="80">
        <v>2980</v>
      </c>
      <c r="D71" s="80">
        <v>52171</v>
      </c>
      <c r="E71" s="81">
        <f t="shared" si="0"/>
        <v>56770</v>
      </c>
      <c r="F71" s="63">
        <f t="shared" si="1"/>
        <v>2.8518583759027657E-2</v>
      </c>
      <c r="G71" s="63">
        <f t="shared" si="2"/>
        <v>5.249251365157654E-2</v>
      </c>
      <c r="H71" s="82">
        <f t="shared" si="3"/>
        <v>0.91898890258939581</v>
      </c>
    </row>
    <row r="72" spans="1:8">
      <c r="A72" s="54" t="s">
        <v>996</v>
      </c>
      <c r="B72" s="83">
        <v>127</v>
      </c>
      <c r="C72" s="83">
        <v>487</v>
      </c>
      <c r="D72" s="83">
        <v>11778</v>
      </c>
      <c r="E72" s="84">
        <f t="shared" si="0"/>
        <v>12392</v>
      </c>
      <c r="F72" s="57">
        <f t="shared" si="1"/>
        <v>1.0248547449967721E-2</v>
      </c>
      <c r="G72" s="57">
        <f t="shared" si="2"/>
        <v>3.9299548095545513E-2</v>
      </c>
      <c r="H72" s="85">
        <f t="shared" si="3"/>
        <v>0.9504519044544868</v>
      </c>
    </row>
    <row r="73" spans="1:8">
      <c r="A73" s="59" t="s">
        <v>1005</v>
      </c>
      <c r="B73" s="80">
        <v>221</v>
      </c>
      <c r="C73" s="80">
        <v>465</v>
      </c>
      <c r="D73" s="80">
        <v>16471</v>
      </c>
      <c r="E73" s="81">
        <f t="shared" si="0"/>
        <v>17157</v>
      </c>
      <c r="F73" s="63">
        <f t="shared" si="1"/>
        <v>1.2881039808824386E-2</v>
      </c>
      <c r="G73" s="63">
        <f t="shared" si="2"/>
        <v>2.710264032173457E-2</v>
      </c>
      <c r="H73" s="82">
        <f t="shared" si="3"/>
        <v>0.96001631986944103</v>
      </c>
    </row>
    <row r="74" spans="1:8">
      <c r="A74" s="54" t="s">
        <v>1015</v>
      </c>
      <c r="B74" s="83">
        <v>79</v>
      </c>
      <c r="C74" s="83">
        <v>201</v>
      </c>
      <c r="D74" s="83">
        <v>5678</v>
      </c>
      <c r="E74" s="84">
        <f t="shared" si="0"/>
        <v>5958</v>
      </c>
      <c r="F74" s="57">
        <f t="shared" si="1"/>
        <v>1.3259483048002686E-2</v>
      </c>
      <c r="G74" s="57">
        <f t="shared" si="2"/>
        <v>3.3736153071500505E-2</v>
      </c>
      <c r="H74" s="85">
        <f t="shared" si="3"/>
        <v>0.95300436388049681</v>
      </c>
    </row>
    <row r="75" spans="1:8">
      <c r="A75" s="59" t="s">
        <v>870</v>
      </c>
      <c r="B75" s="80">
        <v>1772</v>
      </c>
      <c r="C75" s="80">
        <v>3172</v>
      </c>
      <c r="D75" s="80">
        <v>70398</v>
      </c>
      <c r="E75" s="81">
        <f t="shared" si="0"/>
        <v>75342</v>
      </c>
      <c r="F75" s="63">
        <f t="shared" si="1"/>
        <v>2.3519418120039288E-2</v>
      </c>
      <c r="G75" s="63">
        <f t="shared" si="2"/>
        <v>4.2101351171989064E-2</v>
      </c>
      <c r="H75" s="82">
        <f t="shared" si="3"/>
        <v>0.93437923070797169</v>
      </c>
    </row>
    <row r="76" spans="1:8">
      <c r="A76" s="54" t="s">
        <v>1034</v>
      </c>
      <c r="B76" s="83">
        <v>71</v>
      </c>
      <c r="C76" s="83">
        <v>273</v>
      </c>
      <c r="D76" s="83">
        <v>7444</v>
      </c>
      <c r="E76" s="84">
        <f t="shared" si="0"/>
        <v>7788</v>
      </c>
      <c r="F76" s="57">
        <f t="shared" si="1"/>
        <v>9.1165896250642014E-3</v>
      </c>
      <c r="G76" s="57">
        <f t="shared" si="2"/>
        <v>3.5053929121725731E-2</v>
      </c>
      <c r="H76" s="85">
        <f t="shared" si="3"/>
        <v>0.9558294812532101</v>
      </c>
    </row>
    <row r="77" spans="1:8">
      <c r="A77" s="59" t="s">
        <v>1065</v>
      </c>
      <c r="B77" s="80">
        <v>136</v>
      </c>
      <c r="C77" s="80">
        <v>300</v>
      </c>
      <c r="D77" s="80">
        <v>12258</v>
      </c>
      <c r="E77" s="81">
        <f t="shared" si="0"/>
        <v>12694</v>
      </c>
      <c r="F77" s="63">
        <f t="shared" si="1"/>
        <v>1.0713723018749016E-2</v>
      </c>
      <c r="G77" s="63">
        <f t="shared" si="2"/>
        <v>2.3633212541358122E-2</v>
      </c>
      <c r="H77" s="82">
        <f t="shared" si="3"/>
        <v>0.96565306443989285</v>
      </c>
    </row>
    <row r="78" spans="1:8">
      <c r="A78" s="54" t="s">
        <v>1076</v>
      </c>
      <c r="B78" s="83">
        <v>59</v>
      </c>
      <c r="C78" s="83">
        <v>94</v>
      </c>
      <c r="D78" s="83">
        <v>3742</v>
      </c>
      <c r="E78" s="84">
        <f t="shared" si="0"/>
        <v>3895</v>
      </c>
      <c r="F78" s="57">
        <f t="shared" si="1"/>
        <v>1.5147625160462131E-2</v>
      </c>
      <c r="G78" s="57">
        <f t="shared" si="2"/>
        <v>2.4133504492939665E-2</v>
      </c>
      <c r="H78" s="85">
        <f t="shared" si="3"/>
        <v>0.9607188703465982</v>
      </c>
    </row>
    <row r="79" spans="1:8">
      <c r="A79" s="59" t="s">
        <v>1084</v>
      </c>
      <c r="B79" s="80">
        <v>1156</v>
      </c>
      <c r="C79" s="80">
        <v>2159</v>
      </c>
      <c r="D79" s="80">
        <v>71931</v>
      </c>
      <c r="E79" s="81">
        <f t="shared" si="0"/>
        <v>75246</v>
      </c>
      <c r="F79" s="63">
        <f t="shared" si="1"/>
        <v>1.5362942880684688E-2</v>
      </c>
      <c r="G79" s="63">
        <f t="shared" si="2"/>
        <v>2.8692555085984638E-2</v>
      </c>
      <c r="H79" s="82">
        <f t="shared" si="3"/>
        <v>0.9559445020333307</v>
      </c>
    </row>
    <row r="80" spans="1:8">
      <c r="A80" s="54" t="s">
        <v>1098</v>
      </c>
      <c r="B80" s="83">
        <v>141</v>
      </c>
      <c r="C80" s="83">
        <v>672</v>
      </c>
      <c r="D80" s="83">
        <v>18834</v>
      </c>
      <c r="E80" s="84">
        <f t="shared" si="0"/>
        <v>19647</v>
      </c>
      <c r="F80" s="57">
        <f t="shared" si="1"/>
        <v>7.1766681936173459E-3</v>
      </c>
      <c r="G80" s="57">
        <f t="shared" si="2"/>
        <v>3.420369522064437E-2</v>
      </c>
      <c r="H80" s="85">
        <f t="shared" si="3"/>
        <v>0.95861963658573823</v>
      </c>
    </row>
    <row r="81" spans="1:8">
      <c r="A81" s="59" t="s">
        <v>1108</v>
      </c>
      <c r="B81" s="80">
        <v>7</v>
      </c>
      <c r="C81" s="80">
        <v>48</v>
      </c>
      <c r="D81" s="80">
        <v>4497</v>
      </c>
      <c r="E81" s="81">
        <f t="shared" si="0"/>
        <v>4552</v>
      </c>
      <c r="F81" s="63">
        <f t="shared" si="1"/>
        <v>1.5377855887521968E-3</v>
      </c>
      <c r="G81" s="63">
        <f t="shared" si="2"/>
        <v>1.054481546572935E-2</v>
      </c>
      <c r="H81" s="82">
        <f t="shared" si="3"/>
        <v>0.98791739894551844</v>
      </c>
    </row>
    <row r="82" spans="1:8">
      <c r="A82" s="54" t="s">
        <v>1117</v>
      </c>
      <c r="B82" s="83">
        <v>105</v>
      </c>
      <c r="C82" s="83">
        <v>541</v>
      </c>
      <c r="D82" s="83">
        <v>16367</v>
      </c>
      <c r="E82" s="84">
        <f t="shared" si="0"/>
        <v>17013</v>
      </c>
      <c r="F82" s="57">
        <f t="shared" si="1"/>
        <v>6.1717510139305239E-3</v>
      </c>
      <c r="G82" s="57">
        <f t="shared" si="2"/>
        <v>3.1799212367013462E-2</v>
      </c>
      <c r="H82" s="85">
        <f t="shared" si="3"/>
        <v>0.96202903661905603</v>
      </c>
    </row>
    <row r="83" spans="1:8">
      <c r="A83" s="59" t="s">
        <v>1044</v>
      </c>
      <c r="B83" s="80">
        <v>217</v>
      </c>
      <c r="C83" s="80">
        <v>438</v>
      </c>
      <c r="D83" s="80">
        <v>14473</v>
      </c>
      <c r="E83" s="81">
        <f t="shared" si="0"/>
        <v>15128</v>
      </c>
      <c r="F83" s="63">
        <f t="shared" si="1"/>
        <v>1.4344262295081968E-2</v>
      </c>
      <c r="G83" s="63">
        <f t="shared" si="2"/>
        <v>2.8952934955050236E-2</v>
      </c>
      <c r="H83" s="82">
        <f t="shared" si="3"/>
        <v>0.95670280274986774</v>
      </c>
    </row>
    <row r="84" spans="1:8">
      <c r="A84" s="54" t="s">
        <v>1131</v>
      </c>
      <c r="B84" s="83">
        <v>279</v>
      </c>
      <c r="C84" s="83">
        <v>787</v>
      </c>
      <c r="D84" s="83">
        <v>19505</v>
      </c>
      <c r="E84" s="84">
        <f t="shared" si="0"/>
        <v>20571</v>
      </c>
      <c r="F84" s="57">
        <f t="shared" si="1"/>
        <v>1.3562782557969957E-2</v>
      </c>
      <c r="G84" s="57">
        <f t="shared" si="2"/>
        <v>3.8257741480725291E-2</v>
      </c>
      <c r="H84" s="85">
        <f t="shared" si="3"/>
        <v>0.9481794759613047</v>
      </c>
    </row>
    <row r="85" spans="1:8">
      <c r="A85" s="59" t="s">
        <v>808</v>
      </c>
      <c r="B85" s="87">
        <v>92</v>
      </c>
      <c r="C85" s="80">
        <v>234</v>
      </c>
      <c r="D85" s="80">
        <v>9837</v>
      </c>
      <c r="E85" s="81">
        <f t="shared" si="0"/>
        <v>10163</v>
      </c>
      <c r="F85" s="63">
        <f t="shared" si="1"/>
        <v>9.0524451441503489E-3</v>
      </c>
      <c r="G85" s="63">
        <f t="shared" si="2"/>
        <v>2.3024697431860672E-2</v>
      </c>
      <c r="H85" s="82">
        <f t="shared" si="3"/>
        <v>0.96792285742398898</v>
      </c>
    </row>
    <row r="86" spans="1:8">
      <c r="A86" s="54" t="s">
        <v>1155</v>
      </c>
      <c r="B86" s="83">
        <v>255</v>
      </c>
      <c r="C86" s="83">
        <v>514</v>
      </c>
      <c r="D86" s="83">
        <v>18619</v>
      </c>
      <c r="E86" s="84">
        <f t="shared" si="0"/>
        <v>19388</v>
      </c>
      <c r="F86" s="57">
        <f t="shared" si="1"/>
        <v>1.3152465442541778E-2</v>
      </c>
      <c r="G86" s="57">
        <f t="shared" si="2"/>
        <v>2.6511244068495976E-2</v>
      </c>
      <c r="H86" s="85">
        <f t="shared" si="3"/>
        <v>0.9603362904889623</v>
      </c>
    </row>
    <row r="87" spans="1:8">
      <c r="A87" s="59" t="s">
        <v>1165</v>
      </c>
      <c r="B87" s="80">
        <v>148</v>
      </c>
      <c r="C87" s="80">
        <v>348</v>
      </c>
      <c r="D87" s="80">
        <v>10966</v>
      </c>
      <c r="E87" s="81">
        <f t="shared" si="0"/>
        <v>11462</v>
      </c>
      <c r="F87" s="63">
        <f t="shared" si="1"/>
        <v>1.2912231722212529E-2</v>
      </c>
      <c r="G87" s="63">
        <f t="shared" si="2"/>
        <v>3.0361193508986216E-2</v>
      </c>
      <c r="H87" s="82">
        <f t="shared" si="3"/>
        <v>0.9567265747688013</v>
      </c>
    </row>
    <row r="88" spans="1:8">
      <c r="A88" s="54" t="s">
        <v>1179</v>
      </c>
      <c r="B88" s="83">
        <v>21664</v>
      </c>
      <c r="C88" s="83">
        <v>29561</v>
      </c>
      <c r="D88" s="83">
        <v>323282</v>
      </c>
      <c r="E88" s="84">
        <f t="shared" si="0"/>
        <v>374507</v>
      </c>
      <c r="F88" s="57">
        <f t="shared" si="1"/>
        <v>5.7846715815725744E-2</v>
      </c>
      <c r="G88" s="57">
        <f t="shared" si="2"/>
        <v>7.893310405412983E-2</v>
      </c>
      <c r="H88" s="85">
        <f t="shared" si="3"/>
        <v>0.86322018013014445</v>
      </c>
    </row>
    <row r="89" spans="1:8">
      <c r="A89" s="59" t="s">
        <v>582</v>
      </c>
      <c r="B89" s="80">
        <v>153</v>
      </c>
      <c r="C89" s="80">
        <v>286</v>
      </c>
      <c r="D89" s="80">
        <v>7430</v>
      </c>
      <c r="E89" s="81">
        <f t="shared" si="0"/>
        <v>7869</v>
      </c>
      <c r="F89" s="63">
        <f t="shared" si="1"/>
        <v>1.9443385436523065E-2</v>
      </c>
      <c r="G89" s="63">
        <f t="shared" si="2"/>
        <v>3.6345151861735925E-2</v>
      </c>
      <c r="H89" s="82">
        <f t="shared" si="3"/>
        <v>0.94421146270174106</v>
      </c>
    </row>
    <row r="90" spans="1:8">
      <c r="A90" s="54" t="s">
        <v>819</v>
      </c>
      <c r="B90" s="83">
        <v>170</v>
      </c>
      <c r="C90" s="83">
        <v>299</v>
      </c>
      <c r="D90" s="83">
        <v>12103</v>
      </c>
      <c r="E90" s="84">
        <f t="shared" si="0"/>
        <v>12572</v>
      </c>
      <c r="F90" s="57">
        <f t="shared" si="1"/>
        <v>1.3522112631244034E-2</v>
      </c>
      <c r="G90" s="57">
        <f t="shared" si="2"/>
        <v>2.3783009863188036E-2</v>
      </c>
      <c r="H90" s="85">
        <f t="shared" si="3"/>
        <v>0.96269487750556793</v>
      </c>
    </row>
    <row r="91" spans="1:8">
      <c r="A91" s="59" t="s">
        <v>1219</v>
      </c>
      <c r="B91" s="80">
        <v>55</v>
      </c>
      <c r="C91" s="80">
        <v>257</v>
      </c>
      <c r="D91" s="80">
        <v>9275</v>
      </c>
      <c r="E91" s="81">
        <f t="shared" si="0"/>
        <v>9587</v>
      </c>
      <c r="F91" s="63">
        <f t="shared" si="1"/>
        <v>5.7369354333993948E-3</v>
      </c>
      <c r="G91" s="63">
        <f t="shared" si="2"/>
        <v>2.680713466152081E-2</v>
      </c>
      <c r="H91" s="82">
        <f t="shared" si="3"/>
        <v>0.96745592990507978</v>
      </c>
    </row>
    <row r="92" spans="1:8">
      <c r="A92" s="54" t="s">
        <v>1228</v>
      </c>
      <c r="B92" s="83">
        <v>274</v>
      </c>
      <c r="C92" s="83">
        <v>676</v>
      </c>
      <c r="D92" s="83">
        <v>19874</v>
      </c>
      <c r="E92" s="84">
        <f t="shared" si="0"/>
        <v>20824</v>
      </c>
      <c r="F92" s="57">
        <f t="shared" si="1"/>
        <v>1.3157894736842105E-2</v>
      </c>
      <c r="G92" s="57">
        <f t="shared" si="2"/>
        <v>3.2462543219362275E-2</v>
      </c>
      <c r="H92" s="85">
        <f t="shared" si="3"/>
        <v>0.95437956204379559</v>
      </c>
    </row>
    <row r="93" spans="1:8">
      <c r="A93" s="59" t="s">
        <v>1238</v>
      </c>
      <c r="B93" s="80">
        <v>126</v>
      </c>
      <c r="C93" s="80">
        <v>253</v>
      </c>
      <c r="D93" s="80">
        <v>12232</v>
      </c>
      <c r="E93" s="81">
        <f t="shared" si="0"/>
        <v>12611</v>
      </c>
      <c r="F93" s="63">
        <f t="shared" si="1"/>
        <v>9.9912774561890412E-3</v>
      </c>
      <c r="G93" s="63">
        <f t="shared" si="2"/>
        <v>2.0061850765204978E-2</v>
      </c>
      <c r="H93" s="82">
        <f t="shared" si="3"/>
        <v>0.96994687177860595</v>
      </c>
    </row>
    <row r="94" spans="1:8">
      <c r="A94" s="54" t="s">
        <v>1247</v>
      </c>
      <c r="B94" s="83">
        <v>305</v>
      </c>
      <c r="C94" s="83">
        <v>422</v>
      </c>
      <c r="D94" s="83">
        <v>7914</v>
      </c>
      <c r="E94" s="84">
        <f t="shared" si="0"/>
        <v>8641</v>
      </c>
      <c r="F94" s="57">
        <f t="shared" si="1"/>
        <v>3.5296840643444044E-2</v>
      </c>
      <c r="G94" s="57">
        <f t="shared" si="2"/>
        <v>4.8836940168961923E-2</v>
      </c>
      <c r="H94" s="85">
        <f t="shared" si="3"/>
        <v>0.91586621918759403</v>
      </c>
    </row>
    <row r="95" spans="1:8">
      <c r="A95" s="59" t="s">
        <v>774</v>
      </c>
      <c r="B95" s="80">
        <v>178</v>
      </c>
      <c r="C95" s="80">
        <v>370</v>
      </c>
      <c r="D95" s="80">
        <v>10509</v>
      </c>
      <c r="E95" s="81">
        <f t="shared" si="0"/>
        <v>11057</v>
      </c>
      <c r="F95" s="63">
        <f t="shared" si="1"/>
        <v>1.6098399204124085E-2</v>
      </c>
      <c r="G95" s="63">
        <f t="shared" si="2"/>
        <v>3.3462964637786016E-2</v>
      </c>
      <c r="H95" s="82">
        <f t="shared" si="3"/>
        <v>0.95043863615808988</v>
      </c>
    </row>
    <row r="96" spans="1:8">
      <c r="A96" s="54" t="s">
        <v>1265</v>
      </c>
      <c r="B96" s="83">
        <v>127</v>
      </c>
      <c r="C96" s="83">
        <v>338</v>
      </c>
      <c r="D96" s="83">
        <v>9822</v>
      </c>
      <c r="E96" s="84">
        <f t="shared" si="0"/>
        <v>10287</v>
      </c>
      <c r="F96" s="57">
        <f t="shared" si="1"/>
        <v>1.2345679012345678E-2</v>
      </c>
      <c r="G96" s="57">
        <f t="shared" si="2"/>
        <v>3.2857003985612906E-2</v>
      </c>
      <c r="H96" s="85">
        <f t="shared" si="3"/>
        <v>0.9547973170020414</v>
      </c>
    </row>
    <row r="97" spans="1:8">
      <c r="A97" s="59" t="s">
        <v>1285</v>
      </c>
      <c r="B97" s="80">
        <v>217</v>
      </c>
      <c r="C97" s="80">
        <v>529</v>
      </c>
      <c r="D97" s="80">
        <v>13584</v>
      </c>
      <c r="E97" s="81">
        <f t="shared" si="0"/>
        <v>14330</v>
      </c>
      <c r="F97" s="63">
        <f t="shared" si="1"/>
        <v>1.5143056524773203E-2</v>
      </c>
      <c r="G97" s="63">
        <f t="shared" si="2"/>
        <v>3.6915561758548501E-2</v>
      </c>
      <c r="H97" s="82">
        <f t="shared" si="3"/>
        <v>0.9479413817166783</v>
      </c>
    </row>
    <row r="98" spans="1:8">
      <c r="A98" s="54" t="s">
        <v>1271</v>
      </c>
      <c r="B98" s="83">
        <v>158</v>
      </c>
      <c r="C98" s="83">
        <v>461</v>
      </c>
      <c r="D98" s="83">
        <v>15662</v>
      </c>
      <c r="E98" s="84">
        <f t="shared" si="0"/>
        <v>16281</v>
      </c>
      <c r="F98" s="57">
        <f t="shared" si="1"/>
        <v>9.7045636017443638E-3</v>
      </c>
      <c r="G98" s="57">
        <f t="shared" si="2"/>
        <v>2.8315214053190835E-2</v>
      </c>
      <c r="H98" s="85">
        <f t="shared" si="3"/>
        <v>0.96198022234506475</v>
      </c>
    </row>
    <row r="99" spans="1:8">
      <c r="A99" s="59" t="s">
        <v>1303</v>
      </c>
      <c r="B99" s="80">
        <v>81</v>
      </c>
      <c r="C99" s="87">
        <v>248</v>
      </c>
      <c r="D99" s="80">
        <v>9003</v>
      </c>
      <c r="E99" s="81">
        <f t="shared" si="0"/>
        <v>9332</v>
      </c>
      <c r="F99" s="63">
        <f t="shared" si="1"/>
        <v>8.6798114016288039E-3</v>
      </c>
      <c r="G99" s="63">
        <f t="shared" si="2"/>
        <v>2.6575225032147449E-2</v>
      </c>
      <c r="H99" s="82">
        <f t="shared" si="3"/>
        <v>0.96474496356622375</v>
      </c>
    </row>
    <row r="100" spans="1:8">
      <c r="A100" s="54" t="s">
        <v>1308</v>
      </c>
      <c r="B100" s="83">
        <v>169</v>
      </c>
      <c r="C100" s="83">
        <v>259</v>
      </c>
      <c r="D100" s="83">
        <v>9258</v>
      </c>
      <c r="E100" s="84">
        <f t="shared" si="0"/>
        <v>9686</v>
      </c>
      <c r="F100" s="57">
        <f t="shared" si="1"/>
        <v>1.7447862894899857E-2</v>
      </c>
      <c r="G100" s="57">
        <f t="shared" si="2"/>
        <v>2.6739624199876109E-2</v>
      </c>
      <c r="H100" s="85">
        <f t="shared" si="3"/>
        <v>0.95581251290522407</v>
      </c>
    </row>
    <row r="101" spans="1:8">
      <c r="A101" s="59" t="s">
        <v>677</v>
      </c>
      <c r="B101" s="80">
        <v>349</v>
      </c>
      <c r="C101" s="80">
        <v>852</v>
      </c>
      <c r="D101" s="80">
        <v>15929</v>
      </c>
      <c r="E101" s="81">
        <f t="shared" si="0"/>
        <v>17130</v>
      </c>
      <c r="F101" s="63">
        <f t="shared" si="1"/>
        <v>2.0373613543490952E-2</v>
      </c>
      <c r="G101" s="63">
        <f t="shared" si="2"/>
        <v>4.9737302977232924E-2</v>
      </c>
      <c r="H101" s="82">
        <f t="shared" si="3"/>
        <v>0.92988908347927612</v>
      </c>
    </row>
    <row r="102" spans="1:8">
      <c r="A102" s="54" t="s">
        <v>1324</v>
      </c>
      <c r="B102" s="83">
        <v>293</v>
      </c>
      <c r="C102" s="83">
        <v>656</v>
      </c>
      <c r="D102" s="83">
        <v>26329</v>
      </c>
      <c r="E102" s="84">
        <f t="shared" si="0"/>
        <v>27278</v>
      </c>
      <c r="F102" s="57">
        <f t="shared" si="1"/>
        <v>1.0741256690373194E-2</v>
      </c>
      <c r="G102" s="57">
        <f t="shared" si="2"/>
        <v>2.4048683921108586E-2</v>
      </c>
      <c r="H102" s="85">
        <f t="shared" si="3"/>
        <v>0.96521005938851823</v>
      </c>
    </row>
    <row r="103" spans="1:8">
      <c r="A103" s="59" t="s">
        <v>1339</v>
      </c>
      <c r="B103" s="80">
        <v>805</v>
      </c>
      <c r="C103" s="80">
        <v>1787</v>
      </c>
      <c r="D103" s="80">
        <v>35538</v>
      </c>
      <c r="E103" s="81">
        <f t="shared" si="0"/>
        <v>38130</v>
      </c>
      <c r="F103" s="63">
        <f t="shared" si="1"/>
        <v>2.111198531340152E-2</v>
      </c>
      <c r="G103" s="63">
        <f t="shared" si="2"/>
        <v>4.6865984788880148E-2</v>
      </c>
      <c r="H103" s="82">
        <f t="shared" si="3"/>
        <v>0.93202202989771832</v>
      </c>
    </row>
    <row r="104" spans="1:8">
      <c r="A104" s="54" t="s">
        <v>1354</v>
      </c>
      <c r="B104" s="83">
        <v>184</v>
      </c>
      <c r="C104" s="83">
        <v>396</v>
      </c>
      <c r="D104" s="83">
        <v>15701</v>
      </c>
      <c r="E104" s="84">
        <f t="shared" si="0"/>
        <v>16281</v>
      </c>
      <c r="F104" s="57">
        <f t="shared" si="1"/>
        <v>1.1301517105828881E-2</v>
      </c>
      <c r="G104" s="57">
        <f t="shared" si="2"/>
        <v>2.4322830292979547E-2</v>
      </c>
      <c r="H104" s="85">
        <f t="shared" si="3"/>
        <v>0.96437565260119162</v>
      </c>
    </row>
    <row r="105" spans="1:8">
      <c r="A105" s="59" t="s">
        <v>1372</v>
      </c>
      <c r="B105" s="80">
        <v>117</v>
      </c>
      <c r="C105" s="80">
        <v>251</v>
      </c>
      <c r="D105" s="80">
        <v>9110</v>
      </c>
      <c r="E105" s="81">
        <f t="shared" si="0"/>
        <v>9478</v>
      </c>
      <c r="F105" s="63">
        <f t="shared" si="1"/>
        <v>1.2344376450728002E-2</v>
      </c>
      <c r="G105" s="63">
        <f t="shared" si="2"/>
        <v>2.648238024899768E-2</v>
      </c>
      <c r="H105" s="82">
        <f t="shared" si="3"/>
        <v>0.96117324330027432</v>
      </c>
    </row>
    <row r="106" spans="1:8">
      <c r="A106" s="54" t="s">
        <v>1390</v>
      </c>
      <c r="B106" s="83">
        <v>72</v>
      </c>
      <c r="C106" s="83">
        <v>218</v>
      </c>
      <c r="D106" s="83">
        <v>10905</v>
      </c>
      <c r="E106" s="84">
        <f t="shared" si="0"/>
        <v>11195</v>
      </c>
      <c r="F106" s="57">
        <f t="shared" si="1"/>
        <v>6.4314426083072803E-3</v>
      </c>
      <c r="G106" s="57">
        <f t="shared" si="2"/>
        <v>1.9472979008485932E-2</v>
      </c>
      <c r="H106" s="85">
        <f t="shared" si="3"/>
        <v>0.97409557838320682</v>
      </c>
    </row>
    <row r="107" spans="1:8">
      <c r="A107" s="59" t="s">
        <v>1400</v>
      </c>
      <c r="B107" s="80">
        <v>80</v>
      </c>
      <c r="C107" s="80">
        <v>244</v>
      </c>
      <c r="D107" s="80">
        <v>6720</v>
      </c>
      <c r="E107" s="81">
        <f t="shared" si="0"/>
        <v>7044</v>
      </c>
      <c r="F107" s="63">
        <f t="shared" si="1"/>
        <v>1.1357183418512209E-2</v>
      </c>
      <c r="G107" s="63">
        <f t="shared" si="2"/>
        <v>3.4639409426462237E-2</v>
      </c>
      <c r="H107" s="82">
        <f t="shared" si="3"/>
        <v>0.95400340715502552</v>
      </c>
    </row>
    <row r="108" spans="1:8">
      <c r="A108" s="54" t="s">
        <v>1410</v>
      </c>
      <c r="B108" s="83">
        <v>134</v>
      </c>
      <c r="C108" s="83">
        <v>431</v>
      </c>
      <c r="D108" s="83">
        <v>9597</v>
      </c>
      <c r="E108" s="84">
        <f t="shared" si="0"/>
        <v>10162</v>
      </c>
      <c r="F108" s="57">
        <f t="shared" si="1"/>
        <v>1.3186380633733516E-2</v>
      </c>
      <c r="G108" s="57">
        <f t="shared" si="2"/>
        <v>4.2412910844321985E-2</v>
      </c>
      <c r="H108" s="85">
        <f t="shared" si="3"/>
        <v>0.94440070852194447</v>
      </c>
    </row>
    <row r="109" spans="1:8">
      <c r="A109" s="59" t="s">
        <v>1419</v>
      </c>
      <c r="B109" s="80">
        <v>109</v>
      </c>
      <c r="C109" s="80">
        <v>263</v>
      </c>
      <c r="D109" s="80">
        <v>7975</v>
      </c>
      <c r="E109" s="81">
        <f t="shared" si="0"/>
        <v>8347</v>
      </c>
      <c r="F109" s="63">
        <f t="shared" si="1"/>
        <v>1.3058583922367318E-2</v>
      </c>
      <c r="G109" s="63">
        <f t="shared" si="2"/>
        <v>3.1508326344794536E-2</v>
      </c>
      <c r="H109" s="82">
        <f t="shared" si="3"/>
        <v>0.95543308973283814</v>
      </c>
    </row>
    <row r="110" spans="1:8">
      <c r="A110" s="54" t="s">
        <v>1432</v>
      </c>
      <c r="B110" s="83">
        <v>1363</v>
      </c>
      <c r="C110" s="83">
        <v>1912</v>
      </c>
      <c r="D110" s="83">
        <v>37401</v>
      </c>
      <c r="E110" s="84">
        <f t="shared" si="0"/>
        <v>40676</v>
      </c>
      <c r="F110" s="57">
        <f t="shared" si="1"/>
        <v>3.3508702920641162E-2</v>
      </c>
      <c r="G110" s="57">
        <f t="shared" si="2"/>
        <v>4.700560527092143E-2</v>
      </c>
      <c r="H110" s="85">
        <f t="shared" si="3"/>
        <v>0.91948569180843742</v>
      </c>
    </row>
    <row r="111" spans="1:8">
      <c r="A111" s="59" t="s">
        <v>1451</v>
      </c>
      <c r="B111" s="80">
        <v>436</v>
      </c>
      <c r="C111" s="80">
        <v>620</v>
      </c>
      <c r="D111" s="80">
        <v>21179</v>
      </c>
      <c r="E111" s="81">
        <f t="shared" si="0"/>
        <v>22235</v>
      </c>
      <c r="F111" s="63">
        <f t="shared" si="1"/>
        <v>1.9608724983134696E-2</v>
      </c>
      <c r="G111" s="63">
        <f t="shared" si="2"/>
        <v>2.7883966719136496E-2</v>
      </c>
      <c r="H111" s="82">
        <f t="shared" si="3"/>
        <v>0.95250730829772878</v>
      </c>
    </row>
    <row r="112" spans="1:8">
      <c r="A112" s="54" t="s">
        <v>1461</v>
      </c>
      <c r="B112" s="83">
        <v>6592</v>
      </c>
      <c r="C112" s="83">
        <v>10996</v>
      </c>
      <c r="D112" s="83">
        <v>217229</v>
      </c>
      <c r="E112" s="84">
        <f t="shared" si="0"/>
        <v>234817</v>
      </c>
      <c r="F112" s="57">
        <f t="shared" si="1"/>
        <v>2.8072924873412061E-2</v>
      </c>
      <c r="G112" s="57">
        <f t="shared" si="2"/>
        <v>4.6827955386535045E-2</v>
      </c>
      <c r="H112" s="85">
        <f t="shared" si="3"/>
        <v>0.92509911974005288</v>
      </c>
    </row>
    <row r="113" spans="1:8">
      <c r="A113" s="59" t="s">
        <v>1492</v>
      </c>
      <c r="B113" s="80">
        <v>244</v>
      </c>
      <c r="C113" s="80">
        <v>654</v>
      </c>
      <c r="D113" s="80">
        <v>14467</v>
      </c>
      <c r="E113" s="81">
        <f t="shared" si="0"/>
        <v>15365</v>
      </c>
      <c r="F113" s="63">
        <f t="shared" si="1"/>
        <v>1.5880247315327042E-2</v>
      </c>
      <c r="G113" s="63">
        <f t="shared" si="2"/>
        <v>4.2564269443540512E-2</v>
      </c>
      <c r="H113" s="82">
        <f t="shared" si="3"/>
        <v>0.94155548324113247</v>
      </c>
    </row>
    <row r="114" spans="1:8">
      <c r="A114" s="54" t="s">
        <v>1506</v>
      </c>
      <c r="B114" s="83">
        <v>70</v>
      </c>
      <c r="C114" s="89">
        <v>287</v>
      </c>
      <c r="D114" s="83">
        <v>10485</v>
      </c>
      <c r="E114" s="84">
        <f t="shared" si="0"/>
        <v>10842</v>
      </c>
      <c r="F114" s="57">
        <f t="shared" si="1"/>
        <v>6.4563733628481834E-3</v>
      </c>
      <c r="G114" s="57">
        <f t="shared" si="2"/>
        <v>2.6471130787677551E-2</v>
      </c>
      <c r="H114" s="85">
        <f t="shared" si="3"/>
        <v>0.9670724958494743</v>
      </c>
    </row>
    <row r="115" spans="1:8">
      <c r="A115" s="59" t="s">
        <v>1515</v>
      </c>
      <c r="B115" s="80">
        <v>426</v>
      </c>
      <c r="C115" s="80">
        <v>1390</v>
      </c>
      <c r="D115" s="80">
        <v>38650</v>
      </c>
      <c r="E115" s="81">
        <f t="shared" si="0"/>
        <v>40466</v>
      </c>
      <c r="F115" s="63">
        <f t="shared" si="1"/>
        <v>1.0527356299115307E-2</v>
      </c>
      <c r="G115" s="63">
        <f t="shared" si="2"/>
        <v>3.4349824544061679E-2</v>
      </c>
      <c r="H115" s="82">
        <f t="shared" si="3"/>
        <v>0.95512281915682307</v>
      </c>
    </row>
    <row r="116" spans="1:8">
      <c r="A116" s="54" t="s">
        <v>1527</v>
      </c>
      <c r="B116" s="83">
        <v>833</v>
      </c>
      <c r="C116" s="83">
        <v>1189</v>
      </c>
      <c r="D116" s="83">
        <v>31045</v>
      </c>
      <c r="E116" s="84">
        <f t="shared" si="0"/>
        <v>33067</v>
      </c>
      <c r="F116" s="57">
        <f t="shared" si="1"/>
        <v>2.5191278313726678E-2</v>
      </c>
      <c r="G116" s="57">
        <f t="shared" si="2"/>
        <v>3.595729881755224E-2</v>
      </c>
      <c r="H116" s="85">
        <f t="shared" si="3"/>
        <v>0.93885142286872103</v>
      </c>
    </row>
    <row r="117" spans="1:8">
      <c r="A117" s="59" t="s">
        <v>1022</v>
      </c>
      <c r="B117" s="80">
        <v>76</v>
      </c>
      <c r="C117" s="80">
        <v>183</v>
      </c>
      <c r="D117" s="80">
        <v>4569</v>
      </c>
      <c r="E117" s="81">
        <f t="shared" si="0"/>
        <v>4828</v>
      </c>
      <c r="F117" s="63">
        <f t="shared" si="1"/>
        <v>1.5741507870753936E-2</v>
      </c>
      <c r="G117" s="63">
        <f t="shared" si="2"/>
        <v>3.7903893951946974E-2</v>
      </c>
      <c r="H117" s="82">
        <f t="shared" si="3"/>
        <v>0.94635459817729906</v>
      </c>
    </row>
    <row r="118" spans="1:8">
      <c r="A118" s="54" t="s">
        <v>1573</v>
      </c>
      <c r="B118" s="83">
        <v>290</v>
      </c>
      <c r="C118" s="83">
        <v>870</v>
      </c>
      <c r="D118" s="83">
        <v>15420</v>
      </c>
      <c r="E118" s="84">
        <f t="shared" si="0"/>
        <v>16580</v>
      </c>
      <c r="F118" s="57">
        <f t="shared" si="1"/>
        <v>1.7490952955367914E-2</v>
      </c>
      <c r="G118" s="57">
        <f t="shared" si="2"/>
        <v>5.2472858866103742E-2</v>
      </c>
      <c r="H118" s="85">
        <f t="shared" si="3"/>
        <v>0.9300361881785284</v>
      </c>
    </row>
    <row r="119" spans="1:8">
      <c r="A119" s="59" t="s">
        <v>1563</v>
      </c>
      <c r="B119" s="80">
        <v>117</v>
      </c>
      <c r="C119" s="80">
        <v>392</v>
      </c>
      <c r="D119" s="80">
        <v>9710</v>
      </c>
      <c r="E119" s="81">
        <f t="shared" si="0"/>
        <v>10219</v>
      </c>
      <c r="F119" s="63">
        <f t="shared" si="1"/>
        <v>1.1449261180154614E-2</v>
      </c>
      <c r="G119" s="63">
        <f t="shared" si="2"/>
        <v>3.8359917800176141E-2</v>
      </c>
      <c r="H119" s="82">
        <f t="shared" si="3"/>
        <v>0.95019082101966923</v>
      </c>
    </row>
    <row r="120" spans="1:8">
      <c r="A120" s="54" t="s">
        <v>1568</v>
      </c>
      <c r="B120" s="83">
        <v>105</v>
      </c>
      <c r="C120" s="83">
        <v>294</v>
      </c>
      <c r="D120" s="83">
        <v>15279</v>
      </c>
      <c r="E120" s="84">
        <f t="shared" si="0"/>
        <v>15678</v>
      </c>
      <c r="F120" s="57">
        <f t="shared" si="1"/>
        <v>6.697282816685802E-3</v>
      </c>
      <c r="G120" s="57">
        <f t="shared" si="2"/>
        <v>1.8752391886720246E-2</v>
      </c>
      <c r="H120" s="85">
        <f t="shared" si="3"/>
        <v>0.97455032529659391</v>
      </c>
    </row>
    <row r="121" spans="1:8">
      <c r="A121" s="59" t="s">
        <v>1578</v>
      </c>
      <c r="B121" s="80">
        <v>612</v>
      </c>
      <c r="C121" s="80">
        <v>1116</v>
      </c>
      <c r="D121" s="80">
        <v>20616</v>
      </c>
      <c r="E121" s="81">
        <f t="shared" si="0"/>
        <v>22344</v>
      </c>
      <c r="F121" s="63">
        <f t="shared" si="1"/>
        <v>2.7389903329752954E-2</v>
      </c>
      <c r="G121" s="63">
        <f t="shared" si="2"/>
        <v>4.9946294307196562E-2</v>
      </c>
      <c r="H121" s="82">
        <f t="shared" si="3"/>
        <v>0.92266380236305046</v>
      </c>
    </row>
    <row r="122" spans="1:8">
      <c r="A122" s="54" t="s">
        <v>693</v>
      </c>
      <c r="B122" s="83">
        <v>1688</v>
      </c>
      <c r="C122" s="83">
        <v>2181</v>
      </c>
      <c r="D122" s="83">
        <v>35291</v>
      </c>
      <c r="E122" s="84">
        <f t="shared" si="0"/>
        <v>39160</v>
      </c>
      <c r="F122" s="57">
        <f t="shared" si="1"/>
        <v>4.3105209397344225E-2</v>
      </c>
      <c r="G122" s="57">
        <f t="shared" si="2"/>
        <v>5.569458631256384E-2</v>
      </c>
      <c r="H122" s="85">
        <f t="shared" si="3"/>
        <v>0.90120020429009196</v>
      </c>
    </row>
    <row r="123" spans="1:8">
      <c r="A123" s="59" t="s">
        <v>1605</v>
      </c>
      <c r="B123" s="80">
        <v>5655</v>
      </c>
      <c r="C123" s="80">
        <v>9481</v>
      </c>
      <c r="D123" s="80">
        <v>163884</v>
      </c>
      <c r="E123" s="81">
        <f t="shared" si="0"/>
        <v>179020</v>
      </c>
      <c r="F123" s="63">
        <f t="shared" si="1"/>
        <v>3.1588649312925932E-2</v>
      </c>
      <c r="G123" s="63">
        <f t="shared" si="2"/>
        <v>5.2960563065579266E-2</v>
      </c>
      <c r="H123" s="82">
        <f t="shared" si="3"/>
        <v>0.91545078762149479</v>
      </c>
    </row>
    <row r="124" spans="1:8">
      <c r="A124" s="54" t="s">
        <v>1635</v>
      </c>
      <c r="B124" s="83">
        <v>264</v>
      </c>
      <c r="C124" s="83">
        <v>823</v>
      </c>
      <c r="D124" s="90">
        <v>14628</v>
      </c>
      <c r="E124" s="91">
        <f t="shared" si="0"/>
        <v>15715</v>
      </c>
      <c r="F124" s="57">
        <f t="shared" si="1"/>
        <v>1.6799236398345529E-2</v>
      </c>
      <c r="G124" s="57">
        <f t="shared" si="2"/>
        <v>5.2370346802418075E-2</v>
      </c>
      <c r="H124" s="92">
        <f t="shared" si="3"/>
        <v>0.93083041679923639</v>
      </c>
    </row>
    <row r="125" spans="1:8">
      <c r="A125" s="59" t="s">
        <v>3944</v>
      </c>
      <c r="B125" s="80">
        <v>545</v>
      </c>
      <c r="C125" s="80">
        <v>1299</v>
      </c>
      <c r="D125" s="93">
        <v>38344</v>
      </c>
      <c r="E125" s="94">
        <f t="shared" si="0"/>
        <v>40188</v>
      </c>
      <c r="F125" s="63">
        <f t="shared" si="1"/>
        <v>1.3561262068279088E-2</v>
      </c>
      <c r="G125" s="63">
        <f t="shared" si="2"/>
        <v>3.2323081516870709E-2</v>
      </c>
      <c r="H125" s="95">
        <f t="shared" si="3"/>
        <v>0.95411565641485019</v>
      </c>
    </row>
    <row r="126" spans="1:8">
      <c r="A126" s="54" t="s">
        <v>1665</v>
      </c>
      <c r="B126" s="83">
        <v>660</v>
      </c>
      <c r="C126" s="83">
        <v>987</v>
      </c>
      <c r="D126" s="83">
        <v>18779</v>
      </c>
      <c r="E126" s="84">
        <f t="shared" si="0"/>
        <v>20426</v>
      </c>
      <c r="F126" s="57">
        <f t="shared" si="1"/>
        <v>3.2311759522177616E-2</v>
      </c>
      <c r="G126" s="57">
        <f t="shared" si="2"/>
        <v>4.8320767649074711E-2</v>
      </c>
      <c r="H126" s="85">
        <f t="shared" si="3"/>
        <v>0.91936747282874764</v>
      </c>
    </row>
    <row r="127" spans="1:8">
      <c r="A127" s="59" t="s">
        <v>1669</v>
      </c>
      <c r="B127" s="80">
        <v>3612</v>
      </c>
      <c r="C127" s="80">
        <v>6737</v>
      </c>
      <c r="D127" s="80">
        <v>182214</v>
      </c>
      <c r="E127" s="81">
        <f t="shared" si="0"/>
        <v>192563</v>
      </c>
      <c r="F127" s="63">
        <f t="shared" si="1"/>
        <v>1.8757497546257589E-2</v>
      </c>
      <c r="G127" s="63">
        <f t="shared" si="2"/>
        <v>3.4985952649262839E-2</v>
      </c>
      <c r="H127" s="82">
        <f t="shared" si="3"/>
        <v>0.9462565498044796</v>
      </c>
    </row>
    <row r="128" spans="1:8">
      <c r="A128" s="54" t="s">
        <v>1696</v>
      </c>
      <c r="B128" s="83">
        <v>338</v>
      </c>
      <c r="C128" s="83">
        <v>493</v>
      </c>
      <c r="D128" s="83">
        <v>7246</v>
      </c>
      <c r="E128" s="84">
        <f t="shared" si="0"/>
        <v>8077</v>
      </c>
      <c r="F128" s="57">
        <f t="shared" si="1"/>
        <v>4.1847220502661882E-2</v>
      </c>
      <c r="G128" s="57">
        <f t="shared" si="2"/>
        <v>6.1037513928438779E-2</v>
      </c>
      <c r="H128" s="85">
        <f t="shared" si="3"/>
        <v>0.89711526556889931</v>
      </c>
    </row>
    <row r="129" spans="1:8">
      <c r="A129" s="59" t="s">
        <v>1705</v>
      </c>
      <c r="B129" s="80">
        <v>430</v>
      </c>
      <c r="C129" s="80">
        <v>682</v>
      </c>
      <c r="D129" s="80">
        <v>16933</v>
      </c>
      <c r="E129" s="81">
        <f t="shared" si="0"/>
        <v>18045</v>
      </c>
      <c r="F129" s="63">
        <f t="shared" si="1"/>
        <v>2.3829315599889166E-2</v>
      </c>
      <c r="G129" s="63">
        <f t="shared" si="2"/>
        <v>3.7794402881684674E-2</v>
      </c>
      <c r="H129" s="82">
        <f t="shared" si="3"/>
        <v>0.93837628151842611</v>
      </c>
    </row>
    <row r="130" spans="1:8">
      <c r="A130" s="54" t="s">
        <v>1723</v>
      </c>
      <c r="B130" s="83">
        <v>138</v>
      </c>
      <c r="C130" s="83">
        <v>244</v>
      </c>
      <c r="D130" s="83">
        <v>9092</v>
      </c>
      <c r="E130" s="84">
        <f t="shared" si="0"/>
        <v>9474</v>
      </c>
      <c r="F130" s="57">
        <f t="shared" si="1"/>
        <v>1.4566181127295756E-2</v>
      </c>
      <c r="G130" s="57">
        <f t="shared" si="2"/>
        <v>2.5754697065653368E-2</v>
      </c>
      <c r="H130" s="85">
        <f t="shared" si="3"/>
        <v>0.95967912180705084</v>
      </c>
    </row>
    <row r="131" spans="1:8">
      <c r="A131" s="59" t="s">
        <v>1737</v>
      </c>
      <c r="B131" s="80">
        <v>175</v>
      </c>
      <c r="C131" s="80">
        <v>465</v>
      </c>
      <c r="D131" s="80">
        <v>11869</v>
      </c>
      <c r="E131" s="81">
        <f t="shared" si="0"/>
        <v>12509</v>
      </c>
      <c r="F131" s="63">
        <f t="shared" si="1"/>
        <v>1.3989927252378288E-2</v>
      </c>
      <c r="G131" s="63">
        <f t="shared" si="2"/>
        <v>3.7173235270605162E-2</v>
      </c>
      <c r="H131" s="82">
        <f t="shared" si="3"/>
        <v>0.94883683747701653</v>
      </c>
    </row>
    <row r="132" spans="1:8">
      <c r="A132" s="54" t="s">
        <v>1748</v>
      </c>
      <c r="B132" s="83">
        <v>75</v>
      </c>
      <c r="C132" s="83">
        <v>136</v>
      </c>
      <c r="D132" s="83">
        <v>5034</v>
      </c>
      <c r="E132" s="84">
        <f t="shared" si="0"/>
        <v>5245</v>
      </c>
      <c r="F132" s="57">
        <f t="shared" si="1"/>
        <v>1.4299332697807437E-2</v>
      </c>
      <c r="G132" s="57">
        <f t="shared" si="2"/>
        <v>2.5929456625357485E-2</v>
      </c>
      <c r="H132" s="85">
        <f t="shared" si="3"/>
        <v>0.95977121067683513</v>
      </c>
    </row>
    <row r="133" spans="1:8">
      <c r="A133" s="59" t="s">
        <v>1752</v>
      </c>
      <c r="B133" s="80">
        <v>20183</v>
      </c>
      <c r="C133" s="80">
        <v>34426</v>
      </c>
      <c r="D133" s="80">
        <v>929154</v>
      </c>
      <c r="E133" s="81">
        <f t="shared" si="0"/>
        <v>983763</v>
      </c>
      <c r="F133" s="63">
        <f t="shared" si="1"/>
        <v>2.0516120244408461E-2</v>
      </c>
      <c r="G133" s="63">
        <f t="shared" si="2"/>
        <v>3.4994200839023222E-2</v>
      </c>
      <c r="H133" s="82">
        <f t="shared" si="3"/>
        <v>0.94448967891656832</v>
      </c>
    </row>
    <row r="134" spans="1:8">
      <c r="A134" s="54" t="s">
        <v>1782</v>
      </c>
      <c r="B134" s="83">
        <v>302</v>
      </c>
      <c r="C134" s="83">
        <v>562</v>
      </c>
      <c r="D134" s="83">
        <v>18314</v>
      </c>
      <c r="E134" s="84">
        <f t="shared" si="0"/>
        <v>19178</v>
      </c>
      <c r="F134" s="57">
        <f t="shared" si="1"/>
        <v>1.5747210345187192E-2</v>
      </c>
      <c r="G134" s="57">
        <f t="shared" si="2"/>
        <v>2.9304411304619877E-2</v>
      </c>
      <c r="H134" s="85">
        <f t="shared" si="3"/>
        <v>0.95494837835019297</v>
      </c>
    </row>
    <row r="135" spans="1:8">
      <c r="A135" s="59" t="s">
        <v>1209</v>
      </c>
      <c r="B135" s="80">
        <v>367</v>
      </c>
      <c r="C135" s="80">
        <v>702</v>
      </c>
      <c r="D135" s="80">
        <v>22508</v>
      </c>
      <c r="E135" s="81">
        <f t="shared" si="0"/>
        <v>23577</v>
      </c>
      <c r="F135" s="63">
        <f t="shared" si="1"/>
        <v>1.5566017729142808E-2</v>
      </c>
      <c r="G135" s="63">
        <f t="shared" si="2"/>
        <v>2.9774780506425753E-2</v>
      </c>
      <c r="H135" s="82">
        <f t="shared" si="3"/>
        <v>0.95465920176443142</v>
      </c>
    </row>
    <row r="136" spans="1:8">
      <c r="A136" s="54" t="s">
        <v>1807</v>
      </c>
      <c r="B136" s="83">
        <v>167</v>
      </c>
      <c r="C136" s="83">
        <v>356</v>
      </c>
      <c r="D136" s="83">
        <v>13599</v>
      </c>
      <c r="E136" s="84">
        <f t="shared" si="0"/>
        <v>14122</v>
      </c>
      <c r="F136" s="57">
        <f t="shared" si="1"/>
        <v>1.1825520464523438E-2</v>
      </c>
      <c r="G136" s="57">
        <f t="shared" si="2"/>
        <v>2.5208893924373317E-2</v>
      </c>
      <c r="H136" s="85">
        <f t="shared" si="3"/>
        <v>0.96296558561110324</v>
      </c>
    </row>
    <row r="137" spans="1:8">
      <c r="A137" s="59" t="s">
        <v>1829</v>
      </c>
      <c r="B137" s="80">
        <v>411</v>
      </c>
      <c r="C137" s="80">
        <v>693</v>
      </c>
      <c r="D137" s="80">
        <v>8875</v>
      </c>
      <c r="E137" s="81">
        <f t="shared" si="0"/>
        <v>9979</v>
      </c>
      <c r="F137" s="63">
        <f t="shared" si="1"/>
        <v>4.1186491632428102E-2</v>
      </c>
      <c r="G137" s="63">
        <f t="shared" si="2"/>
        <v>6.9445836256137886E-2</v>
      </c>
      <c r="H137" s="82">
        <f t="shared" si="3"/>
        <v>0.88936767211143397</v>
      </c>
    </row>
    <row r="138" spans="1:8">
      <c r="A138" s="54" t="s">
        <v>1839</v>
      </c>
      <c r="B138" s="83">
        <v>116</v>
      </c>
      <c r="C138" s="83">
        <v>179</v>
      </c>
      <c r="D138" s="83">
        <v>5939</v>
      </c>
      <c r="E138" s="84">
        <f t="shared" si="0"/>
        <v>6234</v>
      </c>
      <c r="F138" s="57">
        <f t="shared" si="1"/>
        <v>1.8607635547000321E-2</v>
      </c>
      <c r="G138" s="57">
        <f t="shared" si="2"/>
        <v>2.8713506576836703E-2</v>
      </c>
      <c r="H138" s="85">
        <f t="shared" si="3"/>
        <v>0.95267885787616302</v>
      </c>
    </row>
    <row r="139" spans="1:8">
      <c r="A139" s="59" t="s">
        <v>1843</v>
      </c>
      <c r="B139" s="80">
        <v>483</v>
      </c>
      <c r="C139" s="80">
        <v>953</v>
      </c>
      <c r="D139" s="80">
        <v>33940</v>
      </c>
      <c r="E139" s="81">
        <f t="shared" si="0"/>
        <v>35376</v>
      </c>
      <c r="F139" s="63">
        <f t="shared" si="1"/>
        <v>1.3653324287652646E-2</v>
      </c>
      <c r="G139" s="63">
        <f t="shared" si="2"/>
        <v>2.6939167797376751E-2</v>
      </c>
      <c r="H139" s="82">
        <f t="shared" si="3"/>
        <v>0.95940750791497065</v>
      </c>
    </row>
    <row r="140" spans="1:8">
      <c r="A140" s="54" t="s">
        <v>1860</v>
      </c>
      <c r="B140" s="83">
        <v>270</v>
      </c>
      <c r="C140" s="83">
        <v>871</v>
      </c>
      <c r="D140" s="83">
        <v>8857</v>
      </c>
      <c r="E140" s="84">
        <f t="shared" si="0"/>
        <v>9998</v>
      </c>
      <c r="F140" s="57">
        <f t="shared" si="1"/>
        <v>2.7005401080216044E-2</v>
      </c>
      <c r="G140" s="57">
        <f t="shared" si="2"/>
        <v>8.7117423484696935E-2</v>
      </c>
      <c r="H140" s="85">
        <f t="shared" si="3"/>
        <v>0.88587717543508704</v>
      </c>
    </row>
    <row r="141" spans="1:8">
      <c r="A141" s="59" t="s">
        <v>1870</v>
      </c>
      <c r="B141" s="80">
        <v>412</v>
      </c>
      <c r="C141" s="80">
        <v>734</v>
      </c>
      <c r="D141" s="80">
        <v>12449</v>
      </c>
      <c r="E141" s="81">
        <f t="shared" si="0"/>
        <v>13595</v>
      </c>
      <c r="F141" s="63">
        <f t="shared" si="1"/>
        <v>3.0305259286502392E-2</v>
      </c>
      <c r="G141" s="63">
        <f t="shared" si="2"/>
        <v>5.3990437660904743E-2</v>
      </c>
      <c r="H141" s="82">
        <f t="shared" si="3"/>
        <v>0.91570430305259287</v>
      </c>
    </row>
    <row r="142" spans="1:8">
      <c r="A142" s="54" t="s">
        <v>1879</v>
      </c>
      <c r="B142" s="83">
        <v>116</v>
      </c>
      <c r="C142" s="83">
        <v>333</v>
      </c>
      <c r="D142" s="83">
        <v>10752</v>
      </c>
      <c r="E142" s="84">
        <f t="shared" si="0"/>
        <v>11201</v>
      </c>
      <c r="F142" s="57">
        <f t="shared" si="1"/>
        <v>1.0356218194804036E-2</v>
      </c>
      <c r="G142" s="57">
        <f t="shared" si="2"/>
        <v>2.9729488438532275E-2</v>
      </c>
      <c r="H142" s="85">
        <f t="shared" si="3"/>
        <v>0.95991429336666367</v>
      </c>
    </row>
    <row r="143" spans="1:8">
      <c r="A143" s="59" t="s">
        <v>1883</v>
      </c>
      <c r="B143" s="80">
        <v>75</v>
      </c>
      <c r="C143" s="80">
        <v>320</v>
      </c>
      <c r="D143" s="80">
        <v>8375</v>
      </c>
      <c r="E143" s="81">
        <f t="shared" si="0"/>
        <v>8770</v>
      </c>
      <c r="F143" s="63">
        <f t="shared" si="1"/>
        <v>8.5518814139110607E-3</v>
      </c>
      <c r="G143" s="63">
        <f t="shared" si="2"/>
        <v>3.6488027366020526E-2</v>
      </c>
      <c r="H143" s="82">
        <f t="shared" si="3"/>
        <v>0.95496009122006842</v>
      </c>
    </row>
    <row r="144" spans="1:8">
      <c r="A144" s="54" t="s">
        <v>1889</v>
      </c>
      <c r="B144" s="83">
        <v>1289</v>
      </c>
      <c r="C144" s="83">
        <v>1766</v>
      </c>
      <c r="D144" s="83">
        <v>52031</v>
      </c>
      <c r="E144" s="84">
        <f t="shared" si="0"/>
        <v>55086</v>
      </c>
      <c r="F144" s="57">
        <f t="shared" si="1"/>
        <v>2.3399774897433105E-2</v>
      </c>
      <c r="G144" s="57">
        <f t="shared" si="2"/>
        <v>3.2058962349780347E-2</v>
      </c>
      <c r="H144" s="85">
        <f t="shared" si="3"/>
        <v>0.9445412627527866</v>
      </c>
    </row>
    <row r="145" spans="1:8">
      <c r="A145" s="59" t="s">
        <v>1907</v>
      </c>
      <c r="B145" s="80">
        <v>54</v>
      </c>
      <c r="C145" s="80">
        <v>168</v>
      </c>
      <c r="D145" s="80">
        <v>10917</v>
      </c>
      <c r="E145" s="81">
        <f t="shared" si="0"/>
        <v>11139</v>
      </c>
      <c r="F145" s="63">
        <f t="shared" si="1"/>
        <v>4.8478319418260168E-3</v>
      </c>
      <c r="G145" s="63">
        <f t="shared" si="2"/>
        <v>1.5082143819014274E-2</v>
      </c>
      <c r="H145" s="82">
        <f t="shared" si="3"/>
        <v>0.98007002423915968</v>
      </c>
    </row>
    <row r="146" spans="1:8">
      <c r="A146" s="54" t="s">
        <v>1920</v>
      </c>
      <c r="B146" s="83">
        <v>375</v>
      </c>
      <c r="C146" s="83">
        <v>660</v>
      </c>
      <c r="D146" s="83">
        <v>25579</v>
      </c>
      <c r="E146" s="84">
        <f t="shared" si="0"/>
        <v>26614</v>
      </c>
      <c r="F146" s="57">
        <f t="shared" si="1"/>
        <v>1.4090328398587209E-2</v>
      </c>
      <c r="G146" s="57">
        <f t="shared" si="2"/>
        <v>2.4798977981513488E-2</v>
      </c>
      <c r="H146" s="85">
        <f t="shared" si="3"/>
        <v>0.96111069361989931</v>
      </c>
    </row>
    <row r="147" spans="1:8">
      <c r="A147" s="59" t="s">
        <v>3945</v>
      </c>
      <c r="B147" s="80">
        <v>139</v>
      </c>
      <c r="C147" s="80">
        <v>352</v>
      </c>
      <c r="D147" s="80">
        <v>9480</v>
      </c>
      <c r="E147" s="81">
        <f t="shared" si="0"/>
        <v>9971</v>
      </c>
      <c r="F147" s="63">
        <f t="shared" si="1"/>
        <v>1.3940427238993081E-2</v>
      </c>
      <c r="G147" s="63">
        <f t="shared" si="2"/>
        <v>3.5302376892989672E-2</v>
      </c>
      <c r="H147" s="82">
        <f t="shared" si="3"/>
        <v>0.95075719586801721</v>
      </c>
    </row>
    <row r="148" spans="1:8">
      <c r="A148" s="54" t="s">
        <v>1948</v>
      </c>
      <c r="B148" s="83">
        <v>162</v>
      </c>
      <c r="C148" s="83">
        <v>323</v>
      </c>
      <c r="D148" s="83">
        <v>6352</v>
      </c>
      <c r="E148" s="84">
        <f t="shared" si="0"/>
        <v>6837</v>
      </c>
      <c r="F148" s="57">
        <f t="shared" si="1"/>
        <v>2.3694602896007021E-2</v>
      </c>
      <c r="G148" s="57">
        <f t="shared" si="2"/>
        <v>4.7242942811174492E-2</v>
      </c>
      <c r="H148" s="85">
        <f t="shared" si="3"/>
        <v>0.92906245429281853</v>
      </c>
    </row>
    <row r="149" spans="1:8">
      <c r="A149" s="59" t="s">
        <v>1958</v>
      </c>
      <c r="B149" s="80">
        <v>95</v>
      </c>
      <c r="C149" s="80">
        <v>280</v>
      </c>
      <c r="D149" s="80">
        <v>6100</v>
      </c>
      <c r="E149" s="81">
        <f t="shared" si="0"/>
        <v>6475</v>
      </c>
      <c r="F149" s="63">
        <f t="shared" si="1"/>
        <v>1.4671814671814672E-2</v>
      </c>
      <c r="G149" s="63">
        <f t="shared" si="2"/>
        <v>4.3243243243243246E-2</v>
      </c>
      <c r="H149" s="82">
        <f t="shared" si="3"/>
        <v>0.94208494208494209</v>
      </c>
    </row>
    <row r="150" spans="1:8">
      <c r="A150" s="54" t="s">
        <v>1964</v>
      </c>
      <c r="B150" s="83">
        <v>379</v>
      </c>
      <c r="C150" s="83">
        <v>779</v>
      </c>
      <c r="D150" s="83">
        <v>28544</v>
      </c>
      <c r="E150" s="84">
        <f t="shared" si="0"/>
        <v>29702</v>
      </c>
      <c r="F150" s="57">
        <f t="shared" si="1"/>
        <v>1.2760083496060871E-2</v>
      </c>
      <c r="G150" s="57">
        <f t="shared" si="2"/>
        <v>2.6227190088209548E-2</v>
      </c>
      <c r="H150" s="85">
        <f t="shared" si="3"/>
        <v>0.96101272641572955</v>
      </c>
    </row>
    <row r="151" spans="1:8">
      <c r="A151" s="59" t="s">
        <v>1979</v>
      </c>
      <c r="B151" s="80">
        <v>869</v>
      </c>
      <c r="C151" s="80">
        <v>1356</v>
      </c>
      <c r="D151" s="87">
        <v>24308</v>
      </c>
      <c r="E151" s="39">
        <f t="shared" si="0"/>
        <v>26533</v>
      </c>
      <c r="F151" s="63">
        <f t="shared" si="1"/>
        <v>3.2751667734519277E-2</v>
      </c>
      <c r="G151" s="63">
        <f t="shared" si="2"/>
        <v>5.1106169675498435E-2</v>
      </c>
      <c r="H151" s="88">
        <f t="shared" si="3"/>
        <v>0.91614216258998227</v>
      </c>
    </row>
    <row r="152" spans="1:8">
      <c r="A152" s="54" t="s">
        <v>1984</v>
      </c>
      <c r="B152" s="83">
        <v>291</v>
      </c>
      <c r="C152" s="83">
        <v>525</v>
      </c>
      <c r="D152" s="83">
        <v>14508</v>
      </c>
      <c r="E152" s="84">
        <f t="shared" si="0"/>
        <v>15324</v>
      </c>
      <c r="F152" s="57">
        <f t="shared" si="1"/>
        <v>1.8989819890368052E-2</v>
      </c>
      <c r="G152" s="57">
        <f t="shared" si="2"/>
        <v>3.4259984338292873E-2</v>
      </c>
      <c r="H152" s="85">
        <f t="shared" si="3"/>
        <v>0.94675019577133912</v>
      </c>
    </row>
    <row r="153" spans="1:8">
      <c r="A153" s="59" t="s">
        <v>2000</v>
      </c>
      <c r="B153" s="80">
        <v>542</v>
      </c>
      <c r="C153" s="80">
        <v>1004</v>
      </c>
      <c r="D153" s="80">
        <v>13376</v>
      </c>
      <c r="E153" s="81">
        <f t="shared" si="0"/>
        <v>14922</v>
      </c>
      <c r="F153" s="63">
        <f t="shared" si="1"/>
        <v>3.6322208819193139E-2</v>
      </c>
      <c r="G153" s="63">
        <f t="shared" si="2"/>
        <v>6.7283206004557033E-2</v>
      </c>
      <c r="H153" s="82">
        <f t="shared" si="3"/>
        <v>0.89639458517624981</v>
      </c>
    </row>
    <row r="154" spans="1:8">
      <c r="A154" s="54" t="s">
        <v>2005</v>
      </c>
      <c r="B154" s="83">
        <v>233</v>
      </c>
      <c r="C154" s="83">
        <v>445</v>
      </c>
      <c r="D154" s="83">
        <v>14752</v>
      </c>
      <c r="E154" s="84">
        <f t="shared" si="0"/>
        <v>15430</v>
      </c>
      <c r="F154" s="57">
        <f t="shared" si="1"/>
        <v>1.5100453661697991E-2</v>
      </c>
      <c r="G154" s="57">
        <f t="shared" si="2"/>
        <v>2.8839922229423203E-2</v>
      </c>
      <c r="H154" s="85">
        <f t="shared" si="3"/>
        <v>0.95605962410887879</v>
      </c>
    </row>
    <row r="155" spans="1:8">
      <c r="A155" s="59" t="s">
        <v>2021</v>
      </c>
      <c r="B155" s="80">
        <v>714</v>
      </c>
      <c r="C155" s="80">
        <v>1258</v>
      </c>
      <c r="D155" s="80">
        <v>20452</v>
      </c>
      <c r="E155" s="81">
        <f t="shared" si="0"/>
        <v>22424</v>
      </c>
      <c r="F155" s="63">
        <f t="shared" si="1"/>
        <v>3.1840884766321798E-2</v>
      </c>
      <c r="G155" s="63">
        <f t="shared" si="2"/>
        <v>5.6100606493043166E-2</v>
      </c>
      <c r="H155" s="82">
        <f t="shared" si="3"/>
        <v>0.91205850874063499</v>
      </c>
    </row>
    <row r="156" spans="1:8">
      <c r="A156" s="54" t="s">
        <v>2038</v>
      </c>
      <c r="B156" s="83">
        <v>190</v>
      </c>
      <c r="C156" s="83">
        <v>611</v>
      </c>
      <c r="D156" s="83">
        <v>19322</v>
      </c>
      <c r="E156" s="84">
        <f t="shared" si="0"/>
        <v>20123</v>
      </c>
      <c r="F156" s="57">
        <f t="shared" si="1"/>
        <v>9.4419321174775139E-3</v>
      </c>
      <c r="G156" s="57">
        <f t="shared" si="2"/>
        <v>3.0363265914625057E-2</v>
      </c>
      <c r="H156" s="85">
        <f t="shared" si="3"/>
        <v>0.96019480196789742</v>
      </c>
    </row>
    <row r="157" spans="1:8">
      <c r="A157" s="59" t="s">
        <v>2043</v>
      </c>
      <c r="B157" s="80">
        <v>2430</v>
      </c>
      <c r="C157" s="80">
        <v>3921</v>
      </c>
      <c r="D157" s="80">
        <v>64448</v>
      </c>
      <c r="E157" s="81">
        <f t="shared" si="0"/>
        <v>70799</v>
      </c>
      <c r="F157" s="63">
        <f t="shared" si="1"/>
        <v>3.4322518679642366E-2</v>
      </c>
      <c r="G157" s="63">
        <f t="shared" si="2"/>
        <v>5.53821381657933E-2</v>
      </c>
      <c r="H157" s="82">
        <f t="shared" si="3"/>
        <v>0.91029534315456428</v>
      </c>
    </row>
    <row r="158" spans="1:8">
      <c r="A158" s="54" t="s">
        <v>3946</v>
      </c>
      <c r="B158" s="83">
        <v>140</v>
      </c>
      <c r="C158" s="83">
        <v>441</v>
      </c>
      <c r="D158" s="83">
        <v>11718</v>
      </c>
      <c r="E158" s="84">
        <f t="shared" si="0"/>
        <v>12299</v>
      </c>
      <c r="F158" s="57">
        <f t="shared" si="1"/>
        <v>1.1383039271485486E-2</v>
      </c>
      <c r="G158" s="57">
        <f t="shared" si="2"/>
        <v>3.5856573705179286E-2</v>
      </c>
      <c r="H158" s="85">
        <f t="shared" si="3"/>
        <v>0.95276038702333521</v>
      </c>
    </row>
    <row r="159" spans="1:8">
      <c r="A159" s="59" t="s">
        <v>991</v>
      </c>
      <c r="B159" s="80">
        <v>862</v>
      </c>
      <c r="C159" s="80">
        <v>2183</v>
      </c>
      <c r="D159" s="80">
        <v>48460</v>
      </c>
      <c r="E159" s="81">
        <f t="shared" si="0"/>
        <v>51505</v>
      </c>
      <c r="F159" s="63">
        <f t="shared" si="1"/>
        <v>1.6736239200077663E-2</v>
      </c>
      <c r="G159" s="63">
        <f t="shared" si="2"/>
        <v>4.2384234540335887E-2</v>
      </c>
      <c r="H159" s="82">
        <f t="shared" si="3"/>
        <v>0.94087952625958649</v>
      </c>
    </row>
    <row r="160" spans="1:8">
      <c r="A160" s="54" t="s">
        <v>2080</v>
      </c>
      <c r="B160" s="83">
        <v>102</v>
      </c>
      <c r="C160" s="83">
        <v>293</v>
      </c>
      <c r="D160" s="83">
        <v>13649</v>
      </c>
      <c r="E160" s="84">
        <f t="shared" si="0"/>
        <v>14044</v>
      </c>
      <c r="F160" s="57">
        <f t="shared" si="1"/>
        <v>7.2628880660780401E-3</v>
      </c>
      <c r="G160" s="57">
        <f t="shared" si="2"/>
        <v>2.086300199373398E-2</v>
      </c>
      <c r="H160" s="85">
        <f t="shared" si="3"/>
        <v>0.97187410994018797</v>
      </c>
    </row>
    <row r="161" spans="1:8">
      <c r="A161" s="59" t="s">
        <v>1199</v>
      </c>
      <c r="B161" s="80">
        <v>215</v>
      </c>
      <c r="C161" s="80">
        <v>527</v>
      </c>
      <c r="D161" s="80">
        <v>20545</v>
      </c>
      <c r="E161" s="81">
        <f t="shared" si="0"/>
        <v>21287</v>
      </c>
      <c r="F161" s="63">
        <f t="shared" si="1"/>
        <v>1.0100061070136702E-2</v>
      </c>
      <c r="G161" s="63">
        <f t="shared" si="2"/>
        <v>2.4756893878893221E-2</v>
      </c>
      <c r="H161" s="82">
        <f t="shared" si="3"/>
        <v>0.96514304505097004</v>
      </c>
    </row>
    <row r="162" spans="1:8">
      <c r="A162" s="54" t="s">
        <v>2097</v>
      </c>
      <c r="B162" s="83">
        <v>294</v>
      </c>
      <c r="C162" s="83">
        <v>677</v>
      </c>
      <c r="D162" s="83">
        <v>22893</v>
      </c>
      <c r="E162" s="84">
        <f t="shared" si="0"/>
        <v>23864</v>
      </c>
      <c r="F162" s="57">
        <f t="shared" si="1"/>
        <v>1.2319812269527322E-2</v>
      </c>
      <c r="G162" s="57">
        <f t="shared" si="2"/>
        <v>2.8369091518605432E-2</v>
      </c>
      <c r="H162" s="85">
        <f t="shared" si="3"/>
        <v>0.95931109621186728</v>
      </c>
    </row>
    <row r="163" spans="1:8">
      <c r="A163" s="59" t="s">
        <v>2147</v>
      </c>
      <c r="B163" s="80">
        <v>306</v>
      </c>
      <c r="C163" s="80">
        <v>348</v>
      </c>
      <c r="D163" s="80">
        <v>4207</v>
      </c>
      <c r="E163" s="81">
        <f t="shared" si="0"/>
        <v>4861</v>
      </c>
      <c r="F163" s="63">
        <f t="shared" si="1"/>
        <v>6.295001028594939E-2</v>
      </c>
      <c r="G163" s="63">
        <f t="shared" si="2"/>
        <v>7.1590207776177736E-2</v>
      </c>
      <c r="H163" s="82">
        <f t="shared" si="3"/>
        <v>0.86545978193787287</v>
      </c>
    </row>
    <row r="164" spans="1:8">
      <c r="A164" s="54" t="s">
        <v>2119</v>
      </c>
      <c r="B164" s="83">
        <v>581</v>
      </c>
      <c r="C164" s="83">
        <v>983</v>
      </c>
      <c r="D164" s="83">
        <v>39249</v>
      </c>
      <c r="E164" s="84">
        <f t="shared" si="0"/>
        <v>40813</v>
      </c>
      <c r="F164" s="57">
        <f t="shared" si="1"/>
        <v>1.4235660206306814E-2</v>
      </c>
      <c r="G164" s="57">
        <f t="shared" si="2"/>
        <v>2.4085462965231667E-2</v>
      </c>
      <c r="H164" s="85">
        <f t="shared" si="3"/>
        <v>0.96167887682846154</v>
      </c>
    </row>
    <row r="165" spans="1:8">
      <c r="A165" s="59" t="s">
        <v>2136</v>
      </c>
      <c r="B165" s="80">
        <v>128</v>
      </c>
      <c r="C165" s="80">
        <v>341</v>
      </c>
      <c r="D165" s="80">
        <v>17967</v>
      </c>
      <c r="E165" s="81">
        <f t="shared" si="0"/>
        <v>18436</v>
      </c>
      <c r="F165" s="63">
        <f t="shared" si="1"/>
        <v>6.9429377305272296E-3</v>
      </c>
      <c r="G165" s="63">
        <f t="shared" si="2"/>
        <v>1.8496420047732696E-2</v>
      </c>
      <c r="H165" s="82">
        <f t="shared" si="3"/>
        <v>0.9745606422217401</v>
      </c>
    </row>
    <row r="166" spans="1:8">
      <c r="A166" s="54" t="s">
        <v>1348</v>
      </c>
      <c r="B166" s="83">
        <v>128</v>
      </c>
      <c r="C166" s="83">
        <v>309</v>
      </c>
      <c r="D166" s="83">
        <v>9030</v>
      </c>
      <c r="E166" s="84">
        <f t="shared" si="0"/>
        <v>9467</v>
      </c>
      <c r="F166" s="57">
        <f t="shared" si="1"/>
        <v>1.3520650681314039E-2</v>
      </c>
      <c r="G166" s="57">
        <f t="shared" si="2"/>
        <v>3.2639695785359669E-2</v>
      </c>
      <c r="H166" s="85">
        <f t="shared" si="3"/>
        <v>0.95383965353332634</v>
      </c>
    </row>
    <row r="167" spans="1:8">
      <c r="A167" s="59" t="s">
        <v>2152</v>
      </c>
      <c r="B167" s="80">
        <v>76</v>
      </c>
      <c r="C167" s="80">
        <v>396</v>
      </c>
      <c r="D167" s="80">
        <v>15077</v>
      </c>
      <c r="E167" s="81">
        <f t="shared" si="0"/>
        <v>15549</v>
      </c>
      <c r="F167" s="63">
        <f t="shared" si="1"/>
        <v>4.8877741333847834E-3</v>
      </c>
      <c r="G167" s="63">
        <f t="shared" si="2"/>
        <v>2.5467875747636502E-2</v>
      </c>
      <c r="H167" s="82">
        <f t="shared" si="3"/>
        <v>0.96964435011897876</v>
      </c>
    </row>
    <row r="168" spans="1:8">
      <c r="A168" s="54" t="s">
        <v>2170</v>
      </c>
      <c r="B168" s="83">
        <v>148</v>
      </c>
      <c r="C168" s="83">
        <v>355</v>
      </c>
      <c r="D168" s="83">
        <v>16964</v>
      </c>
      <c r="E168" s="84">
        <f t="shared" si="0"/>
        <v>17467</v>
      </c>
      <c r="F168" s="57">
        <f t="shared" si="1"/>
        <v>8.4731207419705724E-3</v>
      </c>
      <c r="G168" s="57">
        <f t="shared" si="2"/>
        <v>2.032403961756455E-2</v>
      </c>
      <c r="H168" s="85">
        <f t="shared" si="3"/>
        <v>0.97120283964046483</v>
      </c>
    </row>
    <row r="169" spans="1:8">
      <c r="A169" s="59" t="s">
        <v>2176</v>
      </c>
      <c r="B169" s="80">
        <v>242</v>
      </c>
      <c r="C169" s="80">
        <v>370</v>
      </c>
      <c r="D169" s="80">
        <v>18657</v>
      </c>
      <c r="E169" s="81">
        <f t="shared" si="0"/>
        <v>19269</v>
      </c>
      <c r="F169" s="63">
        <f t="shared" si="1"/>
        <v>1.2559032643105506E-2</v>
      </c>
      <c r="G169" s="63">
        <f t="shared" si="2"/>
        <v>1.9201826768384452E-2</v>
      </c>
      <c r="H169" s="82">
        <f t="shared" si="3"/>
        <v>0.96823914058851002</v>
      </c>
    </row>
    <row r="170" spans="1:8">
      <c r="A170" s="54" t="s">
        <v>2195</v>
      </c>
      <c r="B170" s="83">
        <v>71</v>
      </c>
      <c r="C170" s="83">
        <v>167</v>
      </c>
      <c r="D170" s="83">
        <v>5411</v>
      </c>
      <c r="E170" s="84">
        <f t="shared" si="0"/>
        <v>5649</v>
      </c>
      <c r="F170" s="57">
        <f t="shared" si="1"/>
        <v>1.2568596211718889E-2</v>
      </c>
      <c r="G170" s="57">
        <f t="shared" si="2"/>
        <v>2.9562754469817668E-2</v>
      </c>
      <c r="H170" s="85">
        <f t="shared" si="3"/>
        <v>0.95786864931846349</v>
      </c>
    </row>
    <row r="171" spans="1:8">
      <c r="A171" s="59" t="s">
        <v>2209</v>
      </c>
      <c r="B171" s="80">
        <v>63</v>
      </c>
      <c r="C171" s="80">
        <v>175</v>
      </c>
      <c r="D171" s="80">
        <v>7617</v>
      </c>
      <c r="E171" s="81">
        <f t="shared" si="0"/>
        <v>7855</v>
      </c>
      <c r="F171" s="63">
        <f t="shared" si="1"/>
        <v>8.0203691915977076E-3</v>
      </c>
      <c r="G171" s="63">
        <f t="shared" si="2"/>
        <v>2.2278803309993635E-2</v>
      </c>
      <c r="H171" s="82">
        <f t="shared" si="3"/>
        <v>0.96970082749840869</v>
      </c>
    </row>
    <row r="172" spans="1:8">
      <c r="A172" s="54" t="s">
        <v>2215</v>
      </c>
      <c r="B172" s="83">
        <v>856</v>
      </c>
      <c r="C172" s="83">
        <v>1580</v>
      </c>
      <c r="D172" s="83">
        <v>32516</v>
      </c>
      <c r="E172" s="84">
        <f t="shared" si="0"/>
        <v>34952</v>
      </c>
      <c r="F172" s="57">
        <f t="shared" si="1"/>
        <v>2.4490730144197757E-2</v>
      </c>
      <c r="G172" s="57">
        <f t="shared" si="2"/>
        <v>4.5204852368963148E-2</v>
      </c>
      <c r="H172" s="85">
        <f t="shared" si="3"/>
        <v>0.93030441748683912</v>
      </c>
    </row>
    <row r="173" spans="1:8">
      <c r="A173" s="59" t="s">
        <v>3947</v>
      </c>
      <c r="B173" s="80">
        <v>556</v>
      </c>
      <c r="C173" s="80">
        <v>703</v>
      </c>
      <c r="D173" s="80">
        <v>28117</v>
      </c>
      <c r="E173" s="81">
        <f t="shared" si="0"/>
        <v>29376</v>
      </c>
      <c r="F173" s="63">
        <f t="shared" si="1"/>
        <v>1.8927015250544663E-2</v>
      </c>
      <c r="G173" s="63">
        <f t="shared" si="2"/>
        <v>2.3931100217864924E-2</v>
      </c>
      <c r="H173" s="82">
        <f t="shared" si="3"/>
        <v>0.95714188453159044</v>
      </c>
    </row>
    <row r="174" spans="1:8">
      <c r="A174" s="54" t="s">
        <v>2253</v>
      </c>
      <c r="B174" s="83">
        <v>209</v>
      </c>
      <c r="C174" s="83">
        <v>313</v>
      </c>
      <c r="D174" s="83">
        <v>10262</v>
      </c>
      <c r="E174" s="84">
        <f t="shared" si="0"/>
        <v>10784</v>
      </c>
      <c r="F174" s="57">
        <f t="shared" si="1"/>
        <v>1.9380563798219584E-2</v>
      </c>
      <c r="G174" s="57">
        <f t="shared" si="2"/>
        <v>2.9024480712166172E-2</v>
      </c>
      <c r="H174" s="85">
        <f t="shared" si="3"/>
        <v>0.95159495548961426</v>
      </c>
    </row>
    <row r="175" spans="1:8">
      <c r="A175" s="59" t="s">
        <v>769</v>
      </c>
      <c r="B175" s="80">
        <v>218</v>
      </c>
      <c r="C175" s="80">
        <v>472</v>
      </c>
      <c r="D175" s="80">
        <v>18833</v>
      </c>
      <c r="E175" s="81">
        <f t="shared" si="0"/>
        <v>19523</v>
      </c>
      <c r="F175" s="63">
        <f t="shared" si="1"/>
        <v>1.116631665215387E-2</v>
      </c>
      <c r="G175" s="63">
        <f t="shared" si="2"/>
        <v>2.4176612200993701E-2</v>
      </c>
      <c r="H175" s="82">
        <f t="shared" si="3"/>
        <v>0.9646570711468524</v>
      </c>
    </row>
    <row r="176" spans="1:8">
      <c r="A176" s="54" t="s">
        <v>2270</v>
      </c>
      <c r="B176" s="83">
        <v>130</v>
      </c>
      <c r="C176" s="83">
        <v>347</v>
      </c>
      <c r="D176" s="83">
        <v>9902</v>
      </c>
      <c r="E176" s="84">
        <f t="shared" si="0"/>
        <v>10379</v>
      </c>
      <c r="F176" s="57">
        <f t="shared" si="1"/>
        <v>1.2525291453897292E-2</v>
      </c>
      <c r="G176" s="57">
        <f t="shared" si="2"/>
        <v>3.3432893342325853E-2</v>
      </c>
      <c r="H176" s="85">
        <f t="shared" si="3"/>
        <v>0.95404181520377684</v>
      </c>
    </row>
    <row r="177" spans="1:8">
      <c r="A177" s="59" t="s">
        <v>2283</v>
      </c>
      <c r="B177" s="80">
        <v>115</v>
      </c>
      <c r="C177" s="80">
        <v>460</v>
      </c>
      <c r="D177" s="80">
        <v>13320</v>
      </c>
      <c r="E177" s="81">
        <f t="shared" si="0"/>
        <v>13895</v>
      </c>
      <c r="F177" s="63">
        <f t="shared" si="1"/>
        <v>8.2763584023029871E-3</v>
      </c>
      <c r="G177" s="63">
        <f t="shared" si="2"/>
        <v>3.3105433609211948E-2</v>
      </c>
      <c r="H177" s="82">
        <f t="shared" si="3"/>
        <v>0.95861820798848507</v>
      </c>
    </row>
    <row r="178" spans="1:8">
      <c r="A178" s="54" t="s">
        <v>2296</v>
      </c>
      <c r="B178" s="83">
        <v>36</v>
      </c>
      <c r="C178" s="83">
        <v>140</v>
      </c>
      <c r="D178" s="83">
        <v>6747</v>
      </c>
      <c r="E178" s="84">
        <f t="shared" si="0"/>
        <v>6923</v>
      </c>
      <c r="F178" s="57">
        <f t="shared" si="1"/>
        <v>5.2000577784197602E-3</v>
      </c>
      <c r="G178" s="57">
        <f t="shared" si="2"/>
        <v>2.0222446916076844E-2</v>
      </c>
      <c r="H178" s="85">
        <f t="shared" si="3"/>
        <v>0.97457749530550342</v>
      </c>
    </row>
    <row r="179" spans="1:8">
      <c r="A179" s="59" t="s">
        <v>2310</v>
      </c>
      <c r="B179" s="80">
        <v>97</v>
      </c>
      <c r="C179" s="80">
        <v>251</v>
      </c>
      <c r="D179" s="80">
        <v>12794</v>
      </c>
      <c r="E179" s="81">
        <f t="shared" si="0"/>
        <v>13142</v>
      </c>
      <c r="F179" s="63">
        <f t="shared" si="1"/>
        <v>7.3809161467052195E-3</v>
      </c>
      <c r="G179" s="63">
        <f t="shared" si="2"/>
        <v>1.9099071678587733E-2</v>
      </c>
      <c r="H179" s="82">
        <f t="shared" si="3"/>
        <v>0.97352001217470707</v>
      </c>
    </row>
    <row r="180" spans="1:8">
      <c r="A180" s="54" t="s">
        <v>2322</v>
      </c>
      <c r="B180" s="83">
        <v>121</v>
      </c>
      <c r="C180" s="83">
        <v>223</v>
      </c>
      <c r="D180" s="83">
        <v>6884</v>
      </c>
      <c r="E180" s="84">
        <f t="shared" si="0"/>
        <v>7228</v>
      </c>
      <c r="F180" s="57">
        <f t="shared" si="1"/>
        <v>1.6740453790813504E-2</v>
      </c>
      <c r="G180" s="57">
        <f t="shared" si="2"/>
        <v>3.0852241283895961E-2</v>
      </c>
      <c r="H180" s="85">
        <f t="shared" si="3"/>
        <v>0.95240730492529058</v>
      </c>
    </row>
    <row r="181" spans="1:8">
      <c r="A181" s="59" t="s">
        <v>2332</v>
      </c>
      <c r="B181" s="80">
        <v>65</v>
      </c>
      <c r="C181" s="80">
        <v>234</v>
      </c>
      <c r="D181" s="80">
        <v>7043</v>
      </c>
      <c r="E181" s="81">
        <f t="shared" si="0"/>
        <v>7342</v>
      </c>
      <c r="F181" s="63">
        <f t="shared" si="1"/>
        <v>8.8531735222010348E-3</v>
      </c>
      <c r="G181" s="63">
        <f t="shared" si="2"/>
        <v>3.1871424679923724E-2</v>
      </c>
      <c r="H181" s="82">
        <f t="shared" si="3"/>
        <v>0.95927540179787529</v>
      </c>
    </row>
    <row r="182" spans="1:8">
      <c r="A182" s="54" t="s">
        <v>2349</v>
      </c>
      <c r="B182" s="83">
        <v>129</v>
      </c>
      <c r="C182" s="83">
        <v>358</v>
      </c>
      <c r="D182" s="83">
        <v>14195</v>
      </c>
      <c r="E182" s="84">
        <f t="shared" si="0"/>
        <v>14682</v>
      </c>
      <c r="F182" s="57">
        <f t="shared" si="1"/>
        <v>8.7862689006947287E-3</v>
      </c>
      <c r="G182" s="57">
        <f t="shared" si="2"/>
        <v>2.4383598964718704E-2</v>
      </c>
      <c r="H182" s="85">
        <f t="shared" si="3"/>
        <v>0.96683013213458657</v>
      </c>
    </row>
    <row r="183" spans="1:8">
      <c r="A183" s="59" t="s">
        <v>2359</v>
      </c>
      <c r="B183" s="80">
        <v>246</v>
      </c>
      <c r="C183" s="80">
        <v>568</v>
      </c>
      <c r="D183" s="80">
        <v>18005</v>
      </c>
      <c r="E183" s="81">
        <f t="shared" si="0"/>
        <v>18819</v>
      </c>
      <c r="F183" s="63">
        <f t="shared" si="1"/>
        <v>1.3071895424836602E-2</v>
      </c>
      <c r="G183" s="63">
        <f t="shared" si="2"/>
        <v>3.0182262606939795E-2</v>
      </c>
      <c r="H183" s="82">
        <f t="shared" si="3"/>
        <v>0.95674584196822365</v>
      </c>
    </row>
    <row r="184" spans="1:8">
      <c r="A184" s="54" t="s">
        <v>2364</v>
      </c>
      <c r="B184" s="83">
        <v>1522</v>
      </c>
      <c r="C184" s="83">
        <v>3217</v>
      </c>
      <c r="D184" s="83">
        <v>83473</v>
      </c>
      <c r="E184" s="84">
        <f t="shared" si="0"/>
        <v>88212</v>
      </c>
      <c r="F184" s="57">
        <f t="shared" si="1"/>
        <v>1.7253888359860338E-2</v>
      </c>
      <c r="G184" s="57">
        <f t="shared" si="2"/>
        <v>3.6468961139074052E-2</v>
      </c>
      <c r="H184" s="85">
        <f t="shared" si="3"/>
        <v>0.94627715050106564</v>
      </c>
    </row>
    <row r="185" spans="1:8">
      <c r="A185" s="96" t="s">
        <v>2378</v>
      </c>
      <c r="B185" s="97">
        <v>207</v>
      </c>
      <c r="C185" s="97">
        <v>339</v>
      </c>
      <c r="D185" s="97">
        <v>8819</v>
      </c>
      <c r="E185" s="98">
        <f t="shared" si="0"/>
        <v>9365</v>
      </c>
      <c r="F185" s="99">
        <f t="shared" si="1"/>
        <v>2.210357714895889E-2</v>
      </c>
      <c r="G185" s="99">
        <f t="shared" si="2"/>
        <v>3.6198611852642816E-2</v>
      </c>
      <c r="H185" s="100">
        <f t="shared" si="3"/>
        <v>0.94169781099839833</v>
      </c>
    </row>
  </sheetData>
  <dataValidations count="1">
    <dataValidation type="custom" allowBlank="1" showDropDown="1" sqref="B2:E185" xr:uid="{00000000-0002-0000-0300-000000000000}">
      <formula1>AND(ISNUMBER(B2),(NOT(OR(NOT(ISERROR(DATEVALUE(B2))), AND(ISNUMBER(B2), LEFT(CELL("format", B2))="D")))))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RESULTADO ELEIÇÕES PREFEITOS 20</vt:lpstr>
      <vt:lpstr>Planilha1</vt:lpstr>
      <vt:lpstr>RESULTADOS PRIMEIRO TURNO</vt:lpstr>
      <vt:lpstr>IMAGENS CANDIDATOS PREFEITOS</vt:lpstr>
      <vt:lpstr>NÚMEROS DE CANDIDATOS POR MUNIC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Alberto Mendes</cp:lastModifiedBy>
  <dcterms:modified xsi:type="dcterms:W3CDTF">2024-10-29T04:43:13Z</dcterms:modified>
</cp:coreProperties>
</file>