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05" windowWidth="19425" windowHeight="100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R38" i="1" l="1"/>
  <c r="R51" i="1"/>
  <c r="R45" i="1"/>
  <c r="R47" i="1"/>
  <c r="R49" i="1"/>
  <c r="D54" i="1"/>
  <c r="D43" i="1"/>
  <c r="D40" i="1"/>
  <c r="D38" i="1"/>
  <c r="D44" i="1"/>
  <c r="D35" i="1"/>
  <c r="R43" i="1"/>
  <c r="R44" i="1"/>
  <c r="V44" i="1"/>
  <c r="D45" i="1"/>
  <c r="R98" i="1"/>
  <c r="U45" i="1"/>
  <c r="V45" i="1"/>
  <c r="D46" i="1"/>
  <c r="R46" i="1"/>
  <c r="R48" i="1"/>
  <c r="D50" i="1"/>
  <c r="R50" i="1"/>
  <c r="D51" i="1"/>
  <c r="D52" i="1"/>
  <c r="D53" i="1"/>
  <c r="R53" i="1"/>
  <c r="R55" i="1"/>
  <c r="R57" i="1"/>
  <c r="D60" i="1"/>
  <c r="D66" i="1"/>
  <c r="E66" i="1"/>
  <c r="R66" i="1"/>
  <c r="S66" i="1"/>
  <c r="R103" i="1"/>
  <c r="R104" i="1"/>
  <c r="R109" i="1"/>
  <c r="D67" i="1"/>
  <c r="E67" i="1"/>
  <c r="R67" i="1"/>
  <c r="S67" i="1"/>
  <c r="D68" i="1"/>
  <c r="E68" i="1"/>
  <c r="R68" i="1"/>
  <c r="S68" i="1"/>
  <c r="D69" i="1"/>
  <c r="E69" i="1"/>
  <c r="R69" i="1"/>
  <c r="S69" i="1"/>
  <c r="D70" i="1"/>
  <c r="E70" i="1"/>
  <c r="R70" i="1"/>
  <c r="S70" i="1"/>
  <c r="D71" i="1"/>
  <c r="E71" i="1"/>
  <c r="R71" i="1"/>
  <c r="S71" i="1"/>
  <c r="D72" i="1"/>
  <c r="E72" i="1"/>
  <c r="R72" i="1"/>
  <c r="S72" i="1"/>
  <c r="D73" i="1"/>
  <c r="E73" i="1"/>
  <c r="R73" i="1"/>
  <c r="S73" i="1"/>
  <c r="D74" i="1"/>
  <c r="E74" i="1"/>
  <c r="R74" i="1"/>
  <c r="S74" i="1"/>
  <c r="D75" i="1"/>
  <c r="E75" i="1"/>
  <c r="R75" i="1"/>
  <c r="S75" i="1"/>
  <c r="D76" i="1"/>
  <c r="E76" i="1"/>
  <c r="R76" i="1"/>
  <c r="S76" i="1"/>
  <c r="D77" i="1"/>
  <c r="E77" i="1"/>
  <c r="R77" i="1"/>
  <c r="S77" i="1"/>
  <c r="D78" i="1"/>
  <c r="E78" i="1"/>
  <c r="R78" i="1"/>
  <c r="S78" i="1"/>
  <c r="D79" i="1"/>
  <c r="E79" i="1"/>
  <c r="R79" i="1"/>
  <c r="S79" i="1"/>
  <c r="D80" i="1"/>
  <c r="E80" i="1"/>
  <c r="R80" i="1"/>
  <c r="S80" i="1"/>
  <c r="D81" i="1"/>
  <c r="E81" i="1"/>
  <c r="R81" i="1"/>
  <c r="S81" i="1"/>
  <c r="D82" i="1"/>
  <c r="E82" i="1"/>
  <c r="R82" i="1"/>
  <c r="S82" i="1"/>
  <c r="D83" i="1"/>
  <c r="E83" i="1"/>
  <c r="R83" i="1"/>
  <c r="S83" i="1"/>
  <c r="D84" i="1"/>
  <c r="E84" i="1"/>
  <c r="R84" i="1"/>
  <c r="S84" i="1"/>
  <c r="D85" i="1"/>
  <c r="E85" i="1"/>
  <c r="R85" i="1"/>
  <c r="S85" i="1"/>
  <c r="D86" i="1"/>
  <c r="E86" i="1"/>
  <c r="R86" i="1"/>
  <c r="S86" i="1"/>
  <c r="D87" i="1"/>
  <c r="E87" i="1"/>
  <c r="R87" i="1"/>
  <c r="S87" i="1"/>
  <c r="D88" i="1"/>
  <c r="E88" i="1"/>
  <c r="R88" i="1"/>
  <c r="S88" i="1"/>
  <c r="D89" i="1"/>
  <c r="E89" i="1"/>
  <c r="R89" i="1"/>
  <c r="S89" i="1"/>
  <c r="D90" i="1"/>
  <c r="E90" i="1"/>
  <c r="R90" i="1"/>
  <c r="S90" i="1"/>
  <c r="D91" i="1"/>
  <c r="E91" i="1"/>
  <c r="R91" i="1"/>
  <c r="S91" i="1"/>
  <c r="D92" i="1"/>
  <c r="E92" i="1"/>
  <c r="R92" i="1"/>
  <c r="S92" i="1"/>
  <c r="D93" i="1"/>
  <c r="E93" i="1"/>
  <c r="R93" i="1"/>
  <c r="S93" i="1"/>
  <c r="D94" i="1"/>
  <c r="E94" i="1"/>
  <c r="R94" i="1"/>
  <c r="S94" i="1"/>
  <c r="D95" i="1"/>
  <c r="E95" i="1"/>
  <c r="R95" i="1"/>
  <c r="S95" i="1"/>
  <c r="D98" i="1"/>
  <c r="D55" i="1"/>
  <c r="D100" i="1"/>
  <c r="D104" i="1"/>
  <c r="R106" i="1"/>
  <c r="R107" i="1"/>
  <c r="D108" i="1"/>
  <c r="R108" i="1"/>
  <c r="F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F94" i="1"/>
  <c r="F92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95" i="1"/>
  <c r="F93" i="1"/>
  <c r="F91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T67" i="1"/>
  <c r="I66" i="1"/>
  <c r="D58" i="1"/>
  <c r="D57" i="1"/>
  <c r="D56" i="1"/>
  <c r="R54" i="1"/>
  <c r="T68" i="1"/>
  <c r="T70" i="1"/>
  <c r="T72" i="1"/>
  <c r="T74" i="1"/>
  <c r="T76" i="1"/>
  <c r="T78" i="1"/>
  <c r="T80" i="1"/>
  <c r="R52" i="1"/>
  <c r="R101" i="1"/>
  <c r="R110" i="1"/>
  <c r="T69" i="1"/>
  <c r="T71" i="1"/>
  <c r="T73" i="1"/>
  <c r="T75" i="1"/>
  <c r="T77" i="1"/>
  <c r="T79" i="1"/>
  <c r="T81" i="1"/>
  <c r="T83" i="1"/>
  <c r="T85" i="1"/>
  <c r="T87" i="1"/>
  <c r="T89" i="1"/>
  <c r="T82" i="1"/>
  <c r="T86" i="1"/>
  <c r="T90" i="1"/>
  <c r="T92" i="1"/>
  <c r="T94" i="1"/>
  <c r="T66" i="1"/>
  <c r="R56" i="1"/>
  <c r="T84" i="1"/>
  <c r="T88" i="1"/>
  <c r="T91" i="1"/>
  <c r="T93" i="1"/>
  <c r="T95" i="1"/>
  <c r="D59" i="1"/>
  <c r="R58" i="1"/>
  <c r="R59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66" i="1"/>
  <c r="AC68" i="1"/>
  <c r="AC70" i="1"/>
  <c r="AC72" i="1"/>
  <c r="AC74" i="1"/>
  <c r="AC76" i="1"/>
  <c r="AC78" i="1"/>
  <c r="AC80" i="1"/>
  <c r="AC82" i="1"/>
  <c r="AC84" i="1"/>
  <c r="AC86" i="1"/>
  <c r="AC88" i="1"/>
  <c r="AC90" i="1"/>
  <c r="AC92" i="1"/>
  <c r="AC94" i="1"/>
  <c r="H91" i="1"/>
  <c r="J91" i="1"/>
  <c r="H95" i="1"/>
  <c r="J95" i="1"/>
  <c r="H68" i="1"/>
  <c r="J68" i="1"/>
  <c r="H70" i="1"/>
  <c r="J70" i="1"/>
  <c r="H72" i="1"/>
  <c r="J72" i="1"/>
  <c r="H74" i="1"/>
  <c r="J74" i="1"/>
  <c r="H76" i="1"/>
  <c r="J76" i="1"/>
  <c r="H78" i="1"/>
  <c r="J78" i="1"/>
  <c r="H80" i="1"/>
  <c r="J80" i="1"/>
  <c r="H82" i="1"/>
  <c r="J82" i="1"/>
  <c r="H84" i="1"/>
  <c r="J84" i="1"/>
  <c r="H86" i="1"/>
  <c r="J86" i="1"/>
  <c r="H88" i="1"/>
  <c r="J88" i="1"/>
  <c r="H90" i="1"/>
  <c r="J90" i="1"/>
  <c r="H94" i="1"/>
  <c r="J94" i="1"/>
  <c r="X77" i="1"/>
  <c r="Y77" i="1"/>
  <c r="X69" i="1"/>
  <c r="Y69" i="1"/>
  <c r="U69" i="1"/>
  <c r="U71" i="1"/>
  <c r="X71" i="1"/>
  <c r="Y71" i="1"/>
  <c r="U73" i="1"/>
  <c r="X73" i="1"/>
  <c r="Y73" i="1"/>
  <c r="U75" i="1"/>
  <c r="X75" i="1"/>
  <c r="Y75" i="1"/>
  <c r="U77" i="1"/>
  <c r="U79" i="1"/>
  <c r="X79" i="1"/>
  <c r="Y79" i="1"/>
  <c r="U81" i="1"/>
  <c r="X81" i="1"/>
  <c r="Y81" i="1"/>
  <c r="U67" i="1"/>
  <c r="X67" i="1"/>
  <c r="Y67" i="1"/>
  <c r="U68" i="1"/>
  <c r="X68" i="1"/>
  <c r="Y68" i="1"/>
  <c r="U70" i="1"/>
  <c r="X70" i="1"/>
  <c r="Y70" i="1"/>
  <c r="U72" i="1"/>
  <c r="X72" i="1"/>
  <c r="Y72" i="1"/>
  <c r="U74" i="1"/>
  <c r="U76" i="1"/>
  <c r="X76" i="1"/>
  <c r="Y76" i="1"/>
  <c r="U78" i="1"/>
  <c r="X78" i="1"/>
  <c r="Y78" i="1"/>
  <c r="U80" i="1"/>
  <c r="X80" i="1"/>
  <c r="Y80" i="1"/>
  <c r="U82" i="1"/>
  <c r="X82" i="1"/>
  <c r="Y82" i="1"/>
  <c r="U84" i="1"/>
  <c r="X84" i="1"/>
  <c r="Y84" i="1"/>
  <c r="U86" i="1"/>
  <c r="X86" i="1"/>
  <c r="Y86" i="1"/>
  <c r="U88" i="1"/>
  <c r="X88" i="1"/>
  <c r="Y88" i="1"/>
  <c r="U90" i="1"/>
  <c r="X90" i="1"/>
  <c r="Y90" i="1"/>
  <c r="U83" i="1"/>
  <c r="X83" i="1"/>
  <c r="Y83" i="1"/>
  <c r="U87" i="1"/>
  <c r="X87" i="1"/>
  <c r="Y87" i="1"/>
  <c r="U91" i="1"/>
  <c r="X91" i="1"/>
  <c r="Y91" i="1"/>
  <c r="U93" i="1"/>
  <c r="X93" i="1"/>
  <c r="Y93" i="1"/>
  <c r="U95" i="1"/>
  <c r="X95" i="1"/>
  <c r="Y95" i="1"/>
  <c r="U85" i="1"/>
  <c r="X85" i="1"/>
  <c r="Y85" i="1"/>
  <c r="U89" i="1"/>
  <c r="X89" i="1"/>
  <c r="Y89" i="1"/>
  <c r="U92" i="1"/>
  <c r="X92" i="1"/>
  <c r="Y92" i="1"/>
  <c r="U94" i="1"/>
  <c r="X94" i="1"/>
  <c r="Y94" i="1"/>
  <c r="U66" i="1"/>
  <c r="X66" i="1"/>
  <c r="Y66" i="1"/>
  <c r="X74" i="1"/>
  <c r="Y74" i="1"/>
  <c r="V68" i="1"/>
  <c r="W68" i="1"/>
  <c r="V70" i="1"/>
  <c r="W70" i="1"/>
  <c r="V72" i="1"/>
  <c r="W72" i="1"/>
  <c r="V74" i="1"/>
  <c r="W74" i="1"/>
  <c r="V76" i="1"/>
  <c r="W76" i="1"/>
  <c r="V78" i="1"/>
  <c r="W78" i="1"/>
  <c r="V80" i="1"/>
  <c r="W80" i="1"/>
  <c r="V67" i="1"/>
  <c r="W67" i="1"/>
  <c r="V69" i="1"/>
  <c r="W69" i="1"/>
  <c r="V71" i="1"/>
  <c r="W71" i="1"/>
  <c r="V73" i="1"/>
  <c r="W73" i="1"/>
  <c r="V75" i="1"/>
  <c r="W75" i="1"/>
  <c r="V77" i="1"/>
  <c r="W77" i="1"/>
  <c r="V79" i="1"/>
  <c r="W79" i="1"/>
  <c r="V81" i="1"/>
  <c r="W81" i="1"/>
  <c r="V83" i="1"/>
  <c r="W83" i="1"/>
  <c r="V85" i="1"/>
  <c r="W85" i="1"/>
  <c r="V87" i="1"/>
  <c r="W87" i="1"/>
  <c r="V89" i="1"/>
  <c r="W89" i="1"/>
  <c r="V82" i="1"/>
  <c r="W82" i="1"/>
  <c r="V86" i="1"/>
  <c r="W86" i="1"/>
  <c r="V90" i="1"/>
  <c r="W90" i="1"/>
  <c r="V92" i="1"/>
  <c r="W92" i="1"/>
  <c r="V66" i="1"/>
  <c r="W66" i="1"/>
  <c r="V84" i="1"/>
  <c r="W84" i="1"/>
  <c r="V88" i="1"/>
  <c r="W88" i="1"/>
  <c r="V91" i="1"/>
  <c r="W91" i="1"/>
  <c r="V93" i="1"/>
  <c r="W93" i="1"/>
  <c r="V94" i="1"/>
  <c r="W94" i="1"/>
  <c r="V95" i="1"/>
  <c r="W95" i="1"/>
  <c r="H93" i="1"/>
  <c r="J93" i="1"/>
  <c r="H67" i="1"/>
  <c r="J67" i="1"/>
  <c r="H69" i="1"/>
  <c r="J69" i="1"/>
  <c r="H71" i="1"/>
  <c r="J71" i="1"/>
  <c r="H73" i="1"/>
  <c r="J73" i="1"/>
  <c r="H75" i="1"/>
  <c r="J75" i="1"/>
  <c r="H77" i="1"/>
  <c r="J77" i="1"/>
  <c r="H79" i="1"/>
  <c r="J79" i="1"/>
  <c r="H81" i="1"/>
  <c r="J81" i="1"/>
  <c r="H83" i="1"/>
  <c r="J83" i="1"/>
  <c r="H85" i="1"/>
  <c r="J85" i="1"/>
  <c r="H87" i="1"/>
  <c r="J87" i="1"/>
  <c r="H89" i="1"/>
  <c r="J89" i="1"/>
  <c r="H92" i="1"/>
  <c r="J92" i="1"/>
  <c r="H66" i="1"/>
  <c r="J66" i="1"/>
  <c r="AA66" i="1"/>
  <c r="AB66" i="1"/>
  <c r="AA92" i="1"/>
  <c r="AB92" i="1"/>
  <c r="AD92" i="1"/>
  <c r="AA85" i="1"/>
  <c r="AB85" i="1"/>
  <c r="AD85" i="1"/>
  <c r="AA93" i="1"/>
  <c r="AB93" i="1"/>
  <c r="AD93" i="1"/>
  <c r="AA87" i="1"/>
  <c r="AB87" i="1"/>
  <c r="AD87" i="1"/>
  <c r="AA90" i="1"/>
  <c r="AB90" i="1"/>
  <c r="AD90" i="1"/>
  <c r="AA86" i="1"/>
  <c r="AB86" i="1"/>
  <c r="AD86" i="1"/>
  <c r="AA82" i="1"/>
  <c r="AB82" i="1"/>
  <c r="AD82" i="1"/>
  <c r="AA78" i="1"/>
  <c r="AB78" i="1"/>
  <c r="AD78" i="1"/>
  <c r="AA70" i="1"/>
  <c r="AB70" i="1"/>
  <c r="AD70" i="1"/>
  <c r="AA67" i="1"/>
  <c r="AB67" i="1"/>
  <c r="AD67" i="1"/>
  <c r="AA79" i="1"/>
  <c r="AB79" i="1"/>
  <c r="AD79" i="1"/>
  <c r="AA75" i="1"/>
  <c r="AB75" i="1"/>
  <c r="AD75" i="1"/>
  <c r="AA71" i="1"/>
  <c r="AB71" i="1"/>
  <c r="AD71" i="1"/>
  <c r="AA94" i="1"/>
  <c r="AB94" i="1"/>
  <c r="AD94" i="1"/>
  <c r="AA89" i="1"/>
  <c r="AB89" i="1"/>
  <c r="AD89" i="1"/>
  <c r="AA95" i="1"/>
  <c r="AB95" i="1"/>
  <c r="AD95" i="1"/>
  <c r="AA91" i="1"/>
  <c r="AB91" i="1"/>
  <c r="AD91" i="1"/>
  <c r="AA83" i="1"/>
  <c r="AB83" i="1"/>
  <c r="AD83" i="1"/>
  <c r="AA88" i="1"/>
  <c r="AB88" i="1"/>
  <c r="AD88" i="1"/>
  <c r="AA84" i="1"/>
  <c r="AB84" i="1"/>
  <c r="AD84" i="1"/>
  <c r="AA80" i="1"/>
  <c r="AB80" i="1"/>
  <c r="AD80" i="1"/>
  <c r="AA76" i="1"/>
  <c r="AB76" i="1"/>
  <c r="AD76" i="1"/>
  <c r="AA72" i="1"/>
  <c r="AB72" i="1"/>
  <c r="AD72" i="1"/>
  <c r="AA68" i="1"/>
  <c r="AB68" i="1"/>
  <c r="AD68" i="1"/>
  <c r="AA81" i="1"/>
  <c r="AB81" i="1"/>
  <c r="AD81" i="1"/>
  <c r="AA73" i="1"/>
  <c r="AB73" i="1"/>
  <c r="AD73" i="1"/>
  <c r="AA74" i="1"/>
  <c r="AB74" i="1"/>
  <c r="AD74" i="1"/>
  <c r="AA69" i="1"/>
  <c r="AB69" i="1"/>
  <c r="AD69" i="1"/>
  <c r="AA77" i="1"/>
  <c r="AB77" i="1"/>
  <c r="AD77" i="1"/>
  <c r="D99" i="1"/>
  <c r="AD66" i="1"/>
  <c r="R99" i="1"/>
  <c r="R102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67" i="1"/>
  <c r="L71" i="1"/>
  <c r="L75" i="1"/>
  <c r="L79" i="1"/>
  <c r="L83" i="1"/>
  <c r="L87" i="1"/>
  <c r="L91" i="1"/>
  <c r="L95" i="1"/>
  <c r="L69" i="1"/>
  <c r="L73" i="1"/>
  <c r="L77" i="1"/>
  <c r="L81" i="1"/>
  <c r="L85" i="1"/>
  <c r="L89" i="1"/>
  <c r="L93" i="1"/>
  <c r="D101" i="1"/>
  <c r="M93" i="1"/>
  <c r="N93" i="1"/>
  <c r="M77" i="1"/>
  <c r="N77" i="1"/>
  <c r="M69" i="1"/>
  <c r="N69" i="1"/>
  <c r="M95" i="1"/>
  <c r="N95" i="1"/>
  <c r="M87" i="1"/>
  <c r="N87" i="1"/>
  <c r="M79" i="1"/>
  <c r="N79" i="1"/>
  <c r="M71" i="1"/>
  <c r="N71" i="1"/>
  <c r="M94" i="1"/>
  <c r="N94" i="1"/>
  <c r="M90" i="1"/>
  <c r="N90" i="1"/>
  <c r="M86" i="1"/>
  <c r="N86" i="1"/>
  <c r="M82" i="1"/>
  <c r="N82" i="1"/>
  <c r="M78" i="1"/>
  <c r="N78" i="1"/>
  <c r="M74" i="1"/>
  <c r="N74" i="1"/>
  <c r="M70" i="1"/>
  <c r="N70" i="1"/>
  <c r="M66" i="1"/>
  <c r="D103" i="1"/>
  <c r="N66" i="1"/>
  <c r="M85" i="1"/>
  <c r="N85" i="1"/>
  <c r="M89" i="1"/>
  <c r="N89" i="1"/>
  <c r="M81" i="1"/>
  <c r="N81" i="1"/>
  <c r="M73" i="1"/>
  <c r="N73" i="1"/>
  <c r="M91" i="1"/>
  <c r="N91" i="1"/>
  <c r="M83" i="1"/>
  <c r="N83" i="1"/>
  <c r="M75" i="1"/>
  <c r="N75" i="1"/>
  <c r="M67" i="1"/>
  <c r="N67" i="1"/>
  <c r="M92" i="1"/>
  <c r="N92" i="1"/>
  <c r="M88" i="1"/>
  <c r="N88" i="1"/>
  <c r="M84" i="1"/>
  <c r="N84" i="1"/>
  <c r="M80" i="1"/>
  <c r="N80" i="1"/>
  <c r="M76" i="1"/>
  <c r="N76" i="1"/>
  <c r="M72" i="1"/>
  <c r="N72" i="1"/>
  <c r="M68" i="1"/>
  <c r="N68" i="1"/>
  <c r="R105" i="1"/>
  <c r="D105" i="1"/>
  <c r="D107" i="1"/>
  <c r="D109" i="1"/>
  <c r="D106" i="1"/>
</calcChain>
</file>

<file path=xl/comments1.xml><?xml version="1.0" encoding="utf-8"?>
<comments xmlns="http://schemas.openxmlformats.org/spreadsheetml/2006/main">
  <authors>
    <author>Thomas Larm</author>
  </authors>
  <commentList>
    <comment ref="B42" authorId="0">
      <text>
        <r>
          <rPr>
            <sz val="9"/>
            <color indexed="81"/>
            <rFont val="Tahoma"/>
            <charset val="1"/>
          </rPr>
          <t>Dimensionerande utflöde genom dräneringsrör och via exfiltration genom anläggningens botten. Utgörs antingen av det dimensionerande flödet genom ytbeläggningen, eller av dräneringsrörens maxkapacitet+max genomflöde till terrass. Beräknas för varje intensitet.</t>
        </r>
      </text>
    </comment>
    <comment ref="C43" authorId="0">
      <text>
        <r>
          <rPr>
            <sz val="9"/>
            <color indexed="81"/>
            <rFont val="Tahoma"/>
            <charset val="1"/>
          </rPr>
          <t>Parametern borde heta Qdim1max. Qdim1++ används för det beräknade utflödet för varje intensitet, cell C62</t>
        </r>
      </text>
    </comment>
    <comment ref="J64" authorId="0">
      <text>
        <r>
          <rPr>
            <b/>
            <sz val="9"/>
            <color indexed="81"/>
            <rFont val="Tahoma"/>
            <charset val="1"/>
          </rPr>
          <t>Här beräknas för varje intensitet vilket flödet skulle bli i dräneringsröret om inget bidrag från infiltrationen skulle finnas.
För att inte blanda in onödigt många parametrar skulle denna OM-sats kunna läggas in direkt i beräkningarna av Qut2, eftersom det går att lägga en OM-sats i en OM-sats. Det senare görs inte i denna Excelfil och inte i StormTac, men kan göras i webbapplikationen.</t>
        </r>
      </text>
    </comment>
    <comment ref="K64" authorId="0">
      <text>
        <r>
          <rPr>
            <b/>
            <sz val="9"/>
            <color indexed="81"/>
            <rFont val="Tahoma"/>
            <charset val="1"/>
          </rPr>
          <t xml:space="preserve">
Dimensionerande utflöde genom dräneringsrör och via exfiltration genom anläggningens botten. Utgörs antingen av det dimensionerande flödet genom ytbeläggningen, eller av dräneringsrörens maxkapacitet+max genomflöde till terrass. Beräknas för varje intensitet. Eftersom bidraget från flödet genom terrassen räknas med förutsätts att volymen i terrassen inte är vattenfylld annars en eventuell vidareutveckling är att lägga till en villkorssats som kollar detta.
PP=permeable pavement.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64" authorId="0">
      <text>
        <r>
          <rPr>
            <sz val="9"/>
            <color indexed="81"/>
            <rFont val="Tahoma"/>
            <charset val="1"/>
          </rPr>
          <t>Dimensionerande utjämningsvolym ovanför vattengång dräneringsrör för varje intensitet i det fall volymen upp till vattengång dräneringsrör är full.</t>
        </r>
      </text>
    </comment>
    <comment ref="M64" authorId="0">
      <text>
        <r>
          <rPr>
            <sz val="9"/>
            <color indexed="81"/>
            <rFont val="Tahoma"/>
            <charset val="1"/>
          </rPr>
          <t>Om vattennivån överskrider nivån för vattengång i dräneringsrör sätts flödet i dräneringsröret lika med flödet den aktuellta intensiteten skulle ge givet att det inte finns något bidrag från infiltrationen.</t>
        </r>
      </text>
    </comment>
    <comment ref="U64" authorId="0">
      <text>
        <r>
          <rPr>
            <sz val="9"/>
            <color indexed="81"/>
            <rFont val="Tahoma"/>
            <charset val="1"/>
          </rPr>
          <t>Beräknar om utflödet genom växtbädden utgörs av inflödet, eller av växtbäddens maxflöde.</t>
        </r>
      </text>
    </comment>
    <comment ref="V64" authorId="0">
      <text>
        <r>
          <rPr>
            <b/>
            <sz val="9"/>
            <color indexed="81"/>
            <rFont val="Tahoma"/>
            <charset val="1"/>
          </rPr>
          <t xml:space="preserve">Flödet ut genom makadamlagret.
Om det i framtiden visar sig att vi kommer att behöva lägga in olika värden på den hydrauliska konduktiviteten beroende på fraktionen i makadamen skulle vi behöva lägga in en sats som använder värdet för det lager med lägst konduktivitet, eftersom detta lager utgör den begränsande faktorn.
</t>
        </r>
      </text>
    </comment>
    <comment ref="W64" authorId="0">
      <text>
        <r>
          <rPr>
            <sz val="9"/>
            <color indexed="81"/>
            <rFont val="Tahoma"/>
            <charset val="1"/>
          </rPr>
          <t>Beräknar dimensionerade utflöde från diket genom dränering och infiltration.
Om utflödet från makadamlagret är större än maximalt utflöde genom dräneringsrör+infiltration utgörs utflödet av dessa, annars utflödet från makadamlagret</t>
        </r>
      </text>
    </comment>
    <comment ref="X64" authorId="0">
      <text>
        <r>
          <rPr>
            <b/>
            <sz val="9"/>
            <color indexed="81"/>
            <rFont val="Tahoma"/>
            <charset val="1"/>
          </rPr>
          <t>Beräknar erforderlig lagringsvolym i den fria volymen. Är det ett krossdike utgörs utflödet av bidraget från dräneringsröret+infiltration. Är det ett svackdike eller ett biofilter utgörs utflödet av växtbäddens kapacitet, det vill säga att det antas att varken dränering eller infiltration hinner bidra.</t>
        </r>
      </text>
    </comment>
    <comment ref="Y64" authorId="0">
      <text>
        <r>
          <rPr>
            <b/>
            <sz val="9"/>
            <color indexed="81"/>
            <rFont val="Tahoma"/>
            <charset val="1"/>
          </rPr>
          <t>Kollar om den fria volymen upp till bräddbrunnen räcker till.</t>
        </r>
      </text>
    </comment>
    <comment ref="AA64" authorId="0">
      <text>
        <r>
          <rPr>
            <sz val="9"/>
            <color indexed="81"/>
            <rFont val="Tahoma"/>
            <charset val="1"/>
          </rPr>
          <t>Räknar ut erforderlig lagringsvolym i växtbädden. Man räknar inte med att denna volymen bidrar förrän den fria volymen fyllts.</t>
        </r>
      </text>
    </comment>
    <comment ref="D109" authorId="0">
      <text>
        <r>
          <rPr>
            <sz val="9"/>
            <color indexed="81"/>
            <rFont val="Tahoma"/>
            <charset val="1"/>
          </rPr>
          <t xml:space="preserve">Är svaret "Nej" i D101 behövs inga beräkningar göras här. Annars måste koll göras att Vd2&lt;Vstf2. </t>
        </r>
      </text>
    </comment>
  </commentList>
</comments>
</file>

<file path=xl/sharedStrings.xml><?xml version="1.0" encoding="utf-8"?>
<sst xmlns="http://schemas.openxmlformats.org/spreadsheetml/2006/main" count="484" uniqueCount="309">
  <si>
    <t>N</t>
  </si>
  <si>
    <t>i</t>
  </si>
  <si>
    <t>min</t>
  </si>
  <si>
    <t>l/s/ha</t>
  </si>
  <si>
    <t>ha</t>
  </si>
  <si>
    <t>l/s</t>
  </si>
  <si>
    <r>
      <t>m</t>
    </r>
    <r>
      <rPr>
        <vertAlign val="superscript"/>
        <sz val="10"/>
        <rFont val="Arial"/>
        <family val="2"/>
      </rPr>
      <t>3</t>
    </r>
  </si>
  <si>
    <t>Värde</t>
  </si>
  <si>
    <t>Enhet</t>
  </si>
  <si>
    <t>j</t>
  </si>
  <si>
    <t>A</t>
  </si>
  <si>
    <r>
      <t>f</t>
    </r>
    <r>
      <rPr>
        <vertAlign val="subscript"/>
        <sz val="10"/>
        <rFont val="Arial"/>
        <family val="2"/>
      </rPr>
      <t>c</t>
    </r>
  </si>
  <si>
    <r>
      <t>f</t>
    </r>
    <r>
      <rPr>
        <vertAlign val="subscript"/>
        <sz val="10"/>
        <rFont val="Arial"/>
        <family val="2"/>
      </rPr>
      <t>Qred</t>
    </r>
  </si>
  <si>
    <t>Indata som kan ändras</t>
  </si>
  <si>
    <t>Utdata</t>
  </si>
  <si>
    <r>
      <t>m</t>
    </r>
    <r>
      <rPr>
        <vertAlign val="superscript"/>
        <sz val="10"/>
        <rFont val="Arial"/>
        <family val="2"/>
      </rPr>
      <t>2</t>
    </r>
  </si>
  <si>
    <t>Parameter</t>
  </si>
  <si>
    <t>Områdesyta</t>
  </si>
  <si>
    <t>Faktor, flödesreduktion</t>
  </si>
  <si>
    <t>Klimatfaktor</t>
  </si>
  <si>
    <t>år</t>
  </si>
  <si>
    <t>Regnets varaktighet</t>
  </si>
  <si>
    <r>
      <t>t</t>
    </r>
    <r>
      <rPr>
        <vertAlign val="subscript"/>
        <sz val="10"/>
        <rFont val="Times New Roman"/>
        <family val="1"/>
      </rPr>
      <t>r</t>
    </r>
  </si>
  <si>
    <t>Regnets intensitet</t>
  </si>
  <si>
    <t>Notation</t>
  </si>
  <si>
    <t>Kommentarer</t>
  </si>
  <si>
    <t>Föenklingar gentemot StormTac</t>
  </si>
  <si>
    <t>Endast återkomsttiden 10 år och klimatfaktor 1,1 kan beräknas</t>
  </si>
  <si>
    <t>Det antas att hela områdets yta hinner bidra vid dimensionerande varaktighet, vilket oftast är fallet vid dimenionering av utjämningsvolym</t>
  </si>
  <si>
    <t>Endast angivna varaktigheter kan beräknas, inte valfria värden</t>
  </si>
  <si>
    <t>Regnintensiteterna kan inte ändras</t>
  </si>
  <si>
    <t>5,0 l/s = beräknad kapacitet för ett dräneringsrör 110 mm, 5 promille lutning</t>
  </si>
  <si>
    <t>Thomas Larm</t>
  </si>
  <si>
    <t>StormTac AB</t>
  </si>
  <si>
    <t>Resultat</t>
  </si>
  <si>
    <t>Se Tabell 1</t>
  </si>
  <si>
    <t>Se Tabell 1. Regndata från Dahlström (2010)</t>
  </si>
  <si>
    <t>Antal dräneringsrör</t>
  </si>
  <si>
    <t>Dräneringsrör 110 mm, 5 promille lutning</t>
  </si>
  <si>
    <t>st</t>
  </si>
  <si>
    <t>Tabell 2  Beräkning av dimensionerande utjämningsvolym</t>
  </si>
  <si>
    <r>
      <t>K</t>
    </r>
    <r>
      <rPr>
        <vertAlign val="subscript"/>
        <sz val="10"/>
        <rFont val="Arial"/>
        <family val="2"/>
      </rPr>
      <t>inf</t>
    </r>
  </si>
  <si>
    <t>Andel av reducerad area</t>
  </si>
  <si>
    <t>%</t>
  </si>
  <si>
    <t xml:space="preserve">Anläggningens yta </t>
  </si>
  <si>
    <t>Dimensionerande erforderlig utjämningsvolym</t>
  </si>
  <si>
    <t>Dimensionerande regnvaraktighet</t>
  </si>
  <si>
    <t>Typ av beläggning</t>
  </si>
  <si>
    <t>1=asfalt/betong, 2=naturgatsten, 3=dränerande betongmarksten</t>
  </si>
  <si>
    <t>1: 0.025 (0-0.05), 2: 0.15 (0.15-0.20), 3: 0.20 (0.20-0.30)</t>
  </si>
  <si>
    <t>Avdunstning, andel av nederbörd</t>
  </si>
  <si>
    <t>1: 0.175 (0.075-0.175), 2: .175 (0.125-0.175), 3: .175 (0.15-0.20)</t>
  </si>
  <si>
    <t>E</t>
  </si>
  <si>
    <t>Infiltrationsskoefficient</t>
  </si>
  <si>
    <t>Övrig indata (kan ändras, men defaultvärden finns)</t>
  </si>
  <si>
    <t>Avrinningsskoefficient</t>
  </si>
  <si>
    <t>mm</t>
  </si>
  <si>
    <t>m</t>
  </si>
  <si>
    <t>Totalt anläggningsdjup exkl. underbyggnad</t>
  </si>
  <si>
    <t>150 (150-200)</t>
  </si>
  <si>
    <t>350 (200-500)</t>
  </si>
  <si>
    <t>Tjocklek, ytbeläggning</t>
  </si>
  <si>
    <t>Tjocklek, obundet bärlager 2-32 mm</t>
  </si>
  <si>
    <t>Tjocklek, förstärkningslager 2-32 mm</t>
  </si>
  <si>
    <t>Tjocklek, underbyggnad/undergrund/terrass</t>
  </si>
  <si>
    <r>
      <t>h</t>
    </r>
    <r>
      <rPr>
        <vertAlign val="subscript"/>
        <sz val="10"/>
        <rFont val="Arial"/>
        <family val="2"/>
      </rPr>
      <t>1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</si>
  <si>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</si>
  <si>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</si>
  <si>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</si>
  <si>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5</t>
    </r>
    <r>
      <rPr>
        <sz val="10"/>
        <rFont val="Arial"/>
      </rPr>
      <t/>
    </r>
  </si>
  <si>
    <t>Porandel, obundet bärlager 2-32 mm</t>
  </si>
  <si>
    <t>Porandel, förstärkningslager 2-32 mm</t>
  </si>
  <si>
    <t>Porandel, underbyggnad/undergrund/terrass</t>
  </si>
  <si>
    <r>
      <t>n</t>
    </r>
    <r>
      <rPr>
        <vertAlign val="subscript"/>
        <sz val="10"/>
        <rFont val="Arial"/>
        <family val="2"/>
      </rPr>
      <t>1</t>
    </r>
  </si>
  <si>
    <r>
      <t>n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</si>
  <si>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</si>
  <si>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</si>
  <si>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5</t>
    </r>
    <r>
      <rPr>
        <sz val="10"/>
        <rFont val="Arial"/>
      </rPr>
      <t/>
    </r>
  </si>
  <si>
    <t>Tjocklek, tom yta</t>
  </si>
  <si>
    <t>Tjocklek, växtbädd</t>
  </si>
  <si>
    <t>Tjocklek, grov sand</t>
  </si>
  <si>
    <t>Tjocklek, makadam 4-16</t>
  </si>
  <si>
    <t>Tjocklek, makadam 16-32</t>
  </si>
  <si>
    <t>Tjocklek, skelettjord</t>
  </si>
  <si>
    <r>
      <t>N</t>
    </r>
    <r>
      <rPr>
        <vertAlign val="subscript"/>
        <sz val="10"/>
        <rFont val="Arial"/>
        <family val="2"/>
      </rPr>
      <t>2</t>
    </r>
  </si>
  <si>
    <r>
      <t>K</t>
    </r>
    <r>
      <rPr>
        <vertAlign val="subscript"/>
        <sz val="10"/>
        <rFont val="Arial"/>
        <family val="2"/>
      </rPr>
      <t>1</t>
    </r>
  </si>
  <si>
    <r>
      <t>N</t>
    </r>
    <r>
      <rPr>
        <vertAlign val="subscript"/>
        <sz val="10"/>
        <rFont val="Arial"/>
        <family val="2"/>
      </rPr>
      <t>1</t>
    </r>
  </si>
  <si>
    <r>
      <t>h</t>
    </r>
    <r>
      <rPr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</si>
  <si>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</si>
  <si>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</si>
  <si>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</si>
  <si>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</si>
  <si>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t>450 (400-1000)</t>
  </si>
  <si>
    <t>100 (100-150)</t>
  </si>
  <si>
    <t>Porandel, tom yta</t>
  </si>
  <si>
    <t>Porandel,  växtbädd</t>
  </si>
  <si>
    <t>Porandel, grov sand</t>
  </si>
  <si>
    <t>Porandel, makadam 4-16</t>
  </si>
  <si>
    <t>Porandel, makadam 16-32</t>
  </si>
  <si>
    <t>Porandel, skelettjord</t>
  </si>
  <si>
    <r>
      <t>n</t>
    </r>
    <r>
      <rPr>
        <vertAlign val="subscript"/>
        <sz val="10"/>
        <rFont val="Arial"/>
        <family val="2"/>
      </rPr>
      <t>6</t>
    </r>
  </si>
  <si>
    <r>
      <t>n</t>
    </r>
    <r>
      <rPr>
        <vertAlign val="subscript"/>
        <sz val="10"/>
        <rFont val="Arial"/>
        <family val="2"/>
      </rPr>
      <t>7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</si>
  <si>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</si>
  <si>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</si>
  <si>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</si>
  <si>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</si>
  <si>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</si>
  <si>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r>
      <t>n</t>
    </r>
    <r>
      <rPr>
        <vertAlign val="subscript"/>
        <sz val="10"/>
        <rFont val="Arial"/>
        <family val="2"/>
      </rPr>
      <t>0</t>
    </r>
  </si>
  <si>
    <t>Hydraulisk konduktivitet, växtbädd</t>
  </si>
  <si>
    <t>Hydraulisk konduktivitet, grov sand</t>
  </si>
  <si>
    <t>Hydraulisk konduktivitet, makadam 2-4</t>
  </si>
  <si>
    <t>Hydraulisk konduktivitet, makadam 4-16</t>
  </si>
  <si>
    <t>Hydraulisk konduktivitet, makadam 16-32</t>
  </si>
  <si>
    <t>Hydraulisk konduktivitet, skelettjord</t>
  </si>
  <si>
    <t>Hydraulisk konduktivitet, ytbeläggning</t>
  </si>
  <si>
    <t>Hydraulisk konduktivitet, obundet bärlager 2-32 mm</t>
  </si>
  <si>
    <t>Hydraulisk konduktivitet, förstärkningslager 2-32 mm</t>
  </si>
  <si>
    <t>Hydraulisk konduktivitet, underbyggnad/undergrund/terrass</t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</si>
  <si>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</si>
  <si>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3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</si>
  <si>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4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</si>
  <si>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5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</si>
  <si>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6</t>
    </r>
  </si>
  <si>
    <r>
      <t>K</t>
    </r>
    <r>
      <rPr>
        <vertAlign val="subscript"/>
        <sz val="10"/>
        <rFont val="Arial"/>
        <family val="2"/>
      </rPr>
      <t>7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</si>
  <si>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8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</si>
  <si>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9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</si>
  <si>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10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</si>
  <si>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11</t>
    </r>
    <r>
      <rPr>
        <sz val="10"/>
        <rFont val="Arial"/>
      </rPr>
      <t/>
    </r>
  </si>
  <si>
    <t>m/s</t>
  </si>
  <si>
    <t>Avrinningsyta / permeabel beläggning</t>
  </si>
  <si>
    <t>0.67 (0.67-1)</t>
  </si>
  <si>
    <t>1.1 (1.0-1.3)</t>
  </si>
  <si>
    <t>mm/h</t>
  </si>
  <si>
    <t>8 (1.3-13)</t>
  </si>
  <si>
    <t>200 (25-200)</t>
  </si>
  <si>
    <r>
      <t>h</t>
    </r>
    <r>
      <rPr>
        <vertAlign val="subscript"/>
        <sz val="10"/>
        <rFont val="Arial"/>
        <family val="2"/>
      </rPr>
      <t>13</t>
    </r>
    <r>
      <rPr>
        <sz val="10"/>
        <rFont val="Arial"/>
      </rPr>
      <t/>
    </r>
  </si>
  <si>
    <r>
      <t>K</t>
    </r>
    <r>
      <rPr>
        <vertAlign val="subscript"/>
        <sz val="10"/>
        <rFont val="Arial"/>
        <family val="2"/>
      </rPr>
      <t>12</t>
    </r>
    <r>
      <rPr>
        <sz val="10"/>
        <rFont val="Arial"/>
      </rPr>
      <t/>
    </r>
  </si>
  <si>
    <r>
      <t>h</t>
    </r>
    <r>
      <rPr>
        <vertAlign val="subscript"/>
        <sz val="10"/>
        <rFont val="Arial"/>
        <family val="2"/>
      </rPr>
      <t>tot1</t>
    </r>
  </si>
  <si>
    <r>
      <t>h</t>
    </r>
    <r>
      <rPr>
        <vertAlign val="subscript"/>
        <sz val="10"/>
        <rFont val="Arial"/>
        <family val="2"/>
      </rPr>
      <t>tot2</t>
    </r>
  </si>
  <si>
    <t>1/2/3</t>
  </si>
  <si>
    <t>Max genomflöde, ytbeläggning</t>
  </si>
  <si>
    <t>Max genomflöde,  obundet bärlager 2-32 mm</t>
  </si>
  <si>
    <t>Max genomflöde, förstärkningslager 2-32 mm</t>
  </si>
  <si>
    <t>Max genomflöde, underbyggnad/undergrund/terrass</t>
  </si>
  <si>
    <r>
      <t>n</t>
    </r>
    <r>
      <rPr>
        <vertAlign val="subscript"/>
        <sz val="10"/>
        <rFont val="Arial"/>
        <family val="2"/>
      </rPr>
      <t>13</t>
    </r>
  </si>
  <si>
    <t>Max genomflöde, växtbädd</t>
  </si>
  <si>
    <t>Max genomflöde, grov sand</t>
  </si>
  <si>
    <t>Max genomflöde, makadam 4-16</t>
  </si>
  <si>
    <t>Max genomflöde, makadam 16-32</t>
  </si>
  <si>
    <t>Max genomflöde,  skelettjord</t>
  </si>
  <si>
    <t>Behövs tätning runt anläggningen?</t>
  </si>
  <si>
    <t>8 (1.3-13). Ange 0 om tätning pga förorenad mark eller om hög grundvattennivå</t>
  </si>
  <si>
    <r>
      <t>Q</t>
    </r>
    <r>
      <rPr>
        <b/>
        <vertAlign val="subscript"/>
        <sz val="10"/>
        <rFont val="Times New Roman"/>
        <family val="1"/>
      </rPr>
      <t>dim1</t>
    </r>
  </si>
  <si>
    <r>
      <t>Q</t>
    </r>
    <r>
      <rPr>
        <b/>
        <vertAlign val="subscript"/>
        <sz val="10"/>
        <rFont val="Arial"/>
        <family val="2"/>
      </rPr>
      <t>ut1, dim</t>
    </r>
  </si>
  <si>
    <t>Tätning behövs för anläggming vid permeabel beläggning</t>
  </si>
  <si>
    <t>Är marken förorenad?</t>
  </si>
  <si>
    <t>nej</t>
  </si>
  <si>
    <t>ja/nej</t>
  </si>
  <si>
    <t xml:space="preserve">Tätning behövs för anläggming vid förorenad mark </t>
  </si>
  <si>
    <t>Tätning behövs för anläggming vid hög grundvattennivå</t>
  </si>
  <si>
    <t>Är anläggningen tillräckligt stor?</t>
  </si>
  <si>
    <r>
      <t>Max Q</t>
    </r>
    <r>
      <rPr>
        <vertAlign val="subscript"/>
        <sz val="10"/>
        <rFont val="Arial"/>
        <family val="2"/>
      </rPr>
      <t>dim1</t>
    </r>
  </si>
  <si>
    <t>Porandel, permeabelt material i ytbeläggning</t>
  </si>
  <si>
    <t>0.25 (0.20-0.30)</t>
  </si>
  <si>
    <t>Andel yta permeabelt material av ytan på ytbeläggningen</t>
  </si>
  <si>
    <r>
      <t>Q</t>
    </r>
    <r>
      <rPr>
        <vertAlign val="subscript"/>
        <sz val="10"/>
        <rFont val="Times New Roman"/>
        <family val="1"/>
      </rPr>
      <t>dim1</t>
    </r>
  </si>
  <si>
    <t>100 (10-100)</t>
  </si>
  <si>
    <r>
      <t>Q</t>
    </r>
    <r>
      <rPr>
        <vertAlign val="subscript"/>
        <sz val="10"/>
        <rFont val="Arial"/>
        <family val="2"/>
      </rPr>
      <t>1, max</t>
    </r>
  </si>
  <si>
    <r>
      <t>Q</t>
    </r>
    <r>
      <rPr>
        <vertAlign val="subscript"/>
        <sz val="10"/>
        <rFont val="Arial"/>
        <family val="2"/>
      </rPr>
      <t>2, max</t>
    </r>
  </si>
  <si>
    <r>
      <t>Q</t>
    </r>
    <r>
      <rPr>
        <vertAlign val="subscript"/>
        <sz val="10"/>
        <rFont val="Arial"/>
        <family val="2"/>
      </rPr>
      <t>3, max</t>
    </r>
  </si>
  <si>
    <r>
      <t>Q</t>
    </r>
    <r>
      <rPr>
        <vertAlign val="subscript"/>
        <sz val="10"/>
        <rFont val="Arial"/>
        <family val="2"/>
      </rPr>
      <t>4, max</t>
    </r>
  </si>
  <si>
    <r>
      <t>Q</t>
    </r>
    <r>
      <rPr>
        <vertAlign val="subscript"/>
        <sz val="10"/>
        <rFont val="Arial"/>
        <family val="2"/>
      </rPr>
      <t>5, max</t>
    </r>
  </si>
  <si>
    <t>Antal dräneringsrör under områdesyta</t>
  </si>
  <si>
    <r>
      <t>Q</t>
    </r>
    <r>
      <rPr>
        <b/>
        <vertAlign val="subscript"/>
        <sz val="10"/>
        <rFont val="Times New Roman"/>
        <family val="1"/>
      </rPr>
      <t>dim1+</t>
    </r>
  </si>
  <si>
    <t>1000 (0-)</t>
  </si>
  <si>
    <t>1000 (0-). Tjocklek till max grundvattennivå</t>
  </si>
  <si>
    <t>Avstånd vattengång dräneringsrör till botten av förstärkningslager</t>
  </si>
  <si>
    <r>
      <t>h</t>
    </r>
    <r>
      <rPr>
        <vertAlign val="subscript"/>
        <sz val="10"/>
        <rFont val="Arial"/>
        <family val="2"/>
      </rPr>
      <t>7</t>
    </r>
  </si>
  <si>
    <r>
      <t>h</t>
    </r>
    <r>
      <rPr>
        <vertAlign val="subscript"/>
        <sz val="10"/>
        <rFont val="Arial"/>
        <family val="2"/>
      </rPr>
      <t>14</t>
    </r>
    <r>
      <rPr>
        <sz val="10"/>
        <rFont val="Arial"/>
      </rPr>
      <t/>
    </r>
  </si>
  <si>
    <t>Avstånd vattengång dräneringsrör till undergunden</t>
  </si>
  <si>
    <t>150 (0-490)</t>
  </si>
  <si>
    <t>Antaget makadam under dräneringsrör</t>
  </si>
  <si>
    <r>
      <t>V</t>
    </r>
    <r>
      <rPr>
        <vertAlign val="subscript"/>
        <sz val="10"/>
        <rFont val="Arial"/>
        <family val="2"/>
      </rPr>
      <t>d2</t>
    </r>
  </si>
  <si>
    <r>
      <t>V</t>
    </r>
    <r>
      <rPr>
        <b/>
        <vertAlign val="subscript"/>
        <sz val="10"/>
        <rFont val="Arial"/>
        <family val="2"/>
      </rPr>
      <t>d2</t>
    </r>
  </si>
  <si>
    <r>
      <t>V</t>
    </r>
    <r>
      <rPr>
        <vertAlign val="subscript"/>
        <sz val="10"/>
        <rFont val="Arial"/>
        <family val="2"/>
      </rPr>
      <t>d1</t>
    </r>
  </si>
  <si>
    <r>
      <t>V</t>
    </r>
    <r>
      <rPr>
        <vertAlign val="subscript"/>
        <sz val="10"/>
        <rFont val="Arial"/>
        <family val="2"/>
      </rPr>
      <t>stf1</t>
    </r>
  </si>
  <si>
    <r>
      <t>V</t>
    </r>
    <r>
      <rPr>
        <vertAlign val="subscript"/>
        <sz val="10"/>
        <rFont val="Arial"/>
        <family val="2"/>
      </rPr>
      <t>stf2</t>
    </r>
  </si>
  <si>
    <t>Behövs dräneringsröret?</t>
  </si>
  <si>
    <t>Är lagringsvolymen över dränröret tillräcklig?</t>
  </si>
  <si>
    <r>
      <t>Q</t>
    </r>
    <r>
      <rPr>
        <vertAlign val="subscript"/>
        <sz val="10"/>
        <rFont val="Arial"/>
        <family val="2"/>
      </rPr>
      <t>6, max</t>
    </r>
  </si>
  <si>
    <r>
      <t>Q</t>
    </r>
    <r>
      <rPr>
        <vertAlign val="subscript"/>
        <sz val="10"/>
        <rFont val="Arial"/>
        <family val="2"/>
      </rPr>
      <t>7, max</t>
    </r>
  </si>
  <si>
    <r>
      <t>Q</t>
    </r>
    <r>
      <rPr>
        <vertAlign val="subscript"/>
        <sz val="10"/>
        <rFont val="Arial"/>
        <family val="2"/>
      </rPr>
      <t>8, max</t>
    </r>
  </si>
  <si>
    <r>
      <t>Q</t>
    </r>
    <r>
      <rPr>
        <vertAlign val="subscript"/>
        <sz val="10"/>
        <rFont val="Arial"/>
        <family val="2"/>
      </rPr>
      <t>9, max</t>
    </r>
  </si>
  <si>
    <r>
      <t>Q</t>
    </r>
    <r>
      <rPr>
        <vertAlign val="subscript"/>
        <sz val="10"/>
        <rFont val="Arial"/>
        <family val="2"/>
      </rPr>
      <t>10, max</t>
    </r>
  </si>
  <si>
    <r>
      <t>Q</t>
    </r>
    <r>
      <rPr>
        <vertAlign val="subscript"/>
        <sz val="10"/>
        <rFont val="Arial"/>
        <family val="2"/>
      </rPr>
      <t>11, max</t>
    </r>
  </si>
  <si>
    <r>
      <t>Q</t>
    </r>
    <r>
      <rPr>
        <vertAlign val="subscript"/>
        <sz val="10"/>
        <rFont val="Arial"/>
        <family val="2"/>
      </rPr>
      <t>12, max</t>
    </r>
  </si>
  <si>
    <r>
      <t>V</t>
    </r>
    <r>
      <rPr>
        <b/>
        <vertAlign val="subscript"/>
        <sz val="10"/>
        <rFont val="Arial"/>
        <family val="2"/>
      </rPr>
      <t>d1</t>
    </r>
  </si>
  <si>
    <t xml:space="preserve"> </t>
  </si>
  <si>
    <r>
      <t>A</t>
    </r>
    <r>
      <rPr>
        <vertAlign val="subscript"/>
        <sz val="10"/>
        <rFont val="Arial"/>
        <family val="2"/>
      </rPr>
      <t>stf1</t>
    </r>
  </si>
  <si>
    <r>
      <t>t</t>
    </r>
    <r>
      <rPr>
        <b/>
        <vertAlign val="subscript"/>
        <sz val="10"/>
        <rFont val="Times New Roman"/>
        <family val="1"/>
      </rPr>
      <t>r1</t>
    </r>
  </si>
  <si>
    <r>
      <t>A</t>
    </r>
    <r>
      <rPr>
        <vertAlign val="subscript"/>
        <sz val="10"/>
        <rFont val="Arial"/>
        <family val="2"/>
      </rPr>
      <t>stf2</t>
    </r>
  </si>
  <si>
    <r>
      <t>V</t>
    </r>
    <r>
      <rPr>
        <vertAlign val="subscript"/>
        <sz val="10"/>
        <rFont val="Arial"/>
        <family val="2"/>
      </rPr>
      <t>stf3</t>
    </r>
  </si>
  <si>
    <r>
      <t>V</t>
    </r>
    <r>
      <rPr>
        <vertAlign val="subscript"/>
        <sz val="10"/>
        <rFont val="Arial"/>
        <family val="2"/>
      </rPr>
      <t>stf4</t>
    </r>
  </si>
  <si>
    <r>
      <t>t</t>
    </r>
    <r>
      <rPr>
        <b/>
        <vertAlign val="subscript"/>
        <sz val="10"/>
        <rFont val="Times New Roman"/>
        <family val="1"/>
      </rPr>
      <t>r2</t>
    </r>
  </si>
  <si>
    <r>
      <t>Q</t>
    </r>
    <r>
      <rPr>
        <b/>
        <vertAlign val="subscript"/>
        <sz val="10"/>
        <rFont val="Arial"/>
        <family val="2"/>
      </rPr>
      <t>ut3, dim</t>
    </r>
  </si>
  <si>
    <r>
      <t>V</t>
    </r>
    <r>
      <rPr>
        <b/>
        <vertAlign val="subscript"/>
        <sz val="10"/>
        <rFont val="Arial"/>
        <family val="2"/>
      </rPr>
      <t>d3</t>
    </r>
  </si>
  <si>
    <r>
      <t>h</t>
    </r>
    <r>
      <rPr>
        <vertAlign val="subscript"/>
        <sz val="10"/>
        <rFont val="Arial"/>
        <family val="2"/>
      </rPr>
      <t>15</t>
    </r>
  </si>
  <si>
    <r>
      <t>V</t>
    </r>
    <r>
      <rPr>
        <b/>
        <vertAlign val="subscript"/>
        <sz val="10"/>
        <rFont val="Arial"/>
        <family val="2"/>
      </rPr>
      <t>d4</t>
    </r>
  </si>
  <si>
    <t>Avstånd vattengång bräddbrunn till växtbäddens yta</t>
  </si>
  <si>
    <r>
      <t>V</t>
    </r>
    <r>
      <rPr>
        <b/>
        <vertAlign val="subscript"/>
        <sz val="10"/>
        <rFont val="Arial"/>
        <family val="2"/>
      </rPr>
      <t>d3*</t>
    </r>
  </si>
  <si>
    <r>
      <t>V</t>
    </r>
    <r>
      <rPr>
        <b/>
        <vertAlign val="subscript"/>
        <sz val="10"/>
        <rFont val="Arial"/>
        <family val="2"/>
      </rPr>
      <t>d3*</t>
    </r>
    <r>
      <rPr>
        <b/>
        <sz val="10"/>
        <rFont val="Arial"/>
        <family val="2"/>
      </rPr>
      <t>+V</t>
    </r>
    <r>
      <rPr>
        <b/>
        <vertAlign val="subscript"/>
        <sz val="10"/>
        <rFont val="Arial"/>
        <family val="2"/>
      </rPr>
      <t>d4</t>
    </r>
  </si>
  <si>
    <r>
      <t>V</t>
    </r>
    <r>
      <rPr>
        <vertAlign val="subscript"/>
        <sz val="10"/>
        <rFont val="Arial"/>
        <family val="2"/>
      </rPr>
      <t>d3*</t>
    </r>
    <r>
      <rPr>
        <sz val="10"/>
        <rFont val="Arial"/>
        <family val="2"/>
      </rPr>
      <t>+V</t>
    </r>
    <r>
      <rPr>
        <vertAlign val="subscript"/>
        <sz val="10"/>
        <rFont val="Arial"/>
        <family val="2"/>
      </rPr>
      <t>d4</t>
    </r>
  </si>
  <si>
    <r>
      <t>V</t>
    </r>
    <r>
      <rPr>
        <b/>
        <vertAlign val="subscript"/>
        <sz val="10"/>
        <rFont val="Arial"/>
        <family val="2"/>
      </rPr>
      <t>d1*</t>
    </r>
    <r>
      <rPr>
        <b/>
        <sz val="10"/>
        <rFont val="Arial"/>
        <family val="2"/>
      </rPr>
      <t>+V</t>
    </r>
    <r>
      <rPr>
        <b/>
        <vertAlign val="subscript"/>
        <sz val="10"/>
        <rFont val="Arial"/>
        <family val="2"/>
      </rPr>
      <t>d2</t>
    </r>
  </si>
  <si>
    <t>Totalt erforderlig utjämningsvolym</t>
  </si>
  <si>
    <r>
      <t>V</t>
    </r>
    <r>
      <rPr>
        <vertAlign val="subscript"/>
        <sz val="10"/>
        <rFont val="Arial"/>
        <family val="2"/>
      </rPr>
      <t>d1*</t>
    </r>
    <r>
      <rPr>
        <sz val="10"/>
        <rFont val="Arial"/>
        <family val="2"/>
      </rPr>
      <t>+V</t>
    </r>
    <r>
      <rPr>
        <vertAlign val="subscript"/>
        <sz val="10"/>
        <rFont val="Arial"/>
        <family val="2"/>
      </rPr>
      <t>d2</t>
    </r>
  </si>
  <si>
    <r>
      <t>Vstf</t>
    </r>
    <r>
      <rPr>
        <vertAlign val="subscript"/>
        <sz val="10"/>
        <rFont val="Arial"/>
        <family val="2"/>
      </rPr>
      <t>1*</t>
    </r>
    <r>
      <rPr>
        <sz val="10"/>
        <rFont val="Arial"/>
        <family val="2"/>
      </rPr>
      <t>+Vstf</t>
    </r>
    <r>
      <rPr>
        <vertAlign val="subscript"/>
        <sz val="10"/>
        <rFont val="Arial"/>
        <family val="2"/>
      </rPr>
      <t>2</t>
    </r>
  </si>
  <si>
    <r>
      <t>Q</t>
    </r>
    <r>
      <rPr>
        <b/>
        <vertAlign val="subscript"/>
        <sz val="10"/>
        <rFont val="Arial"/>
        <family val="2"/>
      </rPr>
      <t>ut3*, dim</t>
    </r>
  </si>
  <si>
    <t>Porandel, sättsand 2-4 mm</t>
  </si>
  <si>
    <t>Hydraulisk konduktivitet, sättsand 2-4 mm</t>
  </si>
  <si>
    <t>0 (0-150)</t>
  </si>
  <si>
    <t>Tjocklek, makadam 2-6</t>
  </si>
  <si>
    <t>350 (200-600). 2-6 mm är rekommenderat för biofilter</t>
  </si>
  <si>
    <t>Porandel, makadam 2-6</t>
  </si>
  <si>
    <t>Biofilter med träd</t>
  </si>
  <si>
    <t>Biofilter med växter</t>
  </si>
  <si>
    <t>Svackdike</t>
  </si>
  <si>
    <t>Krossdike</t>
  </si>
  <si>
    <t>Defaultvärden</t>
  </si>
  <si>
    <t>1: 0.80, 2: 0.675, 3: 0.625</t>
  </si>
  <si>
    <t>Max genomflöde, sättsand 2-4 mm</t>
  </si>
  <si>
    <t>Tjocklek, sättsand 2-4 mm</t>
  </si>
  <si>
    <t>Beräkning. "Kanske" innebär att om det finns ett dräneringsrör kommer dagvatten att rinna ut genom detta, men se nedan om utflödet genom undergrunden räcker ändå.</t>
  </si>
  <si>
    <t>Utflöde genom dräneringsrör, max</t>
  </si>
  <si>
    <t>Extra ytvattenflöde utöver avrinningen till dagvattenflödet om regnflödet överskrider ytbeläggningens flödeskapacitet.</t>
  </si>
  <si>
    <t>Utflöde genom dränrör</t>
  </si>
  <si>
    <t>Utflöde, max genom dräneringsrör</t>
  </si>
  <si>
    <t>Utflöde, max totalt</t>
  </si>
  <si>
    <t>Ska anläggningens botten vara tät?</t>
  </si>
  <si>
    <t>se Tabell 2</t>
  </si>
  <si>
    <t>Erforderlig utjämningsvolym under vattengång bräddbrunn.</t>
  </si>
  <si>
    <t>Erhållen utjämningsvolym under vattengång bräddbrunn</t>
  </si>
  <si>
    <t>3600 s</t>
  </si>
  <si>
    <t>Tillgänglig total utjämningsvolym</t>
  </si>
  <si>
    <t>Tot erforderlig</t>
  </si>
  <si>
    <t>Tot tillgänglig</t>
  </si>
  <si>
    <t>dV</t>
  </si>
  <si>
    <t>Tillgänglig utjämningsvolym över bräddbrunnen</t>
  </si>
  <si>
    <t>Biofilter</t>
  </si>
  <si>
    <t>Antaganden</t>
  </si>
  <si>
    <t>Avseende utflödet genom dräneringsröret så antas ett medelutflöde istället för ett maxutflöde (kapacitet ledning) med hänsyn till att nivån inte alltid är max, i likhet med för torra dammar med bottenutlopp.</t>
  </si>
  <si>
    <t>Dagvattenanläggning (biofilter med/utan träd, svackdike, dike eller krossdike)</t>
  </si>
  <si>
    <t>Dräneringsrör 110 mm, 5 promille lutning. Testa att sätta 0 st för att utreda om dräneringsrör behövs.</t>
  </si>
  <si>
    <r>
      <t>h</t>
    </r>
    <r>
      <rPr>
        <vertAlign val="subscript"/>
        <sz val="10"/>
        <rFont val="Arial"/>
        <family val="2"/>
      </rPr>
      <t>4b</t>
    </r>
  </si>
  <si>
    <r>
      <t xml:space="preserve">Regnets återkomsttid </t>
    </r>
    <r>
      <rPr>
        <sz val="10"/>
        <rFont val="Arial"/>
        <family val="2"/>
      </rPr>
      <t>(kan ej ändras i denna modell, se Förenklingar)</t>
    </r>
  </si>
  <si>
    <r>
      <t>10 (1-100). 10 i denna modell</t>
    </r>
    <r>
      <rPr>
        <sz val="10"/>
        <rFont val="Arial"/>
        <family val="2"/>
      </rPr>
      <t xml:space="preserve"> (se Förenklingar)</t>
    </r>
  </si>
  <si>
    <r>
      <t>1: 0.025, 2: 0.18, 3: 0.10 (0.085-</t>
    </r>
    <r>
      <rPr>
        <sz val="10"/>
        <rFont val="Arial"/>
        <family val="2"/>
      </rPr>
      <t>0.20)</t>
    </r>
  </si>
  <si>
    <t>Dimensionerande flöde som passerar genom ytbeläggningen</t>
  </si>
  <si>
    <r>
      <t>10</t>
    </r>
    <r>
      <rPr>
        <vertAlign val="superscript"/>
        <sz val="10"/>
        <rFont val="Arial"/>
        <family val="2"/>
      </rPr>
      <t>-2</t>
    </r>
    <r>
      <rPr>
        <sz val="10"/>
        <rFont val="Arial"/>
      </rPr>
      <t xml:space="preserve"> - 10</t>
    </r>
    <r>
      <rPr>
        <vertAlign val="superscript"/>
        <sz val="10"/>
        <rFont val="Arial"/>
        <family val="2"/>
      </rPr>
      <t>-4</t>
    </r>
  </si>
  <si>
    <r>
      <t>Q</t>
    </r>
    <r>
      <rPr>
        <vertAlign val="subscript"/>
        <sz val="10"/>
        <rFont val="Arial"/>
        <family val="2"/>
      </rPr>
      <t>ut3, dim</t>
    </r>
  </si>
  <si>
    <t>Max genomflöde, makadam 2-6</t>
  </si>
  <si>
    <r>
      <t xml:space="preserve">Räkna med att Qut1,dim </t>
    </r>
    <r>
      <rPr>
        <sz val="10"/>
        <rFont val="Arial"/>
        <family val="2"/>
      </rPr>
      <t>max blir detta flöde</t>
    </r>
    <r>
      <rPr>
        <sz val="10"/>
        <rFont val="Arial"/>
      </rPr>
      <t>, samt effekt att ibland behövs dränrör ibland inte, om dränrör behövs ger det extra Q</t>
    </r>
    <r>
      <rPr>
        <vertAlign val="subscript"/>
        <sz val="10"/>
        <rFont val="Arial"/>
        <family val="2"/>
      </rPr>
      <t>dim2</t>
    </r>
  </si>
  <si>
    <t>Avstånd vattengång dräneringsrör till toppen av förstärkningslager (reglerhöjd)</t>
  </si>
  <si>
    <r>
      <t>V</t>
    </r>
    <r>
      <rPr>
        <vertAlign val="subscript"/>
        <sz val="10"/>
        <rFont val="Arial"/>
        <family val="2"/>
      </rPr>
      <t>d3</t>
    </r>
  </si>
  <si>
    <r>
      <t>Q</t>
    </r>
    <r>
      <rPr>
        <vertAlign val="subscript"/>
        <sz val="10"/>
        <rFont val="Arial"/>
        <family val="2"/>
      </rPr>
      <t>dim1+</t>
    </r>
  </si>
  <si>
    <r>
      <t>V</t>
    </r>
    <r>
      <rPr>
        <vertAlign val="subscript"/>
        <sz val="10"/>
        <rFont val="Arial"/>
        <family val="2"/>
      </rPr>
      <t>d3*</t>
    </r>
  </si>
  <si>
    <r>
      <t>Tabell 1   Beräkning av dimensionerande utjämningsvolym (Q</t>
    </r>
    <r>
      <rPr>
        <b/>
        <vertAlign val="subscript"/>
        <sz val="10"/>
        <rFont val="Times New Roman"/>
        <family val="1"/>
      </rPr>
      <t>dim1</t>
    </r>
    <r>
      <rPr>
        <b/>
        <sz val="10"/>
        <rFont val="Times New Roman"/>
        <family val="1"/>
      </rPr>
      <t>+ ger extra ytvattenflöde utöver avrinningen till dagvattenflödet om regnflödet överskrider ytbeläggningens flödeskapacitet och Q</t>
    </r>
    <r>
      <rPr>
        <b/>
        <vertAlign val="subscript"/>
        <sz val="10"/>
        <rFont val="Times New Roman"/>
        <family val="1"/>
      </rPr>
      <t>dim1++</t>
    </r>
    <r>
      <rPr>
        <b/>
        <sz val="10"/>
        <rFont val="Times New Roman"/>
        <family val="1"/>
      </rPr>
      <t xml:space="preserve"> ger utflöde genom dränrör)</t>
    </r>
  </si>
  <si>
    <r>
      <t>V</t>
    </r>
    <r>
      <rPr>
        <vertAlign val="subscript"/>
        <sz val="10"/>
        <rFont val="Arial"/>
        <family val="2"/>
      </rPr>
      <t>stf5</t>
    </r>
  </si>
  <si>
    <t>Erforderlig ökad voym</t>
  </si>
  <si>
    <r>
      <t>Q</t>
    </r>
    <r>
      <rPr>
        <b/>
        <vertAlign val="subscript"/>
        <sz val="10"/>
        <rFont val="Arial"/>
        <family val="2"/>
      </rPr>
      <t>ut3*, max</t>
    </r>
  </si>
  <si>
    <r>
      <t>V</t>
    </r>
    <r>
      <rPr>
        <vertAlign val="subscript"/>
        <sz val="10"/>
        <rFont val="Arial"/>
        <family val="2"/>
      </rPr>
      <t>stftot</t>
    </r>
  </si>
  <si>
    <r>
      <t>Tillgänglig</t>
    </r>
    <r>
      <rPr>
        <sz val="10"/>
        <rFont val="Arial"/>
      </rPr>
      <t xml:space="preserve"> öppen utjämningsvolym upp till bräddbrunnen</t>
    </r>
  </si>
  <si>
    <t>Om "nej" öka arean eller öka djupet på olika lager eller minska avståndet till bräddbrunnen tills "ja".</t>
  </si>
  <si>
    <t>Dimensionerande erforderlig utjämningsvolym över vattengång (v.g) dräneringsrör</t>
  </si>
  <si>
    <t>Tillgänglig lagringsvolym under v.g. dränrör</t>
  </si>
  <si>
    <r>
      <t>Tillgänglig</t>
    </r>
    <r>
      <rPr>
        <sz val="10"/>
        <rFont val="Arial"/>
      </rPr>
      <t xml:space="preserve"> lagringsvolym över v.g. dränrör</t>
    </r>
  </si>
  <si>
    <t>Tillgänglig lagringsvolym exkl öppen volym över v.g. dränrör</t>
  </si>
  <si>
    <r>
      <t xml:space="preserve">Total </t>
    </r>
    <r>
      <rPr>
        <sz val="10"/>
        <rFont val="Arial"/>
        <family val="2"/>
      </rPr>
      <t xml:space="preserve">tillgänglig </t>
    </r>
    <r>
      <rPr>
        <sz val="10"/>
        <rFont val="Arial"/>
      </rPr>
      <t>lagringsvolym</t>
    </r>
  </si>
  <si>
    <r>
      <t>V</t>
    </r>
    <r>
      <rPr>
        <vertAlign val="subscript"/>
        <sz val="10"/>
        <rFont val="Arial"/>
        <family val="2"/>
      </rPr>
      <t>stf6</t>
    </r>
  </si>
  <si>
    <r>
      <t>V</t>
    </r>
    <r>
      <rPr>
        <vertAlign val="subscript"/>
        <sz val="10"/>
        <rFont val="Arial"/>
        <family val="2"/>
      </rPr>
      <t>d4*</t>
    </r>
  </si>
  <si>
    <r>
      <t>Området i expertsystemet kan högst vara 10 000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, men obegränsat stort i StormTac.</t>
    </r>
  </si>
  <si>
    <t>Parametern används ej i simuleringarna.</t>
  </si>
  <si>
    <t>Behövs fler dräneringsrör eller behövs förstärkningslagret göras tjockare?</t>
  </si>
  <si>
    <t>Eftersom bidraget från flödet genom terrassen räknas med förutsätts att volymen i terrassen inte är vattenfylld, en vidareutvecling kan vara att lägga till en villkorssats som kollar detta.</t>
  </si>
  <si>
    <t>200 (50-450)</t>
  </si>
  <si>
    <t>Det har antagits att dim utjämningsvolym endast baseras på utflöde ner genom växtbädd och genom bypass i bräddbrunnen, dvs att detta ger det dimensionerande fallet och ingen hänsyn har tagits till genomflöde vidare till undergrunden och  inte till makadamlagret från undergrund upp till dräneringsröret.</t>
  </si>
  <si>
    <t xml:space="preserve">Det har antagits att utflöde genom bräddbrunn är detsamma som dräneringsrörets kapacitet, men man kan använda modellen med högre utflöde.  </t>
  </si>
  <si>
    <t>Dimensionerande flöde från nederbörd direkt över anläggningens yta</t>
  </si>
  <si>
    <t>Om det i framtiden visar sig att vi kommer att behöva lägga in olika värden på den hydrauliska konduktiviteten beroende på fraktionen i makadamen skulle vi behöva lägga in en sats som använder värdet för det lager med lägst konduktivitet, eftersom detta lager utgör den begränsande faktorn.</t>
  </si>
  <si>
    <t>Totalt utflöde genom dräneringsrör och via exfiltration genom anläggningens botten</t>
  </si>
  <si>
    <r>
      <t>250</t>
    </r>
    <r>
      <rPr>
        <sz val="10"/>
        <rFont val="Arial"/>
      </rPr>
      <t xml:space="preserve"> (100-500). Ökas om ej tillräcklig flödesutjämning om inte heller arean (andel av reducerad area) </t>
    </r>
    <r>
      <rPr>
        <b/>
        <sz val="10"/>
        <rFont val="Times New Roman"/>
        <family val="1"/>
      </rPr>
      <t>går att öka mer.</t>
    </r>
  </si>
  <si>
    <r>
      <t>h</t>
    </r>
    <r>
      <rPr>
        <vertAlign val="subscript"/>
        <sz val="10"/>
        <rFont val="Arial"/>
      </rPr>
      <t>7b</t>
    </r>
  </si>
  <si>
    <r>
      <t>Hydraulisk konduktivitet, makadam 2-</t>
    </r>
    <r>
      <rPr>
        <sz val="10"/>
        <rFont val="Arial"/>
        <family val="2"/>
      </rPr>
      <t>6</t>
    </r>
  </si>
  <si>
    <r>
      <t>Q</t>
    </r>
    <r>
      <rPr>
        <vertAlign val="subscript"/>
        <sz val="10"/>
        <rFont val="Arial"/>
        <family val="2"/>
      </rPr>
      <t>ut4,dim</t>
    </r>
  </si>
  <si>
    <r>
      <t>Q</t>
    </r>
    <r>
      <rPr>
        <vertAlign val="subscript"/>
        <sz val="10"/>
        <rFont val="Arial"/>
        <family val="2"/>
      </rPr>
      <t>ut2</t>
    </r>
  </si>
  <si>
    <r>
      <t>Q</t>
    </r>
    <r>
      <rPr>
        <vertAlign val="subscript"/>
        <sz val="10"/>
        <rFont val="Arial"/>
        <family val="2"/>
      </rPr>
      <t>ut4, max</t>
    </r>
  </si>
  <si>
    <r>
      <t>Q</t>
    </r>
    <r>
      <rPr>
        <b/>
        <vertAlign val="subscript"/>
        <sz val="10"/>
        <rFont val="Arial"/>
        <family val="2"/>
      </rPr>
      <t>utstf, dim</t>
    </r>
  </si>
  <si>
    <r>
      <t>Q</t>
    </r>
    <r>
      <rPr>
        <vertAlign val="subscript"/>
        <sz val="10"/>
        <rFont val="Arial"/>
        <family val="2"/>
      </rPr>
      <t>ut4, max</t>
    </r>
    <r>
      <rPr>
        <sz val="10"/>
        <rFont val="Arial"/>
        <family val="2"/>
      </rPr>
      <t>+Q</t>
    </r>
    <r>
      <rPr>
        <vertAlign val="subscript"/>
        <sz val="10"/>
        <rFont val="Arial"/>
        <family val="2"/>
      </rPr>
      <t>ut5, max</t>
    </r>
  </si>
  <si>
    <r>
      <t>h</t>
    </r>
    <r>
      <rPr>
        <vertAlign val="subscript"/>
        <sz val="10"/>
        <rFont val="Arial"/>
        <family val="2"/>
      </rPr>
      <t>4a</t>
    </r>
  </si>
  <si>
    <r>
      <t>Q</t>
    </r>
    <r>
      <rPr>
        <vertAlign val="subscript"/>
        <sz val="10"/>
        <rFont val="Arial"/>
        <family val="2"/>
      </rPr>
      <t>p</t>
    </r>
  </si>
  <si>
    <r>
      <t>Q</t>
    </r>
    <r>
      <rPr>
        <i/>
        <vertAlign val="subscript"/>
        <sz val="10"/>
        <rFont val="Arial"/>
        <family val="2"/>
      </rPr>
      <t>ut2max</t>
    </r>
  </si>
  <si>
    <r>
      <t>Q</t>
    </r>
    <r>
      <rPr>
        <b/>
        <vertAlign val="subscript"/>
        <sz val="10"/>
        <rFont val="Arial"/>
        <family val="2"/>
      </rPr>
      <t>utdimpp</t>
    </r>
  </si>
  <si>
    <r>
      <t>Q</t>
    </r>
    <r>
      <rPr>
        <vertAlign val="subscript"/>
        <sz val="10"/>
        <rFont val="Arial"/>
      </rPr>
      <t>ut2</t>
    </r>
  </si>
  <si>
    <r>
      <t>Q</t>
    </r>
    <r>
      <rPr>
        <b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+Q</t>
    </r>
    <r>
      <rPr>
        <b/>
        <vertAlign val="subscript"/>
        <sz val="10"/>
        <rFont val="Times New Roman"/>
        <family val="1"/>
      </rPr>
      <t xml:space="preserve">dim2 + </t>
    </r>
    <r>
      <rPr>
        <b/>
        <sz val="10"/>
        <rFont val="Times New Roman"/>
        <family val="1"/>
      </rPr>
      <t>Q</t>
    </r>
    <r>
      <rPr>
        <b/>
        <vertAlign val="subscript"/>
        <sz val="10"/>
        <rFont val="Times New Roman"/>
        <family val="1"/>
      </rPr>
      <t>dim1+</t>
    </r>
  </si>
  <si>
    <t>Dimensionerande utjämningsvolym under vattengång (v.g.) dräneringsrör (inkl. terassen)</t>
  </si>
  <si>
    <r>
      <t>Tillgänglig</t>
    </r>
    <r>
      <rPr>
        <sz val="10"/>
        <rFont val="Arial"/>
      </rPr>
      <t xml:space="preserve"> lagringsvolym under v.g. dränrör </t>
    </r>
    <r>
      <rPr>
        <sz val="10"/>
        <rFont val="Arial"/>
        <family val="2"/>
      </rPr>
      <t>(inkl. terrassen)</t>
    </r>
  </si>
  <si>
    <t>Expertsystem Grå-grön, v.21. Dimensionering av permeabel beläggning och övrig dagvattenanläggning, t.ex. biofilter, svackdike, dike och krossdike.</t>
  </si>
  <si>
    <t>200 (50-300)</t>
  </si>
  <si>
    <t>360-3600</t>
  </si>
  <si>
    <r>
      <t xml:space="preserve">Normalt </t>
    </r>
    <r>
      <rPr>
        <sz val="10"/>
        <color indexed="10"/>
        <rFont val="Arial"/>
        <family val="2"/>
      </rPr>
      <t>2.5</t>
    </r>
    <r>
      <rPr>
        <sz val="10"/>
        <rFont val="Arial"/>
      </rPr>
      <t xml:space="preserve"> (2-6)%. Ökas om ej tillräcklig flödesutjämning eller rening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</si>
</sst>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71" formatCode="0.0E+00"/>
  </numFmts>
  <fonts count="30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Times New Roman"/>
      <family val="1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bscript"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22"/>
      <name val="Arial"/>
      <family val="2"/>
    </font>
    <font>
      <b/>
      <sz val="14"/>
      <name val="Times New Roman"/>
      <family val="1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Times New Roman"/>
      <family val="1"/>
    </font>
    <font>
      <vertAlign val="subscript"/>
      <sz val="10"/>
      <name val="Arial"/>
    </font>
    <font>
      <i/>
      <vertAlign val="subscript"/>
      <sz val="10"/>
      <name val="Arial"/>
      <family val="2"/>
    </font>
    <font>
      <sz val="10"/>
      <color indexed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0" xfId="0" applyFont="1"/>
    <xf numFmtId="2" fontId="10" fillId="0" borderId="0" xfId="0" applyNumberFormat="1" applyFont="1" applyFill="1" applyBorder="1" applyAlignment="1" applyProtection="1">
      <alignment horizontal="center"/>
      <protection locked="0"/>
    </xf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0" fontId="6" fillId="0" borderId="0" xfId="0" applyFont="1" applyFill="1" applyBorder="1" applyAlignment="1" applyProtection="1">
      <alignment horizontal="left"/>
    </xf>
    <xf numFmtId="0" fontId="4" fillId="0" borderId="0" xfId="0" applyFont="1" applyFill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center"/>
      <protection locked="0"/>
    </xf>
    <xf numFmtId="1" fontId="4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Fill="1" applyBorder="1"/>
    <xf numFmtId="0" fontId="3" fillId="0" borderId="0" xfId="0" applyFont="1" applyFill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</xf>
    <xf numFmtId="0" fontId="14" fillId="0" borderId="0" xfId="0" applyFont="1"/>
    <xf numFmtId="2" fontId="6" fillId="0" borderId="0" xfId="0" applyNumberFormat="1" applyFont="1" applyFill="1" applyBorder="1" applyAlignment="1" applyProtection="1">
      <alignment horizontal="center"/>
      <protection locked="0"/>
    </xf>
    <xf numFmtId="1" fontId="16" fillId="0" borderId="0" xfId="0" applyNumberFormat="1" applyFont="1" applyAlignment="1">
      <alignment horizontal="center"/>
    </xf>
    <xf numFmtId="0" fontId="4" fillId="0" borderId="0" xfId="0" applyFont="1"/>
    <xf numFmtId="0" fontId="17" fillId="0" borderId="0" xfId="0" applyFont="1" applyAlignment="1">
      <alignment horizontal="center"/>
    </xf>
    <xf numFmtId="165" fontId="4" fillId="0" borderId="0" xfId="0" applyNumberFormat="1" applyFont="1" applyFill="1" applyAlignment="1" applyProtection="1">
      <alignment horizontal="center"/>
      <protection locked="0"/>
    </xf>
    <xf numFmtId="1" fontId="10" fillId="2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/>
    </xf>
    <xf numFmtId="2" fontId="10" fillId="0" borderId="0" xfId="0" applyNumberFormat="1" applyFont="1" applyFill="1" applyBorder="1" applyAlignment="1" applyProtection="1">
      <alignment horizontal="left"/>
      <protection locked="0"/>
    </xf>
    <xf numFmtId="166" fontId="10" fillId="0" borderId="0" xfId="0" applyNumberFormat="1" applyFont="1" applyFill="1" applyBorder="1" applyAlignment="1" applyProtection="1">
      <alignment horizontal="center"/>
      <protection locked="0"/>
    </xf>
    <xf numFmtId="171" fontId="10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5" fillId="4" borderId="0" xfId="0" applyFont="1" applyFill="1"/>
    <xf numFmtId="164" fontId="4" fillId="4" borderId="0" xfId="0" applyNumberFormat="1" applyFont="1" applyFill="1" applyBorder="1" applyAlignment="1" applyProtection="1">
      <alignment horizontal="center"/>
    </xf>
    <xf numFmtId="1" fontId="10" fillId="2" borderId="1" xfId="0" applyNumberFormat="1" applyFont="1" applyFill="1" applyBorder="1" applyAlignment="1" applyProtection="1">
      <alignment horizontal="center"/>
      <protection locked="0"/>
    </xf>
    <xf numFmtId="1" fontId="4" fillId="5" borderId="0" xfId="0" applyNumberFormat="1" applyFont="1" applyFill="1" applyBorder="1" applyAlignment="1" applyProtection="1">
      <alignment horizontal="center"/>
    </xf>
    <xf numFmtId="1" fontId="4" fillId="4" borderId="0" xfId="0" applyNumberFormat="1" applyFont="1" applyFill="1" applyBorder="1" applyAlignment="1" applyProtection="1">
      <alignment horizontal="center"/>
    </xf>
    <xf numFmtId="0" fontId="18" fillId="0" borderId="0" xfId="0" applyFont="1"/>
    <xf numFmtId="165" fontId="10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/>
    <xf numFmtId="165" fontId="10" fillId="0" borderId="0" xfId="0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8" fillId="6" borderId="0" xfId="0" applyFont="1" applyFill="1" applyBorder="1"/>
    <xf numFmtId="164" fontId="4" fillId="0" borderId="0" xfId="0" applyNumberFormat="1" applyFont="1" applyFill="1" applyAlignment="1" applyProtection="1">
      <alignment horizontal="center"/>
    </xf>
    <xf numFmtId="0" fontId="4" fillId="6" borderId="0" xfId="0" applyFont="1" applyFill="1"/>
    <xf numFmtId="0" fontId="19" fillId="6" borderId="0" xfId="0" applyFont="1" applyFill="1"/>
    <xf numFmtId="2" fontId="10" fillId="3" borderId="0" xfId="0" applyNumberFormat="1" applyFont="1" applyFill="1" applyBorder="1" applyAlignment="1" applyProtection="1">
      <alignment horizontal="left"/>
      <protection locked="0"/>
    </xf>
    <xf numFmtId="0" fontId="15" fillId="0" borderId="1" xfId="0" applyFont="1" applyBorder="1"/>
    <xf numFmtId="0" fontId="15" fillId="0" borderId="2" xfId="0" applyFont="1" applyFill="1" applyBorder="1" applyAlignment="1" applyProtection="1">
      <alignment horizontal="left"/>
      <protection locked="0"/>
    </xf>
    <xf numFmtId="2" fontId="20" fillId="0" borderId="0" xfId="0" applyNumberFormat="1" applyFont="1" applyFill="1" applyBorder="1" applyAlignment="1" applyProtection="1">
      <alignment horizontal="left"/>
      <protection locked="0"/>
    </xf>
    <xf numFmtId="0" fontId="1" fillId="3" borderId="0" xfId="0" applyFont="1" applyFill="1"/>
    <xf numFmtId="0" fontId="21" fillId="4" borderId="0" xfId="0" applyFont="1" applyFill="1"/>
    <xf numFmtId="0" fontId="21" fillId="3" borderId="0" xfId="0" applyFont="1" applyFill="1"/>
    <xf numFmtId="0" fontId="21" fillId="0" borderId="0" xfId="0" applyFont="1"/>
    <xf numFmtId="0" fontId="21" fillId="0" borderId="0" xfId="0" applyFont="1" applyFill="1"/>
    <xf numFmtId="0" fontId="21" fillId="0" borderId="0" xfId="0" applyFont="1" applyFill="1" applyBorder="1"/>
    <xf numFmtId="0" fontId="21" fillId="6" borderId="0" xfId="0" applyFont="1" applyFill="1" applyBorder="1"/>
    <xf numFmtId="0" fontId="21" fillId="3" borderId="0" xfId="0" applyFont="1" applyFill="1" applyBorder="1"/>
    <xf numFmtId="0" fontId="3" fillId="0" borderId="0" xfId="0" applyFont="1" applyFill="1"/>
    <xf numFmtId="0" fontId="21" fillId="6" borderId="0" xfId="0" applyFont="1" applyFill="1"/>
    <xf numFmtId="0" fontId="21" fillId="0" borderId="0" xfId="0" applyFont="1" applyAlignment="1">
      <alignment horizontal="center"/>
    </xf>
    <xf numFmtId="0" fontId="21" fillId="2" borderId="0" xfId="0" applyFont="1" applyFill="1" applyAlignment="1">
      <alignment horizontal="center"/>
    </xf>
    <xf numFmtId="0" fontId="21" fillId="0" borderId="0" xfId="0" applyFont="1" applyFill="1" applyBorder="1" applyProtection="1">
      <protection locked="0"/>
    </xf>
    <xf numFmtId="49" fontId="21" fillId="0" borderId="0" xfId="0" applyNumberFormat="1" applyFont="1" applyAlignment="1">
      <alignment horizontal="center"/>
    </xf>
    <xf numFmtId="1" fontId="21" fillId="2" borderId="0" xfId="0" applyNumberFormat="1" applyFont="1" applyFill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1" fontId="21" fillId="6" borderId="0" xfId="0" applyNumberFormat="1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164" fontId="10" fillId="2" borderId="0" xfId="0" applyNumberFormat="1" applyFont="1" applyFill="1" applyBorder="1" applyAlignment="1" applyProtection="1">
      <alignment horizontal="center"/>
      <protection locked="0"/>
    </xf>
    <xf numFmtId="1" fontId="21" fillId="6" borderId="0" xfId="0" applyNumberFormat="1" applyFont="1" applyFill="1"/>
    <xf numFmtId="0" fontId="21" fillId="0" borderId="0" xfId="0" applyFont="1" applyAlignment="1">
      <alignment horizontal="left"/>
    </xf>
    <xf numFmtId="0" fontId="18" fillId="0" borderId="0" xfId="0" applyFont="1" applyFill="1" applyBorder="1"/>
    <xf numFmtId="0" fontId="18" fillId="0" borderId="0" xfId="0" applyFont="1" applyAlignment="1">
      <alignment horizontal="left"/>
    </xf>
    <xf numFmtId="0" fontId="21" fillId="0" borderId="0" xfId="0" applyFont="1" applyFill="1" applyAlignment="1" applyProtection="1">
      <alignment horizontal="center"/>
    </xf>
    <xf numFmtId="0" fontId="21" fillId="0" borderId="0" xfId="0" applyFont="1" applyFill="1" applyAlignment="1">
      <alignment horizontal="center"/>
    </xf>
    <xf numFmtId="2" fontId="21" fillId="0" borderId="0" xfId="0" applyNumberFormat="1" applyFont="1" applyFill="1" applyAlignment="1" applyProtection="1">
      <alignment horizontal="center"/>
      <protection locked="0"/>
    </xf>
    <xf numFmtId="2" fontId="4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64" fontId="21" fillId="0" borderId="0" xfId="0" applyNumberFormat="1" applyFont="1" applyFill="1" applyAlignment="1" applyProtection="1">
      <alignment horizontal="center"/>
    </xf>
    <xf numFmtId="2" fontId="21" fillId="0" borderId="0" xfId="0" applyNumberFormat="1" applyFont="1" applyFill="1" applyBorder="1" applyAlignment="1" applyProtection="1">
      <alignment horizontal="center"/>
      <protection locked="0"/>
    </xf>
    <xf numFmtId="165" fontId="18" fillId="6" borderId="0" xfId="0" applyNumberFormat="1" applyFont="1" applyFill="1" applyAlignment="1">
      <alignment horizontal="center"/>
    </xf>
    <xf numFmtId="164" fontId="21" fillId="0" borderId="0" xfId="0" applyNumberFormat="1" applyFont="1"/>
    <xf numFmtId="1" fontId="16" fillId="0" borderId="0" xfId="0" applyNumberFormat="1" applyFont="1" applyFill="1" applyBorder="1" applyAlignment="1" applyProtection="1">
      <alignment horizontal="center"/>
    </xf>
    <xf numFmtId="0" fontId="21" fillId="0" borderId="0" xfId="0" applyFont="1" applyFill="1" applyAlignment="1" applyProtection="1">
      <alignment horizontal="left"/>
    </xf>
    <xf numFmtId="16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0" fontId="4" fillId="0" borderId="0" xfId="0" applyFont="1" applyFill="1" applyAlignment="1" applyProtection="1">
      <alignment horizontal="left"/>
    </xf>
    <xf numFmtId="1" fontId="4" fillId="0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Fill="1" applyBorder="1" applyAlignment="1" applyProtection="1">
      <alignment horizontal="center"/>
    </xf>
    <xf numFmtId="1" fontId="21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1" fillId="0" borderId="0" xfId="0" applyNumberFormat="1" applyFont="1" applyFill="1" applyBorder="1" applyAlignment="1" applyProtection="1">
      <alignment horizontal="center"/>
    </xf>
    <xf numFmtId="1" fontId="21" fillId="3" borderId="0" xfId="0" applyNumberFormat="1" applyFont="1" applyFill="1" applyAlignment="1">
      <alignment horizontal="center"/>
    </xf>
    <xf numFmtId="1" fontId="21" fillId="0" borderId="0" xfId="0" applyNumberFormat="1" applyFont="1" applyFill="1" applyBorder="1" applyAlignment="1" applyProtection="1">
      <alignment horizontal="center"/>
    </xf>
    <xf numFmtId="1" fontId="4" fillId="5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21" fillId="4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21" fillId="7" borderId="0" xfId="0" applyNumberFormat="1" applyFont="1" applyFill="1" applyAlignment="1">
      <alignment horizontal="center"/>
    </xf>
    <xf numFmtId="0" fontId="15" fillId="4" borderId="1" xfId="0" applyFont="1" applyFill="1" applyBorder="1" applyAlignment="1">
      <alignment horizontal="center"/>
    </xf>
    <xf numFmtId="164" fontId="21" fillId="7" borderId="0" xfId="0" applyNumberFormat="1" applyFont="1" applyFill="1" applyAlignment="1">
      <alignment horizontal="center"/>
    </xf>
    <xf numFmtId="1" fontId="21" fillId="5" borderId="0" xfId="0" applyNumberFormat="1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5" fillId="0" borderId="2" xfId="0" applyFont="1" applyBorder="1"/>
    <xf numFmtId="0" fontId="15" fillId="0" borderId="3" xfId="0" applyFont="1" applyFill="1" applyBorder="1" applyAlignment="1" applyProtection="1">
      <alignment horizontal="center"/>
    </xf>
    <xf numFmtId="1" fontId="15" fillId="8" borderId="1" xfId="0" applyNumberFormat="1" applyFont="1" applyFill="1" applyBorder="1" applyAlignment="1">
      <alignment horizontal="center"/>
    </xf>
    <xf numFmtId="1" fontId="16" fillId="7" borderId="0" xfId="0" applyNumberFormat="1" applyFont="1" applyFill="1" applyAlignment="1">
      <alignment horizontal="center"/>
    </xf>
    <xf numFmtId="0" fontId="18" fillId="0" borderId="0" xfId="0" applyFont="1" applyFill="1" applyAlignment="1" applyProtection="1">
      <alignment horizontal="left"/>
    </xf>
    <xf numFmtId="0" fontId="4" fillId="3" borderId="0" xfId="0" applyFont="1" applyFill="1"/>
    <xf numFmtId="0" fontId="4" fillId="3" borderId="0" xfId="0" applyFont="1" applyFill="1" applyAlignment="1" applyProtection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>
      <alignment horizontal="center"/>
    </xf>
    <xf numFmtId="1" fontId="16" fillId="3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left"/>
    </xf>
    <xf numFmtId="1" fontId="16" fillId="0" borderId="0" xfId="0" applyNumberFormat="1" applyFont="1" applyFill="1" applyAlignment="1">
      <alignment horizontal="center"/>
    </xf>
    <xf numFmtId="0" fontId="21" fillId="3" borderId="0" xfId="0" applyFont="1" applyFill="1" applyAlignment="1" applyProtection="1">
      <alignment horizontal="left"/>
    </xf>
    <xf numFmtId="2" fontId="21" fillId="0" borderId="0" xfId="0" applyNumberFormat="1" applyFont="1" applyFill="1"/>
    <xf numFmtId="0" fontId="4" fillId="6" borderId="0" xfId="0" applyFont="1" applyFill="1" applyBorder="1"/>
    <xf numFmtId="0" fontId="25" fillId="0" borderId="0" xfId="0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1" fontId="26" fillId="0" borderId="0" xfId="0" applyNumberFormat="1" applyFont="1" applyFill="1" applyBorder="1" applyAlignment="1" applyProtection="1">
      <alignment horizontal="center"/>
      <protection locked="0"/>
    </xf>
    <xf numFmtId="0" fontId="1" fillId="6" borderId="0" xfId="0" applyFont="1" applyFill="1"/>
    <xf numFmtId="0" fontId="1" fillId="0" borderId="0" xfId="0" applyFont="1"/>
    <xf numFmtId="0" fontId="25" fillId="0" borderId="0" xfId="0" applyFont="1" applyFill="1"/>
    <xf numFmtId="0" fontId="4" fillId="0" borderId="0" xfId="0" applyNumberFormat="1" applyFont="1" applyFill="1" applyAlignment="1" applyProtection="1">
      <alignment horizontal="left"/>
      <protection locked="0"/>
    </xf>
    <xf numFmtId="164" fontId="29" fillId="2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9</xdr:row>
          <xdr:rowOff>0</xdr:rowOff>
        </xdr:from>
        <xdr:to>
          <xdr:col>1</xdr:col>
          <xdr:colOff>638175</xdr:colOff>
          <xdr:row>9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Atot (ha)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9</xdr:row>
          <xdr:rowOff>0</xdr:rowOff>
        </xdr:from>
        <xdr:to>
          <xdr:col>1</xdr:col>
          <xdr:colOff>609600</xdr:colOff>
          <xdr:row>9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 tot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590550</xdr:colOff>
      <xdr:row>35</xdr:row>
      <xdr:rowOff>0</xdr:rowOff>
    </xdr:from>
    <xdr:to>
      <xdr:col>4</xdr:col>
      <xdr:colOff>581025</xdr:colOff>
      <xdr:row>35</xdr:row>
      <xdr:rowOff>0</xdr:rowOff>
    </xdr:to>
    <xdr:sp macro="" textlink="">
      <xdr:nvSpPr>
        <xdr:cNvPr id="1664" name="Line 4"/>
        <xdr:cNvSpPr>
          <a:spLocks noChangeShapeType="1"/>
        </xdr:cNvSpPr>
      </xdr:nvSpPr>
      <xdr:spPr bwMode="auto">
        <a:xfrm>
          <a:off x="7200900" y="6705600"/>
          <a:ext cx="0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609600</xdr:colOff>
      <xdr:row>35</xdr:row>
      <xdr:rowOff>0</xdr:rowOff>
    </xdr:from>
    <xdr:to>
      <xdr:col>4</xdr:col>
      <xdr:colOff>581025</xdr:colOff>
      <xdr:row>35</xdr:row>
      <xdr:rowOff>0</xdr:rowOff>
    </xdr:to>
    <xdr:sp macro="" textlink="">
      <xdr:nvSpPr>
        <xdr:cNvPr id="1665" name="Line 5"/>
        <xdr:cNvSpPr>
          <a:spLocks noChangeShapeType="1"/>
        </xdr:cNvSpPr>
      </xdr:nvSpPr>
      <xdr:spPr bwMode="auto">
        <a:xfrm flipH="1">
          <a:off x="7200900" y="6705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>
          <a:prstShdw prst="shdw17" dist="17961" dir="13500000">
            <a:srgbClr val="000000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43</xdr:row>
          <xdr:rowOff>0</xdr:rowOff>
        </xdr:from>
        <xdr:to>
          <xdr:col>2</xdr:col>
          <xdr:colOff>600075</xdr:colOff>
          <xdr:row>43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 calc</a:t>
              </a:r>
            </a:p>
          </xdr:txBody>
        </xdr:sp>
        <xdr:clientData fPrintsWithSheet="0"/>
      </xdr:twoCellAnchor>
    </mc:Choice>
    <mc:Fallback/>
  </mc:AlternateContent>
  <xdr:twoCellAnchor>
    <xdr:from>
      <xdr:col>18</xdr:col>
      <xdr:colOff>590550</xdr:colOff>
      <xdr:row>26</xdr:row>
      <xdr:rowOff>0</xdr:rowOff>
    </xdr:from>
    <xdr:to>
      <xdr:col>18</xdr:col>
      <xdr:colOff>581025</xdr:colOff>
      <xdr:row>26</xdr:row>
      <xdr:rowOff>0</xdr:rowOff>
    </xdr:to>
    <xdr:sp macro="" textlink="">
      <xdr:nvSpPr>
        <xdr:cNvPr id="1666" name="Line 56"/>
        <xdr:cNvSpPr>
          <a:spLocks noChangeShapeType="1"/>
        </xdr:cNvSpPr>
      </xdr:nvSpPr>
      <xdr:spPr bwMode="auto">
        <a:xfrm>
          <a:off x="25669875" y="4905375"/>
          <a:ext cx="0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609600</xdr:colOff>
      <xdr:row>26</xdr:row>
      <xdr:rowOff>0</xdr:rowOff>
    </xdr:from>
    <xdr:to>
      <xdr:col>18</xdr:col>
      <xdr:colOff>581025</xdr:colOff>
      <xdr:row>26</xdr:row>
      <xdr:rowOff>0</xdr:rowOff>
    </xdr:to>
    <xdr:sp macro="" textlink="">
      <xdr:nvSpPr>
        <xdr:cNvPr id="1667" name="Line 57"/>
        <xdr:cNvSpPr>
          <a:spLocks noChangeShapeType="1"/>
        </xdr:cNvSpPr>
      </xdr:nvSpPr>
      <xdr:spPr bwMode="auto">
        <a:xfrm flipH="1">
          <a:off x="25669875" y="49053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>
          <a:prstShdw prst="shdw17" dist="17961" dir="13500000">
            <a:srgbClr val="000000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123825</xdr:colOff>
          <xdr:row>42</xdr:row>
          <xdr:rowOff>0</xdr:rowOff>
        </xdr:from>
        <xdr:to>
          <xdr:col>16</xdr:col>
          <xdr:colOff>600075</xdr:colOff>
          <xdr:row>42</xdr:row>
          <xdr:rowOff>9525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v calc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257175</xdr:colOff>
      <xdr:row>6</xdr:row>
      <xdr:rowOff>152400</xdr:rowOff>
    </xdr:from>
    <xdr:to>
      <xdr:col>13</xdr:col>
      <xdr:colOff>885825</xdr:colOff>
      <xdr:row>38</xdr:row>
      <xdr:rowOff>133350</xdr:rowOff>
    </xdr:to>
    <xdr:pic>
      <xdr:nvPicPr>
        <xdr:cNvPr id="1668" name="Picture 6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228725"/>
          <a:ext cx="8467725" cy="621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0</xdr:colOff>
      <xdr:row>3</xdr:row>
      <xdr:rowOff>76200</xdr:rowOff>
    </xdr:from>
    <xdr:to>
      <xdr:col>43</xdr:col>
      <xdr:colOff>9525</xdr:colOff>
      <xdr:row>37</xdr:row>
      <xdr:rowOff>114300</xdr:rowOff>
    </xdr:to>
    <xdr:pic>
      <xdr:nvPicPr>
        <xdr:cNvPr id="1669" name="Picture 6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9525" y="628650"/>
          <a:ext cx="7010400" cy="6591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123825</xdr:colOff>
      <xdr:row>41</xdr:row>
      <xdr:rowOff>47625</xdr:rowOff>
    </xdr:from>
    <xdr:to>
      <xdr:col>43</xdr:col>
      <xdr:colOff>38100</xdr:colOff>
      <xdr:row>70</xdr:row>
      <xdr:rowOff>19050</xdr:rowOff>
    </xdr:to>
    <xdr:pic>
      <xdr:nvPicPr>
        <xdr:cNvPr id="1670" name="Picture 6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23350" y="8058150"/>
          <a:ext cx="6915150" cy="5562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75</xdr:row>
      <xdr:rowOff>133350</xdr:rowOff>
    </xdr:from>
    <xdr:to>
      <xdr:col>43</xdr:col>
      <xdr:colOff>85725</xdr:colOff>
      <xdr:row>108</xdr:row>
      <xdr:rowOff>142875</xdr:rowOff>
    </xdr:to>
    <xdr:pic>
      <xdr:nvPicPr>
        <xdr:cNvPr id="1671" name="Picture 6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9525" y="14573250"/>
          <a:ext cx="7086600" cy="5800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/Dropbox/StormTac/StormTac_k&#246;rfil/StormTac_201401_re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mtac"/>
      <sheetName val="Model"/>
      <sheetName val="Multiple areas"/>
      <sheetName val="Recipient model"/>
      <sheetName val="More results"/>
      <sheetName val="Diagrams to present"/>
      <sheetName val="Tables to present"/>
      <sheetName val="Data base standard conc."/>
      <sheetName val="Wet ponds"/>
      <sheetName val="Filter strips"/>
      <sheetName val="Ditches"/>
      <sheetName val="Det basin"/>
      <sheetName val="Wetlands"/>
      <sheetName val="Detention"/>
      <sheetName val="Ref tables"/>
      <sheetName val="Reduction efficiency"/>
      <sheetName val="RE-data base"/>
      <sheetName val="% dissolved"/>
      <sheetName val="Measurements"/>
      <sheetName val="Costs"/>
      <sheetName val="Vocabulary"/>
      <sheetName val="Uncertainty"/>
      <sheetName val="Sensitivity"/>
      <sheetName val="Green roofs"/>
      <sheetName val="Time trend analyses"/>
      <sheetName val="Modul3"/>
    </sheetNames>
    <definedNames>
      <definedName name="gotoarea"/>
      <definedName name="gotofi"/>
      <definedName name="velocit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31"/>
  <sheetViews>
    <sheetView tabSelected="1" topLeftCell="B1" zoomScale="80" zoomScaleNormal="80" workbookViewId="0">
      <selection activeCell="D14" sqref="D14"/>
    </sheetView>
  </sheetViews>
  <sheetFormatPr defaultColWidth="8.7109375" defaultRowHeight="12.75" x14ac:dyDescent="0.2"/>
  <cols>
    <col min="1" max="1" width="3.140625" style="57" customWidth="1"/>
    <col min="2" max="2" width="63.28515625" style="57" customWidth="1"/>
    <col min="3" max="3" width="23.42578125" style="57" customWidth="1"/>
    <col min="4" max="4" width="9.42578125" style="57" bestFit="1" customWidth="1"/>
    <col min="5" max="5" width="8.7109375" style="57"/>
    <col min="6" max="6" width="17.5703125" style="57" bestFit="1" customWidth="1"/>
    <col min="7" max="7" width="54.85546875" style="57" customWidth="1"/>
    <col min="8" max="9" width="35.85546875" style="57" customWidth="1"/>
    <col min="10" max="11" width="8.7109375" style="58"/>
    <col min="12" max="12" width="12.28515625" style="58" customWidth="1"/>
    <col min="13" max="14" width="16.140625" style="58" customWidth="1"/>
    <col min="15" max="15" width="4.140625" style="57" customWidth="1"/>
    <col min="16" max="16" width="28.85546875" style="57" customWidth="1"/>
    <col min="17" max="17" width="14.140625" style="57" bestFit="1" customWidth="1"/>
    <col min="18" max="18" width="15" style="57" customWidth="1"/>
    <col min="19" max="19" width="8.7109375" style="57"/>
    <col min="20" max="20" width="14.140625" style="57" customWidth="1"/>
    <col min="21" max="22" width="8.7109375" style="57"/>
    <col min="23" max="23" width="8.42578125" style="58" customWidth="1"/>
    <col min="24" max="24" width="7.28515625" style="57" customWidth="1"/>
    <col min="25" max="25" width="19.140625" style="57" bestFit="1" customWidth="1"/>
    <col min="26" max="26" width="16.85546875" style="57" bestFit="1" customWidth="1"/>
    <col min="27" max="27" width="10.28515625" style="57" bestFit="1" customWidth="1"/>
    <col min="28" max="28" width="9.7109375" style="57" bestFit="1" customWidth="1"/>
    <col min="29" max="31" width="8.7109375" style="57"/>
    <col min="32" max="32" width="9.140625" style="58" customWidth="1"/>
    <col min="33" max="16384" width="8.7109375" style="57"/>
  </cols>
  <sheetData>
    <row r="1" spans="1:47" s="144" customFormat="1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</row>
    <row r="2" spans="1:47" ht="18" x14ac:dyDescent="0.25">
      <c r="A2" s="54"/>
      <c r="B2" s="34" t="s">
        <v>305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6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</row>
    <row r="3" spans="1:47" x14ac:dyDescent="0.2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</row>
    <row r="4" spans="1:47" x14ac:dyDescent="0.2">
      <c r="A4" s="56"/>
      <c r="O4" s="56"/>
      <c r="X4" s="58"/>
      <c r="AA4" s="58"/>
      <c r="AC4" s="58"/>
      <c r="AE4" s="56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</row>
    <row r="5" spans="1:47" ht="15.75" x14ac:dyDescent="0.25">
      <c r="A5" s="56"/>
      <c r="B5" s="20" t="s">
        <v>129</v>
      </c>
      <c r="O5" s="56"/>
      <c r="P5" s="20" t="s">
        <v>250</v>
      </c>
      <c r="X5" s="58"/>
      <c r="AA5" s="58"/>
      <c r="AC5" s="58"/>
      <c r="AE5" s="56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x14ac:dyDescent="0.2">
      <c r="A6" s="56"/>
      <c r="O6" s="56"/>
      <c r="X6" s="58"/>
      <c r="AA6" s="58"/>
      <c r="AC6" s="58"/>
      <c r="AE6" s="56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2">
      <c r="A7" s="56"/>
      <c r="O7" s="56"/>
      <c r="X7" s="58"/>
      <c r="AA7" s="58"/>
      <c r="AC7" s="58"/>
      <c r="AE7" s="56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47" x14ac:dyDescent="0.2">
      <c r="A8" s="56"/>
      <c r="B8" s="1" t="s">
        <v>16</v>
      </c>
      <c r="C8" s="32" t="s">
        <v>24</v>
      </c>
      <c r="D8" s="33" t="s">
        <v>7</v>
      </c>
      <c r="E8" s="17" t="s">
        <v>8</v>
      </c>
      <c r="F8" s="17" t="s">
        <v>25</v>
      </c>
      <c r="G8" s="59"/>
      <c r="H8" s="60"/>
      <c r="I8" s="60"/>
      <c r="J8" s="60"/>
      <c r="K8" s="60"/>
      <c r="L8" s="60"/>
      <c r="M8" s="60"/>
      <c r="N8" s="60"/>
      <c r="O8" s="61"/>
      <c r="P8" s="1" t="s">
        <v>16</v>
      </c>
      <c r="Q8" s="1" t="s">
        <v>24</v>
      </c>
      <c r="R8" s="17" t="s">
        <v>7</v>
      </c>
      <c r="S8" s="17" t="s">
        <v>8</v>
      </c>
      <c r="T8" s="17" t="s">
        <v>25</v>
      </c>
      <c r="X8" s="58"/>
      <c r="Y8" s="1" t="s">
        <v>227</v>
      </c>
      <c r="Z8" s="1"/>
      <c r="AA8" s="62"/>
      <c r="AB8" s="1"/>
      <c r="AC8" s="58"/>
      <c r="AE8" s="56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 spans="1:47" x14ac:dyDescent="0.2">
      <c r="A9" s="56"/>
      <c r="H9" s="63"/>
      <c r="I9" s="63"/>
      <c r="J9" s="63"/>
      <c r="K9" s="63"/>
      <c r="L9" s="63"/>
      <c r="M9" s="63"/>
      <c r="N9" s="63"/>
      <c r="O9" s="56"/>
      <c r="X9" s="58"/>
      <c r="Y9" s="1"/>
      <c r="Z9" s="1"/>
      <c r="AA9" s="62"/>
      <c r="AB9" s="1"/>
      <c r="AC9" s="58"/>
      <c r="AE9" s="56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</row>
    <row r="10" spans="1:47" ht="13.5" thickBot="1" x14ac:dyDescent="0.25">
      <c r="A10" s="56"/>
      <c r="B10" s="1" t="s">
        <v>13</v>
      </c>
      <c r="H10" s="63"/>
      <c r="I10" s="63"/>
      <c r="J10" s="63"/>
      <c r="K10" s="63"/>
      <c r="L10" s="63"/>
      <c r="M10" s="63"/>
      <c r="N10" s="63"/>
      <c r="O10" s="56"/>
      <c r="P10" s="1" t="s">
        <v>13</v>
      </c>
      <c r="X10" s="58"/>
      <c r="Y10" s="1" t="s">
        <v>224</v>
      </c>
      <c r="Z10" s="1" t="s">
        <v>223</v>
      </c>
      <c r="AA10" s="62" t="s">
        <v>225</v>
      </c>
      <c r="AB10" s="62" t="s">
        <v>226</v>
      </c>
      <c r="AC10" s="58"/>
      <c r="AE10" s="56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</row>
    <row r="11" spans="1:47" ht="16.5" thickBot="1" x14ac:dyDescent="0.35">
      <c r="A11" s="56"/>
      <c r="B11" s="57" t="s">
        <v>17</v>
      </c>
      <c r="C11" s="64" t="s">
        <v>10</v>
      </c>
      <c r="D11" s="65">
        <v>1000</v>
      </c>
      <c r="E11" s="59" t="s">
        <v>15</v>
      </c>
      <c r="G11" s="66"/>
      <c r="H11" s="60"/>
      <c r="I11" s="60"/>
      <c r="J11" s="60"/>
      <c r="K11" s="60"/>
      <c r="L11" s="60"/>
      <c r="M11" s="60"/>
      <c r="N11" s="60"/>
      <c r="O11" s="61"/>
      <c r="P11" s="57" t="s">
        <v>42</v>
      </c>
      <c r="Q11" s="64" t="s">
        <v>107</v>
      </c>
      <c r="R11" s="147">
        <v>2.5</v>
      </c>
      <c r="S11" s="59" t="s">
        <v>43</v>
      </c>
      <c r="T11" s="59" t="s">
        <v>308</v>
      </c>
      <c r="U11" s="66"/>
      <c r="V11" s="59"/>
      <c r="X11" s="58"/>
      <c r="Y11" s="23"/>
      <c r="Z11" s="23"/>
      <c r="AA11" s="41"/>
      <c r="AB11" s="23"/>
      <c r="AC11" s="58"/>
      <c r="AE11" s="56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</row>
    <row r="12" spans="1:47" ht="16.5" thickBot="1" x14ac:dyDescent="0.35">
      <c r="A12" s="56"/>
      <c r="B12" s="23" t="s">
        <v>47</v>
      </c>
      <c r="C12" s="67" t="s">
        <v>139</v>
      </c>
      <c r="D12" s="65">
        <v>2</v>
      </c>
      <c r="F12" s="57" t="s">
        <v>48</v>
      </c>
      <c r="G12" s="66"/>
      <c r="H12" s="60"/>
      <c r="I12" s="60"/>
      <c r="J12" s="60"/>
      <c r="K12" s="60"/>
      <c r="L12" s="60"/>
      <c r="M12" s="60"/>
      <c r="N12" s="60"/>
      <c r="O12" s="61"/>
      <c r="P12" s="57" t="s">
        <v>37</v>
      </c>
      <c r="Q12" s="10" t="s">
        <v>84</v>
      </c>
      <c r="R12" s="68">
        <v>1</v>
      </c>
      <c r="S12" s="59" t="s">
        <v>39</v>
      </c>
      <c r="T12" s="59" t="s">
        <v>38</v>
      </c>
      <c r="U12" s="66"/>
      <c r="V12" s="59"/>
      <c r="X12" s="58"/>
      <c r="Y12" s="23"/>
      <c r="Z12" s="23"/>
      <c r="AA12" s="41"/>
      <c r="AB12" s="23"/>
      <c r="AC12" s="58"/>
      <c r="AE12" s="56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</row>
    <row r="13" spans="1:47" ht="16.5" thickBot="1" x14ac:dyDescent="0.35">
      <c r="A13" s="56"/>
      <c r="B13" s="57" t="s">
        <v>172</v>
      </c>
      <c r="C13" s="10" t="s">
        <v>86</v>
      </c>
      <c r="D13" s="68">
        <v>0</v>
      </c>
      <c r="E13" s="59" t="s">
        <v>39</v>
      </c>
      <c r="F13" s="45" t="s">
        <v>251</v>
      </c>
      <c r="G13" s="59"/>
      <c r="H13" s="60"/>
      <c r="I13" s="60"/>
      <c r="J13" s="60"/>
      <c r="K13" s="60"/>
      <c r="L13" s="60"/>
      <c r="M13" s="60"/>
      <c r="N13" s="60"/>
      <c r="O13" s="61"/>
      <c r="P13" s="57" t="s">
        <v>78</v>
      </c>
      <c r="Q13" s="64" t="s">
        <v>177</v>
      </c>
      <c r="R13" s="36">
        <v>250</v>
      </c>
      <c r="S13" s="59" t="s">
        <v>56</v>
      </c>
      <c r="T13" s="44" t="s">
        <v>289</v>
      </c>
      <c r="U13" s="59"/>
      <c r="V13" s="59"/>
      <c r="X13" s="58"/>
      <c r="Y13" s="10">
        <v>250</v>
      </c>
      <c r="Z13" s="10">
        <v>250</v>
      </c>
      <c r="AA13" s="69">
        <v>300</v>
      </c>
      <c r="AB13" s="69">
        <v>400</v>
      </c>
      <c r="AC13" s="58"/>
      <c r="AE13" s="56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</row>
    <row r="14" spans="1:47" ht="15.75" x14ac:dyDescent="0.3">
      <c r="A14" s="56"/>
      <c r="B14" s="57" t="s">
        <v>61</v>
      </c>
      <c r="C14" s="64" t="s">
        <v>65</v>
      </c>
      <c r="D14" s="26">
        <v>100</v>
      </c>
      <c r="E14" s="70" t="s">
        <v>56</v>
      </c>
      <c r="F14" s="70" t="s">
        <v>166</v>
      </c>
      <c r="G14" s="2"/>
      <c r="H14" s="71"/>
      <c r="I14" s="71"/>
      <c r="J14" s="60"/>
      <c r="K14" s="60"/>
      <c r="L14" s="60"/>
      <c r="M14" s="60"/>
      <c r="N14" s="60"/>
      <c r="O14" s="61"/>
      <c r="P14" s="57" t="s">
        <v>79</v>
      </c>
      <c r="Q14" s="64" t="s">
        <v>87</v>
      </c>
      <c r="R14" s="26">
        <v>450</v>
      </c>
      <c r="S14" s="59" t="s">
        <v>56</v>
      </c>
      <c r="T14" s="72" t="s">
        <v>92</v>
      </c>
      <c r="U14" s="59"/>
      <c r="V14" s="59"/>
      <c r="X14" s="58"/>
      <c r="Y14" s="10">
        <v>450</v>
      </c>
      <c r="Z14" s="10">
        <v>1000</v>
      </c>
      <c r="AA14" s="69">
        <v>450</v>
      </c>
      <c r="AB14" s="69">
        <v>0</v>
      </c>
      <c r="AC14" s="58"/>
      <c r="AE14" s="56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ht="15.75" x14ac:dyDescent="0.3">
      <c r="A15" s="56"/>
      <c r="B15" s="41" t="s">
        <v>230</v>
      </c>
      <c r="C15" s="64" t="s">
        <v>66</v>
      </c>
      <c r="D15" s="26">
        <v>30</v>
      </c>
      <c r="E15" s="70" t="s">
        <v>56</v>
      </c>
      <c r="F15" s="70">
        <v>30</v>
      </c>
      <c r="G15" s="2"/>
      <c r="H15" s="71"/>
      <c r="I15" s="71"/>
      <c r="J15" s="60"/>
      <c r="K15" s="60"/>
      <c r="L15" s="60"/>
      <c r="M15" s="60"/>
      <c r="N15" s="60"/>
      <c r="O15" s="61"/>
      <c r="P15" s="57" t="s">
        <v>80</v>
      </c>
      <c r="Q15" s="64" t="s">
        <v>88</v>
      </c>
      <c r="R15" s="26">
        <v>100</v>
      </c>
      <c r="S15" s="59" t="s">
        <v>56</v>
      </c>
      <c r="T15" s="72" t="s">
        <v>93</v>
      </c>
      <c r="V15" s="59"/>
      <c r="X15" s="58"/>
      <c r="Y15" s="10">
        <v>100</v>
      </c>
      <c r="Z15" s="10">
        <v>100</v>
      </c>
      <c r="AA15" s="69">
        <v>0</v>
      </c>
      <c r="AB15" s="69">
        <v>0</v>
      </c>
      <c r="AC15" s="58"/>
      <c r="AE15" s="56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 spans="1:47" ht="15.75" x14ac:dyDescent="0.3">
      <c r="A16" s="56"/>
      <c r="B16" s="58" t="s">
        <v>62</v>
      </c>
      <c r="C16" s="64" t="s">
        <v>67</v>
      </c>
      <c r="D16" s="26">
        <v>150</v>
      </c>
      <c r="E16" s="70" t="s">
        <v>56</v>
      </c>
      <c r="F16" s="58" t="s">
        <v>59</v>
      </c>
      <c r="G16" s="2"/>
      <c r="H16" s="71"/>
      <c r="I16" s="71"/>
      <c r="J16" s="60"/>
      <c r="K16" s="60"/>
      <c r="L16" s="60"/>
      <c r="M16" s="60"/>
      <c r="N16" s="60"/>
      <c r="O16" s="61"/>
      <c r="P16" s="23" t="s">
        <v>220</v>
      </c>
      <c r="Q16" s="64" t="s">
        <v>89</v>
      </c>
      <c r="R16" s="26">
        <v>350</v>
      </c>
      <c r="S16" s="59" t="s">
        <v>56</v>
      </c>
      <c r="T16" s="44" t="s">
        <v>221</v>
      </c>
      <c r="V16" s="59"/>
      <c r="X16" s="58"/>
      <c r="Y16" s="10">
        <v>350</v>
      </c>
      <c r="Z16" s="10">
        <v>350</v>
      </c>
      <c r="AA16" s="69">
        <v>0</v>
      </c>
      <c r="AB16" s="69">
        <v>0</v>
      </c>
      <c r="AC16" s="58"/>
      <c r="AE16" s="56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 spans="1:47" ht="15.75" x14ac:dyDescent="0.3">
      <c r="A17" s="56"/>
      <c r="B17" s="58" t="s">
        <v>63</v>
      </c>
      <c r="C17" s="64" t="s">
        <v>68</v>
      </c>
      <c r="D17" s="26">
        <v>350</v>
      </c>
      <c r="E17" s="70" t="s">
        <v>56</v>
      </c>
      <c r="F17" s="58" t="s">
        <v>60</v>
      </c>
      <c r="G17" s="2"/>
      <c r="H17" s="71"/>
      <c r="I17" s="71"/>
      <c r="J17" s="63"/>
      <c r="K17" s="63"/>
      <c r="L17" s="63"/>
      <c r="M17" s="63"/>
      <c r="N17" s="63"/>
      <c r="O17" s="56"/>
      <c r="P17" s="23" t="s">
        <v>81</v>
      </c>
      <c r="Q17" s="64" t="s">
        <v>90</v>
      </c>
      <c r="R17" s="26">
        <v>0</v>
      </c>
      <c r="S17" s="59" t="s">
        <v>56</v>
      </c>
      <c r="T17" s="44">
        <v>0</v>
      </c>
      <c r="V17" s="58"/>
      <c r="X17" s="58"/>
      <c r="Y17" s="10">
        <v>0</v>
      </c>
      <c r="Z17" s="10">
        <v>0</v>
      </c>
      <c r="AA17" s="69">
        <v>0</v>
      </c>
      <c r="AB17" s="69">
        <v>500</v>
      </c>
      <c r="AC17" s="58"/>
      <c r="AE17" s="56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 spans="1:47" ht="15.75" x14ac:dyDescent="0.3">
      <c r="A18" s="56"/>
      <c r="B18" s="58" t="s">
        <v>64</v>
      </c>
      <c r="C18" s="64" t="s">
        <v>69</v>
      </c>
      <c r="D18" s="26">
        <v>1000</v>
      </c>
      <c r="E18" s="70" t="s">
        <v>56</v>
      </c>
      <c r="F18" s="58" t="s">
        <v>174</v>
      </c>
      <c r="G18" s="2"/>
      <c r="H18" s="71"/>
      <c r="I18" s="71"/>
      <c r="J18" s="63"/>
      <c r="K18" s="63"/>
      <c r="L18" s="63"/>
      <c r="M18" s="63"/>
      <c r="N18" s="63"/>
      <c r="O18" s="56"/>
      <c r="P18" s="23" t="s">
        <v>82</v>
      </c>
      <c r="Q18" s="64" t="s">
        <v>91</v>
      </c>
      <c r="R18" s="26">
        <v>0</v>
      </c>
      <c r="S18" s="59" t="s">
        <v>56</v>
      </c>
      <c r="T18" s="44">
        <v>0</v>
      </c>
      <c r="V18" s="58"/>
      <c r="X18" s="58"/>
      <c r="Y18" s="10">
        <v>0</v>
      </c>
      <c r="Z18" s="10">
        <v>0</v>
      </c>
      <c r="AA18" s="69">
        <v>0</v>
      </c>
      <c r="AB18" s="69">
        <v>0</v>
      </c>
      <c r="AC18" s="58"/>
      <c r="AE18" s="56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 spans="1:47" ht="15.75" x14ac:dyDescent="0.3">
      <c r="A19" s="56"/>
      <c r="B19" s="58" t="s">
        <v>176</v>
      </c>
      <c r="C19" s="10" t="s">
        <v>252</v>
      </c>
      <c r="D19" s="73">
        <v>0</v>
      </c>
      <c r="E19" s="70" t="s">
        <v>56</v>
      </c>
      <c r="F19" s="41" t="s">
        <v>219</v>
      </c>
      <c r="H19" s="74"/>
      <c r="I19" s="74"/>
      <c r="J19" s="63"/>
      <c r="K19" s="63"/>
      <c r="L19" s="63"/>
      <c r="M19" s="63"/>
      <c r="N19" s="63"/>
      <c r="O19" s="56"/>
      <c r="P19" s="57" t="s">
        <v>83</v>
      </c>
      <c r="Q19" s="64" t="s">
        <v>135</v>
      </c>
      <c r="R19" s="26">
        <v>0</v>
      </c>
      <c r="S19" s="59" t="s">
        <v>56</v>
      </c>
      <c r="T19" s="75">
        <v>0</v>
      </c>
      <c r="V19" s="58"/>
      <c r="X19" s="58"/>
      <c r="Y19" s="10">
        <v>0</v>
      </c>
      <c r="Z19" s="10">
        <v>0</v>
      </c>
      <c r="AA19" s="69">
        <v>0</v>
      </c>
      <c r="AB19" s="69">
        <v>0</v>
      </c>
      <c r="AC19" s="58"/>
      <c r="AE19" s="56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</row>
    <row r="20" spans="1:47" ht="15.75" x14ac:dyDescent="0.3">
      <c r="A20" s="56"/>
      <c r="H20" s="63"/>
      <c r="I20" s="63"/>
      <c r="J20" s="63"/>
      <c r="K20" s="63"/>
      <c r="L20" s="63"/>
      <c r="M20" s="63"/>
      <c r="N20" s="63"/>
      <c r="O20" s="56"/>
      <c r="P20" s="58" t="s">
        <v>64</v>
      </c>
      <c r="Q20" s="64" t="s">
        <v>178</v>
      </c>
      <c r="R20" s="26">
        <v>1000</v>
      </c>
      <c r="S20" s="70" t="s">
        <v>56</v>
      </c>
      <c r="T20" s="58" t="s">
        <v>175</v>
      </c>
      <c r="V20" s="58"/>
      <c r="X20" s="58"/>
      <c r="AA20" s="58"/>
      <c r="AC20" s="58"/>
      <c r="AE20" s="56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 spans="1:47" ht="16.5" thickBot="1" x14ac:dyDescent="0.35">
      <c r="A21" s="56"/>
      <c r="H21" s="63"/>
      <c r="I21" s="63"/>
      <c r="J21" s="63"/>
      <c r="K21" s="63"/>
      <c r="L21" s="63"/>
      <c r="M21" s="63"/>
      <c r="N21" s="63"/>
      <c r="O21" s="56"/>
      <c r="P21" s="58" t="s">
        <v>179</v>
      </c>
      <c r="Q21" s="64" t="s">
        <v>206</v>
      </c>
      <c r="R21" s="26">
        <v>150</v>
      </c>
      <c r="S21" s="70" t="s">
        <v>56</v>
      </c>
      <c r="T21" s="58" t="s">
        <v>180</v>
      </c>
      <c r="X21" s="58"/>
      <c r="AA21" s="58"/>
      <c r="AC21" s="58"/>
      <c r="AE21" s="56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 spans="1:47" ht="16.5" thickBot="1" x14ac:dyDescent="0.35">
      <c r="A22" s="56"/>
      <c r="H22" s="63"/>
      <c r="I22" s="63"/>
      <c r="J22" s="63"/>
      <c r="K22" s="63"/>
      <c r="L22" s="63"/>
      <c r="M22" s="63"/>
      <c r="N22" s="63"/>
      <c r="O22" s="56"/>
      <c r="P22" s="58" t="s">
        <v>208</v>
      </c>
      <c r="Q22" s="64" t="s">
        <v>290</v>
      </c>
      <c r="R22" s="36">
        <v>200</v>
      </c>
      <c r="S22" s="76" t="s">
        <v>56</v>
      </c>
      <c r="T22" s="77" t="s">
        <v>283</v>
      </c>
      <c r="X22" s="58"/>
      <c r="AA22" s="58"/>
      <c r="AC22" s="58"/>
      <c r="AE22" s="56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 spans="1:47" x14ac:dyDescent="0.2">
      <c r="A23" s="56"/>
      <c r="H23" s="63"/>
      <c r="I23" s="63"/>
      <c r="J23" s="63"/>
      <c r="K23" s="63"/>
      <c r="L23" s="63"/>
      <c r="M23" s="63"/>
      <c r="N23" s="63"/>
      <c r="O23" s="56"/>
      <c r="P23" s="58" t="s">
        <v>155</v>
      </c>
      <c r="R23" s="65" t="s">
        <v>156</v>
      </c>
      <c r="T23" s="57" t="s">
        <v>157</v>
      </c>
      <c r="X23" s="58"/>
      <c r="AA23" s="58"/>
      <c r="AC23" s="58"/>
      <c r="AE23" s="56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 spans="1:47" x14ac:dyDescent="0.2">
      <c r="A24" s="56"/>
      <c r="B24" s="12" t="s">
        <v>54</v>
      </c>
      <c r="D24" s="78"/>
      <c r="E24" s="59"/>
      <c r="F24" s="59"/>
      <c r="G24" s="59"/>
      <c r="H24" s="60"/>
      <c r="I24" s="60"/>
      <c r="J24" s="63"/>
      <c r="K24" s="63"/>
      <c r="L24" s="63"/>
      <c r="M24" s="63"/>
      <c r="N24" s="63"/>
      <c r="O24" s="56"/>
      <c r="P24" s="12" t="s">
        <v>54</v>
      </c>
      <c r="V24" s="58"/>
      <c r="X24" s="58"/>
      <c r="AA24" s="58"/>
      <c r="AC24" s="58"/>
      <c r="AE24" s="56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 spans="1:47" ht="15.75" x14ac:dyDescent="0.3">
      <c r="A25" s="56"/>
      <c r="B25" s="41" t="s">
        <v>162</v>
      </c>
      <c r="C25" s="69" t="s">
        <v>73</v>
      </c>
      <c r="D25" s="2">
        <v>0.25</v>
      </c>
      <c r="E25" s="97"/>
      <c r="F25" s="40" t="s">
        <v>163</v>
      </c>
      <c r="G25" s="57" t="s">
        <v>280</v>
      </c>
      <c r="H25" s="63"/>
      <c r="I25" s="63"/>
      <c r="J25" s="63"/>
      <c r="K25" s="63"/>
      <c r="L25" s="63"/>
      <c r="M25" s="63"/>
      <c r="N25" s="63"/>
      <c r="O25" s="56"/>
      <c r="P25" s="57" t="s">
        <v>94</v>
      </c>
      <c r="Q25" s="64" t="s">
        <v>100</v>
      </c>
      <c r="R25" s="2">
        <v>1</v>
      </c>
      <c r="S25" s="58"/>
      <c r="T25" s="28">
        <v>1</v>
      </c>
      <c r="U25" s="59"/>
      <c r="V25" s="58"/>
      <c r="X25" s="58"/>
      <c r="AA25" s="58"/>
      <c r="AC25" s="58"/>
      <c r="AE25" s="56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 spans="1:47" ht="15.75" x14ac:dyDescent="0.3">
      <c r="A26" s="56"/>
      <c r="B26" s="41" t="s">
        <v>217</v>
      </c>
      <c r="C26" s="69" t="s">
        <v>74</v>
      </c>
      <c r="D26" s="2">
        <v>0.2</v>
      </c>
      <c r="E26" s="97"/>
      <c r="F26" s="28">
        <v>0.2</v>
      </c>
      <c r="G26" s="57" t="s">
        <v>280</v>
      </c>
      <c r="H26" s="63"/>
      <c r="I26" s="63"/>
      <c r="J26" s="63"/>
      <c r="K26" s="63"/>
      <c r="L26" s="63"/>
      <c r="M26" s="63"/>
      <c r="N26" s="63"/>
      <c r="O26" s="56"/>
      <c r="P26" s="57" t="s">
        <v>95</v>
      </c>
      <c r="Q26" s="64" t="s">
        <v>101</v>
      </c>
      <c r="R26" s="2">
        <v>0.25</v>
      </c>
      <c r="S26" s="39"/>
      <c r="T26" s="28">
        <v>0.25</v>
      </c>
      <c r="U26" s="59"/>
      <c r="V26" s="58"/>
      <c r="X26" s="58"/>
      <c r="AA26" s="58"/>
      <c r="AC26" s="58"/>
      <c r="AE26" s="56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  <row r="27" spans="1:47" ht="15.75" x14ac:dyDescent="0.3">
      <c r="A27" s="56"/>
      <c r="B27" s="41" t="s">
        <v>70</v>
      </c>
      <c r="C27" s="69" t="s">
        <v>75</v>
      </c>
      <c r="D27" s="2">
        <v>0.3</v>
      </c>
      <c r="E27" s="97"/>
      <c r="F27" s="28">
        <v>0.32</v>
      </c>
      <c r="G27" s="57" t="s">
        <v>280</v>
      </c>
      <c r="H27" s="63"/>
      <c r="I27" s="63"/>
      <c r="J27" s="63"/>
      <c r="K27" s="63"/>
      <c r="L27" s="63"/>
      <c r="M27" s="63"/>
      <c r="N27" s="63"/>
      <c r="O27" s="56"/>
      <c r="P27" s="57" t="s">
        <v>96</v>
      </c>
      <c r="Q27" s="64" t="s">
        <v>102</v>
      </c>
      <c r="R27" s="2">
        <v>0.25</v>
      </c>
      <c r="S27" s="39"/>
      <c r="T27" s="28">
        <v>0.25</v>
      </c>
      <c r="U27" s="58"/>
      <c r="V27" s="58"/>
      <c r="X27" s="58"/>
      <c r="AA27" s="58"/>
      <c r="AC27" s="58"/>
      <c r="AE27" s="56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</row>
    <row r="28" spans="1:47" ht="15.75" x14ac:dyDescent="0.3">
      <c r="A28" s="56"/>
      <c r="B28" s="41" t="s">
        <v>71</v>
      </c>
      <c r="C28" s="69" t="s">
        <v>76</v>
      </c>
      <c r="D28" s="2">
        <v>0.32</v>
      </c>
      <c r="E28" s="97"/>
      <c r="F28" s="28">
        <v>0.3</v>
      </c>
      <c r="H28" s="63"/>
      <c r="I28" s="63"/>
      <c r="J28" s="63"/>
      <c r="K28" s="63"/>
      <c r="L28" s="63"/>
      <c r="M28" s="63"/>
      <c r="N28" s="63"/>
      <c r="O28" s="56"/>
      <c r="P28" s="23" t="s">
        <v>222</v>
      </c>
      <c r="Q28" s="64" t="s">
        <v>103</v>
      </c>
      <c r="R28" s="2">
        <v>0.31</v>
      </c>
      <c r="S28" s="39"/>
      <c r="T28" s="28">
        <v>0.31</v>
      </c>
      <c r="U28" s="58"/>
      <c r="V28" s="58"/>
      <c r="X28" s="58"/>
      <c r="AA28" s="58"/>
      <c r="AC28" s="58"/>
      <c r="AE28" s="56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</row>
    <row r="29" spans="1:47" ht="15.75" x14ac:dyDescent="0.3">
      <c r="A29" s="56"/>
      <c r="B29" s="41" t="s">
        <v>72</v>
      </c>
      <c r="C29" s="69" t="s">
        <v>77</v>
      </c>
      <c r="D29" s="42">
        <v>0.05</v>
      </c>
      <c r="E29" s="97"/>
      <c r="F29" s="40">
        <v>0.05</v>
      </c>
      <c r="H29" s="63"/>
      <c r="I29" s="63"/>
      <c r="J29" s="63"/>
      <c r="K29" s="63"/>
      <c r="L29" s="63"/>
      <c r="M29" s="63"/>
      <c r="N29" s="63"/>
      <c r="O29" s="56"/>
      <c r="P29" s="57" t="s">
        <v>97</v>
      </c>
      <c r="Q29" s="64" t="s">
        <v>104</v>
      </c>
      <c r="R29" s="2">
        <v>0.32</v>
      </c>
      <c r="S29" s="39"/>
      <c r="T29" s="28">
        <v>0.32</v>
      </c>
      <c r="U29" s="58"/>
      <c r="V29" s="58"/>
      <c r="X29" s="58"/>
      <c r="AA29" s="58"/>
      <c r="AC29" s="58"/>
      <c r="AE29" s="56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</row>
    <row r="30" spans="1:47" ht="15.75" x14ac:dyDescent="0.3">
      <c r="A30" s="56"/>
      <c r="B30" s="41" t="s">
        <v>114</v>
      </c>
      <c r="C30" s="69" t="s">
        <v>85</v>
      </c>
      <c r="D30" s="5">
        <v>200</v>
      </c>
      <c r="E30" s="97" t="s">
        <v>132</v>
      </c>
      <c r="F30" s="140" t="s">
        <v>134</v>
      </c>
      <c r="H30" s="63"/>
      <c r="I30" s="63"/>
      <c r="J30" s="63"/>
      <c r="K30" s="63"/>
      <c r="L30" s="63"/>
      <c r="M30" s="63"/>
      <c r="N30" s="63"/>
      <c r="O30" s="56"/>
      <c r="P30" s="57" t="s">
        <v>98</v>
      </c>
      <c r="Q30" s="64" t="s">
        <v>105</v>
      </c>
      <c r="R30" s="2">
        <v>0.33</v>
      </c>
      <c r="S30" s="39"/>
      <c r="T30" s="28">
        <v>0.33</v>
      </c>
      <c r="U30" s="58"/>
      <c r="V30" s="58"/>
      <c r="X30" s="58"/>
      <c r="AA30" s="58"/>
      <c r="AC30" s="58"/>
      <c r="AE30" s="56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</row>
    <row r="31" spans="1:47" ht="15.75" x14ac:dyDescent="0.3">
      <c r="A31" s="56"/>
      <c r="B31" s="41" t="s">
        <v>218</v>
      </c>
      <c r="C31" s="69" t="s">
        <v>118</v>
      </c>
      <c r="D31" s="5">
        <v>370</v>
      </c>
      <c r="E31" s="97" t="s">
        <v>132</v>
      </c>
      <c r="F31" s="140">
        <v>370</v>
      </c>
      <c r="G31" s="57" t="s">
        <v>280</v>
      </c>
      <c r="H31" s="63"/>
      <c r="I31" s="63"/>
      <c r="J31" s="63"/>
      <c r="K31" s="63"/>
      <c r="L31" s="63"/>
      <c r="M31" s="63"/>
      <c r="N31" s="63"/>
      <c r="O31" s="56"/>
      <c r="P31" s="57" t="s">
        <v>99</v>
      </c>
      <c r="Q31" s="64" t="s">
        <v>106</v>
      </c>
      <c r="R31" s="2">
        <v>0.12</v>
      </c>
      <c r="S31" s="39"/>
      <c r="T31" s="28">
        <v>0.12</v>
      </c>
      <c r="U31" s="58"/>
      <c r="X31" s="58"/>
      <c r="AA31" s="58"/>
      <c r="AC31" s="58"/>
      <c r="AE31" s="56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 ht="15.75" x14ac:dyDescent="0.3">
      <c r="A32" s="56"/>
      <c r="B32" s="41" t="s">
        <v>115</v>
      </c>
      <c r="C32" s="69" t="s">
        <v>119</v>
      </c>
      <c r="D32" s="5">
        <v>3600</v>
      </c>
      <c r="E32" s="97" t="s">
        <v>132</v>
      </c>
      <c r="F32" s="140">
        <v>3600</v>
      </c>
      <c r="G32" s="57" t="s">
        <v>280</v>
      </c>
      <c r="H32" s="63"/>
      <c r="I32" s="63"/>
      <c r="J32" s="63"/>
      <c r="K32" s="63"/>
      <c r="L32" s="63"/>
      <c r="M32" s="63"/>
      <c r="N32" s="63"/>
      <c r="O32" s="56"/>
      <c r="P32" s="57" t="s">
        <v>108</v>
      </c>
      <c r="Q32" s="64" t="s">
        <v>122</v>
      </c>
      <c r="R32" s="142">
        <v>200</v>
      </c>
      <c r="S32" s="39" t="s">
        <v>132</v>
      </c>
      <c r="T32" s="141" t="s">
        <v>306</v>
      </c>
      <c r="X32" s="58"/>
      <c r="AA32" s="58"/>
      <c r="AC32" s="58"/>
      <c r="AE32" s="56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</row>
    <row r="33" spans="1:47" ht="15.75" x14ac:dyDescent="0.3">
      <c r="A33" s="56"/>
      <c r="B33" s="41" t="s">
        <v>116</v>
      </c>
      <c r="C33" s="10" t="s">
        <v>120</v>
      </c>
      <c r="D33" s="5">
        <v>3600</v>
      </c>
      <c r="E33" s="39" t="s">
        <v>132</v>
      </c>
      <c r="F33" s="43">
        <v>3600</v>
      </c>
      <c r="H33" s="63"/>
      <c r="I33" s="63"/>
      <c r="J33" s="63"/>
      <c r="K33" s="63"/>
      <c r="L33" s="63"/>
      <c r="M33" s="63"/>
      <c r="N33" s="63"/>
      <c r="O33" s="56"/>
      <c r="P33" s="57" t="s">
        <v>109</v>
      </c>
      <c r="Q33" s="64" t="s">
        <v>123</v>
      </c>
      <c r="R33" s="142">
        <v>3600</v>
      </c>
      <c r="S33" s="39" t="s">
        <v>132</v>
      </c>
      <c r="T33" s="141" t="s">
        <v>307</v>
      </c>
      <c r="X33" s="58"/>
      <c r="AA33" s="58"/>
      <c r="AC33" s="58"/>
      <c r="AE33" s="56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</row>
    <row r="34" spans="1:47" ht="15.75" x14ac:dyDescent="0.3">
      <c r="A34" s="56"/>
      <c r="B34" s="41" t="s">
        <v>117</v>
      </c>
      <c r="C34" s="10" t="s">
        <v>121</v>
      </c>
      <c r="D34" s="5">
        <v>8</v>
      </c>
      <c r="E34" s="39" t="s">
        <v>132</v>
      </c>
      <c r="F34" s="77" t="s">
        <v>151</v>
      </c>
      <c r="H34" s="63"/>
      <c r="I34" s="63"/>
      <c r="J34" s="63"/>
      <c r="K34" s="63"/>
      <c r="L34" s="63"/>
      <c r="M34" s="63"/>
      <c r="N34" s="63"/>
      <c r="O34" s="56"/>
      <c r="P34" s="57" t="s">
        <v>291</v>
      </c>
      <c r="Q34" s="64" t="s">
        <v>124</v>
      </c>
      <c r="R34" s="142">
        <v>36000</v>
      </c>
      <c r="S34" s="39" t="s">
        <v>132</v>
      </c>
      <c r="T34" s="141">
        <v>36000</v>
      </c>
      <c r="X34" s="58"/>
      <c r="AA34" s="58"/>
      <c r="AC34" s="58"/>
      <c r="AE34" s="56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</row>
    <row r="35" spans="1:47" ht="15.75" x14ac:dyDescent="0.3">
      <c r="A35" s="56"/>
      <c r="B35" s="57" t="s">
        <v>18</v>
      </c>
      <c r="C35" s="79" t="s">
        <v>12</v>
      </c>
      <c r="D35" s="80">
        <f>2/3</f>
        <v>0.66666666666666663</v>
      </c>
      <c r="E35" s="58"/>
      <c r="F35" s="58" t="s">
        <v>130</v>
      </c>
      <c r="G35" s="59"/>
      <c r="H35" s="63"/>
      <c r="I35" s="63"/>
      <c r="J35" s="63"/>
      <c r="K35" s="63"/>
      <c r="L35" s="63"/>
      <c r="M35" s="63"/>
      <c r="N35" s="63"/>
      <c r="O35" s="56"/>
      <c r="P35" s="57" t="s">
        <v>111</v>
      </c>
      <c r="Q35" s="64" t="s">
        <v>125</v>
      </c>
      <c r="R35" s="142">
        <v>36000</v>
      </c>
      <c r="S35" s="39" t="s">
        <v>132</v>
      </c>
      <c r="T35" s="141">
        <v>36000</v>
      </c>
      <c r="X35" s="58"/>
      <c r="AA35" s="58"/>
      <c r="AC35" s="58"/>
      <c r="AE35" s="56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</row>
    <row r="36" spans="1:47" ht="15.75" x14ac:dyDescent="0.3">
      <c r="A36" s="56"/>
      <c r="B36" s="57" t="s">
        <v>19</v>
      </c>
      <c r="C36" s="64" t="s">
        <v>11</v>
      </c>
      <c r="D36" s="15">
        <v>1.1000000000000001</v>
      </c>
      <c r="E36" s="58"/>
      <c r="F36" s="58" t="s">
        <v>131</v>
      </c>
      <c r="G36" s="58"/>
      <c r="H36" s="63"/>
      <c r="I36" s="63"/>
      <c r="J36" s="63"/>
      <c r="K36" s="63"/>
      <c r="L36" s="63"/>
      <c r="M36" s="63"/>
      <c r="N36" s="63"/>
      <c r="O36" s="56"/>
      <c r="P36" s="57" t="s">
        <v>112</v>
      </c>
      <c r="Q36" s="64" t="s">
        <v>126</v>
      </c>
      <c r="R36" s="142">
        <v>36000</v>
      </c>
      <c r="S36" s="39" t="s">
        <v>132</v>
      </c>
      <c r="T36" s="141">
        <v>36000</v>
      </c>
      <c r="X36" s="58"/>
      <c r="AA36" s="58"/>
      <c r="AC36" s="58"/>
      <c r="AE36" s="56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</row>
    <row r="37" spans="1:47" ht="15.75" x14ac:dyDescent="0.3">
      <c r="A37" s="56"/>
      <c r="B37" s="57" t="s">
        <v>253</v>
      </c>
      <c r="C37" s="64" t="s">
        <v>0</v>
      </c>
      <c r="D37" s="16">
        <v>10</v>
      </c>
      <c r="E37" s="58" t="s">
        <v>20</v>
      </c>
      <c r="F37" s="58" t="s">
        <v>254</v>
      </c>
      <c r="G37" s="58"/>
      <c r="H37" s="63"/>
      <c r="I37" s="63"/>
      <c r="J37" s="63"/>
      <c r="K37" s="63"/>
      <c r="L37" s="63"/>
      <c r="M37" s="63"/>
      <c r="N37" s="63"/>
      <c r="O37" s="56"/>
      <c r="P37" s="57" t="s">
        <v>113</v>
      </c>
      <c r="Q37" s="64" t="s">
        <v>127</v>
      </c>
      <c r="R37" s="5">
        <v>100</v>
      </c>
      <c r="S37" s="39" t="s">
        <v>132</v>
      </c>
      <c r="T37" s="77">
        <v>100</v>
      </c>
      <c r="X37" s="58"/>
      <c r="AA37" s="58"/>
      <c r="AC37" s="58"/>
      <c r="AE37" s="56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</row>
    <row r="38" spans="1:47" ht="15.75" x14ac:dyDescent="0.3">
      <c r="A38" s="56"/>
      <c r="B38" s="23" t="s">
        <v>53</v>
      </c>
      <c r="C38" s="19" t="s">
        <v>41</v>
      </c>
      <c r="D38" s="81">
        <f>IF(D12=1,0.025)+IF(D12=2,0.15)+IF(D12=3,0.2)</f>
        <v>0.15</v>
      </c>
      <c r="F38" s="59" t="s">
        <v>49</v>
      </c>
      <c r="G38" s="58"/>
      <c r="H38" s="63"/>
      <c r="I38" s="63"/>
      <c r="J38" s="63"/>
      <c r="K38" s="63"/>
      <c r="L38" s="63"/>
      <c r="M38" s="63"/>
      <c r="N38" s="63"/>
      <c r="O38" s="56"/>
      <c r="P38" s="58" t="s">
        <v>117</v>
      </c>
      <c r="Q38" s="64" t="s">
        <v>136</v>
      </c>
      <c r="R38" s="5">
        <f>IF(R39="nej",D34,0)</f>
        <v>8</v>
      </c>
      <c r="S38" s="39" t="s">
        <v>132</v>
      </c>
      <c r="T38" s="77" t="s">
        <v>133</v>
      </c>
      <c r="X38" s="58"/>
      <c r="AA38" s="58"/>
      <c r="AC38" s="58"/>
      <c r="AE38" s="56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</row>
    <row r="39" spans="1:47" x14ac:dyDescent="0.2">
      <c r="A39" s="56"/>
      <c r="B39" s="57" t="s">
        <v>50</v>
      </c>
      <c r="C39" s="64" t="s">
        <v>52</v>
      </c>
      <c r="D39" s="25">
        <v>0.17499999999999999</v>
      </c>
      <c r="E39" s="58"/>
      <c r="F39" s="59" t="s">
        <v>51</v>
      </c>
      <c r="G39" s="58"/>
      <c r="O39" s="56"/>
      <c r="P39" s="41" t="s">
        <v>237</v>
      </c>
      <c r="Q39" s="23"/>
      <c r="R39" s="82" t="s">
        <v>156</v>
      </c>
      <c r="S39" s="23"/>
      <c r="T39" s="23" t="s">
        <v>157</v>
      </c>
      <c r="X39" s="58"/>
      <c r="AA39" s="58"/>
      <c r="AC39" s="58"/>
      <c r="AE39" s="56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</row>
    <row r="40" spans="1:47" ht="15.75" x14ac:dyDescent="0.3">
      <c r="A40" s="56"/>
      <c r="B40" s="58" t="s">
        <v>164</v>
      </c>
      <c r="C40" s="64" t="s">
        <v>144</v>
      </c>
      <c r="D40" s="2">
        <f>IF(D12=1,0.025)+IF(D12=2,0.18)+IF(D12=3,0.1)</f>
        <v>0.18</v>
      </c>
      <c r="E40" s="39"/>
      <c r="F40" s="46" t="s">
        <v>255</v>
      </c>
      <c r="O40" s="56"/>
      <c r="X40" s="58"/>
      <c r="AA40" s="58"/>
      <c r="AC40" s="58"/>
      <c r="AE40" s="56"/>
      <c r="AF40" s="48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</row>
    <row r="41" spans="1:47" ht="27" x14ac:dyDescent="0.35">
      <c r="A41" s="56"/>
      <c r="B41" s="12" t="s">
        <v>14</v>
      </c>
      <c r="O41" s="56"/>
      <c r="X41" s="58"/>
      <c r="AA41" s="58"/>
      <c r="AC41" s="58"/>
      <c r="AE41" s="56"/>
      <c r="AF41" s="49" t="s">
        <v>247</v>
      </c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</row>
    <row r="42" spans="1:47" ht="15.75" x14ac:dyDescent="0.3">
      <c r="A42" s="56"/>
      <c r="B42" s="83" t="s">
        <v>288</v>
      </c>
      <c r="C42" s="10" t="s">
        <v>292</v>
      </c>
      <c r="D42" s="11"/>
      <c r="E42" s="41" t="s">
        <v>5</v>
      </c>
      <c r="F42" s="41" t="s">
        <v>35</v>
      </c>
      <c r="H42" s="59"/>
      <c r="I42" s="59"/>
      <c r="O42" s="56"/>
      <c r="P42" s="12" t="s">
        <v>14</v>
      </c>
      <c r="R42" s="11"/>
      <c r="S42" s="58"/>
      <c r="T42" s="58"/>
      <c r="U42" s="58"/>
      <c r="X42" s="58"/>
      <c r="AA42" s="58"/>
      <c r="AC42" s="58"/>
      <c r="AE42" s="56"/>
      <c r="AF42" s="48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</row>
    <row r="43" spans="1:47" ht="15.75" x14ac:dyDescent="0.3">
      <c r="A43" s="56"/>
      <c r="B43" s="23" t="s">
        <v>232</v>
      </c>
      <c r="C43" s="79" t="s">
        <v>293</v>
      </c>
      <c r="D43" s="84">
        <f>D13*5</f>
        <v>0</v>
      </c>
      <c r="E43" s="59" t="s">
        <v>5</v>
      </c>
      <c r="F43" s="59" t="s">
        <v>31</v>
      </c>
      <c r="G43" s="58"/>
      <c r="H43" s="58"/>
      <c r="I43" s="58"/>
      <c r="O43" s="56"/>
      <c r="P43" s="23" t="s">
        <v>235</v>
      </c>
      <c r="Q43" s="10" t="s">
        <v>294</v>
      </c>
      <c r="R43" s="47">
        <f>R12*5</f>
        <v>5</v>
      </c>
      <c r="S43" s="59" t="s">
        <v>5</v>
      </c>
      <c r="T43" s="59" t="s">
        <v>31</v>
      </c>
      <c r="U43" s="58"/>
      <c r="V43" s="58"/>
      <c r="X43" s="58"/>
      <c r="AA43" s="58"/>
      <c r="AC43" s="58"/>
      <c r="AE43" s="56"/>
      <c r="AF43" s="48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</row>
    <row r="44" spans="1:47" ht="15.75" x14ac:dyDescent="0.3">
      <c r="A44" s="56"/>
      <c r="B44" s="57" t="s">
        <v>17</v>
      </c>
      <c r="C44" s="9" t="s">
        <v>10</v>
      </c>
      <c r="D44" s="85">
        <f>D11/10000</f>
        <v>0.1</v>
      </c>
      <c r="E44" s="58" t="s">
        <v>4</v>
      </c>
      <c r="F44" s="58" t="s">
        <v>35</v>
      </c>
      <c r="G44" s="58"/>
      <c r="H44" s="58"/>
      <c r="I44" s="58"/>
      <c r="O44" s="56"/>
      <c r="P44" s="57" t="s">
        <v>58</v>
      </c>
      <c r="Q44" s="64" t="s">
        <v>138</v>
      </c>
      <c r="R44" s="64">
        <f>(R13+R14+R15+R16+R17+R18+R19)/1000</f>
        <v>1.1499999999999999</v>
      </c>
      <c r="S44" s="58" t="s">
        <v>57</v>
      </c>
      <c r="U44" s="57" t="s">
        <v>241</v>
      </c>
      <c r="V44" s="57">
        <f>7200</f>
        <v>7200</v>
      </c>
      <c r="X44" s="58"/>
      <c r="AA44" s="58"/>
      <c r="AC44" s="58"/>
      <c r="AE44" s="56"/>
      <c r="AF44" s="48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</row>
    <row r="45" spans="1:47" ht="15.75" x14ac:dyDescent="0.3">
      <c r="A45" s="56"/>
      <c r="B45" s="23" t="s">
        <v>55</v>
      </c>
      <c r="C45" s="24" t="s">
        <v>9</v>
      </c>
      <c r="D45" s="86">
        <f>1-D38-D39</f>
        <v>0.67500000000000004</v>
      </c>
      <c r="E45" s="59"/>
      <c r="F45" s="45" t="s">
        <v>228</v>
      </c>
      <c r="H45" s="58"/>
      <c r="I45" s="58"/>
      <c r="O45" s="56"/>
      <c r="P45" s="57" t="s">
        <v>108</v>
      </c>
      <c r="Q45" s="64" t="s">
        <v>122</v>
      </c>
      <c r="R45" s="30">
        <f>R32/3600/1000</f>
        <v>5.5555555555555551E-5</v>
      </c>
      <c r="S45" s="57" t="s">
        <v>128</v>
      </c>
      <c r="U45" s="87">
        <f>R45*3600</f>
        <v>0.19999999999999998</v>
      </c>
      <c r="V45" s="87">
        <f>R45*7200</f>
        <v>0.39999999999999997</v>
      </c>
      <c r="X45" s="58"/>
      <c r="AA45" s="58"/>
      <c r="AC45" s="58"/>
      <c r="AE45" s="56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</row>
    <row r="46" spans="1:47" ht="15.75" x14ac:dyDescent="0.3">
      <c r="A46" s="56"/>
      <c r="B46" s="57" t="s">
        <v>58</v>
      </c>
      <c r="C46" s="64" t="s">
        <v>137</v>
      </c>
      <c r="D46" s="64">
        <f>(D14+D15+D16+D17)/1000</f>
        <v>0.63</v>
      </c>
      <c r="E46" s="58" t="s">
        <v>57</v>
      </c>
      <c r="H46" s="58"/>
      <c r="I46" s="58"/>
      <c r="O46" s="56"/>
      <c r="P46" s="57" t="s">
        <v>109</v>
      </c>
      <c r="Q46" s="64" t="s">
        <v>123</v>
      </c>
      <c r="R46" s="30">
        <f t="shared" ref="R46:R51" si="0">R33/3600/1000</f>
        <v>1E-3</v>
      </c>
      <c r="S46" s="57" t="s">
        <v>128</v>
      </c>
      <c r="X46" s="58"/>
      <c r="AA46" s="58"/>
      <c r="AC46" s="58"/>
      <c r="AE46" s="56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</row>
    <row r="47" spans="1:47" ht="15.75" x14ac:dyDescent="0.3">
      <c r="A47" s="56"/>
      <c r="B47" s="57" t="s">
        <v>21</v>
      </c>
      <c r="C47" s="9" t="s">
        <v>22</v>
      </c>
      <c r="D47" s="88"/>
      <c r="E47" s="89" t="s">
        <v>2</v>
      </c>
      <c r="F47" s="58" t="s">
        <v>35</v>
      </c>
      <c r="G47" s="58"/>
      <c r="O47" s="56"/>
      <c r="P47" s="57" t="s">
        <v>110</v>
      </c>
      <c r="Q47" s="64" t="s">
        <v>124</v>
      </c>
      <c r="R47" s="29">
        <f t="shared" si="0"/>
        <v>0.01</v>
      </c>
      <c r="S47" s="57" t="s">
        <v>128</v>
      </c>
      <c r="X47" s="58"/>
      <c r="AA47" s="58"/>
      <c r="AC47" s="58"/>
      <c r="AE47" s="56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</row>
    <row r="48" spans="1:47" ht="15.75" x14ac:dyDescent="0.3">
      <c r="A48" s="56"/>
      <c r="B48" s="57" t="s">
        <v>23</v>
      </c>
      <c r="C48" s="6" t="s">
        <v>1</v>
      </c>
      <c r="D48" s="58"/>
      <c r="E48" s="58" t="s">
        <v>3</v>
      </c>
      <c r="F48" s="58" t="s">
        <v>36</v>
      </c>
      <c r="G48" s="58"/>
      <c r="O48" s="56"/>
      <c r="P48" s="57" t="s">
        <v>111</v>
      </c>
      <c r="Q48" s="64" t="s">
        <v>125</v>
      </c>
      <c r="R48" s="29">
        <f t="shared" si="0"/>
        <v>0.01</v>
      </c>
      <c r="S48" s="57" t="s">
        <v>128</v>
      </c>
      <c r="X48" s="58"/>
      <c r="AA48" s="58"/>
      <c r="AC48" s="58"/>
      <c r="AE48" s="56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ht="15.75" x14ac:dyDescent="0.3">
      <c r="A49" s="56"/>
      <c r="B49" s="23" t="s">
        <v>256</v>
      </c>
      <c r="C49" s="9" t="s">
        <v>165</v>
      </c>
      <c r="D49" s="58"/>
      <c r="E49" s="58" t="s">
        <v>5</v>
      </c>
      <c r="F49" s="58" t="s">
        <v>35</v>
      </c>
      <c r="G49" s="58"/>
      <c r="H49" s="58"/>
      <c r="I49" s="58"/>
      <c r="O49" s="56"/>
      <c r="P49" s="57" t="s">
        <v>112</v>
      </c>
      <c r="Q49" s="64" t="s">
        <v>126</v>
      </c>
      <c r="R49" s="29">
        <f t="shared" si="0"/>
        <v>0.01</v>
      </c>
      <c r="S49" s="57" t="s">
        <v>128</v>
      </c>
      <c r="X49" s="58"/>
      <c r="AA49" s="58"/>
      <c r="AC49" s="58"/>
      <c r="AE49" s="56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ht="15.75" x14ac:dyDescent="0.3">
      <c r="A50" s="56"/>
      <c r="B50" s="57" t="s">
        <v>114</v>
      </c>
      <c r="C50" s="64" t="s">
        <v>85</v>
      </c>
      <c r="D50" s="30">
        <f>D30/3600/1000</f>
        <v>5.5555555555555551E-5</v>
      </c>
      <c r="E50" s="58" t="s">
        <v>128</v>
      </c>
      <c r="H50" s="58"/>
      <c r="I50" s="58"/>
      <c r="O50" s="56"/>
      <c r="P50" s="57" t="s">
        <v>113</v>
      </c>
      <c r="Q50" s="64" t="s">
        <v>127</v>
      </c>
      <c r="R50" s="30">
        <f t="shared" si="0"/>
        <v>2.7777777777777776E-5</v>
      </c>
      <c r="S50" s="57" t="s">
        <v>128</v>
      </c>
      <c r="U50" s="58"/>
      <c r="X50" s="58"/>
      <c r="AA50" s="58"/>
      <c r="AC50" s="58"/>
      <c r="AE50" s="56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</row>
    <row r="51" spans="1:47" ht="15.75" x14ac:dyDescent="0.3">
      <c r="A51" s="56"/>
      <c r="B51" s="41" t="s">
        <v>218</v>
      </c>
      <c r="C51" s="79" t="s">
        <v>118</v>
      </c>
      <c r="D51" s="30">
        <f>D31/3600/1000</f>
        <v>1.0277777777777778E-4</v>
      </c>
      <c r="E51" s="58" t="s">
        <v>128</v>
      </c>
      <c r="F51" s="58" t="s">
        <v>257</v>
      </c>
      <c r="G51" s="57" t="s">
        <v>280</v>
      </c>
      <c r="O51" s="56"/>
      <c r="P51" s="58" t="s">
        <v>117</v>
      </c>
      <c r="Q51" s="64" t="s">
        <v>136</v>
      </c>
      <c r="R51" s="30">
        <f t="shared" si="0"/>
        <v>2.2222222222222221E-6</v>
      </c>
      <c r="S51" s="57" t="s">
        <v>128</v>
      </c>
      <c r="T51" s="58"/>
      <c r="X51" s="58"/>
      <c r="AA51" s="58"/>
      <c r="AC51" s="58"/>
      <c r="AE51" s="56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</row>
    <row r="52" spans="1:47" ht="15.75" x14ac:dyDescent="0.3">
      <c r="A52" s="56"/>
      <c r="B52" s="58" t="s">
        <v>115</v>
      </c>
      <c r="C52" s="79" t="s">
        <v>119</v>
      </c>
      <c r="D52" s="29">
        <f>D32/3600/1000</f>
        <v>1E-3</v>
      </c>
      <c r="E52" s="58" t="s">
        <v>128</v>
      </c>
      <c r="F52" s="58"/>
      <c r="G52" s="57" t="s">
        <v>280</v>
      </c>
      <c r="O52" s="56"/>
      <c r="P52" s="57" t="s">
        <v>145</v>
      </c>
      <c r="Q52" s="10" t="s">
        <v>189</v>
      </c>
      <c r="R52" s="3">
        <f t="shared" ref="R52:R57" si="1">(R45*$R$98)*1000</f>
        <v>0.9375</v>
      </c>
      <c r="S52" s="57" t="s">
        <v>5</v>
      </c>
      <c r="T52" s="14" t="s">
        <v>258</v>
      </c>
      <c r="X52" s="58"/>
      <c r="AA52" s="58"/>
      <c r="AC52" s="58"/>
      <c r="AE52" s="56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</row>
    <row r="53" spans="1:47" ht="15.75" x14ac:dyDescent="0.3">
      <c r="A53" s="56"/>
      <c r="B53" s="58" t="s">
        <v>116</v>
      </c>
      <c r="C53" s="64" t="s">
        <v>120</v>
      </c>
      <c r="D53" s="29">
        <f>D33/3600/1000</f>
        <v>1E-3</v>
      </c>
      <c r="E53" s="58" t="s">
        <v>128</v>
      </c>
      <c r="O53" s="56"/>
      <c r="P53" s="57" t="s">
        <v>146</v>
      </c>
      <c r="Q53" s="10" t="s">
        <v>190</v>
      </c>
      <c r="R53" s="3">
        <f t="shared" si="1"/>
        <v>16.875</v>
      </c>
      <c r="S53" s="57" t="s">
        <v>5</v>
      </c>
      <c r="X53" s="58"/>
      <c r="AA53" s="58"/>
      <c r="AC53" s="58"/>
      <c r="AE53" s="56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</row>
    <row r="54" spans="1:47" ht="15.75" x14ac:dyDescent="0.3">
      <c r="A54" s="56"/>
      <c r="B54" s="58" t="s">
        <v>117</v>
      </c>
      <c r="C54" s="64" t="s">
        <v>121</v>
      </c>
      <c r="D54" s="30">
        <f>D34/3600/1000</f>
        <v>2.2222222222222221E-6</v>
      </c>
      <c r="E54" s="58" t="s">
        <v>128</v>
      </c>
      <c r="O54" s="56"/>
      <c r="P54" s="23" t="s">
        <v>259</v>
      </c>
      <c r="Q54" s="10" t="s">
        <v>191</v>
      </c>
      <c r="R54" s="5">
        <f t="shared" si="1"/>
        <v>168.75</v>
      </c>
      <c r="S54" s="57" t="s">
        <v>5</v>
      </c>
      <c r="T54" s="8" t="s">
        <v>216</v>
      </c>
      <c r="X54" s="58"/>
      <c r="AA54" s="58"/>
      <c r="AC54" s="58"/>
      <c r="AE54" s="56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</row>
    <row r="55" spans="1:47" ht="15.75" x14ac:dyDescent="0.3">
      <c r="A55" s="56"/>
      <c r="B55" s="57" t="s">
        <v>140</v>
      </c>
      <c r="C55" s="10" t="s">
        <v>167</v>
      </c>
      <c r="D55" s="2">
        <f>D40*(D50*$D$98)*1000</f>
        <v>9.9999999999999982</v>
      </c>
      <c r="E55" s="58" t="s">
        <v>5</v>
      </c>
      <c r="F55" s="57" t="s">
        <v>161</v>
      </c>
      <c r="O55" s="56"/>
      <c r="P55" s="57" t="s">
        <v>147</v>
      </c>
      <c r="Q55" s="10" t="s">
        <v>192</v>
      </c>
      <c r="R55" s="5">
        <f t="shared" si="1"/>
        <v>168.75</v>
      </c>
      <c r="S55" s="57" t="s">
        <v>5</v>
      </c>
      <c r="X55" s="58"/>
      <c r="AA55" s="58"/>
      <c r="AC55" s="58"/>
      <c r="AE55" s="56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</row>
    <row r="56" spans="1:47" ht="15.75" x14ac:dyDescent="0.3">
      <c r="A56" s="56"/>
      <c r="B56" s="41" t="s">
        <v>229</v>
      </c>
      <c r="C56" s="69" t="s">
        <v>168</v>
      </c>
      <c r="D56" s="5">
        <f>(D51*$D$98)*1000</f>
        <v>102.77777777777777</v>
      </c>
      <c r="E56" s="58" t="s">
        <v>5</v>
      </c>
      <c r="F56" s="58"/>
      <c r="G56" s="57" t="s">
        <v>280</v>
      </c>
      <c r="O56" s="56"/>
      <c r="P56" s="57" t="s">
        <v>148</v>
      </c>
      <c r="Q56" s="10" t="s">
        <v>193</v>
      </c>
      <c r="R56" s="5">
        <f t="shared" si="1"/>
        <v>168.75</v>
      </c>
      <c r="S56" s="57" t="s">
        <v>5</v>
      </c>
      <c r="X56" s="58"/>
      <c r="AA56" s="58"/>
      <c r="AC56" s="58"/>
      <c r="AE56" s="56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</row>
    <row r="57" spans="1:47" ht="15.75" x14ac:dyDescent="0.3">
      <c r="A57" s="56"/>
      <c r="B57" s="58" t="s">
        <v>141</v>
      </c>
      <c r="C57" s="69" t="s">
        <v>169</v>
      </c>
      <c r="D57" s="5">
        <f>(D52*$D$98)*1000</f>
        <v>1000</v>
      </c>
      <c r="E57" s="58" t="s">
        <v>5</v>
      </c>
      <c r="F57" s="58"/>
      <c r="G57" s="57" t="s">
        <v>280</v>
      </c>
      <c r="O57" s="56"/>
      <c r="P57" s="57" t="s">
        <v>149</v>
      </c>
      <c r="Q57" s="10" t="s">
        <v>194</v>
      </c>
      <c r="R57" s="3">
        <f t="shared" si="1"/>
        <v>0.46875</v>
      </c>
      <c r="S57" s="57" t="s">
        <v>5</v>
      </c>
      <c r="X57" s="58"/>
      <c r="AA57" s="58"/>
      <c r="AC57" s="58"/>
      <c r="AE57" s="56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</row>
    <row r="58" spans="1:47" ht="15.75" x14ac:dyDescent="0.3">
      <c r="A58" s="56"/>
      <c r="B58" s="58" t="s">
        <v>142</v>
      </c>
      <c r="C58" s="10" t="s">
        <v>170</v>
      </c>
      <c r="D58" s="5">
        <f>(D53*$D$98)*1000</f>
        <v>1000</v>
      </c>
      <c r="E58" s="58" t="s">
        <v>5</v>
      </c>
      <c r="O58" s="56"/>
      <c r="P58" s="58" t="s">
        <v>143</v>
      </c>
      <c r="Q58" s="10" t="s">
        <v>195</v>
      </c>
      <c r="R58" s="42">
        <f>IF(R39="nej",(R51*$R$98)*1000,0)</f>
        <v>3.7499999999999999E-2</v>
      </c>
      <c r="S58" s="57" t="s">
        <v>5</v>
      </c>
      <c r="X58" s="58"/>
      <c r="AA58" s="58"/>
      <c r="AC58" s="58"/>
      <c r="AE58" s="56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 ht="15.75" x14ac:dyDescent="0.3">
      <c r="A59" s="56"/>
      <c r="B59" s="58" t="s">
        <v>143</v>
      </c>
      <c r="C59" s="10" t="s">
        <v>171</v>
      </c>
      <c r="D59" s="3">
        <f>(D54*$D$98)*1000</f>
        <v>2.2222222222222223</v>
      </c>
      <c r="E59" s="58" t="s">
        <v>5</v>
      </c>
      <c r="F59" s="57" t="s">
        <v>260</v>
      </c>
      <c r="O59" s="56"/>
      <c r="P59" s="41" t="s">
        <v>236</v>
      </c>
      <c r="Q59" s="96" t="s">
        <v>295</v>
      </c>
      <c r="R59" s="90">
        <f>R43+R58</f>
        <v>5.0374999999999996</v>
      </c>
      <c r="S59" s="39" t="s">
        <v>5</v>
      </c>
      <c r="T59" s="91" t="s">
        <v>296</v>
      </c>
      <c r="X59" s="58"/>
      <c r="AA59" s="58"/>
      <c r="AC59" s="58"/>
      <c r="AE59" s="56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 ht="15.75" x14ac:dyDescent="0.3">
      <c r="A60" s="56"/>
      <c r="B60" s="41" t="s">
        <v>261</v>
      </c>
      <c r="C60" s="10" t="s">
        <v>297</v>
      </c>
      <c r="D60" s="5">
        <f>D17-D19</f>
        <v>350</v>
      </c>
      <c r="E60" s="70" t="s">
        <v>56</v>
      </c>
      <c r="F60" s="58"/>
      <c r="O60" s="56"/>
      <c r="P60" s="92" t="s">
        <v>239</v>
      </c>
      <c r="Q60" s="14" t="s">
        <v>262</v>
      </c>
      <c r="R60" s="23"/>
      <c r="S60" s="92" t="s">
        <v>6</v>
      </c>
      <c r="T60" s="23" t="s">
        <v>238</v>
      </c>
      <c r="X60" s="58"/>
      <c r="Y60" s="23"/>
      <c r="AA60" s="58"/>
      <c r="AC60" s="58"/>
      <c r="AE60" s="56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 ht="15.75" x14ac:dyDescent="0.3">
      <c r="A61" s="56"/>
      <c r="B61" s="23" t="s">
        <v>233</v>
      </c>
      <c r="C61" s="10" t="s">
        <v>263</v>
      </c>
      <c r="D61" s="23"/>
      <c r="E61" s="23" t="s">
        <v>5</v>
      </c>
      <c r="F61" s="41" t="s">
        <v>35</v>
      </c>
      <c r="G61" s="23"/>
      <c r="O61" s="56"/>
      <c r="P61" s="41" t="s">
        <v>240</v>
      </c>
      <c r="Q61" s="14" t="s">
        <v>264</v>
      </c>
      <c r="R61" s="23"/>
      <c r="S61" s="92" t="s">
        <v>6</v>
      </c>
      <c r="T61" s="23" t="s">
        <v>238</v>
      </c>
      <c r="X61" s="58"/>
      <c r="Y61" s="23"/>
      <c r="AA61" s="58"/>
      <c r="AC61" s="58"/>
      <c r="AE61" s="56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 ht="15.75" x14ac:dyDescent="0.3">
      <c r="A62" s="56"/>
      <c r="B62" s="23" t="s">
        <v>234</v>
      </c>
      <c r="C62" s="10" t="s">
        <v>293</v>
      </c>
      <c r="D62" s="23"/>
      <c r="E62" s="23" t="s">
        <v>5</v>
      </c>
      <c r="F62" s="41" t="s">
        <v>35</v>
      </c>
      <c r="O62" s="56"/>
      <c r="P62" s="41" t="s">
        <v>286</v>
      </c>
      <c r="Q62" s="14" t="s">
        <v>298</v>
      </c>
      <c r="R62" s="23"/>
      <c r="S62" s="23" t="s">
        <v>5</v>
      </c>
      <c r="T62" s="23" t="s">
        <v>238</v>
      </c>
      <c r="AA62" s="58"/>
      <c r="AC62" s="58"/>
      <c r="AE62" s="56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 ht="15.75" x14ac:dyDescent="0.3">
      <c r="A63" s="56"/>
      <c r="B63" s="13" t="s">
        <v>265</v>
      </c>
      <c r="C63" s="85"/>
      <c r="D63" s="58"/>
      <c r="E63" s="58"/>
      <c r="F63" s="58"/>
      <c r="G63" s="10" t="s">
        <v>171</v>
      </c>
      <c r="H63" s="79"/>
      <c r="I63" s="58"/>
      <c r="O63" s="56"/>
      <c r="P63" s="13" t="s">
        <v>40</v>
      </c>
      <c r="Q63" s="85"/>
      <c r="R63" s="58"/>
      <c r="S63" s="58"/>
      <c r="T63" s="41"/>
      <c r="U63" s="58"/>
      <c r="X63" s="93"/>
      <c r="Y63" s="94" t="s">
        <v>266</v>
      </c>
      <c r="AA63" s="41"/>
      <c r="AB63" s="23" t="s">
        <v>243</v>
      </c>
      <c r="AC63" s="41" t="s">
        <v>244</v>
      </c>
      <c r="AD63" s="23" t="s">
        <v>267</v>
      </c>
      <c r="AE63" s="56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ht="15.75" x14ac:dyDescent="0.3">
      <c r="A64" s="56"/>
      <c r="B64" s="6" t="s">
        <v>199</v>
      </c>
      <c r="C64" s="6" t="s">
        <v>1</v>
      </c>
      <c r="D64" s="95" t="s">
        <v>41</v>
      </c>
      <c r="E64" s="6" t="s">
        <v>10</v>
      </c>
      <c r="F64" s="6" t="s">
        <v>152</v>
      </c>
      <c r="G64" s="96" t="s">
        <v>153</v>
      </c>
      <c r="H64" s="96" t="s">
        <v>196</v>
      </c>
      <c r="I64" s="6" t="s">
        <v>173</v>
      </c>
      <c r="J64" s="145" t="s">
        <v>299</v>
      </c>
      <c r="K64" s="8" t="s">
        <v>300</v>
      </c>
      <c r="L64" s="8" t="s">
        <v>183</v>
      </c>
      <c r="M64" s="79" t="s">
        <v>301</v>
      </c>
      <c r="N64" s="8" t="s">
        <v>212</v>
      </c>
      <c r="O64" s="56" t="s">
        <v>197</v>
      </c>
      <c r="P64" s="6" t="s">
        <v>203</v>
      </c>
      <c r="Q64" s="6" t="s">
        <v>1</v>
      </c>
      <c r="R64" s="7" t="s">
        <v>9</v>
      </c>
      <c r="S64" s="6" t="s">
        <v>10</v>
      </c>
      <c r="T64" s="13" t="s">
        <v>302</v>
      </c>
      <c r="U64" s="96" t="s">
        <v>204</v>
      </c>
      <c r="V64" s="96" t="s">
        <v>216</v>
      </c>
      <c r="W64" s="96" t="s">
        <v>268</v>
      </c>
      <c r="X64" s="96" t="s">
        <v>205</v>
      </c>
      <c r="Y64" s="96" t="s">
        <v>209</v>
      </c>
      <c r="Z64" s="96"/>
      <c r="AA64" s="96" t="s">
        <v>207</v>
      </c>
      <c r="AB64" s="96" t="s">
        <v>210</v>
      </c>
      <c r="AC64" s="98" t="s">
        <v>269</v>
      </c>
      <c r="AD64" s="8" t="s">
        <v>245</v>
      </c>
      <c r="AE64" s="56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 ht="14.25" x14ac:dyDescent="0.2">
      <c r="A65" s="56"/>
      <c r="B65" s="9" t="s">
        <v>2</v>
      </c>
      <c r="C65" s="9" t="s">
        <v>3</v>
      </c>
      <c r="D65" s="9"/>
      <c r="E65" s="9" t="s">
        <v>4</v>
      </c>
      <c r="F65" s="9" t="s">
        <v>5</v>
      </c>
      <c r="G65" s="78" t="s">
        <v>5</v>
      </c>
      <c r="H65" s="78" t="s">
        <v>6</v>
      </c>
      <c r="I65" s="9" t="s">
        <v>5</v>
      </c>
      <c r="J65" s="138" t="s">
        <v>5</v>
      </c>
      <c r="K65" s="69" t="s">
        <v>5</v>
      </c>
      <c r="L65" s="78" t="s">
        <v>6</v>
      </c>
      <c r="M65" s="79" t="s">
        <v>5</v>
      </c>
      <c r="N65" s="78" t="s">
        <v>6</v>
      </c>
      <c r="O65" s="99"/>
      <c r="P65" s="9" t="s">
        <v>2</v>
      </c>
      <c r="Q65" s="9" t="s">
        <v>3</v>
      </c>
      <c r="R65" s="9"/>
      <c r="S65" s="9" t="s">
        <v>4</v>
      </c>
      <c r="T65" s="9" t="s">
        <v>5</v>
      </c>
      <c r="U65" s="9" t="s">
        <v>5</v>
      </c>
      <c r="V65" s="9" t="s">
        <v>5</v>
      </c>
      <c r="W65" s="9" t="s">
        <v>5</v>
      </c>
      <c r="X65" s="78" t="s">
        <v>6</v>
      </c>
      <c r="Y65" s="78" t="s">
        <v>6</v>
      </c>
      <c r="Z65" s="9"/>
      <c r="AA65" s="78" t="s">
        <v>6</v>
      </c>
      <c r="AB65" s="78" t="s">
        <v>6</v>
      </c>
      <c r="AC65" s="41"/>
      <c r="AD65" s="23"/>
      <c r="AE65" s="56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</row>
    <row r="66" spans="1:47" x14ac:dyDescent="0.2">
      <c r="A66" s="56"/>
      <c r="B66" s="4">
        <v>3</v>
      </c>
      <c r="C66" s="5">
        <v>352.81619937498374</v>
      </c>
      <c r="D66" s="2">
        <f>$D$38</f>
        <v>0.15</v>
      </c>
      <c r="E66" s="2">
        <f>$D$44</f>
        <v>0.1</v>
      </c>
      <c r="F66" s="100">
        <f>IF(C66*D66*E66*$D$36&lt;$D$55,C66*D66*E66*$D$36,$D$55)</f>
        <v>5.8214672896872326</v>
      </c>
      <c r="G66" s="3">
        <f>IF(($D$59)&lt;F66,($D$59),F66)</f>
        <v>2.2222222222222223</v>
      </c>
      <c r="H66" s="101">
        <f>60*B66*(F66-G66)/1000</f>
        <v>0.64786411214370188</v>
      </c>
      <c r="I66" s="102">
        <f>IF(C66*D66*E66*$D$36&lt;$D$55,0,C66*D66*E66*$D$36-$D$55)</f>
        <v>0</v>
      </c>
      <c r="J66" s="139">
        <f>IF($D$43&lt;F66,$D$43,F66)</f>
        <v>0</v>
      </c>
      <c r="K66" s="104">
        <f>IF(($D$59+$D$43*$D$35)&lt;F66,(($D$59+$D$43*$D$35)),F66)</f>
        <v>2.2222222222222223</v>
      </c>
      <c r="L66" s="105">
        <f>IF($D$99&lt;$D$100,0,60*B66*(F66-K66)/1000)</f>
        <v>0</v>
      </c>
      <c r="M66" s="79">
        <f>IF(L66=0,0,J66)</f>
        <v>0</v>
      </c>
      <c r="N66" s="105">
        <f>H66+L66</f>
        <v>0.64786411214370188</v>
      </c>
      <c r="O66" s="99"/>
      <c r="P66" s="4">
        <v>3</v>
      </c>
      <c r="Q66" s="5">
        <v>352.81619937498374</v>
      </c>
      <c r="R66" s="2">
        <f>$D$45</f>
        <v>0.67500000000000004</v>
      </c>
      <c r="S66" s="2">
        <f>$D$44</f>
        <v>0.1</v>
      </c>
      <c r="T66" s="106">
        <f>Q66*$R$98/10000+Q66*R66*S66*$D$36+I66</f>
        <v>26.791980140037833</v>
      </c>
      <c r="U66" s="104">
        <f>IF(($R$52)&lt;T66,($R$52),T66)</f>
        <v>0.9375</v>
      </c>
      <c r="V66" s="94">
        <f>IF(($R$54)&lt;T66,$R$54,T66)</f>
        <v>26.791980140037833</v>
      </c>
      <c r="W66" s="104">
        <f>IF(V66&gt;$R$43*$D$35+$R$58,$R$43*$D$35+$R$58,V66)</f>
        <v>3.3708333333333331</v>
      </c>
      <c r="X66" s="107">
        <f>IF(SUM($R$14:$R$15)=0,60*P66*(T66-W66)/1000,60*P66*(T66-U66)/1000)</f>
        <v>4.6538064252068096</v>
      </c>
      <c r="Y66" s="103">
        <f>IF(X66&lt;$R$101,X66,$R$101)</f>
        <v>3.375</v>
      </c>
      <c r="Z66" s="108"/>
      <c r="AA66" s="100">
        <f>IF(Y66&lt;$R$101,0,60*P66*(T66-W66)/1000)</f>
        <v>4.2158064252068099</v>
      </c>
      <c r="AB66" s="100">
        <f>Y66+AA66</f>
        <v>7.5908064252068099</v>
      </c>
      <c r="AC66" s="107">
        <f>$R$110</f>
        <v>9.1546875000000014</v>
      </c>
      <c r="AD66" s="10">
        <f>IF(AB66&lt;AC66,0,AB66-AC66)</f>
        <v>0</v>
      </c>
      <c r="AE66" s="56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</row>
    <row r="67" spans="1:47" x14ac:dyDescent="0.2">
      <c r="A67" s="56"/>
      <c r="B67" s="4">
        <v>5</v>
      </c>
      <c r="C67" s="5">
        <v>313.52839638885996</v>
      </c>
      <c r="D67" s="2">
        <f t="shared" ref="D67:D95" si="2">$D$38</f>
        <v>0.15</v>
      </c>
      <c r="E67" s="2">
        <f t="shared" ref="E67:E95" si="3">$D$44</f>
        <v>0.1</v>
      </c>
      <c r="F67" s="100">
        <f t="shared" ref="F67:F95" si="4">IF(C67*D67*E67*$D$36&lt;$D$55,C67*D67*E67*$D$36,$D$55)</f>
        <v>5.1732185404161903</v>
      </c>
      <c r="G67" s="3">
        <f t="shared" ref="G67:G95" si="5">IF(($D$59)&lt;F67,($D$59),F67)</f>
        <v>2.2222222222222223</v>
      </c>
      <c r="H67" s="101">
        <f t="shared" ref="H67:H95" si="6">60*B67*(F67-G67)/1000</f>
        <v>0.8852988954581904</v>
      </c>
      <c r="I67" s="79">
        <f t="shared" ref="I67:I95" si="7">IF(C67*D67*E67*$D$36&lt;$D$55,0,C67*D67*E67*$D$36-$D$55)</f>
        <v>0</v>
      </c>
      <c r="J67" s="139">
        <f t="shared" ref="J67:J95" si="8">IF($D$43&lt;F67,$D$43,F67)</f>
        <v>0</v>
      </c>
      <c r="K67" s="104">
        <f t="shared" ref="K67:K95" si="9">IF(($D$59+$D$43*$D$35)&lt;F67,(($D$59+$D$43*$D$35)),F67)</f>
        <v>2.2222222222222223</v>
      </c>
      <c r="L67" s="105">
        <f t="shared" ref="L67:L95" si="10">IF($D$99&lt;$D$100,0,60*B67*(F67-K67)/1000)</f>
        <v>0</v>
      </c>
      <c r="M67" s="79">
        <f t="shared" ref="M67:M95" si="11">IF(L67=0,0,J67)</f>
        <v>0</v>
      </c>
      <c r="N67" s="105">
        <f t="shared" ref="N67:N95" si="12">H67+L67</f>
        <v>0.8852988954581904</v>
      </c>
      <c r="O67" s="99"/>
      <c r="P67" s="4">
        <v>5</v>
      </c>
      <c r="Q67" s="5">
        <v>313.52839638885996</v>
      </c>
      <c r="R67" s="2">
        <f t="shared" ref="R67:R95" si="13">$D$45</f>
        <v>0.67500000000000004</v>
      </c>
      <c r="S67" s="2">
        <f t="shared" ref="S67:S95" si="14">$D$44</f>
        <v>0.1</v>
      </c>
      <c r="T67" s="106">
        <f t="shared" ref="T67:T95" si="15">Q67*$R$98/10000+Q67*R67*S67*$D$36+I67</f>
        <v>23.808562600779055</v>
      </c>
      <c r="U67" s="104">
        <f t="shared" ref="U67:U95" si="16">IF(($R$52)&lt;T67,($R$52),T67)</f>
        <v>0.9375</v>
      </c>
      <c r="V67" s="94">
        <f t="shared" ref="V67:V95" si="17">IF(($R$54)&lt;T67,($R$54),T67)</f>
        <v>23.808562600779055</v>
      </c>
      <c r="W67" s="104">
        <f t="shared" ref="W67:W95" si="18">IF(V67&gt;$R$43*$D$35+$R$58,$R$43*$D$35+$R$58,V67)</f>
        <v>3.3708333333333331</v>
      </c>
      <c r="X67" s="107">
        <f t="shared" ref="X67:X95" si="19">IF(SUM($R$14:$R$15)=0,60*P67*(T67-W67)/1000,60*P67*(T67-U67)/1000)</f>
        <v>6.8613187802337157</v>
      </c>
      <c r="Y67" s="103">
        <f t="shared" ref="Y67:Y95" si="20">IF(X67&lt;$R$101,X67,$R$101)</f>
        <v>3.375</v>
      </c>
      <c r="Z67" s="108"/>
      <c r="AA67" s="100">
        <f t="shared" ref="AA67:AA95" si="21">IF(Y67&lt;$R$101,0,60*P67*(T67-W67)/1000)</f>
        <v>6.1313187802337161</v>
      </c>
      <c r="AB67" s="100">
        <f t="shared" ref="AB67:AB95" si="22">Y67+AA67</f>
        <v>9.5063187802337161</v>
      </c>
      <c r="AC67" s="107">
        <f t="shared" ref="AC67:AC95" si="23">$R$110</f>
        <v>9.1546875000000014</v>
      </c>
      <c r="AD67" s="10">
        <f t="shared" ref="AD67:AD95" si="24">IF(AB67&lt;AC67,0,AB67-AC67)</f>
        <v>0.3516312802337147</v>
      </c>
      <c r="AE67" s="56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</row>
    <row r="68" spans="1:47" x14ac:dyDescent="0.2">
      <c r="A68" s="56"/>
      <c r="B68" s="4">
        <v>10</v>
      </c>
      <c r="C68" s="5">
        <v>227.9590317057565</v>
      </c>
      <c r="D68" s="2">
        <f t="shared" si="2"/>
        <v>0.15</v>
      </c>
      <c r="E68" s="2">
        <f t="shared" si="3"/>
        <v>0.1</v>
      </c>
      <c r="F68" s="100">
        <f t="shared" si="4"/>
        <v>3.7613240231449829</v>
      </c>
      <c r="G68" s="3">
        <f t="shared" si="5"/>
        <v>2.2222222222222223</v>
      </c>
      <c r="H68" s="109">
        <f t="shared" si="6"/>
        <v>0.92346108055365639</v>
      </c>
      <c r="I68" s="79">
        <f t="shared" si="7"/>
        <v>0</v>
      </c>
      <c r="J68" s="139">
        <f t="shared" si="8"/>
        <v>0</v>
      </c>
      <c r="K68" s="104">
        <f t="shared" si="9"/>
        <v>2.2222222222222223</v>
      </c>
      <c r="L68" s="105">
        <f t="shared" si="10"/>
        <v>0</v>
      </c>
      <c r="M68" s="79">
        <f t="shared" si="11"/>
        <v>0</v>
      </c>
      <c r="N68" s="105">
        <f t="shared" si="12"/>
        <v>0.92346108055365639</v>
      </c>
      <c r="O68" s="99"/>
      <c r="P68" s="4">
        <v>10</v>
      </c>
      <c r="Q68" s="5">
        <v>227.9590317057565</v>
      </c>
      <c r="R68" s="2">
        <f t="shared" si="13"/>
        <v>0.67500000000000004</v>
      </c>
      <c r="S68" s="2">
        <f t="shared" si="14"/>
        <v>0.1</v>
      </c>
      <c r="T68" s="106">
        <f t="shared" si="15"/>
        <v>17.310638970155889</v>
      </c>
      <c r="U68" s="104">
        <f t="shared" si="16"/>
        <v>0.9375</v>
      </c>
      <c r="V68" s="94">
        <f t="shared" si="17"/>
        <v>17.310638970155889</v>
      </c>
      <c r="W68" s="104">
        <f t="shared" si="18"/>
        <v>3.3708333333333331</v>
      </c>
      <c r="X68" s="107">
        <f t="shared" si="19"/>
        <v>9.8238833820935341</v>
      </c>
      <c r="Y68" s="103">
        <f t="shared" si="20"/>
        <v>3.375</v>
      </c>
      <c r="Z68" s="108"/>
      <c r="AA68" s="100">
        <f t="shared" si="21"/>
        <v>8.3638833820935332</v>
      </c>
      <c r="AB68" s="100">
        <f t="shared" si="22"/>
        <v>11.738883382093533</v>
      </c>
      <c r="AC68" s="107">
        <f t="shared" si="23"/>
        <v>9.1546875000000014</v>
      </c>
      <c r="AD68" s="10">
        <f t="shared" si="24"/>
        <v>2.5841958820935318</v>
      </c>
      <c r="AE68" s="56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</row>
    <row r="69" spans="1:47" x14ac:dyDescent="0.2">
      <c r="A69" s="56"/>
      <c r="B69" s="4">
        <v>15</v>
      </c>
      <c r="C69" s="5">
        <v>180.60815872662238</v>
      </c>
      <c r="D69" s="2">
        <f t="shared" si="2"/>
        <v>0.15</v>
      </c>
      <c r="E69" s="2">
        <f t="shared" si="3"/>
        <v>0.1</v>
      </c>
      <c r="F69" s="100">
        <f t="shared" si="4"/>
        <v>2.9800346189892699</v>
      </c>
      <c r="G69" s="3">
        <f t="shared" si="5"/>
        <v>2.2222222222222223</v>
      </c>
      <c r="H69" s="109">
        <f t="shared" si="6"/>
        <v>0.6820311570903429</v>
      </c>
      <c r="I69" s="79">
        <f t="shared" si="7"/>
        <v>0</v>
      </c>
      <c r="J69" s="139">
        <f t="shared" si="8"/>
        <v>0</v>
      </c>
      <c r="K69" s="104">
        <f t="shared" si="9"/>
        <v>2.2222222222222223</v>
      </c>
      <c r="L69" s="105">
        <f t="shared" si="10"/>
        <v>0</v>
      </c>
      <c r="M69" s="79">
        <f t="shared" si="11"/>
        <v>0</v>
      </c>
      <c r="N69" s="105">
        <f t="shared" si="12"/>
        <v>0.6820311570903429</v>
      </c>
      <c r="O69" s="110"/>
      <c r="P69" s="4">
        <v>15</v>
      </c>
      <c r="Q69" s="5">
        <v>180.60815872662238</v>
      </c>
      <c r="R69" s="2">
        <f t="shared" si="13"/>
        <v>0.67500000000000004</v>
      </c>
      <c r="S69" s="2">
        <f t="shared" si="14"/>
        <v>0.1</v>
      </c>
      <c r="T69" s="106">
        <f t="shared" si="15"/>
        <v>13.714932053302888</v>
      </c>
      <c r="U69" s="104">
        <f t="shared" si="16"/>
        <v>0.9375</v>
      </c>
      <c r="V69" s="94">
        <f t="shared" si="17"/>
        <v>13.714932053302888</v>
      </c>
      <c r="W69" s="104">
        <f t="shared" si="18"/>
        <v>3.3708333333333331</v>
      </c>
      <c r="X69" s="107">
        <f t="shared" si="19"/>
        <v>11.4996888479726</v>
      </c>
      <c r="Y69" s="103">
        <f t="shared" si="20"/>
        <v>3.375</v>
      </c>
      <c r="Z69" s="108"/>
      <c r="AA69" s="100">
        <f t="shared" si="21"/>
        <v>9.3096888479725983</v>
      </c>
      <c r="AB69" s="100">
        <f t="shared" si="22"/>
        <v>12.684688847972598</v>
      </c>
      <c r="AC69" s="107">
        <f t="shared" si="23"/>
        <v>9.1546875000000014</v>
      </c>
      <c r="AD69" s="10">
        <f t="shared" si="24"/>
        <v>3.5300013479725969</v>
      </c>
      <c r="AE69" s="56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</row>
    <row r="70" spans="1:47" x14ac:dyDescent="0.2">
      <c r="A70" s="56"/>
      <c r="B70" s="4">
        <v>20</v>
      </c>
      <c r="C70" s="5">
        <v>151.04163931138285</v>
      </c>
      <c r="D70" s="2">
        <f t="shared" si="2"/>
        <v>0.15</v>
      </c>
      <c r="E70" s="2">
        <f t="shared" si="3"/>
        <v>0.1</v>
      </c>
      <c r="F70" s="100">
        <f t="shared" si="4"/>
        <v>2.4921870486378173</v>
      </c>
      <c r="G70" s="3">
        <f t="shared" si="5"/>
        <v>2.2222222222222223</v>
      </c>
      <c r="H70" s="109">
        <f t="shared" si="6"/>
        <v>0.32395779169871397</v>
      </c>
      <c r="I70" s="79">
        <f t="shared" si="7"/>
        <v>0</v>
      </c>
      <c r="J70" s="139">
        <f t="shared" si="8"/>
        <v>0</v>
      </c>
      <c r="K70" s="104">
        <f t="shared" si="9"/>
        <v>2.2222222222222223</v>
      </c>
      <c r="L70" s="105">
        <f t="shared" si="10"/>
        <v>0</v>
      </c>
      <c r="M70" s="79">
        <f t="shared" si="11"/>
        <v>0</v>
      </c>
      <c r="N70" s="105">
        <f t="shared" si="12"/>
        <v>0.32395779169871397</v>
      </c>
      <c r="O70" s="110"/>
      <c r="P70" s="4">
        <v>20</v>
      </c>
      <c r="Q70" s="5">
        <v>151.04163931138285</v>
      </c>
      <c r="R70" s="2">
        <f t="shared" si="13"/>
        <v>0.67500000000000004</v>
      </c>
      <c r="S70" s="2">
        <f t="shared" si="14"/>
        <v>0.1</v>
      </c>
      <c r="T70" s="106">
        <f t="shared" si="15"/>
        <v>11.469724485208138</v>
      </c>
      <c r="U70" s="104">
        <f t="shared" si="16"/>
        <v>0.9375</v>
      </c>
      <c r="V70" s="94">
        <f t="shared" si="17"/>
        <v>11.469724485208138</v>
      </c>
      <c r="W70" s="104">
        <f t="shared" si="18"/>
        <v>3.3708333333333331</v>
      </c>
      <c r="X70" s="107">
        <f t="shared" si="19"/>
        <v>12.638669382249766</v>
      </c>
      <c r="Y70" s="103">
        <f t="shared" si="20"/>
        <v>3.375</v>
      </c>
      <c r="Z70" s="108"/>
      <c r="AA70" s="100">
        <f t="shared" si="21"/>
        <v>9.7186693822497663</v>
      </c>
      <c r="AB70" s="100">
        <f t="shared" si="22"/>
        <v>13.093669382249766</v>
      </c>
      <c r="AC70" s="107">
        <f t="shared" si="23"/>
        <v>9.1546875000000014</v>
      </c>
      <c r="AD70" s="10">
        <f t="shared" si="24"/>
        <v>3.9389818822497649</v>
      </c>
      <c r="AE70" s="56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</row>
    <row r="71" spans="1:47" x14ac:dyDescent="0.2">
      <c r="A71" s="56"/>
      <c r="B71" s="4">
        <v>25</v>
      </c>
      <c r="C71" s="5">
        <v>130.68769764047914</v>
      </c>
      <c r="D71" s="2">
        <f t="shared" si="2"/>
        <v>0.15</v>
      </c>
      <c r="E71" s="2">
        <f t="shared" si="3"/>
        <v>0.1</v>
      </c>
      <c r="F71" s="100">
        <f t="shared" si="4"/>
        <v>2.1563470110679059</v>
      </c>
      <c r="G71" s="3">
        <f t="shared" si="5"/>
        <v>2.1563470110679059</v>
      </c>
      <c r="H71" s="109">
        <f t="shared" si="6"/>
        <v>0</v>
      </c>
      <c r="I71" s="79">
        <f t="shared" si="7"/>
        <v>0</v>
      </c>
      <c r="J71" s="139">
        <f t="shared" si="8"/>
        <v>0</v>
      </c>
      <c r="K71" s="104">
        <f t="shared" si="9"/>
        <v>2.1563470110679059</v>
      </c>
      <c r="L71" s="105">
        <f t="shared" si="10"/>
        <v>0</v>
      </c>
      <c r="M71" s="79">
        <f t="shared" si="11"/>
        <v>0</v>
      </c>
      <c r="N71" s="105">
        <f t="shared" si="12"/>
        <v>0</v>
      </c>
      <c r="O71" s="110"/>
      <c r="P71" s="4">
        <v>25</v>
      </c>
      <c r="Q71" s="5">
        <v>130.68769764047914</v>
      </c>
      <c r="R71" s="2">
        <f t="shared" si="13"/>
        <v>0.67500000000000004</v>
      </c>
      <c r="S71" s="2">
        <f t="shared" si="14"/>
        <v>0.1</v>
      </c>
      <c r="T71" s="106">
        <f t="shared" si="15"/>
        <v>9.9240970395738888</v>
      </c>
      <c r="U71" s="104">
        <f t="shared" si="16"/>
        <v>0.9375</v>
      </c>
      <c r="V71" s="108">
        <f t="shared" si="17"/>
        <v>9.9240970395738888</v>
      </c>
      <c r="W71" s="104">
        <f t="shared" si="18"/>
        <v>3.3708333333333331</v>
      </c>
      <c r="X71" s="107">
        <f t="shared" si="19"/>
        <v>13.479895559360834</v>
      </c>
      <c r="Y71" s="103">
        <f t="shared" si="20"/>
        <v>3.375</v>
      </c>
      <c r="Z71" s="108"/>
      <c r="AA71" s="100">
        <f t="shared" si="21"/>
        <v>9.8298955593608337</v>
      </c>
      <c r="AB71" s="100">
        <f t="shared" si="22"/>
        <v>13.204895559360834</v>
      </c>
      <c r="AC71" s="107">
        <f t="shared" si="23"/>
        <v>9.1546875000000014</v>
      </c>
      <c r="AD71" s="10">
        <f t="shared" si="24"/>
        <v>4.0502080593608323</v>
      </c>
      <c r="AE71" s="56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 x14ac:dyDescent="0.2">
      <c r="A72" s="56"/>
      <c r="B72" s="4">
        <v>30</v>
      </c>
      <c r="C72" s="5">
        <v>115.72790074146094</v>
      </c>
      <c r="D72" s="2">
        <f t="shared" si="2"/>
        <v>0.15</v>
      </c>
      <c r="E72" s="2">
        <f t="shared" si="3"/>
        <v>0.1</v>
      </c>
      <c r="F72" s="100">
        <f t="shared" si="4"/>
        <v>1.9095103622341059</v>
      </c>
      <c r="G72" s="3">
        <f t="shared" si="5"/>
        <v>1.9095103622341059</v>
      </c>
      <c r="H72" s="109">
        <f t="shared" si="6"/>
        <v>0</v>
      </c>
      <c r="I72" s="79">
        <f t="shared" si="7"/>
        <v>0</v>
      </c>
      <c r="J72" s="139">
        <f t="shared" si="8"/>
        <v>0</v>
      </c>
      <c r="K72" s="104">
        <f t="shared" si="9"/>
        <v>1.9095103622341059</v>
      </c>
      <c r="L72" s="105">
        <f t="shared" si="10"/>
        <v>0</v>
      </c>
      <c r="M72" s="79">
        <f t="shared" si="11"/>
        <v>0</v>
      </c>
      <c r="N72" s="105">
        <f t="shared" si="12"/>
        <v>0</v>
      </c>
      <c r="O72" s="110"/>
      <c r="P72" s="4">
        <v>30</v>
      </c>
      <c r="Q72" s="5">
        <v>115.72790074146094</v>
      </c>
      <c r="R72" s="2">
        <f t="shared" si="13"/>
        <v>0.67500000000000004</v>
      </c>
      <c r="S72" s="2">
        <f t="shared" si="14"/>
        <v>0.1</v>
      </c>
      <c r="T72" s="106">
        <f t="shared" si="15"/>
        <v>8.7880874625546905</v>
      </c>
      <c r="U72" s="104">
        <f t="shared" si="16"/>
        <v>0.9375</v>
      </c>
      <c r="V72" s="108">
        <f t="shared" si="17"/>
        <v>8.7880874625546905</v>
      </c>
      <c r="W72" s="104">
        <f t="shared" si="18"/>
        <v>3.3708333333333331</v>
      </c>
      <c r="X72" s="107">
        <f t="shared" si="19"/>
        <v>14.131057432598443</v>
      </c>
      <c r="Y72" s="103">
        <f t="shared" si="20"/>
        <v>3.375</v>
      </c>
      <c r="Z72" s="108"/>
      <c r="AA72" s="100">
        <f t="shared" si="21"/>
        <v>9.7510574325984418</v>
      </c>
      <c r="AB72" s="100">
        <f t="shared" si="22"/>
        <v>13.126057432598442</v>
      </c>
      <c r="AC72" s="107">
        <f t="shared" si="23"/>
        <v>9.1546875000000014</v>
      </c>
      <c r="AD72" s="10">
        <f t="shared" si="24"/>
        <v>3.9713699325984404</v>
      </c>
      <c r="AE72" s="56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x14ac:dyDescent="0.2">
      <c r="A73" s="56"/>
      <c r="B73" s="4">
        <v>35</v>
      </c>
      <c r="C73" s="5">
        <v>104.21378169091061</v>
      </c>
      <c r="D73" s="2">
        <f t="shared" si="2"/>
        <v>0.15</v>
      </c>
      <c r="E73" s="2">
        <f t="shared" si="3"/>
        <v>0.1</v>
      </c>
      <c r="F73" s="100">
        <f t="shared" si="4"/>
        <v>1.719527397900025</v>
      </c>
      <c r="G73" s="3">
        <f t="shared" si="5"/>
        <v>1.719527397900025</v>
      </c>
      <c r="H73" s="109">
        <f t="shared" si="6"/>
        <v>0</v>
      </c>
      <c r="I73" s="79">
        <f t="shared" si="7"/>
        <v>0</v>
      </c>
      <c r="J73" s="139">
        <f t="shared" si="8"/>
        <v>0</v>
      </c>
      <c r="K73" s="104">
        <f t="shared" si="9"/>
        <v>1.719527397900025</v>
      </c>
      <c r="L73" s="105">
        <f t="shared" si="10"/>
        <v>0</v>
      </c>
      <c r="M73" s="79">
        <f t="shared" si="11"/>
        <v>0</v>
      </c>
      <c r="N73" s="105">
        <f t="shared" si="12"/>
        <v>0</v>
      </c>
      <c r="O73" s="110"/>
      <c r="P73" s="4">
        <v>35</v>
      </c>
      <c r="Q73" s="5">
        <v>104.21378169091061</v>
      </c>
      <c r="R73" s="2">
        <f t="shared" si="13"/>
        <v>0.67500000000000004</v>
      </c>
      <c r="S73" s="2">
        <f t="shared" si="14"/>
        <v>0.1</v>
      </c>
      <c r="T73" s="106">
        <f t="shared" si="15"/>
        <v>7.9137340471535262</v>
      </c>
      <c r="U73" s="104">
        <f t="shared" si="16"/>
        <v>0.9375</v>
      </c>
      <c r="V73" s="108">
        <f t="shared" si="17"/>
        <v>7.9137340471535262</v>
      </c>
      <c r="W73" s="104">
        <f t="shared" si="18"/>
        <v>3.3708333333333331</v>
      </c>
      <c r="X73" s="107">
        <f t="shared" si="19"/>
        <v>14.650091499022405</v>
      </c>
      <c r="Y73" s="103">
        <f t="shared" si="20"/>
        <v>3.375</v>
      </c>
      <c r="Z73" s="108"/>
      <c r="AA73" s="100">
        <f t="shared" si="21"/>
        <v>9.5400914990224059</v>
      </c>
      <c r="AB73" s="100">
        <f t="shared" si="22"/>
        <v>12.915091499022406</v>
      </c>
      <c r="AC73" s="107">
        <f t="shared" si="23"/>
        <v>9.1546875000000014</v>
      </c>
      <c r="AD73" s="10">
        <f t="shared" si="24"/>
        <v>3.7604039990224045</v>
      </c>
      <c r="AE73" s="56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 x14ac:dyDescent="0.2">
      <c r="A74" s="56"/>
      <c r="B74" s="4">
        <v>40</v>
      </c>
      <c r="C74" s="5">
        <v>95.04428187459672</v>
      </c>
      <c r="D74" s="2">
        <f t="shared" si="2"/>
        <v>0.15</v>
      </c>
      <c r="E74" s="2">
        <f t="shared" si="3"/>
        <v>0.1</v>
      </c>
      <c r="F74" s="100">
        <f t="shared" si="4"/>
        <v>1.5682306509308461</v>
      </c>
      <c r="G74" s="3">
        <f t="shared" si="5"/>
        <v>1.5682306509308461</v>
      </c>
      <c r="H74" s="111">
        <f t="shared" si="6"/>
        <v>0</v>
      </c>
      <c r="I74" s="79">
        <f t="shared" si="7"/>
        <v>0</v>
      </c>
      <c r="J74" s="139">
        <f t="shared" si="8"/>
        <v>0</v>
      </c>
      <c r="K74" s="104">
        <f t="shared" si="9"/>
        <v>1.5682306509308461</v>
      </c>
      <c r="L74" s="105">
        <f t="shared" si="10"/>
        <v>0</v>
      </c>
      <c r="M74" s="79">
        <f t="shared" si="11"/>
        <v>0</v>
      </c>
      <c r="N74" s="105">
        <f t="shared" si="12"/>
        <v>0</v>
      </c>
      <c r="O74" s="110"/>
      <c r="P74" s="4">
        <v>40</v>
      </c>
      <c r="Q74" s="5">
        <v>95.04428187459672</v>
      </c>
      <c r="R74" s="2">
        <f t="shared" si="13"/>
        <v>0.67500000000000004</v>
      </c>
      <c r="S74" s="2">
        <f t="shared" si="14"/>
        <v>0.1</v>
      </c>
      <c r="T74" s="106">
        <f t="shared" si="15"/>
        <v>7.2174251548521902</v>
      </c>
      <c r="U74" s="104">
        <f>IF(($R$52)&lt;T74,($R$52),T74)</f>
        <v>0.9375</v>
      </c>
      <c r="V74" s="108">
        <f t="shared" si="17"/>
        <v>7.2174251548521902</v>
      </c>
      <c r="W74" s="104">
        <f t="shared" si="18"/>
        <v>3.3708333333333331</v>
      </c>
      <c r="X74" s="107">
        <f t="shared" si="19"/>
        <v>15.071820371645257</v>
      </c>
      <c r="Y74" s="103">
        <f t="shared" si="20"/>
        <v>3.375</v>
      </c>
      <c r="Z74" s="108"/>
      <c r="AA74" s="100">
        <f t="shared" si="21"/>
        <v>9.2318203716452576</v>
      </c>
      <c r="AB74" s="100">
        <f t="shared" si="22"/>
        <v>12.606820371645258</v>
      </c>
      <c r="AC74" s="107">
        <f t="shared" si="23"/>
        <v>9.1546875000000014</v>
      </c>
      <c r="AD74" s="10">
        <f t="shared" si="24"/>
        <v>3.4521328716452562</v>
      </c>
      <c r="AE74" s="56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</row>
    <row r="75" spans="1:47" ht="15" customHeight="1" x14ac:dyDescent="0.35">
      <c r="A75" s="56"/>
      <c r="B75" s="4">
        <v>45</v>
      </c>
      <c r="C75" s="5">
        <v>87.548052140696157</v>
      </c>
      <c r="D75" s="2">
        <f t="shared" si="2"/>
        <v>0.15</v>
      </c>
      <c r="E75" s="2">
        <f t="shared" si="3"/>
        <v>0.1</v>
      </c>
      <c r="F75" s="100">
        <f t="shared" si="4"/>
        <v>1.4445428603214869</v>
      </c>
      <c r="G75" s="3">
        <f t="shared" si="5"/>
        <v>1.4445428603214869</v>
      </c>
      <c r="H75" s="111">
        <f t="shared" si="6"/>
        <v>0</v>
      </c>
      <c r="I75" s="79">
        <f t="shared" si="7"/>
        <v>0</v>
      </c>
      <c r="J75" s="139">
        <f t="shared" si="8"/>
        <v>0</v>
      </c>
      <c r="K75" s="104">
        <f t="shared" si="9"/>
        <v>1.4445428603214869</v>
      </c>
      <c r="L75" s="105">
        <f t="shared" si="10"/>
        <v>0</v>
      </c>
      <c r="M75" s="79">
        <f t="shared" si="11"/>
        <v>0</v>
      </c>
      <c r="N75" s="105">
        <f t="shared" si="12"/>
        <v>0</v>
      </c>
      <c r="O75" s="110"/>
      <c r="P75" s="4">
        <v>45</v>
      </c>
      <c r="Q75" s="5">
        <v>87.548052140696157</v>
      </c>
      <c r="R75" s="2">
        <f t="shared" si="13"/>
        <v>0.67500000000000004</v>
      </c>
      <c r="S75" s="2">
        <f t="shared" si="14"/>
        <v>0.1</v>
      </c>
      <c r="T75" s="106">
        <f t="shared" si="15"/>
        <v>6.6481802094341154</v>
      </c>
      <c r="U75" s="104">
        <f t="shared" si="16"/>
        <v>0.9375</v>
      </c>
      <c r="V75" s="108">
        <f t="shared" si="17"/>
        <v>6.6481802094341154</v>
      </c>
      <c r="W75" s="104">
        <f t="shared" si="18"/>
        <v>3.3708333333333331</v>
      </c>
      <c r="X75" s="107">
        <f t="shared" si="19"/>
        <v>15.418836565472111</v>
      </c>
      <c r="Y75" s="103">
        <f t="shared" si="20"/>
        <v>3.375</v>
      </c>
      <c r="Z75" s="108"/>
      <c r="AA75" s="100">
        <f t="shared" si="21"/>
        <v>8.8488365654721122</v>
      </c>
      <c r="AB75" s="100">
        <f t="shared" si="22"/>
        <v>12.223836565472112</v>
      </c>
      <c r="AC75" s="107">
        <f t="shared" si="23"/>
        <v>9.1546875000000014</v>
      </c>
      <c r="AD75" s="10">
        <f t="shared" si="24"/>
        <v>3.0691490654721107</v>
      </c>
      <c r="AE75" s="56"/>
      <c r="AF75" s="49" t="s">
        <v>225</v>
      </c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</row>
    <row r="76" spans="1:47" x14ac:dyDescent="0.2">
      <c r="A76" s="56"/>
      <c r="B76" s="4">
        <v>50</v>
      </c>
      <c r="C76" s="5">
        <v>81.29116742479097</v>
      </c>
      <c r="D76" s="2">
        <f t="shared" si="2"/>
        <v>0.15</v>
      </c>
      <c r="E76" s="2">
        <f t="shared" si="3"/>
        <v>0.1</v>
      </c>
      <c r="F76" s="100">
        <f t="shared" si="4"/>
        <v>1.3413042625090512</v>
      </c>
      <c r="G76" s="3">
        <f t="shared" si="5"/>
        <v>1.3413042625090512</v>
      </c>
      <c r="H76" s="111">
        <f t="shared" si="6"/>
        <v>0</v>
      </c>
      <c r="I76" s="79">
        <f t="shared" si="7"/>
        <v>0</v>
      </c>
      <c r="J76" s="139">
        <f t="shared" si="8"/>
        <v>0</v>
      </c>
      <c r="K76" s="104">
        <f t="shared" si="9"/>
        <v>1.3413042625090512</v>
      </c>
      <c r="L76" s="105">
        <f t="shared" si="10"/>
        <v>0</v>
      </c>
      <c r="M76" s="79">
        <f t="shared" si="11"/>
        <v>0</v>
      </c>
      <c r="N76" s="105">
        <f t="shared" si="12"/>
        <v>0</v>
      </c>
      <c r="O76" s="110"/>
      <c r="P76" s="4">
        <v>50</v>
      </c>
      <c r="Q76" s="5">
        <v>81.29116742479097</v>
      </c>
      <c r="R76" s="2">
        <f t="shared" si="13"/>
        <v>0.67500000000000004</v>
      </c>
      <c r="S76" s="2">
        <f t="shared" si="14"/>
        <v>0.1</v>
      </c>
      <c r="T76" s="106">
        <f t="shared" si="15"/>
        <v>6.1730480263200667</v>
      </c>
      <c r="U76" s="104">
        <f t="shared" si="16"/>
        <v>0.9375</v>
      </c>
      <c r="V76" s="108">
        <f t="shared" si="17"/>
        <v>6.1730480263200667</v>
      </c>
      <c r="W76" s="104">
        <f t="shared" si="18"/>
        <v>3.3708333333333331</v>
      </c>
      <c r="X76" s="107">
        <f t="shared" si="19"/>
        <v>15.706644078960201</v>
      </c>
      <c r="Y76" s="103">
        <f t="shared" si="20"/>
        <v>3.375</v>
      </c>
      <c r="Z76" s="108"/>
      <c r="AA76" s="100">
        <f t="shared" si="21"/>
        <v>8.4066440789602002</v>
      </c>
      <c r="AB76" s="100">
        <f t="shared" si="22"/>
        <v>11.7816440789602</v>
      </c>
      <c r="AC76" s="107">
        <f t="shared" si="23"/>
        <v>9.1546875000000014</v>
      </c>
      <c r="AD76" s="10">
        <f t="shared" si="24"/>
        <v>2.6269565789601987</v>
      </c>
      <c r="AE76" s="56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</row>
    <row r="77" spans="1:47" x14ac:dyDescent="0.2">
      <c r="A77" s="56"/>
      <c r="B77" s="4">
        <v>55</v>
      </c>
      <c r="C77" s="5">
        <v>75.979950000419706</v>
      </c>
      <c r="D77" s="2">
        <f t="shared" si="2"/>
        <v>0.15</v>
      </c>
      <c r="E77" s="2">
        <f t="shared" si="3"/>
        <v>0.1</v>
      </c>
      <c r="F77" s="100">
        <f t="shared" si="4"/>
        <v>1.2536691750069253</v>
      </c>
      <c r="G77" s="3">
        <f t="shared" si="5"/>
        <v>1.2536691750069253</v>
      </c>
      <c r="H77" s="111">
        <f t="shared" si="6"/>
        <v>0</v>
      </c>
      <c r="I77" s="79">
        <f t="shared" si="7"/>
        <v>0</v>
      </c>
      <c r="J77" s="139">
        <f t="shared" si="8"/>
        <v>0</v>
      </c>
      <c r="K77" s="104">
        <f t="shared" si="9"/>
        <v>1.2536691750069253</v>
      </c>
      <c r="L77" s="105">
        <f t="shared" si="10"/>
        <v>0</v>
      </c>
      <c r="M77" s="79">
        <f t="shared" si="11"/>
        <v>0</v>
      </c>
      <c r="N77" s="105">
        <f t="shared" si="12"/>
        <v>0</v>
      </c>
      <c r="O77" s="110"/>
      <c r="P77" s="4">
        <v>55</v>
      </c>
      <c r="Q77" s="5">
        <v>75.979950000419706</v>
      </c>
      <c r="R77" s="2">
        <f t="shared" si="13"/>
        <v>0.67500000000000004</v>
      </c>
      <c r="S77" s="2">
        <f t="shared" si="14"/>
        <v>0.1</v>
      </c>
      <c r="T77" s="106">
        <f t="shared" si="15"/>
        <v>5.7697274531568725</v>
      </c>
      <c r="U77" s="104">
        <f t="shared" si="16"/>
        <v>0.9375</v>
      </c>
      <c r="V77" s="108">
        <f t="shared" si="17"/>
        <v>5.7697274531568725</v>
      </c>
      <c r="W77" s="104">
        <f t="shared" si="18"/>
        <v>3.3708333333333331</v>
      </c>
      <c r="X77" s="107">
        <f t="shared" si="19"/>
        <v>15.94635059541768</v>
      </c>
      <c r="Y77" s="103">
        <f t="shared" si="20"/>
        <v>3.375</v>
      </c>
      <c r="Z77" s="108"/>
      <c r="AA77" s="100">
        <f t="shared" si="21"/>
        <v>7.91635059541768</v>
      </c>
      <c r="AB77" s="100">
        <f t="shared" si="22"/>
        <v>11.291350595417679</v>
      </c>
      <c r="AC77" s="107">
        <f t="shared" si="23"/>
        <v>9.1546875000000014</v>
      </c>
      <c r="AD77" s="10">
        <f t="shared" si="24"/>
        <v>2.1366630954176777</v>
      </c>
      <c r="AE77" s="56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</row>
    <row r="78" spans="1:47" x14ac:dyDescent="0.2">
      <c r="A78" s="56"/>
      <c r="B78" s="4">
        <v>60</v>
      </c>
      <c r="C78" s="5">
        <v>71.40810368831832</v>
      </c>
      <c r="D78" s="2">
        <f t="shared" si="2"/>
        <v>0.15</v>
      </c>
      <c r="E78" s="2">
        <f t="shared" si="3"/>
        <v>0.1</v>
      </c>
      <c r="F78" s="100">
        <f t="shared" si="4"/>
        <v>1.1782337108572525</v>
      </c>
      <c r="G78" s="3">
        <f t="shared" si="5"/>
        <v>1.1782337108572525</v>
      </c>
      <c r="H78" s="111">
        <f t="shared" si="6"/>
        <v>0</v>
      </c>
      <c r="I78" s="79">
        <f t="shared" si="7"/>
        <v>0</v>
      </c>
      <c r="J78" s="139">
        <f t="shared" si="8"/>
        <v>0</v>
      </c>
      <c r="K78" s="104">
        <f t="shared" si="9"/>
        <v>1.1782337108572525</v>
      </c>
      <c r="L78" s="105">
        <f t="shared" si="10"/>
        <v>0</v>
      </c>
      <c r="M78" s="79">
        <f t="shared" si="11"/>
        <v>0</v>
      </c>
      <c r="N78" s="105">
        <f t="shared" si="12"/>
        <v>0</v>
      </c>
      <c r="O78" s="110"/>
      <c r="P78" s="4">
        <v>60</v>
      </c>
      <c r="Q78" s="5">
        <v>71.40810368831832</v>
      </c>
      <c r="R78" s="2">
        <f t="shared" si="13"/>
        <v>0.67500000000000004</v>
      </c>
      <c r="S78" s="2">
        <f t="shared" si="14"/>
        <v>0.1</v>
      </c>
      <c r="T78" s="106">
        <f t="shared" si="15"/>
        <v>5.4225528738316733</v>
      </c>
      <c r="U78" s="104">
        <f t="shared" si="16"/>
        <v>0.9375</v>
      </c>
      <c r="V78" s="108">
        <f t="shared" si="17"/>
        <v>5.4225528738316733</v>
      </c>
      <c r="W78" s="104">
        <f t="shared" si="18"/>
        <v>3.3708333333333331</v>
      </c>
      <c r="X78" s="107">
        <f t="shared" si="19"/>
        <v>16.146190345794025</v>
      </c>
      <c r="Y78" s="103">
        <f t="shared" si="20"/>
        <v>3.375</v>
      </c>
      <c r="Z78" s="108"/>
      <c r="AA78" s="100">
        <f t="shared" si="21"/>
        <v>7.3861903457940246</v>
      </c>
      <c r="AB78" s="100">
        <f t="shared" si="22"/>
        <v>10.761190345794024</v>
      </c>
      <c r="AC78" s="107">
        <f t="shared" si="23"/>
        <v>9.1546875000000014</v>
      </c>
      <c r="AD78" s="10">
        <f t="shared" si="24"/>
        <v>1.6065028457940222</v>
      </c>
      <c r="AE78" s="56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</row>
    <row r="79" spans="1:47" x14ac:dyDescent="0.2">
      <c r="A79" s="56"/>
      <c r="B79" s="4">
        <v>70</v>
      </c>
      <c r="C79" s="5">
        <v>63.923154665703898</v>
      </c>
      <c r="D79" s="2">
        <f t="shared" si="2"/>
        <v>0.15</v>
      </c>
      <c r="E79" s="2">
        <f t="shared" si="3"/>
        <v>0.1</v>
      </c>
      <c r="F79" s="100">
        <f t="shared" si="4"/>
        <v>1.0547320519841143</v>
      </c>
      <c r="G79" s="3">
        <f t="shared" si="5"/>
        <v>1.0547320519841143</v>
      </c>
      <c r="H79" s="111">
        <f t="shared" si="6"/>
        <v>0</v>
      </c>
      <c r="I79" s="79">
        <f t="shared" si="7"/>
        <v>0</v>
      </c>
      <c r="J79" s="139">
        <f t="shared" si="8"/>
        <v>0</v>
      </c>
      <c r="K79" s="104">
        <f t="shared" si="9"/>
        <v>1.0547320519841143</v>
      </c>
      <c r="L79" s="105">
        <f t="shared" si="10"/>
        <v>0</v>
      </c>
      <c r="M79" s="79">
        <f t="shared" si="11"/>
        <v>0</v>
      </c>
      <c r="N79" s="105">
        <f t="shared" si="12"/>
        <v>0</v>
      </c>
      <c r="O79" s="110"/>
      <c r="P79" s="4">
        <v>70</v>
      </c>
      <c r="Q79" s="5">
        <v>63.923154665703898</v>
      </c>
      <c r="R79" s="2">
        <f t="shared" si="13"/>
        <v>0.67500000000000004</v>
      </c>
      <c r="S79" s="2">
        <f t="shared" si="14"/>
        <v>0.1</v>
      </c>
      <c r="T79" s="106">
        <f t="shared" si="15"/>
        <v>4.8541645574268895</v>
      </c>
      <c r="U79" s="104">
        <f t="shared" si="16"/>
        <v>0.9375</v>
      </c>
      <c r="V79" s="108">
        <f t="shared" si="17"/>
        <v>4.8541645574268895</v>
      </c>
      <c r="W79" s="104">
        <f t="shared" si="18"/>
        <v>3.3708333333333331</v>
      </c>
      <c r="X79" s="107">
        <f t="shared" si="19"/>
        <v>16.449991141192935</v>
      </c>
      <c r="Y79" s="103">
        <f t="shared" si="20"/>
        <v>3.375</v>
      </c>
      <c r="Z79" s="108"/>
      <c r="AA79" s="100">
        <f t="shared" si="21"/>
        <v>6.2299911411929374</v>
      </c>
      <c r="AB79" s="100">
        <f t="shared" si="22"/>
        <v>9.6049911411929365</v>
      </c>
      <c r="AC79" s="107">
        <f t="shared" si="23"/>
        <v>9.1546875000000014</v>
      </c>
      <c r="AD79" s="10">
        <f t="shared" si="24"/>
        <v>0.45030364119293509</v>
      </c>
      <c r="AE79" s="56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</row>
    <row r="80" spans="1:47" x14ac:dyDescent="0.2">
      <c r="A80" s="56"/>
      <c r="B80" s="4">
        <v>80</v>
      </c>
      <c r="C80" s="5">
        <v>58.035189116123156</v>
      </c>
      <c r="D80" s="2">
        <f t="shared" si="2"/>
        <v>0.15</v>
      </c>
      <c r="E80" s="2">
        <f t="shared" si="3"/>
        <v>0.1</v>
      </c>
      <c r="F80" s="100">
        <f t="shared" si="4"/>
        <v>0.95758062041603209</v>
      </c>
      <c r="G80" s="3">
        <f t="shared" si="5"/>
        <v>0.95758062041603209</v>
      </c>
      <c r="H80" s="111">
        <f t="shared" si="6"/>
        <v>0</v>
      </c>
      <c r="I80" s="79">
        <f t="shared" si="7"/>
        <v>0</v>
      </c>
      <c r="J80" s="139">
        <f t="shared" si="8"/>
        <v>0</v>
      </c>
      <c r="K80" s="104">
        <f t="shared" si="9"/>
        <v>0.95758062041603209</v>
      </c>
      <c r="L80" s="105">
        <f t="shared" si="10"/>
        <v>0</v>
      </c>
      <c r="M80" s="79">
        <f t="shared" si="11"/>
        <v>0</v>
      </c>
      <c r="N80" s="105">
        <f t="shared" si="12"/>
        <v>0</v>
      </c>
      <c r="O80" s="110"/>
      <c r="P80" s="4">
        <v>80</v>
      </c>
      <c r="Q80" s="5">
        <v>58.035189116123156</v>
      </c>
      <c r="R80" s="2">
        <f t="shared" si="13"/>
        <v>0.67500000000000004</v>
      </c>
      <c r="S80" s="2">
        <f t="shared" si="14"/>
        <v>0.1</v>
      </c>
      <c r="T80" s="106">
        <f t="shared" si="15"/>
        <v>4.4070471735056032</v>
      </c>
      <c r="U80" s="104">
        <f t="shared" si="16"/>
        <v>0.9375</v>
      </c>
      <c r="V80" s="108">
        <f t="shared" si="17"/>
        <v>4.4070471735056032</v>
      </c>
      <c r="W80" s="104">
        <f t="shared" si="18"/>
        <v>3.3708333333333331</v>
      </c>
      <c r="X80" s="107">
        <f t="shared" si="19"/>
        <v>16.653826432826897</v>
      </c>
      <c r="Y80" s="103">
        <f t="shared" si="20"/>
        <v>3.375</v>
      </c>
      <c r="Z80" s="108"/>
      <c r="AA80" s="100">
        <f t="shared" si="21"/>
        <v>4.973826432826896</v>
      </c>
      <c r="AB80" s="100">
        <f t="shared" si="22"/>
        <v>8.3488264328268968</v>
      </c>
      <c r="AC80" s="107">
        <f t="shared" si="23"/>
        <v>9.1546875000000014</v>
      </c>
      <c r="AD80" s="10">
        <f t="shared" si="24"/>
        <v>0</v>
      </c>
      <c r="AE80" s="56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 x14ac:dyDescent="0.2">
      <c r="A81" s="56"/>
      <c r="B81" s="4">
        <v>90</v>
      </c>
      <c r="C81" s="5">
        <v>53.2684870840081</v>
      </c>
      <c r="D81" s="2">
        <f t="shared" si="2"/>
        <v>0.15</v>
      </c>
      <c r="E81" s="2">
        <f t="shared" si="3"/>
        <v>0.1</v>
      </c>
      <c r="F81" s="100">
        <f t="shared" si="4"/>
        <v>0.8789300368861338</v>
      </c>
      <c r="G81" s="3">
        <f t="shared" si="5"/>
        <v>0.8789300368861338</v>
      </c>
      <c r="H81" s="111">
        <f t="shared" si="6"/>
        <v>0</v>
      </c>
      <c r="I81" s="79">
        <f t="shared" si="7"/>
        <v>0</v>
      </c>
      <c r="J81" s="139">
        <f t="shared" si="8"/>
        <v>0</v>
      </c>
      <c r="K81" s="104">
        <f t="shared" si="9"/>
        <v>0.8789300368861338</v>
      </c>
      <c r="L81" s="105">
        <f t="shared" si="10"/>
        <v>0</v>
      </c>
      <c r="M81" s="79">
        <f t="shared" si="11"/>
        <v>0</v>
      </c>
      <c r="N81" s="105">
        <f t="shared" si="12"/>
        <v>0</v>
      </c>
      <c r="O81" s="110"/>
      <c r="P81" s="4">
        <v>90</v>
      </c>
      <c r="Q81" s="5">
        <v>53.2684870840081</v>
      </c>
      <c r="R81" s="2">
        <f t="shared" si="13"/>
        <v>0.67500000000000004</v>
      </c>
      <c r="S81" s="2">
        <f t="shared" si="14"/>
        <v>0.1</v>
      </c>
      <c r="T81" s="106">
        <f t="shared" si="15"/>
        <v>4.0450757379418656</v>
      </c>
      <c r="U81" s="104">
        <f t="shared" si="16"/>
        <v>0.9375</v>
      </c>
      <c r="V81" s="108">
        <f t="shared" si="17"/>
        <v>4.0450757379418656</v>
      </c>
      <c r="W81" s="104">
        <f t="shared" si="18"/>
        <v>3.3708333333333331</v>
      </c>
      <c r="X81" s="107">
        <f t="shared" si="19"/>
        <v>16.780908984886075</v>
      </c>
      <c r="Y81" s="103">
        <f t="shared" si="20"/>
        <v>3.375</v>
      </c>
      <c r="Z81" s="108"/>
      <c r="AA81" s="100">
        <f t="shared" si="21"/>
        <v>3.6409089848860754</v>
      </c>
      <c r="AB81" s="100">
        <f t="shared" si="22"/>
        <v>7.0159089848860754</v>
      </c>
      <c r="AC81" s="107">
        <f t="shared" si="23"/>
        <v>9.1546875000000014</v>
      </c>
      <c r="AD81" s="10">
        <f t="shared" si="24"/>
        <v>0</v>
      </c>
      <c r="AE81" s="56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 x14ac:dyDescent="0.2">
      <c r="A82" s="56"/>
      <c r="B82" s="4">
        <v>100</v>
      </c>
      <c r="C82" s="5">
        <v>49.32163055780719</v>
      </c>
      <c r="D82" s="2">
        <f t="shared" si="2"/>
        <v>0.15</v>
      </c>
      <c r="E82" s="2">
        <f t="shared" si="3"/>
        <v>0.1</v>
      </c>
      <c r="F82" s="100">
        <f t="shared" si="4"/>
        <v>0.81380690420381874</v>
      </c>
      <c r="G82" s="3">
        <f t="shared" si="5"/>
        <v>0.81380690420381874</v>
      </c>
      <c r="H82" s="111">
        <f t="shared" si="6"/>
        <v>0</v>
      </c>
      <c r="I82" s="79">
        <f t="shared" si="7"/>
        <v>0</v>
      </c>
      <c r="J82" s="139">
        <f t="shared" si="8"/>
        <v>0</v>
      </c>
      <c r="K82" s="104">
        <f t="shared" si="9"/>
        <v>0.81380690420381874</v>
      </c>
      <c r="L82" s="105">
        <f t="shared" si="10"/>
        <v>0</v>
      </c>
      <c r="M82" s="79">
        <f t="shared" si="11"/>
        <v>0</v>
      </c>
      <c r="N82" s="105">
        <f t="shared" si="12"/>
        <v>0</v>
      </c>
      <c r="O82" s="110"/>
      <c r="P82" s="4">
        <v>100</v>
      </c>
      <c r="Q82" s="5">
        <v>49.32163055780719</v>
      </c>
      <c r="R82" s="2">
        <f t="shared" si="13"/>
        <v>0.67500000000000004</v>
      </c>
      <c r="S82" s="2">
        <f t="shared" si="14"/>
        <v>0.1</v>
      </c>
      <c r="T82" s="106">
        <f t="shared" si="15"/>
        <v>3.7453613204834841</v>
      </c>
      <c r="U82" s="104">
        <f t="shared" si="16"/>
        <v>0.9375</v>
      </c>
      <c r="V82" s="108">
        <f t="shared" si="17"/>
        <v>3.7453613204834841</v>
      </c>
      <c r="W82" s="104">
        <f t="shared" si="18"/>
        <v>3.3708333333333331</v>
      </c>
      <c r="X82" s="107">
        <f t="shared" si="19"/>
        <v>16.847167922900905</v>
      </c>
      <c r="Y82" s="103">
        <f t="shared" si="20"/>
        <v>3.375</v>
      </c>
      <c r="Z82" s="108"/>
      <c r="AA82" s="100">
        <f t="shared" si="21"/>
        <v>2.2471679229009061</v>
      </c>
      <c r="AB82" s="100">
        <f t="shared" si="22"/>
        <v>5.6221679229009061</v>
      </c>
      <c r="AC82" s="107">
        <f t="shared" si="23"/>
        <v>9.1546875000000014</v>
      </c>
      <c r="AD82" s="10">
        <f t="shared" si="24"/>
        <v>0</v>
      </c>
      <c r="AE82" s="56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 x14ac:dyDescent="0.2">
      <c r="A83" s="56"/>
      <c r="B83" s="4">
        <v>110</v>
      </c>
      <c r="C83" s="5">
        <v>45.993795103211802</v>
      </c>
      <c r="D83" s="2">
        <f t="shared" si="2"/>
        <v>0.15</v>
      </c>
      <c r="E83" s="2">
        <f t="shared" si="3"/>
        <v>0.1</v>
      </c>
      <c r="F83" s="100">
        <f t="shared" si="4"/>
        <v>0.7588976192029947</v>
      </c>
      <c r="G83" s="3">
        <f t="shared" si="5"/>
        <v>0.7588976192029947</v>
      </c>
      <c r="H83" s="111">
        <f t="shared" si="6"/>
        <v>0</v>
      </c>
      <c r="I83" s="79">
        <f t="shared" si="7"/>
        <v>0</v>
      </c>
      <c r="J83" s="139">
        <f t="shared" si="8"/>
        <v>0</v>
      </c>
      <c r="K83" s="104">
        <f t="shared" si="9"/>
        <v>0.7588976192029947</v>
      </c>
      <c r="L83" s="105">
        <f t="shared" si="10"/>
        <v>0</v>
      </c>
      <c r="M83" s="79">
        <f t="shared" si="11"/>
        <v>0</v>
      </c>
      <c r="N83" s="105">
        <f t="shared" si="12"/>
        <v>0</v>
      </c>
      <c r="O83" s="110"/>
      <c r="P83" s="4">
        <v>110</v>
      </c>
      <c r="Q83" s="5">
        <v>45.993795103211802</v>
      </c>
      <c r="R83" s="2">
        <f t="shared" si="13"/>
        <v>0.67500000000000004</v>
      </c>
      <c r="S83" s="2">
        <f t="shared" si="14"/>
        <v>0.1</v>
      </c>
      <c r="T83" s="106">
        <f t="shared" si="15"/>
        <v>3.4926538156501472</v>
      </c>
      <c r="U83" s="104">
        <f t="shared" si="16"/>
        <v>0.9375</v>
      </c>
      <c r="V83" s="108">
        <f t="shared" si="17"/>
        <v>3.4926538156501472</v>
      </c>
      <c r="W83" s="104">
        <f t="shared" si="18"/>
        <v>3.3708333333333331</v>
      </c>
      <c r="X83" s="107">
        <f t="shared" si="19"/>
        <v>16.864015183290974</v>
      </c>
      <c r="Y83" s="103">
        <f t="shared" si="20"/>
        <v>3.375</v>
      </c>
      <c r="Z83" s="108"/>
      <c r="AA83" s="100">
        <f t="shared" si="21"/>
        <v>0.80401518329097288</v>
      </c>
      <c r="AB83" s="100">
        <f t="shared" si="22"/>
        <v>4.1790151832909732</v>
      </c>
      <c r="AC83" s="107">
        <f t="shared" si="23"/>
        <v>9.1546875000000014</v>
      </c>
      <c r="AD83" s="10">
        <f t="shared" si="24"/>
        <v>0</v>
      </c>
      <c r="AE83" s="56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x14ac:dyDescent="0.2">
      <c r="A84" s="56"/>
      <c r="B84" s="4">
        <v>120</v>
      </c>
      <c r="C84" s="5">
        <v>43.145697901803501</v>
      </c>
      <c r="D84" s="2">
        <f t="shared" si="2"/>
        <v>0.15</v>
      </c>
      <c r="E84" s="2">
        <f t="shared" si="3"/>
        <v>0.1</v>
      </c>
      <c r="F84" s="100">
        <f t="shared" si="4"/>
        <v>0.71190401537975789</v>
      </c>
      <c r="G84" s="3">
        <f t="shared" si="5"/>
        <v>0.71190401537975789</v>
      </c>
      <c r="H84" s="111">
        <f t="shared" si="6"/>
        <v>0</v>
      </c>
      <c r="I84" s="79">
        <f t="shared" si="7"/>
        <v>0</v>
      </c>
      <c r="J84" s="139">
        <f t="shared" si="8"/>
        <v>0</v>
      </c>
      <c r="K84" s="104">
        <f t="shared" si="9"/>
        <v>0.71190401537975789</v>
      </c>
      <c r="L84" s="105">
        <f t="shared" si="10"/>
        <v>0</v>
      </c>
      <c r="M84" s="79">
        <f t="shared" si="11"/>
        <v>0</v>
      </c>
      <c r="N84" s="105">
        <f t="shared" si="12"/>
        <v>0</v>
      </c>
      <c r="O84" s="110"/>
      <c r="P84" s="4">
        <v>120</v>
      </c>
      <c r="Q84" s="5">
        <v>43.145697901803501</v>
      </c>
      <c r="R84" s="2">
        <f t="shared" si="13"/>
        <v>0.67500000000000004</v>
      </c>
      <c r="S84" s="2">
        <f t="shared" si="14"/>
        <v>0.1</v>
      </c>
      <c r="T84" s="106">
        <f t="shared" si="15"/>
        <v>3.2763764344182036</v>
      </c>
      <c r="U84" s="104">
        <f t="shared" si="16"/>
        <v>0.9375</v>
      </c>
      <c r="V84" s="108">
        <f t="shared" si="17"/>
        <v>3.2763764344182036</v>
      </c>
      <c r="W84" s="104">
        <f t="shared" si="18"/>
        <v>3.2763764344182036</v>
      </c>
      <c r="X84" s="107">
        <f t="shared" si="19"/>
        <v>16.839910327811069</v>
      </c>
      <c r="Y84" s="103">
        <f t="shared" si="20"/>
        <v>3.375</v>
      </c>
      <c r="Z84" s="108"/>
      <c r="AA84" s="100">
        <f t="shared" si="21"/>
        <v>0</v>
      </c>
      <c r="AB84" s="100">
        <f t="shared" si="22"/>
        <v>3.375</v>
      </c>
      <c r="AC84" s="107">
        <f t="shared" si="23"/>
        <v>9.1546875000000014</v>
      </c>
      <c r="AD84" s="10">
        <f t="shared" si="24"/>
        <v>0</v>
      </c>
      <c r="AE84" s="56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 x14ac:dyDescent="0.2">
      <c r="A85" s="56"/>
      <c r="B85" s="4">
        <v>140</v>
      </c>
      <c r="C85" s="5">
        <v>38.515719133987226</v>
      </c>
      <c r="D85" s="2">
        <f t="shared" si="2"/>
        <v>0.15</v>
      </c>
      <c r="E85" s="2">
        <f t="shared" si="3"/>
        <v>0.1</v>
      </c>
      <c r="F85" s="100">
        <f t="shared" si="4"/>
        <v>0.63550936571078931</v>
      </c>
      <c r="G85" s="3">
        <f t="shared" si="5"/>
        <v>0.63550936571078931</v>
      </c>
      <c r="H85" s="111">
        <f t="shared" si="6"/>
        <v>0</v>
      </c>
      <c r="I85" s="79">
        <f t="shared" si="7"/>
        <v>0</v>
      </c>
      <c r="J85" s="139">
        <f t="shared" si="8"/>
        <v>0</v>
      </c>
      <c r="K85" s="104">
        <f t="shared" si="9"/>
        <v>0.63550936571078931</v>
      </c>
      <c r="L85" s="105">
        <f t="shared" si="10"/>
        <v>0</v>
      </c>
      <c r="M85" s="79">
        <f t="shared" si="11"/>
        <v>0</v>
      </c>
      <c r="N85" s="105">
        <f t="shared" si="12"/>
        <v>0</v>
      </c>
      <c r="O85" s="110"/>
      <c r="P85" s="4">
        <v>140</v>
      </c>
      <c r="Q85" s="5">
        <v>38.515719133987226</v>
      </c>
      <c r="R85" s="2">
        <f t="shared" si="13"/>
        <v>0.67500000000000004</v>
      </c>
      <c r="S85" s="2">
        <f t="shared" si="14"/>
        <v>0.1</v>
      </c>
      <c r="T85" s="106">
        <f t="shared" si="15"/>
        <v>2.9247874217371557</v>
      </c>
      <c r="U85" s="104">
        <f t="shared" si="16"/>
        <v>0.9375</v>
      </c>
      <c r="V85" s="108">
        <f t="shared" si="17"/>
        <v>2.9247874217371557</v>
      </c>
      <c r="W85" s="104">
        <f t="shared" si="18"/>
        <v>2.9247874217371557</v>
      </c>
      <c r="X85" s="107">
        <f t="shared" si="19"/>
        <v>16.693214342592107</v>
      </c>
      <c r="Y85" s="103">
        <f t="shared" si="20"/>
        <v>3.375</v>
      </c>
      <c r="Z85" s="108"/>
      <c r="AA85" s="100">
        <f t="shared" si="21"/>
        <v>0</v>
      </c>
      <c r="AB85" s="100">
        <f t="shared" si="22"/>
        <v>3.375</v>
      </c>
      <c r="AC85" s="107">
        <f t="shared" si="23"/>
        <v>9.1546875000000014</v>
      </c>
      <c r="AD85" s="10">
        <f t="shared" si="24"/>
        <v>0</v>
      </c>
      <c r="AE85" s="56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</row>
    <row r="86" spans="1:47" x14ac:dyDescent="0.2">
      <c r="A86" s="56"/>
      <c r="B86" s="4">
        <v>160</v>
      </c>
      <c r="C86" s="5">
        <v>34.902383034480827</v>
      </c>
      <c r="D86" s="2">
        <f t="shared" si="2"/>
        <v>0.15</v>
      </c>
      <c r="E86" s="2">
        <f t="shared" si="3"/>
        <v>0.1</v>
      </c>
      <c r="F86" s="100">
        <f t="shared" si="4"/>
        <v>0.57588932006893367</v>
      </c>
      <c r="G86" s="3">
        <f t="shared" si="5"/>
        <v>0.57588932006893367</v>
      </c>
      <c r="H86" s="111">
        <f t="shared" si="6"/>
        <v>0</v>
      </c>
      <c r="I86" s="79">
        <f t="shared" si="7"/>
        <v>0</v>
      </c>
      <c r="J86" s="139">
        <f t="shared" si="8"/>
        <v>0</v>
      </c>
      <c r="K86" s="104">
        <f t="shared" si="9"/>
        <v>0.57588932006893367</v>
      </c>
      <c r="L86" s="105">
        <f t="shared" si="10"/>
        <v>0</v>
      </c>
      <c r="M86" s="79">
        <f t="shared" si="11"/>
        <v>0</v>
      </c>
      <c r="N86" s="105">
        <f t="shared" si="12"/>
        <v>0</v>
      </c>
      <c r="O86" s="110"/>
      <c r="P86" s="4">
        <v>160</v>
      </c>
      <c r="Q86" s="5">
        <v>34.902383034480827</v>
      </c>
      <c r="R86" s="2">
        <f t="shared" si="13"/>
        <v>0.67500000000000004</v>
      </c>
      <c r="S86" s="2">
        <f t="shared" si="14"/>
        <v>0.1</v>
      </c>
      <c r="T86" s="106">
        <f t="shared" si="15"/>
        <v>2.6503997116808882</v>
      </c>
      <c r="U86" s="104">
        <f t="shared" si="16"/>
        <v>0.9375</v>
      </c>
      <c r="V86" s="108">
        <f t="shared" si="17"/>
        <v>2.6503997116808882</v>
      </c>
      <c r="W86" s="104">
        <f t="shared" si="18"/>
        <v>2.6503997116808882</v>
      </c>
      <c r="X86" s="107">
        <f t="shared" si="19"/>
        <v>16.443837232136527</v>
      </c>
      <c r="Y86" s="103">
        <f t="shared" si="20"/>
        <v>3.375</v>
      </c>
      <c r="Z86" s="108"/>
      <c r="AA86" s="100">
        <f t="shared" si="21"/>
        <v>0</v>
      </c>
      <c r="AB86" s="100">
        <f t="shared" si="22"/>
        <v>3.375</v>
      </c>
      <c r="AC86" s="107">
        <f t="shared" si="23"/>
        <v>9.1546875000000014</v>
      </c>
      <c r="AD86" s="10">
        <f t="shared" si="24"/>
        <v>0</v>
      </c>
      <c r="AE86" s="56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</row>
    <row r="87" spans="1:47" x14ac:dyDescent="0.2">
      <c r="A87" s="56"/>
      <c r="B87" s="4">
        <v>180</v>
      </c>
      <c r="C87" s="5">
        <v>31.995884680986709</v>
      </c>
      <c r="D87" s="2">
        <f t="shared" si="2"/>
        <v>0.15</v>
      </c>
      <c r="E87" s="2">
        <f t="shared" si="3"/>
        <v>0.1</v>
      </c>
      <c r="F87" s="100">
        <f t="shared" si="4"/>
        <v>0.52793209723628076</v>
      </c>
      <c r="G87" s="3">
        <f t="shared" si="5"/>
        <v>0.52793209723628076</v>
      </c>
      <c r="H87" s="111">
        <f t="shared" si="6"/>
        <v>0</v>
      </c>
      <c r="I87" s="79">
        <f t="shared" si="7"/>
        <v>0</v>
      </c>
      <c r="J87" s="139">
        <f t="shared" si="8"/>
        <v>0</v>
      </c>
      <c r="K87" s="104">
        <f t="shared" si="9"/>
        <v>0.52793209723628076</v>
      </c>
      <c r="L87" s="105">
        <f t="shared" si="10"/>
        <v>0</v>
      </c>
      <c r="M87" s="79">
        <f t="shared" si="11"/>
        <v>0</v>
      </c>
      <c r="N87" s="105">
        <f t="shared" si="12"/>
        <v>0</v>
      </c>
      <c r="O87" s="110"/>
      <c r="P87" s="4">
        <v>180</v>
      </c>
      <c r="Q87" s="5">
        <v>31.995884680986709</v>
      </c>
      <c r="R87" s="2">
        <f t="shared" si="13"/>
        <v>0.67500000000000004</v>
      </c>
      <c r="S87" s="2">
        <f t="shared" si="14"/>
        <v>0.1</v>
      </c>
      <c r="T87" s="106">
        <f t="shared" si="15"/>
        <v>2.4296874929624281</v>
      </c>
      <c r="U87" s="104">
        <f t="shared" si="16"/>
        <v>0.9375</v>
      </c>
      <c r="V87" s="108">
        <f t="shared" si="17"/>
        <v>2.4296874929624281</v>
      </c>
      <c r="W87" s="104">
        <f t="shared" si="18"/>
        <v>2.4296874929624281</v>
      </c>
      <c r="X87" s="107">
        <f t="shared" si="19"/>
        <v>16.115624923994226</v>
      </c>
      <c r="Y87" s="103">
        <f t="shared" si="20"/>
        <v>3.375</v>
      </c>
      <c r="Z87" s="108"/>
      <c r="AA87" s="100">
        <f t="shared" si="21"/>
        <v>0</v>
      </c>
      <c r="AB87" s="100">
        <f t="shared" si="22"/>
        <v>3.375</v>
      </c>
      <c r="AC87" s="107">
        <f t="shared" si="23"/>
        <v>9.1546875000000014</v>
      </c>
      <c r="AD87" s="10">
        <f t="shared" si="24"/>
        <v>0</v>
      </c>
      <c r="AE87" s="56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</row>
    <row r="88" spans="1:47" x14ac:dyDescent="0.2">
      <c r="A88" s="56"/>
      <c r="B88" s="4">
        <v>210</v>
      </c>
      <c r="C88" s="5">
        <v>28.555716605669055</v>
      </c>
      <c r="D88" s="2">
        <f t="shared" si="2"/>
        <v>0.15</v>
      </c>
      <c r="E88" s="2">
        <f t="shared" si="3"/>
        <v>0.1</v>
      </c>
      <c r="F88" s="100">
        <f t="shared" si="4"/>
        <v>0.4711693239935395</v>
      </c>
      <c r="G88" s="3">
        <f t="shared" si="5"/>
        <v>0.4711693239935395</v>
      </c>
      <c r="H88" s="111">
        <f t="shared" si="6"/>
        <v>0</v>
      </c>
      <c r="I88" s="79">
        <f t="shared" si="7"/>
        <v>0</v>
      </c>
      <c r="J88" s="139">
        <f t="shared" si="8"/>
        <v>0</v>
      </c>
      <c r="K88" s="104">
        <f t="shared" si="9"/>
        <v>0.4711693239935395</v>
      </c>
      <c r="L88" s="105">
        <f t="shared" si="10"/>
        <v>0</v>
      </c>
      <c r="M88" s="79">
        <f t="shared" si="11"/>
        <v>0</v>
      </c>
      <c r="N88" s="105">
        <f t="shared" si="12"/>
        <v>0</v>
      </c>
      <c r="O88" s="110"/>
      <c r="P88" s="4">
        <v>210</v>
      </c>
      <c r="Q88" s="5">
        <v>28.555716605669055</v>
      </c>
      <c r="R88" s="2">
        <f t="shared" si="13"/>
        <v>0.67500000000000004</v>
      </c>
      <c r="S88" s="2">
        <f t="shared" si="14"/>
        <v>0.1</v>
      </c>
      <c r="T88" s="106">
        <f t="shared" si="15"/>
        <v>2.1684497297429948</v>
      </c>
      <c r="U88" s="104">
        <f t="shared" si="16"/>
        <v>0.9375</v>
      </c>
      <c r="V88" s="108">
        <f t="shared" si="17"/>
        <v>2.1684497297429948</v>
      </c>
      <c r="W88" s="104">
        <f t="shared" si="18"/>
        <v>2.1684497297429948</v>
      </c>
      <c r="X88" s="107">
        <f t="shared" si="19"/>
        <v>15.509966594761734</v>
      </c>
      <c r="Y88" s="103">
        <f t="shared" si="20"/>
        <v>3.375</v>
      </c>
      <c r="Z88" s="108"/>
      <c r="AA88" s="100">
        <f t="shared" si="21"/>
        <v>0</v>
      </c>
      <c r="AB88" s="100">
        <f t="shared" si="22"/>
        <v>3.375</v>
      </c>
      <c r="AC88" s="107">
        <f t="shared" si="23"/>
        <v>9.1546875000000014</v>
      </c>
      <c r="AD88" s="10">
        <f t="shared" si="24"/>
        <v>0</v>
      </c>
      <c r="AE88" s="56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</row>
    <row r="89" spans="1:47" x14ac:dyDescent="0.2">
      <c r="A89" s="56"/>
      <c r="B89" s="4">
        <v>240</v>
      </c>
      <c r="C89" s="5">
        <v>25.880212669125854</v>
      </c>
      <c r="D89" s="2">
        <f t="shared" si="2"/>
        <v>0.15</v>
      </c>
      <c r="E89" s="2">
        <f t="shared" si="3"/>
        <v>0.1</v>
      </c>
      <c r="F89" s="100">
        <f t="shared" si="4"/>
        <v>0.42702350904057662</v>
      </c>
      <c r="G89" s="3">
        <f t="shared" si="5"/>
        <v>0.42702350904057662</v>
      </c>
      <c r="H89" s="111">
        <f t="shared" si="6"/>
        <v>0</v>
      </c>
      <c r="I89" s="79">
        <f t="shared" si="7"/>
        <v>0</v>
      </c>
      <c r="J89" s="139">
        <f t="shared" si="8"/>
        <v>0</v>
      </c>
      <c r="K89" s="104">
        <f t="shared" si="9"/>
        <v>0.42702350904057662</v>
      </c>
      <c r="L89" s="105">
        <f t="shared" si="10"/>
        <v>0</v>
      </c>
      <c r="M89" s="79">
        <f t="shared" si="11"/>
        <v>0</v>
      </c>
      <c r="N89" s="105">
        <f t="shared" si="12"/>
        <v>0</v>
      </c>
      <c r="O89" s="110"/>
      <c r="P89" s="4">
        <v>240</v>
      </c>
      <c r="Q89" s="5">
        <v>25.880212669125854</v>
      </c>
      <c r="R89" s="2">
        <f t="shared" si="13"/>
        <v>0.67500000000000004</v>
      </c>
      <c r="S89" s="2">
        <f t="shared" si="14"/>
        <v>0.1</v>
      </c>
      <c r="T89" s="106">
        <f t="shared" si="15"/>
        <v>1.9652786495617451</v>
      </c>
      <c r="U89" s="104">
        <f t="shared" si="16"/>
        <v>0.9375</v>
      </c>
      <c r="V89" s="108">
        <f t="shared" si="17"/>
        <v>1.9652786495617451</v>
      </c>
      <c r="W89" s="104">
        <f t="shared" si="18"/>
        <v>1.9652786495617451</v>
      </c>
      <c r="X89" s="107">
        <f t="shared" si="19"/>
        <v>14.800012553689131</v>
      </c>
      <c r="Y89" s="103">
        <f t="shared" si="20"/>
        <v>3.375</v>
      </c>
      <c r="Z89" s="108"/>
      <c r="AA89" s="100">
        <f t="shared" si="21"/>
        <v>0</v>
      </c>
      <c r="AB89" s="100">
        <f t="shared" si="22"/>
        <v>3.375</v>
      </c>
      <c r="AC89" s="107">
        <f t="shared" si="23"/>
        <v>9.1546875000000014</v>
      </c>
      <c r="AD89" s="10">
        <f t="shared" si="24"/>
        <v>0</v>
      </c>
      <c r="AE89" s="56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</row>
    <row r="90" spans="1:47" x14ac:dyDescent="0.2">
      <c r="A90" s="56"/>
      <c r="B90" s="4">
        <v>270</v>
      </c>
      <c r="C90" s="5">
        <v>23.734174820799922</v>
      </c>
      <c r="D90" s="2">
        <f t="shared" si="2"/>
        <v>0.15</v>
      </c>
      <c r="E90" s="2">
        <f t="shared" si="3"/>
        <v>0.1</v>
      </c>
      <c r="F90" s="100">
        <f t="shared" si="4"/>
        <v>0.39161388454319873</v>
      </c>
      <c r="G90" s="3">
        <f t="shared" si="5"/>
        <v>0.39161388454319873</v>
      </c>
      <c r="H90" s="111">
        <f t="shared" si="6"/>
        <v>0</v>
      </c>
      <c r="I90" s="79">
        <f t="shared" si="7"/>
        <v>0</v>
      </c>
      <c r="J90" s="139">
        <f t="shared" si="8"/>
        <v>0</v>
      </c>
      <c r="K90" s="104">
        <f t="shared" si="9"/>
        <v>0.39161388454319873</v>
      </c>
      <c r="L90" s="105">
        <f t="shared" si="10"/>
        <v>0</v>
      </c>
      <c r="M90" s="79">
        <f t="shared" si="11"/>
        <v>0</v>
      </c>
      <c r="N90" s="105">
        <f t="shared" si="12"/>
        <v>0</v>
      </c>
      <c r="O90" s="110"/>
      <c r="P90" s="4">
        <v>270</v>
      </c>
      <c r="Q90" s="5">
        <v>23.734174820799922</v>
      </c>
      <c r="R90" s="2">
        <f t="shared" si="13"/>
        <v>0.67500000000000004</v>
      </c>
      <c r="S90" s="2">
        <f t="shared" si="14"/>
        <v>0.1</v>
      </c>
      <c r="T90" s="106">
        <f t="shared" si="15"/>
        <v>1.8023139004544944</v>
      </c>
      <c r="U90" s="104">
        <f t="shared" si="16"/>
        <v>0.9375</v>
      </c>
      <c r="V90" s="108">
        <f t="shared" si="17"/>
        <v>1.8023139004544944</v>
      </c>
      <c r="W90" s="104">
        <f t="shared" si="18"/>
        <v>1.8023139004544944</v>
      </c>
      <c r="X90" s="107">
        <f t="shared" si="19"/>
        <v>14.009985187362808</v>
      </c>
      <c r="Y90" s="103">
        <f t="shared" si="20"/>
        <v>3.375</v>
      </c>
      <c r="Z90" s="108"/>
      <c r="AA90" s="100">
        <f t="shared" si="21"/>
        <v>0</v>
      </c>
      <c r="AB90" s="100">
        <f t="shared" si="22"/>
        <v>3.375</v>
      </c>
      <c r="AC90" s="107">
        <f t="shared" si="23"/>
        <v>9.1546875000000014</v>
      </c>
      <c r="AD90" s="10">
        <f t="shared" si="24"/>
        <v>0</v>
      </c>
      <c r="AE90" s="56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</row>
    <row r="91" spans="1:47" x14ac:dyDescent="0.2">
      <c r="A91" s="56"/>
      <c r="B91" s="4">
        <v>300</v>
      </c>
      <c r="C91" s="5">
        <v>21.97092318057166</v>
      </c>
      <c r="D91" s="2">
        <f t="shared" si="2"/>
        <v>0.15</v>
      </c>
      <c r="E91" s="2">
        <f t="shared" si="3"/>
        <v>0.1</v>
      </c>
      <c r="F91" s="100">
        <f t="shared" si="4"/>
        <v>0.36252023247943249</v>
      </c>
      <c r="G91" s="3">
        <f t="shared" si="5"/>
        <v>0.36252023247943249</v>
      </c>
      <c r="H91" s="111">
        <f t="shared" si="6"/>
        <v>0</v>
      </c>
      <c r="I91" s="79">
        <f t="shared" si="7"/>
        <v>0</v>
      </c>
      <c r="J91" s="139">
        <f t="shared" si="8"/>
        <v>0</v>
      </c>
      <c r="K91" s="104">
        <f t="shared" si="9"/>
        <v>0.36252023247943249</v>
      </c>
      <c r="L91" s="105">
        <f t="shared" si="10"/>
        <v>0</v>
      </c>
      <c r="M91" s="79">
        <f t="shared" si="11"/>
        <v>0</v>
      </c>
      <c r="N91" s="105">
        <f t="shared" si="12"/>
        <v>0</v>
      </c>
      <c r="O91" s="110"/>
      <c r="P91" s="4">
        <v>300</v>
      </c>
      <c r="Q91" s="5">
        <v>21.97092318057166</v>
      </c>
      <c r="R91" s="2">
        <f t="shared" si="13"/>
        <v>0.67500000000000004</v>
      </c>
      <c r="S91" s="2">
        <f t="shared" si="14"/>
        <v>0.1</v>
      </c>
      <c r="T91" s="106">
        <f t="shared" si="15"/>
        <v>1.668416979024661</v>
      </c>
      <c r="U91" s="104">
        <f t="shared" si="16"/>
        <v>0.9375</v>
      </c>
      <c r="V91" s="108">
        <f t="shared" si="17"/>
        <v>1.668416979024661</v>
      </c>
      <c r="W91" s="104">
        <f t="shared" si="18"/>
        <v>1.668416979024661</v>
      </c>
      <c r="X91" s="107">
        <f t="shared" si="19"/>
        <v>13.156505622443898</v>
      </c>
      <c r="Y91" s="103">
        <f t="shared" si="20"/>
        <v>3.375</v>
      </c>
      <c r="Z91" s="108"/>
      <c r="AA91" s="100">
        <f t="shared" si="21"/>
        <v>0</v>
      </c>
      <c r="AB91" s="100">
        <f t="shared" si="22"/>
        <v>3.375</v>
      </c>
      <c r="AC91" s="107">
        <f t="shared" si="23"/>
        <v>9.1546875000000014</v>
      </c>
      <c r="AD91" s="10">
        <f t="shared" si="24"/>
        <v>0</v>
      </c>
      <c r="AE91" s="56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</row>
    <row r="92" spans="1:47" x14ac:dyDescent="0.2">
      <c r="A92" s="56"/>
      <c r="B92" s="4">
        <v>360</v>
      </c>
      <c r="C92" s="5">
        <v>19.237151516273332</v>
      </c>
      <c r="D92" s="2">
        <f t="shared" si="2"/>
        <v>0.15</v>
      </c>
      <c r="E92" s="2">
        <f t="shared" si="3"/>
        <v>0.1</v>
      </c>
      <c r="F92" s="100">
        <f t="shared" si="4"/>
        <v>0.31741300001851003</v>
      </c>
      <c r="G92" s="3">
        <f t="shared" si="5"/>
        <v>0.31741300001851003</v>
      </c>
      <c r="H92" s="111">
        <f t="shared" si="6"/>
        <v>0</v>
      </c>
      <c r="I92" s="79">
        <f t="shared" si="7"/>
        <v>0</v>
      </c>
      <c r="J92" s="139">
        <f t="shared" si="8"/>
        <v>0</v>
      </c>
      <c r="K92" s="104">
        <f t="shared" si="9"/>
        <v>0.31741300001851003</v>
      </c>
      <c r="L92" s="105">
        <f t="shared" si="10"/>
        <v>0</v>
      </c>
      <c r="M92" s="79">
        <f t="shared" si="11"/>
        <v>0</v>
      </c>
      <c r="N92" s="105">
        <f t="shared" si="12"/>
        <v>0</v>
      </c>
      <c r="O92" s="110"/>
      <c r="P92" s="4">
        <v>360</v>
      </c>
      <c r="Q92" s="5">
        <v>19.237151516273332</v>
      </c>
      <c r="R92" s="2">
        <f t="shared" si="13"/>
        <v>0.67500000000000004</v>
      </c>
      <c r="S92" s="2">
        <f t="shared" si="14"/>
        <v>0.1</v>
      </c>
      <c r="T92" s="106">
        <f t="shared" si="15"/>
        <v>1.4608211932670063</v>
      </c>
      <c r="U92" s="104">
        <f t="shared" si="16"/>
        <v>0.9375</v>
      </c>
      <c r="V92" s="108">
        <f t="shared" si="17"/>
        <v>1.4608211932670063</v>
      </c>
      <c r="W92" s="104">
        <f t="shared" si="18"/>
        <v>1.4608211932670063</v>
      </c>
      <c r="X92" s="107">
        <f t="shared" si="19"/>
        <v>11.303737774567336</v>
      </c>
      <c r="Y92" s="103">
        <f t="shared" si="20"/>
        <v>3.375</v>
      </c>
      <c r="Z92" s="108"/>
      <c r="AA92" s="100">
        <f t="shared" si="21"/>
        <v>0</v>
      </c>
      <c r="AB92" s="100">
        <f t="shared" si="22"/>
        <v>3.375</v>
      </c>
      <c r="AC92" s="107">
        <f t="shared" si="23"/>
        <v>9.1546875000000014</v>
      </c>
      <c r="AD92" s="10">
        <f t="shared" si="24"/>
        <v>0</v>
      </c>
      <c r="AE92" s="56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</row>
    <row r="93" spans="1:47" x14ac:dyDescent="0.2">
      <c r="A93" s="56"/>
      <c r="B93" s="4">
        <v>540</v>
      </c>
      <c r="C93" s="5">
        <v>14.383035136034735</v>
      </c>
      <c r="D93" s="2">
        <f t="shared" si="2"/>
        <v>0.15</v>
      </c>
      <c r="E93" s="2">
        <f t="shared" si="3"/>
        <v>0.1</v>
      </c>
      <c r="F93" s="100">
        <f t="shared" si="4"/>
        <v>0.23732007974457317</v>
      </c>
      <c r="G93" s="3">
        <f t="shared" si="5"/>
        <v>0.23732007974457317</v>
      </c>
      <c r="H93" s="111">
        <f t="shared" si="6"/>
        <v>0</v>
      </c>
      <c r="I93" s="79">
        <f t="shared" si="7"/>
        <v>0</v>
      </c>
      <c r="J93" s="139">
        <f t="shared" si="8"/>
        <v>0</v>
      </c>
      <c r="K93" s="104">
        <f t="shared" si="9"/>
        <v>0.23732007974457317</v>
      </c>
      <c r="L93" s="105">
        <f t="shared" si="10"/>
        <v>0</v>
      </c>
      <c r="M93" s="79">
        <f t="shared" si="11"/>
        <v>0</v>
      </c>
      <c r="N93" s="105">
        <f t="shared" si="12"/>
        <v>0</v>
      </c>
      <c r="O93" s="110"/>
      <c r="P93" s="4">
        <v>540</v>
      </c>
      <c r="Q93" s="5">
        <v>14.383035136034735</v>
      </c>
      <c r="R93" s="2">
        <f t="shared" si="13"/>
        <v>0.67500000000000004</v>
      </c>
      <c r="S93" s="2">
        <f t="shared" si="14"/>
        <v>0.1</v>
      </c>
      <c r="T93" s="106">
        <f t="shared" si="15"/>
        <v>1.092211730642638</v>
      </c>
      <c r="U93" s="104">
        <f t="shared" si="16"/>
        <v>0.9375</v>
      </c>
      <c r="V93" s="108">
        <f t="shared" si="17"/>
        <v>1.092211730642638</v>
      </c>
      <c r="W93" s="104">
        <f t="shared" si="18"/>
        <v>1.092211730642638</v>
      </c>
      <c r="X93" s="107">
        <f t="shared" si="19"/>
        <v>5.012660072821471</v>
      </c>
      <c r="Y93" s="103">
        <f t="shared" si="20"/>
        <v>3.375</v>
      </c>
      <c r="Z93" s="108"/>
      <c r="AA93" s="100">
        <f t="shared" si="21"/>
        <v>0</v>
      </c>
      <c r="AB93" s="100">
        <f t="shared" si="22"/>
        <v>3.375</v>
      </c>
      <c r="AC93" s="107">
        <f t="shared" si="23"/>
        <v>9.1546875000000014</v>
      </c>
      <c r="AD93" s="10">
        <f t="shared" si="24"/>
        <v>0</v>
      </c>
      <c r="AE93" s="56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 x14ac:dyDescent="0.2">
      <c r="A94" s="56"/>
      <c r="B94" s="4">
        <v>720</v>
      </c>
      <c r="C94" s="5">
        <v>11.767977238676579</v>
      </c>
      <c r="D94" s="2">
        <f t="shared" si="2"/>
        <v>0.15</v>
      </c>
      <c r="E94" s="2">
        <f t="shared" si="3"/>
        <v>0.1</v>
      </c>
      <c r="F94" s="100">
        <f t="shared" si="4"/>
        <v>0.19417162443816358</v>
      </c>
      <c r="G94" s="3">
        <f t="shared" si="5"/>
        <v>0.19417162443816358</v>
      </c>
      <c r="H94" s="111">
        <f t="shared" si="6"/>
        <v>0</v>
      </c>
      <c r="I94" s="79">
        <f t="shared" si="7"/>
        <v>0</v>
      </c>
      <c r="J94" s="139">
        <f t="shared" si="8"/>
        <v>0</v>
      </c>
      <c r="K94" s="104">
        <f t="shared" si="9"/>
        <v>0.19417162443816358</v>
      </c>
      <c r="L94" s="105">
        <f t="shared" si="10"/>
        <v>0</v>
      </c>
      <c r="M94" s="79">
        <f t="shared" si="11"/>
        <v>0</v>
      </c>
      <c r="N94" s="105">
        <f t="shared" si="12"/>
        <v>0</v>
      </c>
      <c r="O94" s="110"/>
      <c r="P94" s="4">
        <v>720</v>
      </c>
      <c r="Q94" s="5">
        <v>11.767977238676579</v>
      </c>
      <c r="R94" s="2">
        <f t="shared" si="13"/>
        <v>0.67500000000000004</v>
      </c>
      <c r="S94" s="2">
        <f t="shared" si="14"/>
        <v>0.1</v>
      </c>
      <c r="T94" s="106">
        <f t="shared" si="15"/>
        <v>0.89363077156200288</v>
      </c>
      <c r="U94" s="104">
        <f t="shared" si="16"/>
        <v>0.89363077156200288</v>
      </c>
      <c r="V94" s="108">
        <f t="shared" si="17"/>
        <v>0.89363077156200288</v>
      </c>
      <c r="W94" s="104">
        <f t="shared" si="18"/>
        <v>0.89363077156200288</v>
      </c>
      <c r="X94" s="107">
        <f t="shared" si="19"/>
        <v>0</v>
      </c>
      <c r="Y94" s="103">
        <f t="shared" si="20"/>
        <v>0</v>
      </c>
      <c r="Z94" s="108"/>
      <c r="AA94" s="100">
        <f t="shared" si="21"/>
        <v>0</v>
      </c>
      <c r="AB94" s="100">
        <f t="shared" si="22"/>
        <v>0</v>
      </c>
      <c r="AC94" s="107">
        <f t="shared" si="23"/>
        <v>9.1546875000000014</v>
      </c>
      <c r="AD94" s="10">
        <f t="shared" si="24"/>
        <v>0</v>
      </c>
      <c r="AE94" s="56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 x14ac:dyDescent="0.2">
      <c r="A95" s="56"/>
      <c r="B95" s="4">
        <v>1440</v>
      </c>
      <c r="C95" s="5">
        <v>7.4738946680178007</v>
      </c>
      <c r="D95" s="2">
        <f t="shared" si="2"/>
        <v>0.15</v>
      </c>
      <c r="E95" s="2">
        <f t="shared" si="3"/>
        <v>0.1</v>
      </c>
      <c r="F95" s="100">
        <f t="shared" si="4"/>
        <v>0.12331926202229371</v>
      </c>
      <c r="G95" s="3">
        <f t="shared" si="5"/>
        <v>0.12331926202229371</v>
      </c>
      <c r="H95" s="111">
        <f t="shared" si="6"/>
        <v>0</v>
      </c>
      <c r="I95" s="79">
        <f t="shared" si="7"/>
        <v>0</v>
      </c>
      <c r="J95" s="139">
        <f t="shared" si="8"/>
        <v>0</v>
      </c>
      <c r="K95" s="104">
        <f t="shared" si="9"/>
        <v>0.12331926202229371</v>
      </c>
      <c r="L95" s="105">
        <f t="shared" si="10"/>
        <v>0</v>
      </c>
      <c r="M95" s="79">
        <f t="shared" si="11"/>
        <v>0</v>
      </c>
      <c r="N95" s="105">
        <f t="shared" si="12"/>
        <v>0</v>
      </c>
      <c r="O95" s="110"/>
      <c r="P95" s="4">
        <v>1440</v>
      </c>
      <c r="Q95" s="5">
        <v>7.4738946680178007</v>
      </c>
      <c r="R95" s="2">
        <f t="shared" si="13"/>
        <v>0.67500000000000004</v>
      </c>
      <c r="S95" s="2">
        <f t="shared" si="14"/>
        <v>0.1</v>
      </c>
      <c r="T95" s="106">
        <f t="shared" si="15"/>
        <v>0.56754887635260187</v>
      </c>
      <c r="U95" s="104">
        <f t="shared" si="16"/>
        <v>0.56754887635260187</v>
      </c>
      <c r="V95" s="108">
        <f t="shared" si="17"/>
        <v>0.56754887635260187</v>
      </c>
      <c r="W95" s="104">
        <f t="shared" si="18"/>
        <v>0.56754887635260187</v>
      </c>
      <c r="X95" s="107">
        <f t="shared" si="19"/>
        <v>0</v>
      </c>
      <c r="Y95" s="103">
        <f t="shared" si="20"/>
        <v>0</v>
      </c>
      <c r="Z95" s="108"/>
      <c r="AA95" s="100">
        <f t="shared" si="21"/>
        <v>0</v>
      </c>
      <c r="AB95" s="100">
        <f t="shared" si="22"/>
        <v>0</v>
      </c>
      <c r="AC95" s="107">
        <f t="shared" si="23"/>
        <v>9.1546875000000014</v>
      </c>
      <c r="AD95" s="10">
        <f t="shared" si="24"/>
        <v>0</v>
      </c>
      <c r="AE95" s="56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 x14ac:dyDescent="0.2">
      <c r="A96" s="56"/>
      <c r="B96" s="4"/>
      <c r="C96" s="5"/>
      <c r="D96" s="2"/>
      <c r="E96" s="2"/>
      <c r="F96" s="106"/>
      <c r="G96" s="3"/>
      <c r="O96" s="56"/>
      <c r="P96" s="4"/>
      <c r="Q96" s="5"/>
      <c r="R96" s="2"/>
      <c r="S96" s="2"/>
      <c r="T96" s="106"/>
      <c r="U96" s="3"/>
      <c r="V96" s="111"/>
      <c r="X96" s="58"/>
      <c r="Y96" s="58"/>
      <c r="Z96" s="58"/>
      <c r="AA96" s="58"/>
      <c r="AC96" s="58"/>
      <c r="AE96" s="56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x14ac:dyDescent="0.2">
      <c r="A97" s="56"/>
      <c r="B97" s="18" t="s">
        <v>34</v>
      </c>
      <c r="C97" s="5"/>
      <c r="D97" s="2"/>
      <c r="E97" s="2"/>
      <c r="F97" s="106"/>
      <c r="G97" s="3"/>
      <c r="O97" s="56"/>
      <c r="P97" s="18" t="s">
        <v>34</v>
      </c>
      <c r="Q97" s="5"/>
      <c r="R97" s="2"/>
      <c r="S97" s="2"/>
      <c r="T97" s="102"/>
      <c r="U97" s="3"/>
      <c r="V97" s="111"/>
      <c r="X97" s="58"/>
      <c r="Y97" s="58"/>
      <c r="Z97" s="58"/>
      <c r="AA97" s="58"/>
      <c r="AC97" s="58"/>
      <c r="AE97" s="56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 ht="15.75" x14ac:dyDescent="0.3">
      <c r="A98" s="56"/>
      <c r="B98" s="57" t="s">
        <v>44</v>
      </c>
      <c r="C98" s="64" t="s">
        <v>198</v>
      </c>
      <c r="D98" s="64">
        <f>D11</f>
        <v>1000</v>
      </c>
      <c r="E98" s="89" t="s">
        <v>15</v>
      </c>
      <c r="F98" s="106"/>
      <c r="G98" s="3"/>
      <c r="O98" s="56"/>
      <c r="P98" s="57" t="s">
        <v>44</v>
      </c>
      <c r="Q98" s="64" t="s">
        <v>200</v>
      </c>
      <c r="R98" s="112">
        <f>D11*0.01*R11*D45</f>
        <v>16.875</v>
      </c>
      <c r="S98" s="89" t="s">
        <v>15</v>
      </c>
      <c r="T98" s="2"/>
      <c r="U98" s="102"/>
      <c r="V98" s="111"/>
      <c r="X98" s="58"/>
      <c r="Y98" s="58"/>
      <c r="Z98" s="58"/>
      <c r="AA98" s="58"/>
      <c r="AC98" s="58"/>
      <c r="AE98" s="56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</row>
    <row r="99" spans="1:47" ht="15.75" x14ac:dyDescent="0.3">
      <c r="A99" s="56"/>
      <c r="B99" s="23" t="s">
        <v>303</v>
      </c>
      <c r="C99" s="14" t="s">
        <v>184</v>
      </c>
      <c r="D99" s="35">
        <f>MAX(H66:H95)</f>
        <v>0.92346108055365639</v>
      </c>
      <c r="E99" s="89" t="s">
        <v>6</v>
      </c>
      <c r="O99" s="56"/>
      <c r="P99" s="57" t="s">
        <v>45</v>
      </c>
      <c r="Q99" s="14" t="s">
        <v>211</v>
      </c>
      <c r="R99" s="38">
        <f>MAX(AB66:AB95)</f>
        <v>13.204895559360834</v>
      </c>
      <c r="S99" s="89" t="s">
        <v>6</v>
      </c>
      <c r="T99" s="14"/>
      <c r="U99" s="102"/>
      <c r="V99" s="111"/>
      <c r="X99" s="58"/>
      <c r="Y99" s="58"/>
      <c r="Z99" s="58"/>
      <c r="AA99" s="58"/>
      <c r="AC99" s="58"/>
      <c r="AE99" s="56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</row>
    <row r="100" spans="1:47" ht="15.75" x14ac:dyDescent="0.3">
      <c r="A100" s="56"/>
      <c r="B100" s="23" t="s">
        <v>304</v>
      </c>
      <c r="C100" s="106" t="s">
        <v>185</v>
      </c>
      <c r="D100" s="113">
        <f>$D$11*0.001*D19*D28+$D$11*0.001*D18*D29</f>
        <v>50</v>
      </c>
      <c r="E100" s="89" t="s">
        <v>6</v>
      </c>
      <c r="O100" s="56"/>
      <c r="P100" s="31"/>
      <c r="Q100" s="14"/>
      <c r="R100" s="114"/>
      <c r="S100" s="89"/>
      <c r="T100" s="28"/>
      <c r="U100" s="115"/>
      <c r="V100" s="111"/>
      <c r="X100" s="58"/>
      <c r="Y100" s="58"/>
      <c r="Z100" s="58"/>
      <c r="AA100" s="58"/>
      <c r="AC100" s="58"/>
      <c r="AE100" s="56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</row>
    <row r="101" spans="1:47" ht="16.5" thickBot="1" x14ac:dyDescent="0.35">
      <c r="A101" s="56"/>
      <c r="B101" s="1" t="s">
        <v>187</v>
      </c>
      <c r="C101" s="1"/>
      <c r="D101" s="116" t="str">
        <f>IF(D99&lt;D100,"nej","kanske")</f>
        <v>nej</v>
      </c>
      <c r="E101" s="1"/>
      <c r="F101" s="1" t="s">
        <v>231</v>
      </c>
      <c r="O101" s="56"/>
      <c r="P101" s="23" t="s">
        <v>270</v>
      </c>
      <c r="Q101" s="94" t="s">
        <v>266</v>
      </c>
      <c r="R101" s="117">
        <f>$R$98*(R22*R25)/1000</f>
        <v>3.375</v>
      </c>
      <c r="S101" s="89" t="s">
        <v>6</v>
      </c>
      <c r="T101" s="14" t="s">
        <v>264</v>
      </c>
      <c r="U101" s="102"/>
      <c r="V101" s="111"/>
      <c r="X101" s="58"/>
      <c r="Y101" s="58"/>
      <c r="Z101" s="58"/>
      <c r="AA101" s="58"/>
      <c r="AC101" s="58"/>
      <c r="AE101" s="56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</row>
    <row r="102" spans="1:47" ht="19.5" thickBot="1" x14ac:dyDescent="0.35">
      <c r="A102" s="56"/>
      <c r="D102" s="79"/>
      <c r="O102" s="56"/>
      <c r="P102" s="52" t="s">
        <v>160</v>
      </c>
      <c r="Q102" s="51"/>
      <c r="R102" s="118" t="str">
        <f>IF(R110&gt;R99,"Ja","nej")</f>
        <v>nej</v>
      </c>
      <c r="T102" s="53" t="s">
        <v>271</v>
      </c>
      <c r="U102" s="102"/>
      <c r="V102" s="111"/>
      <c r="X102" s="58"/>
      <c r="Y102" s="58"/>
      <c r="Z102" s="58"/>
      <c r="AA102" s="41"/>
      <c r="AC102" s="58"/>
      <c r="AE102" s="56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</row>
    <row r="103" spans="1:47" ht="15.75" x14ac:dyDescent="0.3">
      <c r="A103" s="56"/>
      <c r="B103" s="23" t="s">
        <v>272</v>
      </c>
      <c r="C103" s="14" t="s">
        <v>182</v>
      </c>
      <c r="D103" s="37">
        <f>MAX(L66:L95)</f>
        <v>0</v>
      </c>
      <c r="E103" s="89" t="s">
        <v>6</v>
      </c>
      <c r="O103" s="56"/>
      <c r="P103" s="23" t="s">
        <v>273</v>
      </c>
      <c r="Q103" s="106" t="s">
        <v>201</v>
      </c>
      <c r="R103" s="119">
        <f>$R$98*0.001*R21*R28</f>
        <v>0.78468749999999998</v>
      </c>
      <c r="S103" s="89" t="s">
        <v>6</v>
      </c>
      <c r="T103" s="28" t="s">
        <v>181</v>
      </c>
      <c r="U103" s="102"/>
      <c r="V103" s="111"/>
      <c r="X103" s="58"/>
      <c r="Y103" s="58"/>
      <c r="Z103" s="58"/>
      <c r="AA103" s="58"/>
      <c r="AC103" s="58"/>
      <c r="AE103" s="56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</row>
    <row r="104" spans="1:47" ht="15.75" x14ac:dyDescent="0.3">
      <c r="A104" s="56"/>
      <c r="B104" s="23" t="s">
        <v>274</v>
      </c>
      <c r="C104" s="106" t="s">
        <v>186</v>
      </c>
      <c r="D104" s="120">
        <f>$D$11*0.001*D60*D28</f>
        <v>112</v>
      </c>
      <c r="E104" s="89" t="s">
        <v>6</v>
      </c>
      <c r="F104" s="58"/>
      <c r="G104" s="58"/>
      <c r="H104" s="111"/>
      <c r="I104" s="111"/>
      <c r="O104" s="56"/>
      <c r="P104" s="23" t="s">
        <v>275</v>
      </c>
      <c r="Q104" s="106" t="s">
        <v>202</v>
      </c>
      <c r="R104" s="119">
        <f>$R$98*(R14*R26+R15*R27+R16*R28+R17*R29+R18*R30+R19*R30)/1000</f>
        <v>4.1512500000000001</v>
      </c>
      <c r="S104" s="89" t="s">
        <v>6</v>
      </c>
      <c r="T104" s="58"/>
      <c r="U104" s="102"/>
      <c r="V104" s="111"/>
      <c r="X104" s="58"/>
      <c r="Y104" s="58"/>
      <c r="Z104" s="58"/>
      <c r="AA104" s="58"/>
      <c r="AC104" s="58"/>
      <c r="AE104" s="56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</row>
    <row r="105" spans="1:47" ht="14.25" x14ac:dyDescent="0.25">
      <c r="A105" s="56"/>
      <c r="B105" s="57" t="s">
        <v>188</v>
      </c>
      <c r="D105" s="121" t="str">
        <f>IF(D103&lt;D104,"ja","nej")</f>
        <v>ja</v>
      </c>
      <c r="O105" s="56"/>
      <c r="P105" s="57" t="s">
        <v>46</v>
      </c>
      <c r="Q105" s="6" t="s">
        <v>203</v>
      </c>
      <c r="R105" s="64">
        <f>IF(AB66=R99,P66,)+IF(AB67=R99,P67,)+IF(AB68=R99,P68,)+IF(AB69=R99,P69,)+IF(AB70=R99,P70,)+IF(AB71=R99,P71,)+IF(AB72=R99,P72,)+IF(AB73=R99,P73,)+IF(AB74=R99,P74,)+IF(AB75=R99,P75,)+IF(AB76=R99,P76,)+IF(AB77=R99,P77,)+IF(AB78=R99,P78,)+IF(AB79=R99,P79,)+IF(AB80=R99,P80,)+IF(AB81=R99,P81,)+IF(AB82=R99,P82,)+IF(AB83=R99,P83,)+IF(AB84=R99,P84,)+IF(AB85=R99,P85,)+IF(AB86=R99,P86,)+IF(AB87=R99,P87,)+IF(AB88=R99,P88,)+IF(AB89=R99,P89,)+IF(AB90=R99,P90,)+IF(AB91=R99,P91,)+IF(AB92=R99,P92,)+IF(AB93=R99,P93,)+IF(AB94=R99,P94,)+IF(AB95=R99,P95,)</f>
        <v>25</v>
      </c>
      <c r="S105" s="89" t="s">
        <v>2</v>
      </c>
      <c r="T105" s="2"/>
      <c r="U105" s="22"/>
      <c r="X105" s="58"/>
      <c r="Y105" s="58"/>
      <c r="Z105" s="58"/>
      <c r="AA105" s="58"/>
      <c r="AC105" s="58"/>
      <c r="AE105" s="56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 ht="14.25" x14ac:dyDescent="0.25">
      <c r="A106" s="56"/>
      <c r="B106" s="57" t="s">
        <v>46</v>
      </c>
      <c r="C106" s="6" t="s">
        <v>199</v>
      </c>
      <c r="D106" s="64">
        <f>IF(N66=D107,B66,)+IF(N67=D107,B67,)+IF(N68=D107,B68,)+IF(N69=D107,B69,)+IF(N70=D107,B70,)+IF(N71=D107,B71,)+IF(N72=D107,B72,)+IF(N73=D107,B73,)+IF(N74=D107,B74,)+IF(N75=D107,B75,)+IF(N76=D107,B76,)+IF(N77=D107,B77,)+IF(N78=D107,B78,)+IF(N79=D107,B79,)+IF(N80=D107,B80,)+IF(N81=D107,B81,)+IF(N82=D107,B82,)+IF(N83=D107,B83,)+IF(N84=D107,B84,)+IF(N85=D107,B85,)+IF(N86=D107,B86,)+IF(N87=D107,B87,)+IF(N88=D107,B88,)+IF(N89=D107,B89,)+IF(N90=D107,B90,)+IF(N91=D107,B91,)+IF(N92=D107,B92,)+IF(N93=D107,B93,)+IF(N94=D107,B94,)+IF(N95=D107,B95,)</f>
        <v>10</v>
      </c>
      <c r="E106" s="89" t="s">
        <v>2</v>
      </c>
      <c r="O106" s="56"/>
      <c r="P106" s="31" t="s">
        <v>150</v>
      </c>
      <c r="R106" s="5" t="str">
        <f>IF(D12=1,"Nej","Ja")</f>
        <v>Ja</v>
      </c>
      <c r="S106" s="21"/>
      <c r="T106" s="28" t="s">
        <v>154</v>
      </c>
      <c r="U106" s="3"/>
      <c r="V106" s="58"/>
      <c r="X106" s="58"/>
      <c r="Y106" s="58"/>
      <c r="Z106" s="58"/>
      <c r="AA106" s="58"/>
      <c r="AC106" s="58"/>
      <c r="AE106" s="56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 ht="15.75" x14ac:dyDescent="0.3">
      <c r="A107" s="56"/>
      <c r="B107" s="57" t="s">
        <v>213</v>
      </c>
      <c r="C107" s="14" t="s">
        <v>214</v>
      </c>
      <c r="D107" s="100">
        <f>D99+D103</f>
        <v>0.92346108055365639</v>
      </c>
      <c r="O107" s="56"/>
      <c r="P107" s="31" t="s">
        <v>150</v>
      </c>
      <c r="Q107" s="58"/>
      <c r="R107" s="79" t="str">
        <f>IF(R23="ja","Ja","nej")</f>
        <v>nej</v>
      </c>
      <c r="S107" s="58"/>
      <c r="T107" s="28" t="s">
        <v>158</v>
      </c>
      <c r="X107" s="58"/>
      <c r="Y107" s="58"/>
      <c r="Z107" s="58"/>
      <c r="AA107" s="58"/>
      <c r="AC107" s="58"/>
      <c r="AE107" s="56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 ht="16.5" thickBot="1" x14ac:dyDescent="0.35">
      <c r="A108" s="56"/>
      <c r="B108" s="57" t="s">
        <v>276</v>
      </c>
      <c r="C108" s="14" t="s">
        <v>215</v>
      </c>
      <c r="D108" s="106">
        <f>D100+D104</f>
        <v>162</v>
      </c>
      <c r="O108" s="56"/>
      <c r="P108" s="31" t="s">
        <v>150</v>
      </c>
      <c r="R108" s="64" t="str">
        <f>IF(R20&lt;1,"Ja","nej")</f>
        <v>nej</v>
      </c>
      <c r="T108" s="28" t="s">
        <v>159</v>
      </c>
      <c r="X108" s="58"/>
      <c r="Y108" s="58"/>
      <c r="Z108" s="58"/>
      <c r="AA108" s="58"/>
      <c r="AC108" s="58"/>
      <c r="AE108" s="56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ht="19.5" thickBot="1" x14ac:dyDescent="0.35">
      <c r="A109" s="56"/>
      <c r="B109" s="122" t="s">
        <v>281</v>
      </c>
      <c r="C109" s="123"/>
      <c r="D109" s="124" t="str">
        <f>IF(D107&lt;D108,"nej","ja")</f>
        <v>nej</v>
      </c>
      <c r="E109" s="39"/>
      <c r="F109" s="39"/>
      <c r="O109" s="56"/>
      <c r="P109" s="31" t="s">
        <v>246</v>
      </c>
      <c r="Q109" s="14" t="s">
        <v>277</v>
      </c>
      <c r="R109" s="119">
        <f>$R$98*((R13-R22)*R25)/1000</f>
        <v>0.84375</v>
      </c>
      <c r="S109" s="89" t="s">
        <v>6</v>
      </c>
      <c r="T109" s="14" t="s">
        <v>278</v>
      </c>
      <c r="X109" s="58"/>
      <c r="Y109" s="58"/>
      <c r="Z109" s="58"/>
      <c r="AA109" s="58"/>
      <c r="AC109" s="58"/>
      <c r="AE109" s="56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 ht="15.75" x14ac:dyDescent="0.3">
      <c r="A110" s="56"/>
      <c r="B110" s="23"/>
      <c r="C110" s="14"/>
      <c r="D110" s="107"/>
      <c r="E110" s="23"/>
      <c r="F110" s="23"/>
      <c r="O110" s="56"/>
      <c r="P110" s="31" t="s">
        <v>242</v>
      </c>
      <c r="Q110" s="69" t="s">
        <v>269</v>
      </c>
      <c r="R110" s="125">
        <f>R101+R103+R104+R109</f>
        <v>9.1546875000000014</v>
      </c>
      <c r="S110" s="126" t="s">
        <v>6</v>
      </c>
      <c r="T110" s="28"/>
      <c r="X110" s="58"/>
      <c r="Y110" s="58"/>
      <c r="Z110" s="58"/>
      <c r="AA110" s="58"/>
      <c r="AC110" s="58"/>
      <c r="AE110" s="56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 x14ac:dyDescent="0.2">
      <c r="A111" s="56"/>
      <c r="B111" s="127"/>
      <c r="C111" s="128"/>
      <c r="D111" s="129"/>
      <c r="E111" s="127"/>
      <c r="F111" s="127"/>
      <c r="G111" s="56"/>
      <c r="H111" s="56"/>
      <c r="I111" s="56"/>
      <c r="J111" s="56"/>
      <c r="K111" s="56"/>
      <c r="L111" s="56"/>
      <c r="M111" s="56"/>
      <c r="N111" s="56"/>
      <c r="O111" s="56"/>
      <c r="P111" s="130"/>
      <c r="Q111" s="131"/>
      <c r="R111" s="132"/>
      <c r="S111" s="133"/>
      <c r="T111" s="50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x14ac:dyDescent="0.2">
      <c r="A112" s="56"/>
      <c r="B112" s="1" t="s">
        <v>248</v>
      </c>
      <c r="C112" s="14"/>
      <c r="D112" s="107"/>
      <c r="E112" s="23"/>
      <c r="F112" s="23"/>
      <c r="O112" s="56"/>
      <c r="P112" s="18" t="s">
        <v>248</v>
      </c>
      <c r="Q112" s="69"/>
      <c r="R112" s="134"/>
      <c r="S112" s="126"/>
      <c r="T112" s="28"/>
      <c r="X112" s="58"/>
      <c r="Y112" s="58"/>
      <c r="Z112" s="58"/>
      <c r="AA112" s="58"/>
      <c r="AC112" s="58"/>
      <c r="AE112" s="56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x14ac:dyDescent="0.2">
      <c r="A113" s="56"/>
      <c r="B113" s="31" t="s">
        <v>249</v>
      </c>
      <c r="C113" s="14"/>
      <c r="D113" s="107"/>
      <c r="E113" s="23"/>
      <c r="F113" s="23"/>
      <c r="O113" s="56"/>
      <c r="P113" s="31" t="s">
        <v>249</v>
      </c>
      <c r="Q113" s="69"/>
      <c r="R113" s="134"/>
      <c r="S113" s="126"/>
      <c r="T113" s="28"/>
      <c r="X113" s="58"/>
      <c r="Y113" s="58"/>
      <c r="Z113" s="58"/>
      <c r="AA113" s="58"/>
      <c r="AC113" s="58"/>
      <c r="AE113" s="56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 x14ac:dyDescent="0.2">
      <c r="A114" s="56"/>
      <c r="B114" s="23" t="s">
        <v>282</v>
      </c>
      <c r="C114" s="14"/>
      <c r="D114" s="107"/>
      <c r="E114" s="23"/>
      <c r="F114" s="23"/>
      <c r="O114" s="56"/>
      <c r="P114" s="23" t="s">
        <v>284</v>
      </c>
      <c r="Q114" s="69"/>
      <c r="R114" s="134"/>
      <c r="S114" s="126"/>
      <c r="T114" s="28"/>
      <c r="X114" s="58"/>
      <c r="Y114" s="58"/>
      <c r="Z114" s="58"/>
      <c r="AA114" s="58"/>
      <c r="AC114" s="58"/>
      <c r="AE114" s="56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 x14ac:dyDescent="0.2">
      <c r="A115" s="56"/>
      <c r="B115" s="23"/>
      <c r="C115" s="14"/>
      <c r="D115" s="107"/>
      <c r="E115" s="23"/>
      <c r="F115" s="23"/>
      <c r="O115" s="56"/>
      <c r="P115" s="23" t="s">
        <v>285</v>
      </c>
      <c r="Q115" s="69"/>
      <c r="R115" s="134"/>
      <c r="S115" s="126"/>
      <c r="T115" s="28"/>
      <c r="X115" s="58"/>
      <c r="Y115" s="58"/>
      <c r="Z115" s="58"/>
      <c r="AA115" s="58"/>
      <c r="AC115" s="58"/>
      <c r="AE115" s="56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 x14ac:dyDescent="0.2">
      <c r="A116" s="56"/>
      <c r="B116" s="23"/>
      <c r="C116" s="14"/>
      <c r="D116" s="107"/>
      <c r="E116" s="23"/>
      <c r="F116" s="23"/>
      <c r="O116" s="56"/>
      <c r="P116" s="146" t="s">
        <v>287</v>
      </c>
      <c r="Q116" s="69"/>
      <c r="R116" s="134"/>
      <c r="S116" s="126"/>
      <c r="T116" s="28"/>
      <c r="X116" s="58"/>
      <c r="Y116" s="58"/>
      <c r="Z116" s="58"/>
      <c r="AA116" s="58"/>
      <c r="AC116" s="58"/>
      <c r="AE116" s="56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 x14ac:dyDescent="0.2">
      <c r="A117" s="56"/>
      <c r="B117" s="23"/>
      <c r="C117" s="14"/>
      <c r="D117" s="107"/>
      <c r="E117" s="23"/>
      <c r="F117" s="23"/>
      <c r="O117" s="56"/>
      <c r="P117" s="31"/>
      <c r="Q117" s="69"/>
      <c r="R117" s="134"/>
      <c r="S117" s="126"/>
      <c r="T117" s="28"/>
      <c r="X117" s="58"/>
      <c r="Y117" s="58"/>
      <c r="Z117" s="58"/>
      <c r="AA117" s="58"/>
      <c r="AC117" s="58"/>
      <c r="AE117" s="56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x14ac:dyDescent="0.2">
      <c r="A118" s="56"/>
      <c r="B118" s="23"/>
      <c r="C118" s="14"/>
      <c r="D118" s="107"/>
      <c r="E118" s="23"/>
      <c r="F118" s="23"/>
      <c r="O118" s="56"/>
      <c r="P118" s="31"/>
      <c r="Q118" s="69"/>
      <c r="R118" s="134"/>
      <c r="S118" s="126"/>
      <c r="T118" s="28"/>
      <c r="X118" s="58"/>
      <c r="Y118" s="58"/>
      <c r="Z118" s="58"/>
      <c r="AA118" s="58"/>
      <c r="AC118" s="58"/>
      <c r="AE118" s="56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x14ac:dyDescent="0.2">
      <c r="A119" s="56"/>
      <c r="B119" s="56"/>
      <c r="C119" s="27"/>
      <c r="D119" s="99"/>
      <c r="E119" s="13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x14ac:dyDescent="0.2">
      <c r="A120" s="56"/>
      <c r="B120" s="1" t="s">
        <v>26</v>
      </c>
      <c r="O120" s="58"/>
      <c r="P120" s="58"/>
      <c r="Q120" s="58"/>
      <c r="R120" s="58"/>
      <c r="S120" s="58"/>
      <c r="T120" s="58"/>
      <c r="U120" s="58"/>
      <c r="V120" s="58"/>
      <c r="X120" s="58"/>
      <c r="AA120" s="58"/>
      <c r="AC120" s="58"/>
      <c r="AE120" s="56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x14ac:dyDescent="0.2">
      <c r="A121" s="56"/>
      <c r="B121" s="59" t="s">
        <v>28</v>
      </c>
      <c r="O121" s="58"/>
      <c r="P121" s="41"/>
      <c r="Q121" s="58"/>
      <c r="R121" s="136"/>
      <c r="S121" s="58"/>
      <c r="T121" s="58"/>
      <c r="U121" s="58"/>
      <c r="V121" s="58"/>
      <c r="X121" s="58"/>
      <c r="AA121" s="58"/>
      <c r="AC121" s="58"/>
      <c r="AE121" s="56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</row>
    <row r="122" spans="1:47" x14ac:dyDescent="0.2">
      <c r="A122" s="56"/>
      <c r="B122" s="59" t="s">
        <v>27</v>
      </c>
      <c r="O122" s="58"/>
      <c r="P122" s="41"/>
      <c r="Q122" s="58"/>
      <c r="R122" s="136"/>
      <c r="S122" s="58"/>
      <c r="T122" s="58"/>
      <c r="U122" s="58"/>
      <c r="V122" s="58"/>
      <c r="X122" s="58"/>
      <c r="AA122" s="58"/>
      <c r="AC122" s="58"/>
      <c r="AE122" s="56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ht="13.5" customHeight="1" x14ac:dyDescent="0.35">
      <c r="A123" s="56"/>
      <c r="B123" s="59" t="s">
        <v>29</v>
      </c>
      <c r="O123" s="58"/>
      <c r="P123" s="41"/>
      <c r="Q123" s="58"/>
      <c r="R123" s="58"/>
      <c r="S123" s="58"/>
      <c r="T123" s="58"/>
      <c r="U123" s="58"/>
      <c r="V123" s="58"/>
      <c r="X123" s="58"/>
      <c r="AA123" s="58"/>
      <c r="AC123" s="58"/>
      <c r="AE123" s="56"/>
      <c r="AF123" s="49" t="s">
        <v>226</v>
      </c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x14ac:dyDescent="0.2">
      <c r="A124" s="56"/>
      <c r="B124" s="59" t="s">
        <v>30</v>
      </c>
      <c r="F124" s="58"/>
      <c r="G124" s="58"/>
      <c r="H124" s="58"/>
      <c r="I124" s="58"/>
      <c r="O124" s="58"/>
      <c r="P124" s="41"/>
      <c r="Q124" s="58"/>
      <c r="R124" s="136"/>
      <c r="S124" s="58"/>
      <c r="T124" s="58"/>
      <c r="U124" s="58"/>
      <c r="V124" s="58"/>
      <c r="X124" s="58"/>
      <c r="AA124" s="58"/>
      <c r="AC124" s="58"/>
      <c r="AE124" s="56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ht="14.25" x14ac:dyDescent="0.2">
      <c r="A125" s="56"/>
      <c r="B125" s="137" t="s">
        <v>279</v>
      </c>
      <c r="C125" s="48"/>
      <c r="D125" s="48"/>
      <c r="O125" s="58"/>
      <c r="P125" s="41"/>
      <c r="Q125" s="58"/>
      <c r="R125" s="58"/>
      <c r="S125" s="58"/>
      <c r="T125" s="58"/>
      <c r="U125" s="58"/>
      <c r="V125" s="58"/>
      <c r="X125" s="58"/>
      <c r="AA125" s="58"/>
      <c r="AC125" s="58"/>
      <c r="AE125" s="56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</row>
    <row r="126" spans="1:47" x14ac:dyDescent="0.2">
      <c r="A126" s="56"/>
      <c r="B126" s="57" t="s">
        <v>32</v>
      </c>
      <c r="O126" s="58"/>
      <c r="P126" s="41"/>
      <c r="Q126" s="58"/>
      <c r="R126" s="136"/>
      <c r="S126" s="58"/>
      <c r="T126" s="58"/>
      <c r="U126" s="58"/>
      <c r="V126" s="58"/>
      <c r="X126" s="58"/>
      <c r="AA126" s="58"/>
      <c r="AC126" s="58"/>
      <c r="AE126" s="56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</row>
    <row r="127" spans="1:47" x14ac:dyDescent="0.2">
      <c r="A127" s="56"/>
      <c r="B127" s="57" t="s">
        <v>33</v>
      </c>
      <c r="O127" s="58"/>
      <c r="P127" s="58"/>
      <c r="Q127" s="58"/>
      <c r="R127" s="58"/>
      <c r="S127" s="58"/>
      <c r="T127" s="58"/>
      <c r="U127" s="58"/>
      <c r="V127" s="58"/>
      <c r="X127" s="58"/>
      <c r="AA127" s="58"/>
      <c r="AC127" s="58"/>
      <c r="AE127" s="56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2:2" x14ac:dyDescent="0.2">
      <c r="B129" s="59"/>
    </row>
    <row r="130" spans="2:2" x14ac:dyDescent="0.2">
      <c r="B130" s="59"/>
    </row>
    <row r="131" spans="2:2" x14ac:dyDescent="0.2">
      <c r="B131" s="59"/>
    </row>
  </sheetData>
  <phoneticPr fontId="1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1]!gotoarea">
                <anchor moveWithCells="1" sizeWithCells="1">
                  <from>
                    <xdr:col>1</xdr:col>
                    <xdr:colOff>57150</xdr:colOff>
                    <xdr:row>9</xdr:row>
                    <xdr:rowOff>0</xdr:rowOff>
                  </from>
                  <to>
                    <xdr:col>1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1]!gotofi">
                <anchor moveWithCells="1" sizeWithCells="1">
                  <from>
                    <xdr:col>1</xdr:col>
                    <xdr:colOff>57150</xdr:colOff>
                    <xdr:row>9</xdr:row>
                    <xdr:rowOff>0</xdr:rowOff>
                  </from>
                  <to>
                    <xdr:col>1</xdr:col>
                    <xdr:colOff>609600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1]!velocity">
                <anchor moveWithCells="1" sizeWithCells="1">
                  <from>
                    <xdr:col>2</xdr:col>
                    <xdr:colOff>123825</xdr:colOff>
                    <xdr:row>43</xdr:row>
                    <xdr:rowOff>0</xdr:rowOff>
                  </from>
                  <to>
                    <xdr:col>2</xdr:col>
                    <xdr:colOff>600075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7" name="Button 58">
              <controlPr defaultSize="0" print="0" autoFill="0" autoLine="0" autoPict="0" macro="[1]!velocity">
                <anchor moveWithCells="1" sizeWithCells="1">
                  <from>
                    <xdr:col>16</xdr:col>
                    <xdr:colOff>123825</xdr:colOff>
                    <xdr:row>42</xdr:row>
                    <xdr:rowOff>0</xdr:rowOff>
                  </from>
                  <to>
                    <xdr:col>16</xdr:col>
                    <xdr:colOff>600075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Larm</dc:creator>
  <cp:lastModifiedBy>Alberto Vega</cp:lastModifiedBy>
  <dcterms:created xsi:type="dcterms:W3CDTF">2014-04-22T14:00:47Z</dcterms:created>
  <dcterms:modified xsi:type="dcterms:W3CDTF">2015-01-27T10:38:35Z</dcterms:modified>
</cp:coreProperties>
</file>