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PP\!!!OFERTY I ZLECENIA!!!\Kalkulacje ofert\2025\"/>
    </mc:Choice>
  </mc:AlternateContent>
  <bookViews>
    <workbookView xWindow="0" yWindow="0" windowWidth="28800" windowHeight="12624" firstSheet="1" activeTab="3"/>
  </bookViews>
  <sheets>
    <sheet name="Arkusz1" sheetId="1" state="hidden" r:id="rId1"/>
    <sheet name="KNR" sheetId="12" r:id="rId2"/>
    <sheet name="Koszty dla pozycji" sheetId="4" r:id="rId3"/>
    <sheet name="Witalij" sheetId="14" r:id="rId4"/>
    <sheet name="Arkusz2" sheetId="1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4" l="1"/>
  <c r="N16" i="14" s="1"/>
  <c r="D23" i="14"/>
  <c r="D24" i="14" s="1"/>
  <c r="N15" i="14" s="1"/>
  <c r="D21" i="14"/>
  <c r="D19" i="14"/>
  <c r="D18" i="14"/>
  <c r="D13" i="14"/>
  <c r="D12" i="14"/>
  <c r="N14" i="14" s="1"/>
  <c r="Q11" i="14"/>
  <c r="Q10" i="14"/>
  <c r="Q9" i="14"/>
  <c r="Q8" i="14"/>
  <c r="Q7" i="14"/>
  <c r="Q6" i="14"/>
  <c r="Q5" i="14"/>
  <c r="L5" i="14"/>
  <c r="Q4" i="14"/>
  <c r="Q3" i="14"/>
  <c r="D10" i="14" l="1"/>
  <c r="R5" i="14" s="1"/>
  <c r="S5" i="14" s="1"/>
  <c r="D5" i="4"/>
  <c r="R11" i="14" l="1"/>
  <c r="S11" i="14" s="1"/>
  <c r="R9" i="14"/>
  <c r="S9" i="14" s="1"/>
  <c r="R8" i="14"/>
  <c r="S8" i="14" s="1"/>
  <c r="R7" i="14"/>
  <c r="S7" i="14" s="1"/>
  <c r="N10" i="14"/>
  <c r="N8" i="14" s="1"/>
  <c r="N17" i="14" s="1"/>
  <c r="N18" i="14" s="1"/>
  <c r="N20" i="14" s="1"/>
  <c r="R4" i="14"/>
  <c r="S4" i="14" s="1"/>
  <c r="R6" i="14"/>
  <c r="S6" i="14" s="1"/>
  <c r="R10" i="14"/>
  <c r="S10" i="14" s="1"/>
  <c r="R3" i="14"/>
  <c r="S3" i="14" s="1"/>
  <c r="D26" i="12"/>
  <c r="N16" i="12" s="1"/>
  <c r="D23" i="12"/>
  <c r="D24" i="12" s="1"/>
  <c r="N15" i="12" s="1"/>
  <c r="D21" i="12"/>
  <c r="D19" i="12"/>
  <c r="D18" i="12"/>
  <c r="D13" i="12"/>
  <c r="D12" i="12"/>
  <c r="N14" i="12" s="1"/>
  <c r="Q11" i="12"/>
  <c r="Q10" i="12"/>
  <c r="Q9" i="12"/>
  <c r="Q8" i="12"/>
  <c r="Q7" i="12"/>
  <c r="Q6" i="12"/>
  <c r="Q5" i="12"/>
  <c r="L5" i="12"/>
  <c r="Q4" i="12"/>
  <c r="Q3" i="12"/>
  <c r="D10" i="12" l="1"/>
  <c r="R5" i="12" s="1"/>
  <c r="S5" i="12" s="1"/>
  <c r="R9" i="12" l="1"/>
  <c r="S9" i="12" s="1"/>
  <c r="R11" i="12"/>
  <c r="S11" i="12" s="1"/>
  <c r="R8" i="12"/>
  <c r="S8" i="12" s="1"/>
  <c r="R7" i="12"/>
  <c r="S7" i="12" s="1"/>
  <c r="N10" i="12"/>
  <c r="N8" i="12" s="1"/>
  <c r="N17" i="12" s="1"/>
  <c r="N18" i="12" s="1"/>
  <c r="N20" i="12" s="1"/>
  <c r="R4" i="12"/>
  <c r="S4" i="12" s="1"/>
  <c r="R3" i="12"/>
  <c r="S3" i="12" s="1"/>
  <c r="R6" i="12"/>
  <c r="S6" i="12" s="1"/>
  <c r="R10" i="12"/>
  <c r="S10" i="12" s="1"/>
  <c r="N27" i="4"/>
  <c r="M9" i="4" l="1"/>
  <c r="L14" i="4" l="1"/>
  <c r="N14" i="4" s="1"/>
  <c r="L15" i="4"/>
  <c r="N15" i="4" s="1"/>
  <c r="L22" i="4"/>
  <c r="O22" i="4" s="1"/>
  <c r="N28" i="4"/>
  <c r="N29" i="4"/>
  <c r="N26" i="4" l="1"/>
  <c r="N31" i="4" l="1"/>
  <c r="M8" i="4" l="1"/>
  <c r="M10" i="4" s="1"/>
  <c r="P10" i="4" s="1"/>
  <c r="D6" i="4"/>
  <c r="D8" i="4" l="1"/>
  <c r="D7" i="4"/>
  <c r="L13" i="4" l="1"/>
  <c r="N13" i="4" s="1"/>
  <c r="N16" i="4" s="1"/>
  <c r="M4" i="4"/>
  <c r="M3" i="4"/>
  <c r="D13" i="1"/>
  <c r="D10" i="1" s="1"/>
  <c r="N10" i="1" l="1"/>
  <c r="N8" i="1" s="1"/>
</calcChain>
</file>

<file path=xl/comments1.xml><?xml version="1.0" encoding="utf-8"?>
<comments xmlns="http://schemas.openxmlformats.org/spreadsheetml/2006/main">
  <authors>
    <author>Andrzej Piszcz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Rzeczywiste, oczekiwane ceny zakupu netto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Rzeczywiste, oczekiwane ceny zakupu netto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Tylko usługi zewnętrzne - szacunkowy koszt bez narzutów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Tylko te zlecane na zewnątrz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Diety, koszty paliwa, bramek na autostradzie, itp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Ilość roboczogodzin z KNR - 20%</t>
        </r>
      </text>
    </comment>
  </commentList>
</comments>
</file>

<file path=xl/comments2.xml><?xml version="1.0" encoding="utf-8"?>
<comments xmlns="http://schemas.openxmlformats.org/spreadsheetml/2006/main">
  <authors>
    <author>Andrzej Piszcz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Rzeczywiste, oczekiwane ceny zakupu netto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Rzeczywiste, oczekiwane ceny zakupu netto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Tylko usługi zewnętrzne - szacunkowy koszt bez narzutów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Tylko te zlecane na zewnątrz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projektowa, powykonawcza, inne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Diety, koszty paliwa, bramek na autostradzie, itp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np. zaplecze socjalno-mag, paliwo do urządzeń, itp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Ilość roboczogodzin dla pracowników Ti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Godziny przewidziane dla pracowników Ti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Ilość rbg z KNR-ów x 0,85</t>
        </r>
      </text>
    </comment>
  </commentList>
</comments>
</file>

<file path=xl/comments3.xml><?xml version="1.0" encoding="utf-8"?>
<comments xmlns="http://schemas.openxmlformats.org/spreadsheetml/2006/main">
  <authors>
    <author>Andrzej Piszcz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Tylko dla pracowników Ti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średnio 9 rbg/dzień</t>
        </r>
      </text>
    </comment>
  </commentList>
</comments>
</file>

<file path=xl/comments4.xml><?xml version="1.0" encoding="utf-8"?>
<comments xmlns="http://schemas.openxmlformats.org/spreadsheetml/2006/main">
  <authors>
    <author>Andrzej Piszcz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Rzeczywiste, oczekiwane ceny zakupu netto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Rzeczywiste, oczekiwane ceny zakupu netto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Tylko usługi zewnętrzne - szacunkowy koszt bez narzutów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Tylko te zlecane na zewnątrz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projektowa, powykonawcza, inne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Diety, koszty paliwa, bramek na autostradzie, itp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np. zaplecze socjalno-mag, paliwo do urządzeń, itp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Ilość roboczogodzin dla pracowników Ti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Godziny przewidziane dla pracowników Ti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  <charset val="238"/>
          </rPr>
          <t>Andrzej Piszcz:</t>
        </r>
        <r>
          <rPr>
            <sz val="9"/>
            <color indexed="81"/>
            <rFont val="Tahoma"/>
            <family val="2"/>
            <charset val="238"/>
          </rPr>
          <t xml:space="preserve">
Ilość rbg z KNR-ów x 0,85</t>
        </r>
      </text>
    </comment>
  </commentList>
</comments>
</file>

<file path=xl/sharedStrings.xml><?xml version="1.0" encoding="utf-8"?>
<sst xmlns="http://schemas.openxmlformats.org/spreadsheetml/2006/main" count="253" uniqueCount="146">
  <si>
    <t>Kalkulacja do oferty nr</t>
  </si>
  <si>
    <t>Nazwa projektu:</t>
  </si>
  <si>
    <t>Kontrahent:</t>
  </si>
  <si>
    <t>Termin realizacji:</t>
  </si>
  <si>
    <t>Koszty:</t>
  </si>
  <si>
    <t>Materiały bezpośrednie:</t>
  </si>
  <si>
    <t>Usługi sprzętowe</t>
  </si>
  <si>
    <t>Dokumentacja projektowa</t>
  </si>
  <si>
    <t>Usługi obce</t>
  </si>
  <si>
    <t>Badania i odbiory</t>
  </si>
  <si>
    <t>Delegacje/ dojazdy</t>
  </si>
  <si>
    <t>Zakwaterowanie</t>
  </si>
  <si>
    <t>Zaplecze socjalno-mag.</t>
  </si>
  <si>
    <t>Inne koszty</t>
  </si>
  <si>
    <t>Uwagi:</t>
  </si>
  <si>
    <t>Rezerwa finansowa</t>
  </si>
  <si>
    <t>Pracochłonność [rbh]</t>
  </si>
  <si>
    <t>Sporządził:</t>
  </si>
  <si>
    <t>Data:</t>
  </si>
  <si>
    <t>Wartość oferty [PLN]</t>
  </si>
  <si>
    <t>Założona rentowność</t>
  </si>
  <si>
    <t>Materiały pomocnicze:</t>
  </si>
  <si>
    <t>Koszty zakupu 3%</t>
  </si>
  <si>
    <t>Marża pokrycia [PLN/rbh]</t>
  </si>
  <si>
    <t>Ilość pracowników</t>
  </si>
  <si>
    <t>Tygodnie</t>
  </si>
  <si>
    <t>Miesiące</t>
  </si>
  <si>
    <t>Noclegi</t>
  </si>
  <si>
    <t>Dni pełne</t>
  </si>
  <si>
    <t>dni</t>
  </si>
  <si>
    <t>liczba osób</t>
  </si>
  <si>
    <t>cena za nocleg</t>
  </si>
  <si>
    <t>razem</t>
  </si>
  <si>
    <t>Delegacje</t>
  </si>
  <si>
    <t>Dojazdy</t>
  </si>
  <si>
    <t>ilośc kursów</t>
  </si>
  <si>
    <t>Paliwo</t>
  </si>
  <si>
    <t>Sprzęt</t>
  </si>
  <si>
    <t>Podest teleskopowo-przegubowy TG 120</t>
  </si>
  <si>
    <t>do uzgodnienia</t>
  </si>
  <si>
    <t>socjalne</t>
  </si>
  <si>
    <t>magazynowe</t>
  </si>
  <si>
    <t>transport</t>
  </si>
  <si>
    <t>okres</t>
  </si>
  <si>
    <t>Rusztowania</t>
  </si>
  <si>
    <t>Kotłownia gazowa - EC Rzeszów</t>
  </si>
  <si>
    <t>Polimex Energetyka</t>
  </si>
  <si>
    <t xml:space="preserve">paliwo </t>
  </si>
  <si>
    <t>w tym delegacje 67275 - rezerwa</t>
  </si>
  <si>
    <t>3 zwyżki + 1 Ładowarka</t>
  </si>
  <si>
    <t>Ti/22-281</t>
  </si>
  <si>
    <t>Koszty gwarancji bankowych</t>
  </si>
  <si>
    <t>Dieta/wyżywienie</t>
  </si>
  <si>
    <t xml:space="preserve">Podest teleskopowo-przegubowy TG 157 </t>
  </si>
  <si>
    <t>Ładowarka teleskopowa TSR 1840 dzwig</t>
  </si>
  <si>
    <t>litrów</t>
  </si>
  <si>
    <t>Marża na materiałach</t>
  </si>
  <si>
    <t>Zakładany zysk:</t>
  </si>
  <si>
    <t xml:space="preserve"> - marża na materiale</t>
  </si>
  <si>
    <t xml:space="preserve"> - marża na podwykonawcach I</t>
  </si>
  <si>
    <t xml:space="preserve"> - marża na podwykonawcach II</t>
  </si>
  <si>
    <t xml:space="preserve"> - zysk z robocizny własnej</t>
  </si>
  <si>
    <t>Sumaryczna rentowność:</t>
  </si>
  <si>
    <t>Zysk z robocizny Ti</t>
  </si>
  <si>
    <t>Marża na podwykonawcy I</t>
  </si>
  <si>
    <t>Marża na podwykonawcy II</t>
  </si>
  <si>
    <t>Podwykonawca gr. II (branże)</t>
  </si>
  <si>
    <t>km</t>
  </si>
  <si>
    <t>cena zł/m-c</t>
  </si>
  <si>
    <t>ilość szt.</t>
  </si>
  <si>
    <t>okres (m-ce)</t>
  </si>
  <si>
    <t>koszt zł</t>
  </si>
  <si>
    <t>zł</t>
  </si>
  <si>
    <t>Robocizna (rbg)</t>
  </si>
  <si>
    <t xml:space="preserve">Dni robocze </t>
  </si>
  <si>
    <t>trasa (km)</t>
  </si>
  <si>
    <t>ilość aut</t>
  </si>
  <si>
    <t>Jazda na miejscu</t>
  </si>
  <si>
    <t xml:space="preserve">stawka </t>
  </si>
  <si>
    <t>Razem km</t>
  </si>
  <si>
    <t>cena 1 litr</t>
  </si>
  <si>
    <t>Zaplecze</t>
  </si>
  <si>
    <t>ilość</t>
  </si>
  <si>
    <t>Cena /1 m-c</t>
  </si>
  <si>
    <t>rodzaj kontenera/usługi</t>
  </si>
  <si>
    <t>najem</t>
  </si>
  <si>
    <t>koszt razem</t>
  </si>
  <si>
    <t>Toi Toi</t>
  </si>
  <si>
    <t>Przejazdy</t>
  </si>
  <si>
    <t>Samochód ciężarowy</t>
  </si>
  <si>
    <t>Dokumentacja</t>
  </si>
  <si>
    <t>Koszty dojazdu</t>
  </si>
  <si>
    <t>Podwykonawcy gr. I</t>
  </si>
  <si>
    <t>zł/rbg</t>
  </si>
  <si>
    <t>Pracochłonność [rbg] Ti</t>
  </si>
  <si>
    <t>Materiały</t>
  </si>
  <si>
    <t>Pracochłonność całkowita [rbg]</t>
  </si>
  <si>
    <t>Marża pokrycia [PLN/rbg]</t>
  </si>
  <si>
    <t>zł/km</t>
  </si>
  <si>
    <t>ilość km</t>
  </si>
  <si>
    <t>Dodatek wyjazdowy</t>
  </si>
  <si>
    <t>ilość dni</t>
  </si>
  <si>
    <t>zł/dzień</t>
  </si>
  <si>
    <t>Rabat %</t>
  </si>
  <si>
    <t>Cena</t>
  </si>
  <si>
    <t>Marża pokrycia</t>
  </si>
  <si>
    <t>Zysk Ti</t>
  </si>
  <si>
    <t>ilość rbg</t>
  </si>
  <si>
    <t>m2</t>
  </si>
  <si>
    <t>ładowarka 6l/h x 5godz. dziennie x 1szt x22dni x2 m-cy</t>
  </si>
  <si>
    <t>dzwig</t>
  </si>
  <si>
    <t>70x80</t>
  </si>
  <si>
    <t>250x8x3dni = dojazd 15x80</t>
  </si>
  <si>
    <t>podest 4l/h x 5godz. dziennie x14dni x1 szt</t>
  </si>
  <si>
    <t>Spawarka EWM PICOTIG 200 PULS</t>
  </si>
  <si>
    <t>Ti/4-634</t>
  </si>
  <si>
    <t>WŁ</t>
  </si>
  <si>
    <t>94/19/FVS</t>
  </si>
  <si>
    <t>Wańkowicz Paweł</t>
  </si>
  <si>
    <t>- // -</t>
  </si>
  <si>
    <t>Ti/4-635</t>
  </si>
  <si>
    <t>Skiba Dariusz</t>
  </si>
  <si>
    <t>Ti/4-636</t>
  </si>
  <si>
    <t>NS</t>
  </si>
  <si>
    <t>Bogdan Rumianek</t>
  </si>
  <si>
    <t>Ti/4-637</t>
  </si>
  <si>
    <t>Brudniak Mariusz</t>
  </si>
  <si>
    <t>Ti/4-669</t>
  </si>
  <si>
    <t>SW</t>
  </si>
  <si>
    <t>91/20/FVS</t>
  </si>
  <si>
    <t>M.Zagaja (R.Kania)</t>
  </si>
  <si>
    <t>Ti/4-721</t>
  </si>
  <si>
    <t>6176/21/FVS</t>
  </si>
  <si>
    <t>L.Lech (J.Kosior)</t>
  </si>
  <si>
    <t>Ti/4-750</t>
  </si>
  <si>
    <t>4512/22/FVS</t>
  </si>
  <si>
    <t>Warsztat Łańcut</t>
  </si>
  <si>
    <t>Ti/8-867</t>
  </si>
  <si>
    <t>2915/24/FVS</t>
  </si>
  <si>
    <t>Warsztat Łańcut - wyjazdy</t>
  </si>
  <si>
    <t>Ti/8-868</t>
  </si>
  <si>
    <t>Izolacja rurociągów technologiczych</t>
  </si>
  <si>
    <t>Saria Swiętajno</t>
  </si>
  <si>
    <t>8 godz/dzień</t>
  </si>
  <si>
    <t>Ti/25-271.1</t>
  </si>
  <si>
    <t>wsp. 1 -  ( w tym budowa 352rbg)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</si>
</sst>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#,##0.00\ &quot;zł&quot;;[Red]\-#,##0.00\ &quot;zł&quot;"/>
    <numFmt numFmtId="41" formatCode="_-* #,##0\ _z_ł_-;\-* #,##0\ _z_ł_-;_-* &quot;-&quot;\ _z_ł_-;_-@_-"/>
    <numFmt numFmtId="43" formatCode="_-* #,##0.00\ _z_ł_-;\-* #,##0.00\ _z_ł_-;_-* &quot;-&quot;??\ _z_ł_-;_-@_-"/>
    <numFmt numFmtId="164" formatCode="_-* #,##0\ _z_ł_-;\-* #,##0\ _z_ł_-;_-* &quot;-&quot;??\ _z_ł_-;_-@_-"/>
    <numFmt numFmtId="165" formatCode="0.0"/>
    <numFmt numFmtId="166" formatCode="0.0%"/>
    <numFmt numFmtId="167" formatCode="#,##0.0"/>
    <numFmt numFmtId="168" formatCode="_-* #,##0\ _z_ł_-;\-* #,##0\ _z_ł_-;_-* &quot;-&quot;?\ _z_ł_-;_-@_-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0" fillId="0" borderId="3" xfId="0" applyBorder="1"/>
    <xf numFmtId="0" fontId="1" fillId="0" borderId="0" xfId="0" applyFont="1"/>
    <xf numFmtId="0" fontId="1" fillId="2" borderId="0" xfId="0" applyFont="1" applyFill="1"/>
    <xf numFmtId="164" fontId="0" fillId="2" borderId="1" xfId="1" applyNumberFormat="1" applyFont="1" applyFill="1" applyBorder="1" applyAlignment="1">
      <alignment horizontal="right"/>
    </xf>
    <xf numFmtId="164" fontId="0" fillId="0" borderId="0" xfId="1" applyNumberFormat="1" applyFont="1" applyAlignment="1">
      <alignment horizontal="right"/>
    </xf>
    <xf numFmtId="164" fontId="1" fillId="2" borderId="1" xfId="1" applyNumberFormat="1" applyFont="1" applyFill="1" applyBorder="1" applyAlignment="1">
      <alignment horizontal="right"/>
    </xf>
    <xf numFmtId="164" fontId="0" fillId="2" borderId="5" xfId="1" applyNumberFormat="1" applyFont="1" applyFill="1" applyBorder="1" applyAlignment="1">
      <alignment horizontal="right"/>
    </xf>
    <xf numFmtId="164" fontId="1" fillId="0" borderId="4" xfId="1" applyNumberFormat="1" applyFont="1" applyBorder="1" applyAlignment="1">
      <alignment horizontal="right"/>
    </xf>
    <xf numFmtId="0" fontId="0" fillId="0" borderId="2" xfId="0" applyBorder="1"/>
    <xf numFmtId="0" fontId="7" fillId="0" borderId="0" xfId="0" applyFont="1"/>
    <xf numFmtId="164" fontId="6" fillId="2" borderId="4" xfId="1" applyNumberFormat="1" applyFont="1" applyFill="1" applyBorder="1"/>
    <xf numFmtId="10" fontId="1" fillId="3" borderId="4" xfId="2" applyNumberFormat="1" applyFont="1" applyFill="1" applyBorder="1" applyAlignment="1">
      <alignment horizontal="center"/>
    </xf>
    <xf numFmtId="165" fontId="0" fillId="0" borderId="0" xfId="0" applyNumberFormat="1"/>
    <xf numFmtId="1" fontId="0" fillId="0" borderId="0" xfId="0" applyNumberFormat="1"/>
    <xf numFmtId="165" fontId="0" fillId="0" borderId="4" xfId="0" applyNumberFormat="1" applyBorder="1" applyAlignment="1">
      <alignment horizontal="center"/>
    </xf>
    <xf numFmtId="0" fontId="0" fillId="3" borderId="0" xfId="0" applyFill="1"/>
    <xf numFmtId="9" fontId="0" fillId="0" borderId="3" xfId="0" applyNumberFormat="1" applyBorder="1"/>
    <xf numFmtId="0" fontId="1" fillId="0" borderId="3" xfId="0" applyFont="1" applyBorder="1"/>
    <xf numFmtId="14" fontId="0" fillId="2" borderId="0" xfId="0" applyNumberFormat="1" applyFill="1"/>
    <xf numFmtId="8" fontId="0" fillId="0" borderId="0" xfId="0" applyNumberFormat="1"/>
    <xf numFmtId="0" fontId="0" fillId="0" borderId="6" xfId="0" applyBorder="1"/>
    <xf numFmtId="3" fontId="1" fillId="0" borderId="0" xfId="0" applyNumberFormat="1" applyFont="1"/>
    <xf numFmtId="3" fontId="0" fillId="0" borderId="6" xfId="0" applyNumberFormat="1" applyBorder="1"/>
    <xf numFmtId="3" fontId="0" fillId="0" borderId="0" xfId="0" applyNumberFormat="1"/>
    <xf numFmtId="0" fontId="0" fillId="4" borderId="0" xfId="0" applyFill="1"/>
    <xf numFmtId="164" fontId="0" fillId="3" borderId="1" xfId="1" applyNumberFormat="1" applyFont="1" applyFill="1" applyBorder="1" applyAlignment="1">
      <alignment horizontal="right"/>
    </xf>
    <xf numFmtId="9" fontId="1" fillId="4" borderId="3" xfId="0" applyNumberFormat="1" applyFont="1" applyFill="1" applyBorder="1" applyAlignment="1">
      <alignment horizontal="left"/>
    </xf>
    <xf numFmtId="0" fontId="1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41" fontId="0" fillId="4" borderId="6" xfId="0" applyNumberFormat="1" applyFill="1" applyBorder="1"/>
    <xf numFmtId="0" fontId="1" fillId="4" borderId="10" xfId="0" applyFon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9" fontId="0" fillId="3" borderId="3" xfId="0" applyNumberFormat="1" applyFill="1" applyBorder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165" fontId="0" fillId="0" borderId="1" xfId="0" applyNumberFormat="1" applyBorder="1"/>
    <xf numFmtId="8" fontId="1" fillId="5" borderId="0" xfId="0" applyNumberFormat="1" applyFont="1" applyFill="1"/>
    <xf numFmtId="3" fontId="0" fillId="0" borderId="15" xfId="0" applyNumberFormat="1" applyBorder="1"/>
    <xf numFmtId="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1" fillId="5" borderId="0" xfId="0" applyFont="1" applyFill="1"/>
    <xf numFmtId="0" fontId="1" fillId="4" borderId="11" xfId="0" applyFont="1" applyFill="1" applyBorder="1"/>
    <xf numFmtId="166" fontId="1" fillId="2" borderId="0" xfId="2" applyNumberFormat="1" applyFont="1" applyFill="1" applyBorder="1"/>
    <xf numFmtId="0" fontId="0" fillId="6" borderId="1" xfId="0" applyFill="1" applyBorder="1" applyAlignment="1">
      <alignment horizontal="center"/>
    </xf>
    <xf numFmtId="0" fontId="0" fillId="0" borderId="3" xfId="0" applyBorder="1" applyAlignment="1">
      <alignment horizontal="left"/>
    </xf>
    <xf numFmtId="164" fontId="0" fillId="2" borderId="19" xfId="1" applyNumberFormat="1" applyFont="1" applyFill="1" applyBorder="1" applyAlignment="1">
      <alignment horizontal="right"/>
    </xf>
    <xf numFmtId="164" fontId="1" fillId="4" borderId="4" xfId="1" applyNumberFormat="1" applyFont="1" applyFill="1" applyBorder="1" applyAlignment="1">
      <alignment horizontal="right"/>
    </xf>
    <xf numFmtId="164" fontId="1" fillId="2" borderId="20" xfId="1" applyNumberFormat="1" applyFont="1" applyFill="1" applyBorder="1" applyAlignment="1">
      <alignment horizontal="right"/>
    </xf>
    <xf numFmtId="164" fontId="0" fillId="2" borderId="20" xfId="1" applyNumberFormat="1" applyFont="1" applyFill="1" applyBorder="1" applyAlignment="1">
      <alignment horizontal="right"/>
    </xf>
    <xf numFmtId="164" fontId="1" fillId="2" borderId="1" xfId="1" applyNumberFormat="1" applyFont="1" applyFill="1" applyBorder="1" applyAlignment="1">
      <alignment horizontal="center"/>
    </xf>
    <xf numFmtId="164" fontId="1" fillId="5" borderId="1" xfId="1" applyNumberFormat="1" applyFont="1" applyFill="1" applyBorder="1" applyAlignment="1">
      <alignment horizontal="center"/>
    </xf>
    <xf numFmtId="164" fontId="0" fillId="4" borderId="4" xfId="1" applyNumberFormat="1" applyFont="1" applyFill="1" applyBorder="1" applyAlignment="1">
      <alignment horizontal="right"/>
    </xf>
    <xf numFmtId="2" fontId="0" fillId="0" borderId="3" xfId="0" applyNumberFormat="1" applyBorder="1" applyAlignment="1">
      <alignment horizontal="left"/>
    </xf>
    <xf numFmtId="0" fontId="1" fillId="4" borderId="0" xfId="0" applyFont="1" applyFill="1"/>
    <xf numFmtId="0" fontId="0" fillId="0" borderId="0" xfId="0" applyAlignment="1">
      <alignment horizontal="center"/>
    </xf>
    <xf numFmtId="164" fontId="0" fillId="4" borderId="0" xfId="0" applyNumberFormat="1" applyFill="1"/>
    <xf numFmtId="164" fontId="1" fillId="4" borderId="0" xfId="0" applyNumberFormat="1" applyFont="1" applyFill="1"/>
    <xf numFmtId="164" fontId="0" fillId="0" borderId="4" xfId="1" applyNumberFormat="1" applyFont="1" applyFill="1" applyBorder="1" applyAlignment="1">
      <alignment horizontal="right"/>
    </xf>
    <xf numFmtId="164" fontId="1" fillId="0" borderId="4" xfId="1" applyNumberFormat="1" applyFont="1" applyFill="1" applyBorder="1" applyAlignment="1">
      <alignment horizontal="right"/>
    </xf>
    <xf numFmtId="166" fontId="0" fillId="0" borderId="1" xfId="2" applyNumberFormat="1" applyFont="1" applyBorder="1" applyAlignment="1">
      <alignment horizontal="center"/>
    </xf>
    <xf numFmtId="168" fontId="0" fillId="0" borderId="1" xfId="0" applyNumberFormat="1" applyBorder="1"/>
    <xf numFmtId="164" fontId="0" fillId="0" borderId="1" xfId="0" applyNumberFormat="1" applyBorder="1"/>
    <xf numFmtId="0" fontId="1" fillId="7" borderId="1" xfId="0" applyFont="1" applyFill="1" applyBorder="1" applyAlignment="1">
      <alignment horizontal="center" vertical="center" wrapText="1"/>
    </xf>
    <xf numFmtId="166" fontId="0" fillId="0" borderId="1" xfId="2" applyNumberFormat="1" applyFont="1" applyFill="1" applyBorder="1" applyAlignment="1">
      <alignment horizontal="center"/>
    </xf>
    <xf numFmtId="164" fontId="1" fillId="4" borderId="4" xfId="1" applyNumberFormat="1" applyFont="1" applyFill="1" applyBorder="1" applyAlignment="1">
      <alignment horizontal="center"/>
    </xf>
    <xf numFmtId="3" fontId="1" fillId="0" borderId="4" xfId="2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8" fillId="0" borderId="4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8" borderId="21" xfId="0" applyFont="1" applyFill="1" applyBorder="1" applyAlignment="1">
      <alignment vertical="center" wrapText="1"/>
    </xf>
    <xf numFmtId="14" fontId="8" fillId="0" borderId="21" xfId="0" applyNumberFormat="1" applyFont="1" applyBorder="1" applyAlignment="1">
      <alignment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14" fontId="8" fillId="0" borderId="14" xfId="0" applyNumberFormat="1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9" borderId="14" xfId="0" applyFont="1" applyFill="1" applyBorder="1" applyAlignment="1">
      <alignment vertical="center" wrapText="1"/>
    </xf>
    <xf numFmtId="0" fontId="8" fillId="10" borderId="21" xfId="0" applyFont="1" applyFill="1" applyBorder="1" applyAlignment="1">
      <alignment vertical="center" wrapText="1"/>
    </xf>
    <xf numFmtId="0" fontId="9" fillId="0" borderId="21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2" borderId="10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5" borderId="0" xfId="0" applyFont="1" applyFill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zoomScale="90" zoomScaleNormal="90" workbookViewId="0">
      <selection sqref="A1:N29"/>
    </sheetView>
  </sheetViews>
  <sheetFormatPr defaultRowHeight="14.4" x14ac:dyDescent="0.3"/>
  <cols>
    <col min="1" max="1" width="12.5546875" customWidth="1"/>
    <col min="3" max="3" width="3.6640625" customWidth="1"/>
    <col min="4" max="4" width="12.88671875" bestFit="1" customWidth="1"/>
    <col min="14" max="14" width="16.88671875" bestFit="1" customWidth="1"/>
  </cols>
  <sheetData>
    <row r="1" spans="1:14" ht="15" thickBot="1" x14ac:dyDescent="0.35"/>
    <row r="2" spans="1:14" ht="18.600000000000001" thickBot="1" x14ac:dyDescent="0.4">
      <c r="A2" s="91" t="s">
        <v>0</v>
      </c>
      <c r="B2" s="91"/>
      <c r="C2" s="91"/>
      <c r="D2" s="94" t="s">
        <v>50</v>
      </c>
      <c r="E2" s="94"/>
      <c r="F2" s="11"/>
      <c r="G2" s="11"/>
      <c r="H2" s="11"/>
      <c r="I2" s="11"/>
      <c r="J2" s="11"/>
      <c r="K2" s="91" t="s">
        <v>19</v>
      </c>
      <c r="L2" s="91"/>
      <c r="M2" s="91"/>
      <c r="N2" s="12">
        <v>5198000</v>
      </c>
    </row>
    <row r="4" spans="1:14" x14ac:dyDescent="0.3">
      <c r="A4" s="3" t="s">
        <v>1</v>
      </c>
      <c r="C4" s="4" t="s">
        <v>45</v>
      </c>
      <c r="D4" s="4"/>
      <c r="E4" s="4"/>
      <c r="F4" s="4"/>
      <c r="G4" s="4"/>
      <c r="H4" s="4"/>
      <c r="I4" s="4"/>
      <c r="J4" s="4"/>
      <c r="K4" s="1"/>
      <c r="L4" s="1"/>
      <c r="M4" s="1"/>
    </row>
    <row r="5" spans="1:14" x14ac:dyDescent="0.3">
      <c r="A5" s="3"/>
      <c r="C5" s="4"/>
      <c r="D5" s="4"/>
      <c r="E5" s="4"/>
      <c r="F5" s="4"/>
      <c r="G5" s="4"/>
      <c r="H5" s="4"/>
      <c r="I5" s="4"/>
      <c r="J5" s="4"/>
      <c r="K5" s="1"/>
      <c r="L5" s="1"/>
      <c r="M5" s="1"/>
    </row>
    <row r="6" spans="1:14" x14ac:dyDescent="0.3">
      <c r="A6" s="3" t="s">
        <v>2</v>
      </c>
      <c r="C6" s="4" t="s">
        <v>46</v>
      </c>
      <c r="D6" s="4"/>
      <c r="E6" s="4"/>
      <c r="F6" s="4"/>
      <c r="G6" s="4"/>
      <c r="H6" s="4"/>
      <c r="I6" s="4"/>
      <c r="J6" s="4"/>
    </row>
    <row r="7" spans="1:14" ht="15" thickBot="1" x14ac:dyDescent="0.35">
      <c r="A7" t="s">
        <v>3</v>
      </c>
      <c r="C7" s="1"/>
      <c r="D7" s="1" t="s">
        <v>39</v>
      </c>
      <c r="E7" s="1"/>
    </row>
    <row r="8" spans="1:14" ht="16.2" thickBot="1" x14ac:dyDescent="0.35">
      <c r="K8" s="93" t="s">
        <v>20</v>
      </c>
      <c r="L8" s="93"/>
      <c r="M8" s="93"/>
      <c r="N8" s="13">
        <f>D24*(N10-69)/N2</f>
        <v>4.8229672951135026E-2</v>
      </c>
    </row>
    <row r="9" spans="1:14" ht="15" thickBot="1" x14ac:dyDescent="0.35"/>
    <row r="10" spans="1:14" ht="15" thickBot="1" x14ac:dyDescent="0.35">
      <c r="A10" s="3" t="s">
        <v>4</v>
      </c>
      <c r="D10" s="9">
        <f>SUM(D11:D22)</f>
        <v>3709649.16</v>
      </c>
      <c r="F10" s="2" t="s">
        <v>14</v>
      </c>
      <c r="K10" s="95" t="s">
        <v>23</v>
      </c>
      <c r="L10" s="95"/>
      <c r="M10" s="95"/>
      <c r="N10" s="16">
        <f>(N2-D10)/D24</f>
        <v>82.976575793053456</v>
      </c>
    </row>
    <row r="11" spans="1:14" x14ac:dyDescent="0.3">
      <c r="A11" s="92" t="s">
        <v>5</v>
      </c>
      <c r="B11" s="92"/>
      <c r="C11" s="10"/>
      <c r="D11" s="8">
        <v>2856072</v>
      </c>
      <c r="F11" s="2"/>
    </row>
    <row r="12" spans="1:14" x14ac:dyDescent="0.3">
      <c r="A12" s="92" t="s">
        <v>21</v>
      </c>
      <c r="B12" s="92"/>
      <c r="D12" s="5"/>
      <c r="F12" s="2"/>
    </row>
    <row r="13" spans="1:14" x14ac:dyDescent="0.3">
      <c r="A13" t="s">
        <v>22</v>
      </c>
      <c r="D13" s="6">
        <f>(D11+D12)*0.03</f>
        <v>85682.16</v>
      </c>
      <c r="F13" s="2"/>
    </row>
    <row r="14" spans="1:14" x14ac:dyDescent="0.3">
      <c r="A14" s="92" t="s">
        <v>6</v>
      </c>
      <c r="B14" s="92"/>
      <c r="D14" s="5">
        <v>483200</v>
      </c>
      <c r="F14" s="2" t="s">
        <v>49</v>
      </c>
    </row>
    <row r="15" spans="1:14" x14ac:dyDescent="0.3">
      <c r="A15" t="s">
        <v>8</v>
      </c>
      <c r="D15" s="5">
        <v>8000</v>
      </c>
      <c r="F15" s="2" t="s">
        <v>42</v>
      </c>
    </row>
    <row r="16" spans="1:14" x14ac:dyDescent="0.3">
      <c r="A16" s="92" t="s">
        <v>9</v>
      </c>
      <c r="B16" s="92"/>
      <c r="D16" s="5">
        <v>45900</v>
      </c>
      <c r="F16" s="2"/>
    </row>
    <row r="17" spans="1:6" x14ac:dyDescent="0.3">
      <c r="A17" t="s">
        <v>7</v>
      </c>
      <c r="D17" s="5"/>
      <c r="F17" s="2"/>
    </row>
    <row r="18" spans="1:6" x14ac:dyDescent="0.3">
      <c r="A18" s="92" t="s">
        <v>10</v>
      </c>
      <c r="B18" s="92"/>
      <c r="D18" s="5">
        <v>123375</v>
      </c>
      <c r="F18" s="19" t="s">
        <v>48</v>
      </c>
    </row>
    <row r="19" spans="1:6" x14ac:dyDescent="0.3">
      <c r="A19" t="s">
        <v>11</v>
      </c>
      <c r="D19" s="5">
        <v>0</v>
      </c>
      <c r="F19" s="2"/>
    </row>
    <row r="20" spans="1:6" x14ac:dyDescent="0.3">
      <c r="A20" t="s">
        <v>12</v>
      </c>
      <c r="D20" s="5">
        <v>29420</v>
      </c>
      <c r="F20" s="2"/>
    </row>
    <row r="21" spans="1:6" x14ac:dyDescent="0.3">
      <c r="A21" t="s">
        <v>13</v>
      </c>
      <c r="D21" s="5">
        <v>78000</v>
      </c>
      <c r="F21" t="s">
        <v>47</v>
      </c>
    </row>
    <row r="22" spans="1:6" x14ac:dyDescent="0.3">
      <c r="A22" t="s">
        <v>15</v>
      </c>
      <c r="D22" s="5"/>
      <c r="F22" s="18"/>
    </row>
    <row r="23" spans="1:6" x14ac:dyDescent="0.3">
      <c r="D23" s="6"/>
      <c r="F23" s="2"/>
    </row>
    <row r="24" spans="1:6" x14ac:dyDescent="0.3">
      <c r="A24" s="90" t="s">
        <v>16</v>
      </c>
      <c r="B24" s="90"/>
      <c r="D24" s="7">
        <v>17937</v>
      </c>
      <c r="F24" s="2">
        <v>0.85</v>
      </c>
    </row>
    <row r="27" spans="1:6" x14ac:dyDescent="0.3">
      <c r="A27" t="s">
        <v>17</v>
      </c>
      <c r="B27" s="1"/>
      <c r="C27" s="1"/>
      <c r="D27" s="1"/>
    </row>
    <row r="28" spans="1:6" x14ac:dyDescent="0.3">
      <c r="A28" t="s">
        <v>18</v>
      </c>
      <c r="B28" s="1"/>
      <c r="C28" s="1"/>
    </row>
  </sheetData>
  <mergeCells count="11">
    <mergeCell ref="A24:B24"/>
    <mergeCell ref="A2:C2"/>
    <mergeCell ref="A18:B18"/>
    <mergeCell ref="K2:M2"/>
    <mergeCell ref="K8:M8"/>
    <mergeCell ref="D2:E2"/>
    <mergeCell ref="K10:M10"/>
    <mergeCell ref="A11:B11"/>
    <mergeCell ref="A12:B12"/>
    <mergeCell ref="A14:B14"/>
    <mergeCell ref="A16:B16"/>
  </mergeCells>
  <pageMargins left="0.7" right="0.7" top="0.75" bottom="0.75" header="0.3" footer="0.3"/>
  <pageSetup paperSize="9" scale="95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M30" sqref="M30"/>
    </sheetView>
  </sheetViews>
  <sheetFormatPr defaultRowHeight="14.4" x14ac:dyDescent="0.3"/>
  <cols>
    <col min="4" max="4" width="9.5546875" bestFit="1" customWidth="1"/>
    <col min="14" max="14" width="13.109375" bestFit="1" customWidth="1"/>
    <col min="17" max="17" width="9.44140625" bestFit="1" customWidth="1"/>
    <col min="19" max="19" width="9.44140625" bestFit="1" customWidth="1"/>
  </cols>
  <sheetData>
    <row r="1" spans="1:19" ht="15" thickBot="1" x14ac:dyDescent="0.35"/>
    <row r="2" spans="1:19" ht="29.4" thickBot="1" x14ac:dyDescent="0.4">
      <c r="A2" s="91" t="s">
        <v>0</v>
      </c>
      <c r="B2" s="91"/>
      <c r="C2" s="91"/>
      <c r="D2" s="94" t="s">
        <v>144</v>
      </c>
      <c r="E2" s="94"/>
      <c r="F2" s="11"/>
      <c r="G2" s="11"/>
      <c r="H2" s="11"/>
      <c r="I2" s="11"/>
      <c r="J2" s="11"/>
      <c r="K2" s="91" t="s">
        <v>19</v>
      </c>
      <c r="L2" s="91"/>
      <c r="M2" s="91"/>
      <c r="N2" s="12">
        <v>95700</v>
      </c>
      <c r="P2" s="72" t="s">
        <v>103</v>
      </c>
      <c r="Q2" s="72" t="s">
        <v>104</v>
      </c>
      <c r="R2" s="72" t="s">
        <v>105</v>
      </c>
      <c r="S2" s="72" t="s">
        <v>106</v>
      </c>
    </row>
    <row r="3" spans="1:19" x14ac:dyDescent="0.3">
      <c r="P3" s="69">
        <v>0.02</v>
      </c>
      <c r="Q3" s="70">
        <f>$N$2*(100%-P3)</f>
        <v>93786</v>
      </c>
      <c r="R3" s="77">
        <f>(Q3-$D$10)/$D$30</f>
        <v>82.363797216699808</v>
      </c>
      <c r="S3" s="71">
        <f>$D$30*(R3-75)</f>
        <v>3703.9900000000034</v>
      </c>
    </row>
    <row r="4" spans="1:19" x14ac:dyDescent="0.3">
      <c r="A4" s="3" t="s">
        <v>1</v>
      </c>
      <c r="C4" s="96" t="s">
        <v>141</v>
      </c>
      <c r="D4" s="96"/>
      <c r="E4" s="96"/>
      <c r="F4" s="96"/>
      <c r="G4" s="96"/>
      <c r="H4" s="96"/>
      <c r="I4" s="3"/>
      <c r="J4" s="3"/>
      <c r="M4" s="76"/>
      <c r="P4" s="69">
        <v>2.5000000000000001E-2</v>
      </c>
      <c r="Q4" s="70">
        <f t="shared" ref="Q4:Q11" si="0">$N$2*(100%-P4)</f>
        <v>93307.5</v>
      </c>
      <c r="R4" s="77">
        <f t="shared" ref="R4:R11" si="1">(Q4-$D$10)/$D$30</f>
        <v>81.412504970178944</v>
      </c>
      <c r="S4" s="71">
        <f t="shared" ref="S4:S11" si="2">$D$30*(R4-75)</f>
        <v>3225.4900000000084</v>
      </c>
    </row>
    <row r="5" spans="1:19" x14ac:dyDescent="0.3">
      <c r="A5" s="3"/>
      <c r="C5" s="4"/>
      <c r="D5" s="4"/>
      <c r="E5" s="4"/>
      <c r="F5" s="4"/>
      <c r="G5" s="3"/>
      <c r="H5" s="3"/>
      <c r="I5" s="3"/>
      <c r="J5" s="3"/>
      <c r="L5" s="76">
        <f>N2/M5</f>
        <v>683.57142857142856</v>
      </c>
      <c r="M5">
        <v>140</v>
      </c>
      <c r="N5" t="s">
        <v>108</v>
      </c>
      <c r="P5" s="69">
        <v>0.03</v>
      </c>
      <c r="Q5" s="70">
        <f t="shared" si="0"/>
        <v>92829</v>
      </c>
      <c r="R5" s="77">
        <f t="shared" si="1"/>
        <v>80.461212723658065</v>
      </c>
      <c r="S5" s="71">
        <f t="shared" si="2"/>
        <v>2746.9900000000066</v>
      </c>
    </row>
    <row r="6" spans="1:19" x14ac:dyDescent="0.3">
      <c r="A6" s="3" t="s">
        <v>2</v>
      </c>
      <c r="C6" s="97" t="s">
        <v>142</v>
      </c>
      <c r="D6" s="97"/>
      <c r="E6" s="97"/>
      <c r="F6" s="97"/>
      <c r="G6" s="3"/>
      <c r="H6" s="3"/>
      <c r="I6" s="3"/>
      <c r="J6" s="3"/>
      <c r="P6" s="73">
        <v>3.5000000000000003E-2</v>
      </c>
      <c r="Q6" s="70">
        <f t="shared" si="0"/>
        <v>92350.5</v>
      </c>
      <c r="R6" s="77">
        <f t="shared" si="1"/>
        <v>79.509920477137186</v>
      </c>
      <c r="S6" s="71">
        <f t="shared" si="2"/>
        <v>2268.4900000000043</v>
      </c>
    </row>
    <row r="7" spans="1:19" ht="15" thickBot="1" x14ac:dyDescent="0.35">
      <c r="A7" t="s">
        <v>3</v>
      </c>
      <c r="C7" s="1"/>
      <c r="D7" s="1"/>
      <c r="E7" s="1"/>
      <c r="F7" s="1"/>
      <c r="P7" s="73">
        <v>0.04</v>
      </c>
      <c r="Q7" s="70">
        <f t="shared" si="0"/>
        <v>91872</v>
      </c>
      <c r="R7" s="77">
        <f t="shared" si="1"/>
        <v>78.558628230616307</v>
      </c>
      <c r="S7" s="71">
        <f t="shared" si="2"/>
        <v>1789.9900000000025</v>
      </c>
    </row>
    <row r="8" spans="1:19" ht="16.2" thickBot="1" x14ac:dyDescent="0.35">
      <c r="K8" s="93" t="s">
        <v>63</v>
      </c>
      <c r="L8" s="93"/>
      <c r="M8" s="93"/>
      <c r="N8" s="74">
        <f>D30*(N10-75)</f>
        <v>5617.9900000000043</v>
      </c>
      <c r="P8" s="69">
        <v>4.4999999999999998E-2</v>
      </c>
      <c r="Q8" s="70">
        <f t="shared" si="0"/>
        <v>91393.5</v>
      </c>
      <c r="R8" s="77">
        <f t="shared" si="1"/>
        <v>77.607335984095442</v>
      </c>
      <c r="S8" s="71">
        <f t="shared" si="2"/>
        <v>1311.4900000000075</v>
      </c>
    </row>
    <row r="9" spans="1:19" ht="15" thickBot="1" x14ac:dyDescent="0.35">
      <c r="P9" s="73">
        <v>0.05</v>
      </c>
      <c r="Q9" s="70">
        <f t="shared" si="0"/>
        <v>90915</v>
      </c>
      <c r="R9" s="77">
        <f t="shared" si="1"/>
        <v>76.656043737574564</v>
      </c>
      <c r="S9" s="71">
        <f t="shared" si="2"/>
        <v>832.99000000000547</v>
      </c>
    </row>
    <row r="10" spans="1:19" ht="15" thickBot="1" x14ac:dyDescent="0.35">
      <c r="A10" s="3" t="s">
        <v>4</v>
      </c>
      <c r="D10" s="9">
        <f>SUM(D11:D28)</f>
        <v>52357.009999999995</v>
      </c>
      <c r="F10" s="19" t="s">
        <v>14</v>
      </c>
      <c r="K10" s="95" t="s">
        <v>97</v>
      </c>
      <c r="L10" s="95"/>
      <c r="M10" s="95"/>
      <c r="N10" s="75">
        <f>(N2-D10)/D30</f>
        <v>86.168966202783309</v>
      </c>
      <c r="P10" s="69">
        <v>5.5E-2</v>
      </c>
      <c r="Q10" s="70">
        <f t="shared" si="0"/>
        <v>90436.5</v>
      </c>
      <c r="R10" s="77">
        <f t="shared" si="1"/>
        <v>75.704751491053685</v>
      </c>
      <c r="S10" s="71">
        <f t="shared" si="2"/>
        <v>354.49000000000342</v>
      </c>
    </row>
    <row r="11" spans="1:19" ht="15" thickBot="1" x14ac:dyDescent="0.35">
      <c r="A11" s="90" t="s">
        <v>95</v>
      </c>
      <c r="B11" s="90"/>
      <c r="C11" s="10"/>
      <c r="D11" s="58">
        <v>28891</v>
      </c>
      <c r="F11" s="2"/>
      <c r="P11" s="69">
        <v>0.06</v>
      </c>
      <c r="Q11" s="70">
        <f t="shared" si="0"/>
        <v>89958</v>
      </c>
      <c r="R11" s="77">
        <f t="shared" si="1"/>
        <v>74.75345924453282</v>
      </c>
      <c r="S11" s="71">
        <f t="shared" si="2"/>
        <v>-124.00999999999149</v>
      </c>
    </row>
    <row r="12" spans="1:19" ht="15" thickBot="1" x14ac:dyDescent="0.35">
      <c r="A12" s="98" t="s">
        <v>56</v>
      </c>
      <c r="B12" s="98"/>
      <c r="D12" s="61">
        <f>D11*F12</f>
        <v>2311.2800000000002</v>
      </c>
      <c r="F12" s="28">
        <v>0.08</v>
      </c>
    </row>
    <row r="13" spans="1:19" ht="15" thickBot="1" x14ac:dyDescent="0.35">
      <c r="A13" t="s">
        <v>22</v>
      </c>
      <c r="D13" s="67">
        <f>D11*0.03</f>
        <v>866.73</v>
      </c>
      <c r="F13" s="2"/>
      <c r="K13" s="29" t="s">
        <v>57</v>
      </c>
      <c r="L13" s="30"/>
      <c r="M13" s="30"/>
      <c r="N13" s="30"/>
      <c r="O13" s="31"/>
    </row>
    <row r="14" spans="1:19" x14ac:dyDescent="0.3">
      <c r="A14" s="92" t="s">
        <v>6</v>
      </c>
      <c r="B14" s="92"/>
      <c r="D14" s="8">
        <v>3000</v>
      </c>
      <c r="F14" s="2" t="s">
        <v>42</v>
      </c>
      <c r="K14" s="32" t="s">
        <v>58</v>
      </c>
      <c r="L14" s="26"/>
      <c r="M14" s="65"/>
      <c r="N14" s="65">
        <f>D12</f>
        <v>2311.2800000000002</v>
      </c>
      <c r="O14" s="33"/>
    </row>
    <row r="15" spans="1:19" x14ac:dyDescent="0.3">
      <c r="A15" t="s">
        <v>8</v>
      </c>
      <c r="D15" s="5"/>
      <c r="F15" s="2"/>
      <c r="K15" s="32" t="s">
        <v>59</v>
      </c>
      <c r="L15" s="26"/>
      <c r="M15" s="26"/>
      <c r="N15" s="65">
        <f>D24</f>
        <v>0</v>
      </c>
      <c r="O15" s="33"/>
    </row>
    <row r="16" spans="1:19" x14ac:dyDescent="0.3">
      <c r="A16" s="92" t="s">
        <v>9</v>
      </c>
      <c r="B16" s="92"/>
      <c r="D16" s="5"/>
      <c r="F16" s="2"/>
      <c r="K16" s="32" t="s">
        <v>60</v>
      </c>
      <c r="L16" s="26"/>
      <c r="M16" s="26"/>
      <c r="N16" s="65">
        <f>D26</f>
        <v>0</v>
      </c>
      <c r="O16" s="33"/>
    </row>
    <row r="17" spans="1:15" ht="15" thickBot="1" x14ac:dyDescent="0.35">
      <c r="A17" t="s">
        <v>90</v>
      </c>
      <c r="B17" s="3"/>
      <c r="D17" s="55"/>
      <c r="F17" s="2"/>
      <c r="K17" s="32" t="s">
        <v>61</v>
      </c>
      <c r="L17" s="63"/>
      <c r="M17" s="26"/>
      <c r="N17" s="34">
        <f>N8</f>
        <v>5617.9900000000043</v>
      </c>
      <c r="O17" s="33"/>
    </row>
    <row r="18" spans="1:15" ht="15.6" thickTop="1" thickBot="1" x14ac:dyDescent="0.35">
      <c r="A18" s="92" t="s">
        <v>91</v>
      </c>
      <c r="B18" s="92"/>
      <c r="D18" s="67">
        <f>I18*F18</f>
        <v>6264</v>
      </c>
      <c r="F18" s="62">
        <v>1.2</v>
      </c>
      <c r="G18" t="s">
        <v>98</v>
      </c>
      <c r="H18" t="s">
        <v>99</v>
      </c>
      <c r="I18" s="53">
        <v>5220</v>
      </c>
      <c r="K18" s="35"/>
      <c r="L18" s="66"/>
      <c r="M18" s="26"/>
      <c r="N18" s="66">
        <f>SUM(N14:N17)</f>
        <v>7929.2700000000041</v>
      </c>
      <c r="O18" s="51" t="s">
        <v>72</v>
      </c>
    </row>
    <row r="19" spans="1:15" ht="15" thickBot="1" x14ac:dyDescent="0.35">
      <c r="A19" s="92" t="s">
        <v>52</v>
      </c>
      <c r="B19" s="92"/>
      <c r="D19" s="67">
        <f>F19*I19</f>
        <v>2640</v>
      </c>
      <c r="F19" s="54">
        <v>60</v>
      </c>
      <c r="G19" t="s">
        <v>102</v>
      </c>
      <c r="H19" t="s">
        <v>101</v>
      </c>
      <c r="I19" s="53">
        <v>44</v>
      </c>
      <c r="K19" s="32"/>
      <c r="L19" s="26"/>
      <c r="M19" s="26"/>
      <c r="N19" s="26"/>
      <c r="O19" s="33"/>
    </row>
    <row r="20" spans="1:15" ht="15" thickBot="1" x14ac:dyDescent="0.35">
      <c r="A20" t="s">
        <v>11</v>
      </c>
      <c r="D20" s="58">
        <v>4160</v>
      </c>
      <c r="F20" s="2" t="s">
        <v>111</v>
      </c>
      <c r="K20" s="99" t="s">
        <v>62</v>
      </c>
      <c r="L20" s="100"/>
      <c r="M20" s="100"/>
      <c r="N20" s="52">
        <f>N18/N2</f>
        <v>8.2855485893416972E-2</v>
      </c>
      <c r="O20" s="33"/>
    </row>
    <row r="21" spans="1:15" ht="15" thickBot="1" x14ac:dyDescent="0.35">
      <c r="A21" t="s">
        <v>100</v>
      </c>
      <c r="D21" s="67">
        <f>F21*I21</f>
        <v>4224</v>
      </c>
      <c r="F21" s="54">
        <v>12</v>
      </c>
      <c r="G21" t="s">
        <v>93</v>
      </c>
      <c r="H21" t="s">
        <v>107</v>
      </c>
      <c r="I21" s="53">
        <v>352</v>
      </c>
      <c r="K21" s="36"/>
      <c r="L21" s="37"/>
      <c r="M21" s="37"/>
      <c r="N21" s="37"/>
      <c r="O21" s="38"/>
    </row>
    <row r="22" spans="1:15" ht="15" thickBot="1" x14ac:dyDescent="0.35">
      <c r="A22" s="92" t="s">
        <v>13</v>
      </c>
      <c r="B22" s="92"/>
      <c r="D22" s="58"/>
      <c r="F22" s="2"/>
    </row>
    <row r="23" spans="1:15" ht="15" thickBot="1" x14ac:dyDescent="0.35">
      <c r="A23" s="3" t="s">
        <v>92</v>
      </c>
      <c r="B23" s="3"/>
      <c r="D23" s="68">
        <f>F23*I23</f>
        <v>0</v>
      </c>
      <c r="F23" s="54">
        <v>70</v>
      </c>
      <c r="G23" t="s">
        <v>93</v>
      </c>
      <c r="H23" t="s">
        <v>107</v>
      </c>
      <c r="I23" s="53"/>
      <c r="J23" s="64"/>
    </row>
    <row r="24" spans="1:15" ht="15" thickBot="1" x14ac:dyDescent="0.35">
      <c r="A24" s="26" t="s">
        <v>64</v>
      </c>
      <c r="B24" s="26"/>
      <c r="D24" s="56">
        <f>D23*F24</f>
        <v>0</v>
      </c>
      <c r="F24" s="28">
        <v>0.1</v>
      </c>
    </row>
    <row r="25" spans="1:15" ht="15" thickBot="1" x14ac:dyDescent="0.35">
      <c r="A25" s="3" t="s">
        <v>66</v>
      </c>
      <c r="B25" s="3"/>
      <c r="D25" s="57"/>
      <c r="F25" s="2"/>
    </row>
    <row r="26" spans="1:15" ht="15" thickBot="1" x14ac:dyDescent="0.35">
      <c r="A26" s="26" t="s">
        <v>65</v>
      </c>
      <c r="B26" s="26"/>
      <c r="D26" s="56">
        <f>D25*F26</f>
        <v>0</v>
      </c>
      <c r="F26" s="28">
        <v>7.0000000000000007E-2</v>
      </c>
    </row>
    <row r="27" spans="1:15" x14ac:dyDescent="0.3">
      <c r="A27" t="s">
        <v>51</v>
      </c>
      <c r="D27" s="8"/>
      <c r="F27" s="2"/>
    </row>
    <row r="28" spans="1:15" x14ac:dyDescent="0.3">
      <c r="A28" s="17" t="s">
        <v>15</v>
      </c>
      <c r="B28" s="17"/>
      <c r="D28" s="27"/>
      <c r="F28" s="39">
        <v>0.1</v>
      </c>
      <c r="G28" s="17"/>
    </row>
    <row r="29" spans="1:15" x14ac:dyDescent="0.3">
      <c r="D29" s="6"/>
      <c r="F29" s="2"/>
    </row>
    <row r="30" spans="1:15" x14ac:dyDescent="0.3">
      <c r="A30" s="90" t="s">
        <v>94</v>
      </c>
      <c r="B30" s="90"/>
      <c r="D30" s="59">
        <v>503</v>
      </c>
      <c r="F30" s="2" t="s">
        <v>145</v>
      </c>
    </row>
    <row r="31" spans="1:15" x14ac:dyDescent="0.3">
      <c r="A31" s="101" t="s">
        <v>96</v>
      </c>
      <c r="B31" s="101"/>
      <c r="D31" s="60"/>
      <c r="F31" s="2"/>
    </row>
    <row r="33" spans="1:4" x14ac:dyDescent="0.3">
      <c r="A33" t="s">
        <v>17</v>
      </c>
      <c r="B33" s="1"/>
      <c r="C33" s="1"/>
      <c r="D33" s="1"/>
    </row>
    <row r="34" spans="1:4" x14ac:dyDescent="0.3">
      <c r="A34" t="s">
        <v>18</v>
      </c>
      <c r="B34" s="20"/>
      <c r="C34" s="1"/>
    </row>
  </sheetData>
  <mergeCells count="17">
    <mergeCell ref="A19:B19"/>
    <mergeCell ref="K20:M20"/>
    <mergeCell ref="A22:B22"/>
    <mergeCell ref="A30:B30"/>
    <mergeCell ref="A31:B31"/>
    <mergeCell ref="A18:B18"/>
    <mergeCell ref="A2:C2"/>
    <mergeCell ref="D2:E2"/>
    <mergeCell ref="K2:M2"/>
    <mergeCell ref="C4:H4"/>
    <mergeCell ref="C6:F6"/>
    <mergeCell ref="K8:M8"/>
    <mergeCell ref="K10:M10"/>
    <mergeCell ref="A11:B11"/>
    <mergeCell ref="A12:B12"/>
    <mergeCell ref="A14:B14"/>
    <mergeCell ref="A16:B16"/>
  </mergeCells>
  <pageMargins left="0.7" right="0.7" top="0.75" bottom="0.75" header="0.3" footer="0.3"/>
  <pageSetup paperSize="9"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Q31"/>
  <sheetViews>
    <sheetView workbookViewId="0">
      <selection activeCell="Q16" sqref="Q16"/>
    </sheetView>
  </sheetViews>
  <sheetFormatPr defaultRowHeight="14.4" x14ac:dyDescent="0.3"/>
  <cols>
    <col min="2" max="2" width="21.88671875" customWidth="1"/>
    <col min="7" max="7" width="11.88671875" customWidth="1"/>
    <col min="8" max="8" width="15" bestFit="1" customWidth="1"/>
    <col min="10" max="10" width="11" customWidth="1"/>
    <col min="11" max="11" width="12.109375" customWidth="1"/>
    <col min="13" max="13" width="12.88671875" customWidth="1"/>
    <col min="14" max="14" width="11.88671875" customWidth="1"/>
    <col min="15" max="15" width="11.109375" customWidth="1"/>
    <col min="16" max="16" width="12.6640625" customWidth="1"/>
    <col min="23" max="23" width="10.88671875" bestFit="1" customWidth="1"/>
  </cols>
  <sheetData>
    <row r="2" spans="2:17" x14ac:dyDescent="0.3">
      <c r="I2" t="s">
        <v>29</v>
      </c>
      <c r="J2" t="s">
        <v>30</v>
      </c>
      <c r="K2" t="s">
        <v>31</v>
      </c>
      <c r="M2" t="s">
        <v>32</v>
      </c>
      <c r="Q2" s="3"/>
    </row>
    <row r="3" spans="2:17" x14ac:dyDescent="0.3">
      <c r="B3" s="3" t="s">
        <v>73</v>
      </c>
      <c r="C3" s="3"/>
      <c r="D3" s="23">
        <v>352</v>
      </c>
      <c r="H3" t="s">
        <v>27</v>
      </c>
      <c r="I3" s="15">
        <v>13</v>
      </c>
      <c r="J3">
        <v>4</v>
      </c>
      <c r="K3">
        <v>80</v>
      </c>
      <c r="M3">
        <f>I3*J3*K3</f>
        <v>4160</v>
      </c>
      <c r="Q3" s="3"/>
    </row>
    <row r="4" spans="2:17" x14ac:dyDescent="0.3">
      <c r="B4" t="s">
        <v>24</v>
      </c>
      <c r="D4">
        <v>4</v>
      </c>
      <c r="H4" t="s">
        <v>33</v>
      </c>
      <c r="I4" s="15"/>
      <c r="M4">
        <f>I4*J4*K4</f>
        <v>0</v>
      </c>
    </row>
    <row r="5" spans="2:17" x14ac:dyDescent="0.3">
      <c r="B5" t="s">
        <v>74</v>
      </c>
      <c r="D5" s="14">
        <f>D3/D4/8</f>
        <v>11</v>
      </c>
      <c r="E5" t="s">
        <v>143</v>
      </c>
    </row>
    <row r="6" spans="2:17" x14ac:dyDescent="0.3">
      <c r="B6" t="s">
        <v>25</v>
      </c>
      <c r="D6" s="14">
        <f>D5/5</f>
        <v>2.2000000000000002</v>
      </c>
    </row>
    <row r="7" spans="2:17" x14ac:dyDescent="0.3">
      <c r="B7" t="s">
        <v>26</v>
      </c>
      <c r="D7" s="14">
        <f>D6*7/30</f>
        <v>0.51333333333333342</v>
      </c>
      <c r="F7" s="50" t="s">
        <v>34</v>
      </c>
      <c r="I7" s="42" t="s">
        <v>75</v>
      </c>
      <c r="J7" s="42" t="s">
        <v>76</v>
      </c>
      <c r="K7" s="42" t="s">
        <v>35</v>
      </c>
      <c r="M7" s="42" t="s">
        <v>79</v>
      </c>
    </row>
    <row r="8" spans="2:17" x14ac:dyDescent="0.3">
      <c r="B8" t="s">
        <v>28</v>
      </c>
      <c r="D8" s="15">
        <f>D6*7</f>
        <v>15.400000000000002</v>
      </c>
      <c r="H8" s="42" t="s">
        <v>88</v>
      </c>
      <c r="I8" s="40">
        <v>1000</v>
      </c>
      <c r="J8" s="40">
        <v>1</v>
      </c>
      <c r="K8" s="40">
        <v>5</v>
      </c>
      <c r="L8" s="40"/>
      <c r="M8" s="41">
        <f>I8*J8*K8</f>
        <v>5000</v>
      </c>
      <c r="N8" s="40" t="s">
        <v>67</v>
      </c>
    </row>
    <row r="9" spans="2:17" x14ac:dyDescent="0.3">
      <c r="H9" s="42" t="s">
        <v>77</v>
      </c>
      <c r="I9" s="40">
        <v>11</v>
      </c>
      <c r="J9" s="40">
        <v>1</v>
      </c>
      <c r="K9" s="43">
        <v>20</v>
      </c>
      <c r="L9" s="40"/>
      <c r="M9" s="41">
        <f>I9*J9*K9</f>
        <v>220</v>
      </c>
      <c r="N9" s="40" t="s">
        <v>67</v>
      </c>
      <c r="O9" t="s">
        <v>78</v>
      </c>
    </row>
    <row r="10" spans="2:17" x14ac:dyDescent="0.3">
      <c r="M10" s="23">
        <f>SUM(M8:M9)</f>
        <v>5220</v>
      </c>
      <c r="N10" t="s">
        <v>67</v>
      </c>
      <c r="O10" s="21">
        <v>1.2</v>
      </c>
      <c r="P10" s="44">
        <f>M10*O10</f>
        <v>6264</v>
      </c>
    </row>
    <row r="12" spans="2:17" x14ac:dyDescent="0.3">
      <c r="F12" s="50" t="s">
        <v>81</v>
      </c>
      <c r="G12" s="105" t="s">
        <v>84</v>
      </c>
      <c r="H12" s="105"/>
      <c r="I12" s="47" t="s">
        <v>82</v>
      </c>
      <c r="J12" s="47" t="s">
        <v>83</v>
      </c>
      <c r="K12" s="47" t="s">
        <v>43</v>
      </c>
      <c r="L12" s="47" t="s">
        <v>85</v>
      </c>
      <c r="M12" s="47" t="s">
        <v>42</v>
      </c>
      <c r="N12" s="47" t="s">
        <v>86</v>
      </c>
    </row>
    <row r="13" spans="2:17" x14ac:dyDescent="0.3">
      <c r="G13" s="106" t="s">
        <v>40</v>
      </c>
      <c r="H13" s="106"/>
      <c r="I13" s="48">
        <v>2</v>
      </c>
      <c r="J13" s="41">
        <v>700</v>
      </c>
      <c r="K13" s="49">
        <v>7</v>
      </c>
      <c r="L13" s="41">
        <f>I13*J13*K13</f>
        <v>9800</v>
      </c>
      <c r="M13" s="41">
        <v>2000</v>
      </c>
      <c r="N13" s="41">
        <f>L13+M13</f>
        <v>11800</v>
      </c>
    </row>
    <row r="14" spans="2:17" x14ac:dyDescent="0.3">
      <c r="G14" s="106" t="s">
        <v>41</v>
      </c>
      <c r="H14" s="106"/>
      <c r="I14" s="48">
        <v>2</v>
      </c>
      <c r="J14" s="41">
        <v>700</v>
      </c>
      <c r="K14" s="49">
        <v>7</v>
      </c>
      <c r="L14" s="41">
        <f t="shared" ref="L14:L15" si="0">I14*J14*K14</f>
        <v>9800</v>
      </c>
      <c r="M14" s="41">
        <v>2000</v>
      </c>
      <c r="N14" s="41">
        <f t="shared" ref="N14:N15" si="1">L14+M14</f>
        <v>11800</v>
      </c>
    </row>
    <row r="15" spans="2:17" ht="15" thickBot="1" x14ac:dyDescent="0.35">
      <c r="G15" s="106" t="s">
        <v>87</v>
      </c>
      <c r="H15" s="106"/>
      <c r="I15" s="48">
        <v>1</v>
      </c>
      <c r="J15" s="41">
        <v>500</v>
      </c>
      <c r="K15" s="49">
        <v>7</v>
      </c>
      <c r="L15" s="41">
        <f t="shared" si="0"/>
        <v>3500</v>
      </c>
      <c r="M15" s="41"/>
      <c r="N15" s="45">
        <f t="shared" si="1"/>
        <v>3500</v>
      </c>
    </row>
    <row r="16" spans="2:17" ht="15" thickTop="1" x14ac:dyDescent="0.3">
      <c r="N16" s="44">
        <f>SUM(N13:N15)</f>
        <v>27100</v>
      </c>
    </row>
    <row r="20" spans="6:17" x14ac:dyDescent="0.3">
      <c r="F20" s="50" t="s">
        <v>36</v>
      </c>
      <c r="G20" t="s">
        <v>113</v>
      </c>
      <c r="L20" s="25">
        <v>280</v>
      </c>
      <c r="M20" t="s">
        <v>55</v>
      </c>
    </row>
    <row r="21" spans="6:17" ht="15" thickBot="1" x14ac:dyDescent="0.35">
      <c r="G21" t="s">
        <v>109</v>
      </c>
      <c r="L21" s="24"/>
      <c r="M21" s="22" t="s">
        <v>55</v>
      </c>
      <c r="N21" t="s">
        <v>80</v>
      </c>
    </row>
    <row r="22" spans="6:17" ht="15" thickTop="1" x14ac:dyDescent="0.3">
      <c r="L22" s="23">
        <f>SUM(L20:L21)</f>
        <v>280</v>
      </c>
      <c r="M22" s="3" t="s">
        <v>55</v>
      </c>
      <c r="N22" s="46">
        <v>5.5</v>
      </c>
      <c r="O22" s="44">
        <f>L22*N22</f>
        <v>1540</v>
      </c>
    </row>
    <row r="25" spans="6:17" x14ac:dyDescent="0.3">
      <c r="K25" s="42" t="s">
        <v>68</v>
      </c>
      <c r="L25" s="42" t="s">
        <v>69</v>
      </c>
      <c r="M25" s="42" t="s">
        <v>70</v>
      </c>
      <c r="N25" s="42" t="s">
        <v>71</v>
      </c>
    </row>
    <row r="26" spans="6:17" x14ac:dyDescent="0.3">
      <c r="F26" s="50" t="s">
        <v>37</v>
      </c>
      <c r="G26" s="40" t="s">
        <v>53</v>
      </c>
      <c r="H26" s="40"/>
      <c r="I26" s="40"/>
      <c r="J26" s="40"/>
      <c r="K26" s="41">
        <v>7700</v>
      </c>
      <c r="L26" s="40">
        <v>2</v>
      </c>
      <c r="M26" s="40">
        <v>1</v>
      </c>
      <c r="N26" s="41">
        <f>K26*L26*M26</f>
        <v>15400</v>
      </c>
    </row>
    <row r="27" spans="6:17" x14ac:dyDescent="0.3">
      <c r="G27" s="40" t="s">
        <v>38</v>
      </c>
      <c r="H27" s="40"/>
      <c r="I27" s="40"/>
      <c r="J27" s="40"/>
      <c r="K27" s="41">
        <v>4400</v>
      </c>
      <c r="L27" s="40">
        <v>1</v>
      </c>
      <c r="M27" s="40">
        <v>0</v>
      </c>
      <c r="N27" s="41">
        <f>K27*L27*M27</f>
        <v>0</v>
      </c>
    </row>
    <row r="28" spans="6:17" x14ac:dyDescent="0.3">
      <c r="G28" s="102" t="s">
        <v>89</v>
      </c>
      <c r="H28" s="103"/>
      <c r="I28" s="103"/>
      <c r="J28" s="104"/>
      <c r="K28" s="41">
        <v>6000</v>
      </c>
      <c r="L28" s="40">
        <v>1</v>
      </c>
      <c r="M28" s="40"/>
      <c r="N28" s="41">
        <f t="shared" ref="N28:N29" si="2">K28*L28*M28</f>
        <v>0</v>
      </c>
    </row>
    <row r="29" spans="6:17" x14ac:dyDescent="0.3">
      <c r="G29" s="102" t="s">
        <v>54</v>
      </c>
      <c r="H29" s="103"/>
      <c r="I29" s="103"/>
      <c r="J29" s="104"/>
      <c r="K29" s="41">
        <v>16500</v>
      </c>
      <c r="L29" s="40">
        <v>1</v>
      </c>
      <c r="M29" s="40">
        <v>0.7</v>
      </c>
      <c r="N29" s="41">
        <f t="shared" si="2"/>
        <v>11550</v>
      </c>
      <c r="O29" t="s">
        <v>112</v>
      </c>
      <c r="Q29" t="s">
        <v>110</v>
      </c>
    </row>
    <row r="30" spans="6:17" x14ac:dyDescent="0.3">
      <c r="G30" s="102" t="s">
        <v>44</v>
      </c>
      <c r="H30" s="103"/>
      <c r="I30" s="103"/>
      <c r="J30" s="104"/>
      <c r="K30" s="40"/>
      <c r="L30" s="40">
        <v>0</v>
      </c>
      <c r="M30" s="40">
        <v>0</v>
      </c>
      <c r="N30" s="41"/>
    </row>
    <row r="31" spans="6:17" x14ac:dyDescent="0.3">
      <c r="N31" s="44">
        <f>SUM(N26:N30)</f>
        <v>26950</v>
      </c>
      <c r="O31" s="3"/>
    </row>
  </sheetData>
  <mergeCells count="7">
    <mergeCell ref="G29:J29"/>
    <mergeCell ref="G30:J30"/>
    <mergeCell ref="G12:H12"/>
    <mergeCell ref="G13:H13"/>
    <mergeCell ref="G14:H14"/>
    <mergeCell ref="G15:H15"/>
    <mergeCell ref="G28:J28"/>
  </mergeCells>
  <pageMargins left="0.7" right="0.7" top="0.75" bottom="0.75" header="0.3" footer="0.3"/>
  <pageSetup paperSize="9" scale="6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M31" sqref="M31"/>
    </sheetView>
  </sheetViews>
  <sheetFormatPr defaultRowHeight="14.4" x14ac:dyDescent="0.3"/>
  <cols>
    <col min="4" max="4" width="9.5546875" bestFit="1" customWidth="1"/>
    <col min="14" max="14" width="13.109375" bestFit="1" customWidth="1"/>
    <col min="17" max="17" width="9.44140625" bestFit="1" customWidth="1"/>
    <col min="19" max="19" width="9.44140625" bestFit="1" customWidth="1"/>
  </cols>
  <sheetData>
    <row r="1" spans="1:19" ht="15" thickBot="1" x14ac:dyDescent="0.35"/>
    <row r="2" spans="1:19" ht="29.4" thickBot="1" x14ac:dyDescent="0.4">
      <c r="A2" s="91" t="s">
        <v>0</v>
      </c>
      <c r="B2" s="91"/>
      <c r="C2" s="91"/>
      <c r="D2" s="94" t="s">
        <v>144</v>
      </c>
      <c r="E2" s="94"/>
      <c r="F2" s="11"/>
      <c r="G2" s="11"/>
      <c r="H2" s="11"/>
      <c r="I2" s="11"/>
      <c r="J2" s="11"/>
      <c r="K2" s="91" t="s">
        <v>19</v>
      </c>
      <c r="L2" s="91"/>
      <c r="M2" s="91"/>
      <c r="N2" s="12">
        <v>95700</v>
      </c>
      <c r="P2" s="72" t="s">
        <v>103</v>
      </c>
      <c r="Q2" s="72" t="s">
        <v>104</v>
      </c>
      <c r="R2" s="72" t="s">
        <v>105</v>
      </c>
      <c r="S2" s="72" t="s">
        <v>106</v>
      </c>
    </row>
    <row r="3" spans="1:19" x14ac:dyDescent="0.3">
      <c r="P3" s="69">
        <v>0.02</v>
      </c>
      <c r="Q3" s="70">
        <f>$N$2*(100%-P3)</f>
        <v>93786</v>
      </c>
      <c r="R3" s="77">
        <f>(Q3-$D$10)/$D$30</f>
        <v>138.47393939393939</v>
      </c>
      <c r="S3" s="71">
        <f>$D$30*(R3-75)</f>
        <v>10473.199999999999</v>
      </c>
    </row>
    <row r="4" spans="1:19" ht="14.4" customHeight="1" x14ac:dyDescent="0.3">
      <c r="A4" s="3" t="s">
        <v>1</v>
      </c>
      <c r="C4" s="96" t="s">
        <v>141</v>
      </c>
      <c r="D4" s="96"/>
      <c r="E4" s="96"/>
      <c r="F4" s="96"/>
      <c r="G4" s="96"/>
      <c r="H4" s="96"/>
      <c r="I4" s="3"/>
      <c r="J4" s="3"/>
      <c r="M4" s="76"/>
      <c r="P4" s="69">
        <v>2.5000000000000001E-2</v>
      </c>
      <c r="Q4" s="70">
        <f t="shared" ref="Q4:Q11" si="0">$N$2*(100%-P4)</f>
        <v>93307.5</v>
      </c>
      <c r="R4" s="77">
        <f t="shared" ref="R4:R11" si="1">(Q4-$D$10)/$D$30</f>
        <v>135.57393939393938</v>
      </c>
      <c r="S4" s="71">
        <f t="shared" ref="S4:S11" si="2">$D$30*(R4-75)</f>
        <v>9994.6999999999989</v>
      </c>
    </row>
    <row r="5" spans="1:19" x14ac:dyDescent="0.3">
      <c r="A5" s="3"/>
      <c r="C5" s="4"/>
      <c r="D5" s="4"/>
      <c r="E5" s="4"/>
      <c r="F5" s="4"/>
      <c r="G5" s="3"/>
      <c r="H5" s="3"/>
      <c r="I5" s="3"/>
      <c r="J5" s="3"/>
      <c r="L5" s="76">
        <f>N2/M5</f>
        <v>683.57142857142856</v>
      </c>
      <c r="M5">
        <v>140</v>
      </c>
      <c r="N5" t="s">
        <v>108</v>
      </c>
      <c r="P5" s="69">
        <v>0.03</v>
      </c>
      <c r="Q5" s="70">
        <f t="shared" si="0"/>
        <v>92829</v>
      </c>
      <c r="R5" s="77">
        <f t="shared" si="1"/>
        <v>132.67393939393938</v>
      </c>
      <c r="S5" s="71">
        <f t="shared" si="2"/>
        <v>9516.1999999999971</v>
      </c>
    </row>
    <row r="6" spans="1:19" x14ac:dyDescent="0.3">
      <c r="A6" s="3" t="s">
        <v>2</v>
      </c>
      <c r="C6" s="97" t="s">
        <v>142</v>
      </c>
      <c r="D6" s="97"/>
      <c r="E6" s="97"/>
      <c r="F6" s="97"/>
      <c r="G6" s="3"/>
      <c r="H6" s="3"/>
      <c r="I6" s="3"/>
      <c r="J6" s="3"/>
      <c r="P6" s="73">
        <v>3.5000000000000003E-2</v>
      </c>
      <c r="Q6" s="70">
        <f t="shared" si="0"/>
        <v>92350.5</v>
      </c>
      <c r="R6" s="77">
        <f t="shared" si="1"/>
        <v>129.77393939393937</v>
      </c>
      <c r="S6" s="71">
        <f t="shared" si="2"/>
        <v>9037.6999999999971</v>
      </c>
    </row>
    <row r="7" spans="1:19" ht="15" thickBot="1" x14ac:dyDescent="0.35">
      <c r="A7" t="s">
        <v>3</v>
      </c>
      <c r="C7" s="1"/>
      <c r="D7" s="1"/>
      <c r="E7" s="1"/>
      <c r="F7" s="1"/>
      <c r="P7" s="73">
        <v>0.04</v>
      </c>
      <c r="Q7" s="70">
        <f t="shared" si="0"/>
        <v>91872</v>
      </c>
      <c r="R7" s="77">
        <f t="shared" si="1"/>
        <v>126.87393939393938</v>
      </c>
      <c r="S7" s="71">
        <f t="shared" si="2"/>
        <v>8559.1999999999971</v>
      </c>
    </row>
    <row r="8" spans="1:19" ht="16.2" thickBot="1" x14ac:dyDescent="0.35">
      <c r="K8" s="93" t="s">
        <v>63</v>
      </c>
      <c r="L8" s="93"/>
      <c r="M8" s="93"/>
      <c r="N8" s="74">
        <f>D30*(N10-75)</f>
        <v>12387.199999999999</v>
      </c>
      <c r="P8" s="69">
        <v>4.4999999999999998E-2</v>
      </c>
      <c r="Q8" s="70">
        <f t="shared" si="0"/>
        <v>91393.5</v>
      </c>
      <c r="R8" s="77">
        <f t="shared" si="1"/>
        <v>123.97393939393938</v>
      </c>
      <c r="S8" s="71">
        <f t="shared" si="2"/>
        <v>8080.6999999999971</v>
      </c>
    </row>
    <row r="9" spans="1:19" ht="15" thickBot="1" x14ac:dyDescent="0.35">
      <c r="P9" s="73">
        <v>0.05</v>
      </c>
      <c r="Q9" s="70">
        <f t="shared" si="0"/>
        <v>90915</v>
      </c>
      <c r="R9" s="77">
        <f t="shared" si="1"/>
        <v>121.07393939393937</v>
      </c>
      <c r="S9" s="71">
        <f t="shared" si="2"/>
        <v>7602.1999999999962</v>
      </c>
    </row>
    <row r="10" spans="1:19" ht="15" thickBot="1" x14ac:dyDescent="0.35">
      <c r="A10" s="3" t="s">
        <v>4</v>
      </c>
      <c r="D10" s="9">
        <f>SUM(D11:D28)</f>
        <v>70937.8</v>
      </c>
      <c r="F10" s="19" t="s">
        <v>14</v>
      </c>
      <c r="K10" s="95" t="s">
        <v>97</v>
      </c>
      <c r="L10" s="95"/>
      <c r="M10" s="95"/>
      <c r="N10" s="75">
        <f>(N2-D10)/D30</f>
        <v>150.07393939393938</v>
      </c>
      <c r="P10" s="69">
        <v>5.5E-2</v>
      </c>
      <c r="Q10" s="70">
        <f t="shared" si="0"/>
        <v>90436.5</v>
      </c>
      <c r="R10" s="77">
        <f t="shared" si="1"/>
        <v>118.17393939393938</v>
      </c>
      <c r="S10" s="71">
        <f t="shared" si="2"/>
        <v>7123.6999999999971</v>
      </c>
    </row>
    <row r="11" spans="1:19" ht="15" thickBot="1" x14ac:dyDescent="0.35">
      <c r="A11" s="90" t="s">
        <v>95</v>
      </c>
      <c r="B11" s="90"/>
      <c r="C11" s="10"/>
      <c r="D11" s="58">
        <v>27980</v>
      </c>
      <c r="F11" s="2"/>
      <c r="P11" s="69">
        <v>0.06</v>
      </c>
      <c r="Q11" s="70">
        <f t="shared" si="0"/>
        <v>89958</v>
      </c>
      <c r="R11" s="77">
        <f t="shared" si="1"/>
        <v>115.27393939393937</v>
      </c>
      <c r="S11" s="71">
        <f t="shared" si="2"/>
        <v>6645.1999999999962</v>
      </c>
    </row>
    <row r="12" spans="1:19" ht="15" thickBot="1" x14ac:dyDescent="0.35">
      <c r="A12" s="98" t="s">
        <v>56</v>
      </c>
      <c r="B12" s="98"/>
      <c r="D12" s="61">
        <f>D11*F12</f>
        <v>2238.4</v>
      </c>
      <c r="F12" s="28">
        <v>0.08</v>
      </c>
    </row>
    <row r="13" spans="1:19" ht="15" thickBot="1" x14ac:dyDescent="0.35">
      <c r="A13" t="s">
        <v>22</v>
      </c>
      <c r="D13" s="67">
        <f>D11*0.03</f>
        <v>839.4</v>
      </c>
      <c r="F13" s="2"/>
      <c r="K13" s="29" t="s">
        <v>57</v>
      </c>
      <c r="L13" s="30"/>
      <c r="M13" s="30"/>
      <c r="N13" s="30"/>
      <c r="O13" s="31"/>
    </row>
    <row r="14" spans="1:19" x14ac:dyDescent="0.3">
      <c r="A14" s="92" t="s">
        <v>6</v>
      </c>
      <c r="B14" s="92"/>
      <c r="D14" s="8">
        <v>3000</v>
      </c>
      <c r="F14" s="2" t="s">
        <v>42</v>
      </c>
      <c r="K14" s="32" t="s">
        <v>58</v>
      </c>
      <c r="L14" s="26"/>
      <c r="M14" s="65"/>
      <c r="N14" s="65">
        <f>D12</f>
        <v>2238.4</v>
      </c>
      <c r="O14" s="33"/>
    </row>
    <row r="15" spans="1:19" x14ac:dyDescent="0.3">
      <c r="A15" t="s">
        <v>8</v>
      </c>
      <c r="D15" s="5"/>
      <c r="F15" s="2"/>
      <c r="K15" s="32" t="s">
        <v>59</v>
      </c>
      <c r="L15" s="26"/>
      <c r="M15" s="26"/>
      <c r="N15" s="65">
        <f>D24</f>
        <v>3080</v>
      </c>
      <c r="O15" s="33"/>
    </row>
    <row r="16" spans="1:19" x14ac:dyDescent="0.3">
      <c r="A16" s="92" t="s">
        <v>9</v>
      </c>
      <c r="B16" s="92"/>
      <c r="D16" s="5"/>
      <c r="F16" s="2"/>
      <c r="K16" s="32" t="s">
        <v>60</v>
      </c>
      <c r="L16" s="26"/>
      <c r="M16" s="26"/>
      <c r="N16" s="65">
        <f>D26</f>
        <v>0</v>
      </c>
      <c r="O16" s="33"/>
    </row>
    <row r="17" spans="1:15" ht="15" thickBot="1" x14ac:dyDescent="0.35">
      <c r="A17" t="s">
        <v>90</v>
      </c>
      <c r="B17" s="3"/>
      <c r="D17" s="55"/>
      <c r="F17" s="2"/>
      <c r="K17" s="32" t="s">
        <v>61</v>
      </c>
      <c r="L17" s="63"/>
      <c r="M17" s="26"/>
      <c r="N17" s="34">
        <f>N8</f>
        <v>12387.199999999999</v>
      </c>
      <c r="O17" s="33"/>
    </row>
    <row r="18" spans="1:15" ht="15.6" thickTop="1" thickBot="1" x14ac:dyDescent="0.35">
      <c r="A18" s="92" t="s">
        <v>91</v>
      </c>
      <c r="B18" s="92"/>
      <c r="D18" s="67">
        <f>I18*F18</f>
        <v>2400</v>
      </c>
      <c r="F18" s="62">
        <v>1.2</v>
      </c>
      <c r="G18" t="s">
        <v>98</v>
      </c>
      <c r="H18" t="s">
        <v>99</v>
      </c>
      <c r="I18" s="53">
        <v>2000</v>
      </c>
      <c r="K18" s="35"/>
      <c r="L18" s="66"/>
      <c r="M18" s="26"/>
      <c r="N18" s="66">
        <f>SUM(N14:N17)</f>
        <v>17705.599999999999</v>
      </c>
      <c r="O18" s="51" t="s">
        <v>72</v>
      </c>
    </row>
    <row r="19" spans="1:15" ht="15" thickBot="1" x14ac:dyDescent="0.35">
      <c r="A19" s="92" t="s">
        <v>52</v>
      </c>
      <c r="B19" s="92"/>
      <c r="D19" s="67">
        <f>F19*I19</f>
        <v>0</v>
      </c>
      <c r="F19" s="54">
        <v>60</v>
      </c>
      <c r="G19" t="s">
        <v>102</v>
      </c>
      <c r="H19" t="s">
        <v>101</v>
      </c>
      <c r="I19" s="53"/>
      <c r="K19" s="32"/>
      <c r="L19" s="26"/>
      <c r="M19" s="26"/>
      <c r="N19" s="26"/>
      <c r="O19" s="33"/>
    </row>
    <row r="20" spans="1:15" ht="15" thickBot="1" x14ac:dyDescent="0.35">
      <c r="A20" t="s">
        <v>11</v>
      </c>
      <c r="D20" s="58">
        <v>600</v>
      </c>
      <c r="F20" s="2" t="s">
        <v>111</v>
      </c>
      <c r="K20" s="99" t="s">
        <v>62</v>
      </c>
      <c r="L20" s="100"/>
      <c r="M20" s="100"/>
      <c r="N20" s="52">
        <f>N18/N2</f>
        <v>0.18501149425287355</v>
      </c>
      <c r="O20" s="33"/>
    </row>
    <row r="21" spans="1:15" ht="15" thickBot="1" x14ac:dyDescent="0.35">
      <c r="A21" t="s">
        <v>100</v>
      </c>
      <c r="D21" s="67">
        <f>F21*I21</f>
        <v>0</v>
      </c>
      <c r="F21" s="54">
        <v>12</v>
      </c>
      <c r="G21" t="s">
        <v>93</v>
      </c>
      <c r="H21" t="s">
        <v>107</v>
      </c>
      <c r="I21" s="53"/>
      <c r="K21" s="36"/>
      <c r="L21" s="37"/>
      <c r="M21" s="37"/>
      <c r="N21" s="37"/>
      <c r="O21" s="38"/>
    </row>
    <row r="22" spans="1:15" ht="15" thickBot="1" x14ac:dyDescent="0.35">
      <c r="A22" s="92" t="s">
        <v>13</v>
      </c>
      <c r="B22" s="92"/>
      <c r="D22" s="58"/>
      <c r="F22" s="2"/>
    </row>
    <row r="23" spans="1:15" ht="15" thickBot="1" x14ac:dyDescent="0.35">
      <c r="A23" s="3" t="s">
        <v>92</v>
      </c>
      <c r="B23" s="3"/>
      <c r="D23" s="68">
        <f>F23*I23</f>
        <v>30800</v>
      </c>
      <c r="F23" s="54">
        <v>140</v>
      </c>
      <c r="G23" t="s">
        <v>93</v>
      </c>
      <c r="H23" t="s">
        <v>107</v>
      </c>
      <c r="I23" s="53">
        <v>220</v>
      </c>
      <c r="J23" s="64"/>
    </row>
    <row r="24" spans="1:15" ht="15" thickBot="1" x14ac:dyDescent="0.35">
      <c r="A24" s="26" t="s">
        <v>64</v>
      </c>
      <c r="B24" s="26"/>
      <c r="D24" s="56">
        <f>D23*F24</f>
        <v>3080</v>
      </c>
      <c r="F24" s="28">
        <v>0.1</v>
      </c>
    </row>
    <row r="25" spans="1:15" ht="15" thickBot="1" x14ac:dyDescent="0.35">
      <c r="A25" s="3" t="s">
        <v>66</v>
      </c>
      <c r="B25" s="3"/>
      <c r="D25" s="57"/>
      <c r="F25" s="2"/>
    </row>
    <row r="26" spans="1:15" ht="15" thickBot="1" x14ac:dyDescent="0.35">
      <c r="A26" s="26" t="s">
        <v>65</v>
      </c>
      <c r="B26" s="26"/>
      <c r="D26" s="56">
        <f>D25*F26</f>
        <v>0</v>
      </c>
      <c r="F26" s="28">
        <v>7.0000000000000007E-2</v>
      </c>
    </row>
    <row r="27" spans="1:15" x14ac:dyDescent="0.3">
      <c r="A27" t="s">
        <v>51</v>
      </c>
      <c r="D27" s="8"/>
      <c r="F27" s="2"/>
    </row>
    <row r="28" spans="1:15" x14ac:dyDescent="0.3">
      <c r="A28" s="17" t="s">
        <v>15</v>
      </c>
      <c r="B28" s="17"/>
      <c r="D28" s="27"/>
      <c r="F28" s="39">
        <v>0.1</v>
      </c>
      <c r="G28" s="17"/>
    </row>
    <row r="29" spans="1:15" x14ac:dyDescent="0.3">
      <c r="D29" s="6"/>
      <c r="F29" s="2"/>
    </row>
    <row r="30" spans="1:15" x14ac:dyDescent="0.3">
      <c r="A30" s="90" t="s">
        <v>94</v>
      </c>
      <c r="B30" s="90"/>
      <c r="D30" s="59">
        <v>165</v>
      </c>
      <c r="F30" s="2" t="s">
        <v>145</v>
      </c>
    </row>
    <row r="31" spans="1:15" x14ac:dyDescent="0.3">
      <c r="A31" s="101" t="s">
        <v>96</v>
      </c>
      <c r="B31" s="101"/>
      <c r="D31" s="60"/>
      <c r="F31" s="2"/>
    </row>
    <row r="33" spans="1:4" x14ac:dyDescent="0.3">
      <c r="A33" t="s">
        <v>17</v>
      </c>
      <c r="B33" s="1"/>
      <c r="C33" s="1"/>
      <c r="D33" s="1"/>
    </row>
    <row r="34" spans="1:4" x14ac:dyDescent="0.3">
      <c r="A34" t="s">
        <v>18</v>
      </c>
      <c r="B34" s="20"/>
      <c r="C34" s="1"/>
    </row>
  </sheetData>
  <mergeCells count="17">
    <mergeCell ref="A18:B18"/>
    <mergeCell ref="A2:C2"/>
    <mergeCell ref="D2:E2"/>
    <mergeCell ref="K2:M2"/>
    <mergeCell ref="C4:H4"/>
    <mergeCell ref="C6:F6"/>
    <mergeCell ref="K8:M8"/>
    <mergeCell ref="K10:M10"/>
    <mergeCell ref="A11:B11"/>
    <mergeCell ref="A12:B12"/>
    <mergeCell ref="A14:B14"/>
    <mergeCell ref="A16:B16"/>
    <mergeCell ref="A19:B19"/>
    <mergeCell ref="K20:M20"/>
    <mergeCell ref="A22:B22"/>
    <mergeCell ref="A30:B30"/>
    <mergeCell ref="A31:B3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4"/>
  <sheetViews>
    <sheetView workbookViewId="0">
      <selection activeCell="B14" sqref="B14:L14"/>
    </sheetView>
  </sheetViews>
  <sheetFormatPr defaultRowHeight="14.4" x14ac:dyDescent="0.3"/>
  <cols>
    <col min="9" max="9" width="31.44140625" customWidth="1"/>
  </cols>
  <sheetData>
    <row r="5" spans="2:12" ht="15" thickBot="1" x14ac:dyDescent="0.35"/>
    <row r="6" spans="2:12" ht="78.599999999999994" thickBot="1" x14ac:dyDescent="0.35">
      <c r="B6" s="78">
        <v>634</v>
      </c>
      <c r="C6" s="79" t="s">
        <v>114</v>
      </c>
      <c r="D6" s="79" t="s">
        <v>115</v>
      </c>
      <c r="E6" s="80" t="s">
        <v>116</v>
      </c>
      <c r="F6" s="81">
        <v>43473</v>
      </c>
      <c r="G6" s="79" t="s">
        <v>117</v>
      </c>
      <c r="H6" s="79">
        <v>620794</v>
      </c>
      <c r="I6" s="79" t="s">
        <v>118</v>
      </c>
      <c r="J6" s="82" t="s">
        <v>119</v>
      </c>
      <c r="K6" s="82" t="s">
        <v>119</v>
      </c>
      <c r="L6" s="79"/>
    </row>
    <row r="7" spans="2:12" ht="78.599999999999994" thickBot="1" x14ac:dyDescent="0.35">
      <c r="B7" s="83">
        <v>635</v>
      </c>
      <c r="C7" s="84" t="s">
        <v>114</v>
      </c>
      <c r="D7" s="84" t="s">
        <v>120</v>
      </c>
      <c r="E7" s="84"/>
      <c r="F7" s="85">
        <v>43473</v>
      </c>
      <c r="G7" s="84" t="s">
        <v>117</v>
      </c>
      <c r="H7" s="84">
        <v>628290</v>
      </c>
      <c r="I7" s="84" t="s">
        <v>121</v>
      </c>
      <c r="J7" s="86" t="s">
        <v>119</v>
      </c>
      <c r="K7" s="86" t="s">
        <v>119</v>
      </c>
      <c r="L7" s="84"/>
    </row>
    <row r="8" spans="2:12" ht="78.599999999999994" thickBot="1" x14ac:dyDescent="0.35">
      <c r="B8" s="83">
        <v>636</v>
      </c>
      <c r="C8" s="84" t="s">
        <v>114</v>
      </c>
      <c r="D8" s="84" t="s">
        <v>122</v>
      </c>
      <c r="E8" s="87" t="s">
        <v>123</v>
      </c>
      <c r="F8" s="85">
        <v>43473</v>
      </c>
      <c r="G8" s="84" t="s">
        <v>117</v>
      </c>
      <c r="H8" s="84">
        <v>628289</v>
      </c>
      <c r="I8" s="84" t="s">
        <v>124</v>
      </c>
      <c r="J8" s="86" t="s">
        <v>119</v>
      </c>
      <c r="K8" s="86" t="s">
        <v>119</v>
      </c>
      <c r="L8" s="84"/>
    </row>
    <row r="9" spans="2:12" ht="78.599999999999994" thickBot="1" x14ac:dyDescent="0.35">
      <c r="B9" s="83">
        <v>637</v>
      </c>
      <c r="C9" s="84" t="s">
        <v>114</v>
      </c>
      <c r="D9" s="84" t="s">
        <v>125</v>
      </c>
      <c r="E9" s="84"/>
      <c r="F9" s="85">
        <v>43473</v>
      </c>
      <c r="G9" s="84" t="s">
        <v>117</v>
      </c>
      <c r="H9" s="84">
        <v>628288</v>
      </c>
      <c r="I9" s="84" t="s">
        <v>126</v>
      </c>
      <c r="J9" s="86" t="s">
        <v>119</v>
      </c>
      <c r="K9" s="86" t="s">
        <v>119</v>
      </c>
      <c r="L9" s="84"/>
    </row>
    <row r="10" spans="2:12" ht="78.599999999999994" thickBot="1" x14ac:dyDescent="0.35">
      <c r="B10" s="78">
        <v>669</v>
      </c>
      <c r="C10" s="79" t="s">
        <v>114</v>
      </c>
      <c r="D10" s="79" t="s">
        <v>127</v>
      </c>
      <c r="E10" s="88" t="s">
        <v>128</v>
      </c>
      <c r="F10" s="81">
        <v>43840</v>
      </c>
      <c r="G10" s="79" t="s">
        <v>129</v>
      </c>
      <c r="H10" s="79">
        <v>666514</v>
      </c>
      <c r="I10" s="79" t="s">
        <v>130</v>
      </c>
      <c r="J10" s="82" t="s">
        <v>119</v>
      </c>
      <c r="K10" s="82" t="s">
        <v>119</v>
      </c>
      <c r="L10" s="79"/>
    </row>
    <row r="11" spans="2:12" ht="78.599999999999994" thickBot="1" x14ac:dyDescent="0.35">
      <c r="B11" s="78">
        <v>721</v>
      </c>
      <c r="C11" s="79" t="s">
        <v>114</v>
      </c>
      <c r="D11" s="79" t="s">
        <v>131</v>
      </c>
      <c r="E11" s="79"/>
      <c r="F11" s="81">
        <v>44510</v>
      </c>
      <c r="G11" s="89" t="s">
        <v>132</v>
      </c>
      <c r="H11" s="79">
        <v>722759</v>
      </c>
      <c r="I11" s="79" t="s">
        <v>133</v>
      </c>
      <c r="J11" s="82" t="s">
        <v>119</v>
      </c>
      <c r="K11" s="82" t="s">
        <v>119</v>
      </c>
      <c r="L11" s="79"/>
    </row>
    <row r="12" spans="2:12" ht="78.599999999999994" thickBot="1" x14ac:dyDescent="0.35">
      <c r="B12" s="78">
        <v>750</v>
      </c>
      <c r="C12" s="79" t="s">
        <v>114</v>
      </c>
      <c r="D12" s="79" t="s">
        <v>134</v>
      </c>
      <c r="E12" s="79"/>
      <c r="F12" s="81">
        <v>44776</v>
      </c>
      <c r="G12" s="79" t="s">
        <v>135</v>
      </c>
      <c r="H12" s="79">
        <v>777246</v>
      </c>
      <c r="I12" s="79" t="s">
        <v>136</v>
      </c>
      <c r="J12" s="82" t="s">
        <v>119</v>
      </c>
      <c r="K12" s="82" t="s">
        <v>119</v>
      </c>
      <c r="L12" s="79"/>
    </row>
    <row r="13" spans="2:12" ht="78.599999999999994" thickBot="1" x14ac:dyDescent="0.35">
      <c r="B13" s="78">
        <v>867</v>
      </c>
      <c r="C13" s="79" t="s">
        <v>114</v>
      </c>
      <c r="D13" s="79" t="s">
        <v>137</v>
      </c>
      <c r="E13" s="79"/>
      <c r="F13" s="81">
        <v>45390</v>
      </c>
      <c r="G13" s="79" t="s">
        <v>138</v>
      </c>
      <c r="H13" s="79">
        <v>848390</v>
      </c>
      <c r="I13" s="79" t="s">
        <v>139</v>
      </c>
      <c r="J13" s="82"/>
      <c r="K13" s="82"/>
      <c r="L13" s="79"/>
    </row>
    <row r="14" spans="2:12" ht="78.599999999999994" thickBot="1" x14ac:dyDescent="0.35">
      <c r="B14" s="78">
        <v>868</v>
      </c>
      <c r="C14" s="79" t="s">
        <v>114</v>
      </c>
      <c r="D14" s="79" t="s">
        <v>140</v>
      </c>
      <c r="E14" s="79"/>
      <c r="F14" s="81">
        <v>45390</v>
      </c>
      <c r="G14" s="79" t="s">
        <v>138</v>
      </c>
      <c r="H14" s="79">
        <v>848396</v>
      </c>
      <c r="I14" s="79" t="s">
        <v>139</v>
      </c>
      <c r="J14" s="82"/>
      <c r="K14" s="82"/>
      <c r="L14" s="7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KNR</vt:lpstr>
      <vt:lpstr>Koszty dla pozycji</vt:lpstr>
      <vt:lpstr>Witalij</vt:lpstr>
      <vt:lpstr>Arkusz2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Piszcz</dc:creator>
  <cp:lastModifiedBy>Andrzej Czapla</cp:lastModifiedBy>
  <cp:lastPrinted>2025-08-04T10:32:32Z</cp:lastPrinted>
  <dcterms:created xsi:type="dcterms:W3CDTF">2020-07-31T05:43:48Z</dcterms:created>
  <dcterms:modified xsi:type="dcterms:W3CDTF">2025-09-05T08:35:04Z</dcterms:modified>
</cp:coreProperties>
</file>