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ug.kth.se\dfs\home\a\e\aengholm\appdata\xp.V2\Desktop\EMA_testing\models\"/>
    </mc:Choice>
  </mc:AlternateContent>
  <bookViews>
    <workbookView xWindow="0" yWindow="0" windowWidth="28800" windowHeight="12300" firstSheet="1" activeTab="1"/>
  </bookViews>
  <sheets>
    <sheet name="Beskrivning" sheetId="19" r:id="rId1"/>
    <sheet name="Indata" sheetId="14" r:id="rId2"/>
    <sheet name="Resultat" sheetId="17" r:id="rId3"/>
    <sheet name="Figurer utsläpp" sheetId="25" r:id="rId4"/>
    <sheet name="Indata - Utsläpp" sheetId="18" r:id="rId5"/>
    <sheet name="Indata - Fordon och Trafik" sheetId="15" r:id="rId6"/>
    <sheet name="Indata - Effektsamband-Faktorer" sheetId="21" r:id="rId7"/>
    <sheet name="Modell - Drivmedelpriser" sheetId="13" r:id="rId8"/>
    <sheet name="Modell - Lätta fordon" sheetId="7" r:id="rId9"/>
    <sheet name="Modell - Tunga fordon" sheetId="16" r:id="rId10"/>
  </sheets>
  <externalReferences>
    <externalReference r:id="rId11"/>
    <externalReference r:id="rId12"/>
  </externalReferences>
  <definedNames>
    <definedName name="a_Check_Details_Subsegm_Buses_HOT" localSheetId="9">#REF!</definedName>
    <definedName name="a_Check_Details_Subsegm_Buses_HOT">#REF!</definedName>
    <definedName name="a_Check_Details_Subsegm_HDV_HOT" localSheetId="9">#REF!</definedName>
    <definedName name="a_Check_Details_Subsegm_HDV_HOT">#REF!</definedName>
    <definedName name="a_Check_Details_Subsegm_LDV_COLD" localSheetId="9">#REF!</definedName>
    <definedName name="a_Check_Details_Subsegm_LDV_COLD">#REF!</definedName>
    <definedName name="a_Check_Details_Subsegm_MC_HOT" localSheetId="9">#REF!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9">'[2]0.12 Lönkalk'!#REF!</definedName>
    <definedName name="KALKYLPERIOD">'[2]0.12 Lönkalk'!#REF!</definedName>
    <definedName name="kr_till_öre">'[1]Koefficienter &amp; omvandlingstal'!$A$20</definedName>
    <definedName name="m3_till_liter">'[1]Koefficienter &amp; omvandlingstal'!$A$21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3" i="14" l="1"/>
  <c r="F44" i="14"/>
  <c r="F45" i="14"/>
  <c r="F42" i="14"/>
  <c r="F25" i="14"/>
  <c r="D9" i="21"/>
  <c r="F5" i="17" l="1"/>
  <c r="H5" i="17"/>
  <c r="D5" i="17"/>
  <c r="G39" i="14"/>
  <c r="B31" i="18" l="1"/>
  <c r="C31" i="18"/>
  <c r="D31" i="18"/>
  <c r="E31" i="18"/>
  <c r="F31" i="18"/>
  <c r="F24" i="18" s="1"/>
  <c r="F25" i="18" s="1"/>
  <c r="G31" i="18"/>
  <c r="H31" i="18"/>
  <c r="H24" i="18" s="1"/>
  <c r="H25" i="18" s="1"/>
  <c r="I31" i="18"/>
  <c r="J31" i="18"/>
  <c r="B24" i="18"/>
  <c r="B25" i="18" s="1"/>
  <c r="J24" i="18"/>
  <c r="J25" i="18" s="1"/>
  <c r="C24" i="18"/>
  <c r="C25" i="18" s="1"/>
  <c r="D24" i="18"/>
  <c r="D25" i="18" s="1"/>
  <c r="E24" i="18"/>
  <c r="E25" i="18" s="1"/>
  <c r="G24" i="18"/>
  <c r="G25" i="18" s="1"/>
  <c r="I24" i="18"/>
  <c r="I25" i="18" s="1"/>
  <c r="C1" i="25"/>
  <c r="B1" i="25"/>
  <c r="A1" i="25"/>
  <c r="N43" i="7" l="1"/>
  <c r="F10" i="13"/>
  <c r="F17" i="13" s="1"/>
  <c r="F31" i="13"/>
  <c r="E10" i="13"/>
  <c r="E16" i="13" s="1"/>
  <c r="C15" i="18" l="1"/>
  <c r="D15" i="18"/>
  <c r="E15" i="18"/>
  <c r="F15" i="18"/>
  <c r="G15" i="18"/>
  <c r="H15" i="18"/>
  <c r="I15" i="18"/>
  <c r="J15" i="18"/>
  <c r="C16" i="18"/>
  <c r="D16" i="18"/>
  <c r="E16" i="18"/>
  <c r="F16" i="18"/>
  <c r="G16" i="18"/>
  <c r="H16" i="18"/>
  <c r="I16" i="18"/>
  <c r="J16" i="18"/>
  <c r="C17" i="18"/>
  <c r="D17" i="18"/>
  <c r="E17" i="18"/>
  <c r="F17" i="18"/>
  <c r="G17" i="18"/>
  <c r="H17" i="18"/>
  <c r="I17" i="18"/>
  <c r="J17" i="18"/>
  <c r="C18" i="18"/>
  <c r="D18" i="18"/>
  <c r="E18" i="18"/>
  <c r="F18" i="18"/>
  <c r="G18" i="18"/>
  <c r="H18" i="18"/>
  <c r="I18" i="18"/>
  <c r="J18" i="18"/>
  <c r="B17" i="18"/>
  <c r="B18" i="18"/>
  <c r="B15" i="18"/>
  <c r="B16" i="18"/>
  <c r="C12" i="18"/>
  <c r="D12" i="18"/>
  <c r="E12" i="18"/>
  <c r="F12" i="18"/>
  <c r="G12" i="18"/>
  <c r="H12" i="18"/>
  <c r="I12" i="18"/>
  <c r="J12" i="18"/>
  <c r="B12" i="18"/>
  <c r="C11" i="18"/>
  <c r="D11" i="18"/>
  <c r="E11" i="18"/>
  <c r="F11" i="18"/>
  <c r="G11" i="18"/>
  <c r="H11" i="18"/>
  <c r="I11" i="18"/>
  <c r="J11" i="18"/>
  <c r="B11" i="18"/>
  <c r="E48" i="13" l="1"/>
  <c r="E83" i="13" l="1"/>
  <c r="E64" i="14"/>
  <c r="E63" i="14"/>
  <c r="G64" i="14"/>
  <c r="G63" i="14"/>
  <c r="I64" i="14"/>
  <c r="I63" i="14"/>
  <c r="H64" i="14"/>
  <c r="H63" i="14"/>
  <c r="F63" i="14"/>
  <c r="G65" i="13"/>
  <c r="G74" i="13"/>
  <c r="D36" i="14"/>
  <c r="D40" i="14"/>
  <c r="E40" i="14"/>
  <c r="AI43" i="7"/>
  <c r="Y43" i="7"/>
  <c r="O43" i="7"/>
  <c r="O44" i="7"/>
  <c r="X43" i="7"/>
  <c r="AH43" i="7" s="1"/>
  <c r="X44" i="7" l="1"/>
  <c r="F64" i="14" l="1"/>
  <c r="I45" i="14" l="1"/>
  <c r="I44" i="14"/>
  <c r="I43" i="14"/>
  <c r="I42" i="14"/>
  <c r="E45" i="14"/>
  <c r="G45" i="14"/>
  <c r="G44" i="14"/>
  <c r="G43" i="14"/>
  <c r="G42" i="14"/>
  <c r="E44" i="14"/>
  <c r="E43" i="14"/>
  <c r="E42" i="14"/>
  <c r="E69" i="13" l="1"/>
  <c r="E74" i="13"/>
  <c r="E73" i="13"/>
  <c r="C55" i="13"/>
  <c r="C54" i="13"/>
  <c r="D42" i="14" l="1"/>
  <c r="C10" i="15"/>
  <c r="J12" i="13" l="1"/>
  <c r="D39" i="14" l="1"/>
  <c r="F39" i="14" s="1"/>
  <c r="D64" i="14" l="1"/>
  <c r="D63" i="14"/>
  <c r="P9" i="15" l="1"/>
  <c r="O9" i="15"/>
  <c r="P25" i="15" l="1"/>
  <c r="O25" i="15"/>
  <c r="O17" i="15"/>
  <c r="P17" i="15"/>
  <c r="D13" i="15"/>
  <c r="C13" i="15"/>
  <c r="H10" i="13"/>
  <c r="F8" i="13"/>
  <c r="H31" i="13" l="1"/>
  <c r="J31" i="13"/>
  <c r="B31" i="13" l="1"/>
  <c r="B12" i="13"/>
  <c r="E11" i="13"/>
  <c r="I35" i="15"/>
  <c r="I36" i="15"/>
  <c r="I37" i="15"/>
  <c r="I38" i="15"/>
  <c r="H36" i="15"/>
  <c r="H37" i="15"/>
  <c r="H38" i="15"/>
  <c r="H35" i="15"/>
  <c r="I28" i="15"/>
  <c r="I29" i="15"/>
  <c r="I30" i="15"/>
  <c r="I31" i="15"/>
  <c r="H29" i="15"/>
  <c r="H30" i="15"/>
  <c r="H31" i="15"/>
  <c r="H28" i="15"/>
  <c r="D57" i="14" s="1"/>
  <c r="G17" i="15"/>
  <c r="B16" i="15"/>
  <c r="G16" i="15" s="1"/>
  <c r="G27" i="14" l="1"/>
  <c r="G28" i="14" s="1"/>
  <c r="H12" i="13" l="1"/>
  <c r="F12" i="13"/>
  <c r="J9" i="13"/>
  <c r="I14" i="13"/>
  <c r="I13" i="13"/>
  <c r="E25" i="14" l="1"/>
  <c r="H39" i="14" l="1"/>
  <c r="I26" i="16"/>
  <c r="H45" i="14"/>
  <c r="H26" i="16" s="1"/>
  <c r="I25" i="16"/>
  <c r="H44" i="14"/>
  <c r="H25" i="16" s="1"/>
  <c r="I24" i="16"/>
  <c r="H43" i="14"/>
  <c r="H24" i="16" s="1"/>
  <c r="I23" i="16"/>
  <c r="H42" i="14"/>
  <c r="H23" i="16" s="1"/>
  <c r="G26" i="16"/>
  <c r="F26" i="16"/>
  <c r="G25" i="16"/>
  <c r="F25" i="16"/>
  <c r="G24" i="16"/>
  <c r="F24" i="16"/>
  <c r="G23" i="16"/>
  <c r="F23" i="16"/>
  <c r="E26" i="16"/>
  <c r="D45" i="14"/>
  <c r="D26" i="16" s="1"/>
  <c r="E25" i="16"/>
  <c r="D44" i="14"/>
  <c r="D25" i="16" s="1"/>
  <c r="E24" i="16"/>
  <c r="D43" i="14"/>
  <c r="D24" i="16" s="1"/>
  <c r="E23" i="16"/>
  <c r="D23" i="16"/>
  <c r="D25" i="14"/>
  <c r="I39" i="14"/>
  <c r="D36" i="16" l="1"/>
  <c r="E36" i="14"/>
  <c r="F36" i="14"/>
  <c r="H36" i="14"/>
  <c r="G36" i="14" l="1"/>
  <c r="I36" i="14"/>
  <c r="F27" i="13" l="1"/>
  <c r="F28" i="13"/>
  <c r="J65" i="13"/>
  <c r="H65" i="13"/>
  <c r="F65" i="13"/>
  <c r="F66" i="13" s="1"/>
  <c r="J8" i="13"/>
  <c r="I9" i="13"/>
  <c r="I8" i="13"/>
  <c r="F34"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O26" i="16" l="1"/>
  <c r="Q26" i="16"/>
  <c r="S26" i="16"/>
  <c r="O24" i="16"/>
  <c r="P25" i="16"/>
  <c r="R23" i="16"/>
  <c r="R25" i="16"/>
  <c r="N25" i="16"/>
  <c r="O25" i="16"/>
  <c r="Q23" i="16"/>
  <c r="Q25" i="16"/>
  <c r="S23" i="16"/>
  <c r="S25" i="16"/>
  <c r="N23" i="16"/>
  <c r="N24" i="16"/>
  <c r="Q24" i="16"/>
  <c r="S24" i="16"/>
  <c r="P23" i="16"/>
  <c r="O23" i="16"/>
  <c r="N26" i="16"/>
  <c r="P24" i="16"/>
  <c r="P26" i="16"/>
  <c r="R24" i="16"/>
  <c r="R26" i="16"/>
  <c r="Y26" i="16" l="1"/>
  <c r="AI26" i="16" s="1"/>
  <c r="X25" i="16"/>
  <c r="AH25" i="16" s="1"/>
  <c r="Y23" i="16"/>
  <c r="AI23" i="16" s="1"/>
  <c r="X26" i="16"/>
  <c r="AH26" i="16" s="1"/>
  <c r="X23" i="16"/>
  <c r="AH23" i="16" s="1"/>
  <c r="E53" i="14" l="1"/>
  <c r="D53" i="14"/>
  <c r="E52" i="14"/>
  <c r="D52" i="14"/>
  <c r="E51" i="14"/>
  <c r="D51" i="14"/>
  <c r="E50" i="14"/>
  <c r="D50" i="14"/>
  <c r="E60" i="14"/>
  <c r="D58" i="14"/>
  <c r="E58" i="14"/>
  <c r="D59" i="14"/>
  <c r="E59" i="14"/>
  <c r="D60" i="14"/>
  <c r="E57" i="14"/>
  <c r="D47" i="14"/>
  <c r="E47" i="14"/>
  <c r="D48" i="14"/>
  <c r="E48" i="14"/>
  <c r="D49" i="14"/>
  <c r="E49" i="14"/>
  <c r="E46" i="14"/>
  <c r="D46" i="14"/>
  <c r="D11" i="16" s="1"/>
  <c r="I61" i="14"/>
  <c r="I32" i="15"/>
  <c r="H32" i="15"/>
  <c r="D32" i="15"/>
  <c r="C32" i="15"/>
  <c r="E41" i="16" l="1"/>
  <c r="E36" i="16"/>
  <c r="D13" i="16"/>
  <c r="N13" i="16" s="1"/>
  <c r="X13" i="16" s="1"/>
  <c r="AH13" i="16" s="1"/>
  <c r="F48" i="14"/>
  <c r="F13" i="16" s="1"/>
  <c r="P13" i="16" s="1"/>
  <c r="H48" i="14"/>
  <c r="H13" i="16" s="1"/>
  <c r="R13" i="16" s="1"/>
  <c r="G58" i="14"/>
  <c r="G42" i="16" s="1"/>
  <c r="Q42" i="16" s="1"/>
  <c r="I58" i="14"/>
  <c r="I42" i="16" s="1"/>
  <c r="S42" i="16" s="1"/>
  <c r="E18" i="16"/>
  <c r="O18" i="16" s="1"/>
  <c r="Y18" i="16" s="1"/>
  <c r="AI18" i="16" s="1"/>
  <c r="I52" i="14"/>
  <c r="I18" i="16" s="1"/>
  <c r="S18" i="16" s="1"/>
  <c r="AC18" i="16" s="1"/>
  <c r="AM18" i="16" s="1"/>
  <c r="G52" i="14"/>
  <c r="G18" i="16" s="1"/>
  <c r="Q18" i="16" s="1"/>
  <c r="AA18" i="16" s="1"/>
  <c r="AK18" i="16" s="1"/>
  <c r="E14" i="16"/>
  <c r="I49" i="14"/>
  <c r="I14" i="16" s="1"/>
  <c r="G49" i="14"/>
  <c r="G14" i="16" s="1"/>
  <c r="F60" i="14"/>
  <c r="F44" i="16" s="1"/>
  <c r="P44" i="16" s="1"/>
  <c r="H60" i="14"/>
  <c r="H44" i="16" s="1"/>
  <c r="R44" i="16" s="1"/>
  <c r="D17" i="16"/>
  <c r="N17" i="16" s="1"/>
  <c r="H51" i="14"/>
  <c r="H17" i="16" s="1"/>
  <c r="R17" i="16" s="1"/>
  <c r="AB17" i="16" s="1"/>
  <c r="AL17" i="16" s="1"/>
  <c r="F51" i="14"/>
  <c r="F17" i="16" s="1"/>
  <c r="P17" i="16" s="1"/>
  <c r="Z17" i="16" s="1"/>
  <c r="AJ17" i="16" s="1"/>
  <c r="F46" i="14"/>
  <c r="F11" i="16" s="1"/>
  <c r="H46" i="14"/>
  <c r="H11" i="16" s="1"/>
  <c r="E13" i="16"/>
  <c r="I48" i="14"/>
  <c r="I13" i="16" s="1"/>
  <c r="S13" i="16" s="1"/>
  <c r="G48" i="14"/>
  <c r="G13" i="16" s="1"/>
  <c r="Q13" i="16" s="1"/>
  <c r="F57" i="14"/>
  <c r="H57" i="14"/>
  <c r="F59" i="14"/>
  <c r="H59" i="14"/>
  <c r="H43" i="16" s="1"/>
  <c r="R43" i="16" s="1"/>
  <c r="F50" i="14"/>
  <c r="F16" i="16" s="1"/>
  <c r="P16" i="16" s="1"/>
  <c r="H50" i="14"/>
  <c r="H16" i="16" s="1"/>
  <c r="R16" i="16" s="1"/>
  <c r="D18" i="16"/>
  <c r="N18" i="16" s="1"/>
  <c r="F52" i="14"/>
  <c r="F18" i="16" s="1"/>
  <c r="P18" i="16" s="1"/>
  <c r="Z18" i="16" s="1"/>
  <c r="AJ18" i="16" s="1"/>
  <c r="H52" i="14"/>
  <c r="H18" i="16" s="1"/>
  <c r="R18" i="16" s="1"/>
  <c r="AB18" i="16" s="1"/>
  <c r="AL18" i="16" s="1"/>
  <c r="E11" i="16"/>
  <c r="I46" i="14"/>
  <c r="I11" i="16" s="1"/>
  <c r="G46" i="14"/>
  <c r="G11" i="16" s="1"/>
  <c r="G57" i="14"/>
  <c r="G41" i="16" s="1"/>
  <c r="I57" i="14"/>
  <c r="I41" i="16" s="1"/>
  <c r="E16" i="16"/>
  <c r="O16" i="16" s="1"/>
  <c r="I50" i="14"/>
  <c r="I16" i="16" s="1"/>
  <c r="S16" i="16" s="1"/>
  <c r="G50" i="14"/>
  <c r="G16" i="16" s="1"/>
  <c r="Q16" i="16" s="1"/>
  <c r="AA16" i="16" s="1"/>
  <c r="AK16" i="16" s="1"/>
  <c r="E12" i="16"/>
  <c r="I47" i="14"/>
  <c r="I12" i="16" s="1"/>
  <c r="S12" i="16" s="1"/>
  <c r="G47" i="14"/>
  <c r="G12" i="16" s="1"/>
  <c r="Q12" i="16" s="1"/>
  <c r="F58" i="14"/>
  <c r="F42" i="16" s="1"/>
  <c r="P42" i="16" s="1"/>
  <c r="H58" i="14"/>
  <c r="H37" i="16" s="1"/>
  <c r="R37" i="16" s="1"/>
  <c r="D19" i="16"/>
  <c r="N19" i="16" s="1"/>
  <c r="X19" i="16" s="1"/>
  <c r="AH19" i="16" s="1"/>
  <c r="F53" i="14"/>
  <c r="F19" i="16" s="1"/>
  <c r="P19" i="16" s="1"/>
  <c r="Z19" i="16" s="1"/>
  <c r="AJ19" i="16" s="1"/>
  <c r="H53" i="14"/>
  <c r="H19" i="16" s="1"/>
  <c r="R19" i="16" s="1"/>
  <c r="AB19" i="16" s="1"/>
  <c r="AL19" i="16" s="1"/>
  <c r="D14" i="16"/>
  <c r="F49" i="14"/>
  <c r="F14" i="16" s="1"/>
  <c r="H49" i="14"/>
  <c r="H14" i="16" s="1"/>
  <c r="D12" i="16"/>
  <c r="F47" i="14"/>
  <c r="F12" i="16" s="1"/>
  <c r="P12" i="16" s="1"/>
  <c r="H47" i="14"/>
  <c r="H12" i="16" s="1"/>
  <c r="R12" i="16" s="1"/>
  <c r="G59" i="14"/>
  <c r="G38" i="16" s="1"/>
  <c r="I59" i="14"/>
  <c r="I38" i="16" s="1"/>
  <c r="S38" i="16" s="1"/>
  <c r="G60" i="14"/>
  <c r="G44" i="16" s="1"/>
  <c r="Q44" i="16" s="1"/>
  <c r="I60" i="14"/>
  <c r="I44" i="16" s="1"/>
  <c r="S44" i="16" s="1"/>
  <c r="E17" i="16"/>
  <c r="O17" i="16" s="1"/>
  <c r="Y17" i="16" s="1"/>
  <c r="AI17" i="16" s="1"/>
  <c r="G51" i="14"/>
  <c r="G17" i="16" s="1"/>
  <c r="Q17" i="16" s="1"/>
  <c r="AA17" i="16" s="1"/>
  <c r="AK17" i="16" s="1"/>
  <c r="I51" i="14"/>
  <c r="I17" i="16" s="1"/>
  <c r="S17" i="16" s="1"/>
  <c r="AC17" i="16" s="1"/>
  <c r="AM17" i="16" s="1"/>
  <c r="E19" i="16"/>
  <c r="O19" i="16" s="1"/>
  <c r="Y19" i="16" s="1"/>
  <c r="AI19" i="16" s="1"/>
  <c r="I53" i="14"/>
  <c r="I19" i="16" s="1"/>
  <c r="S19" i="16" s="1"/>
  <c r="AC19" i="16" s="1"/>
  <c r="AM19" i="16" s="1"/>
  <c r="G53" i="14"/>
  <c r="G19" i="16" s="1"/>
  <c r="Q19" i="16" s="1"/>
  <c r="AA19" i="16" s="1"/>
  <c r="AK19" i="16" s="1"/>
  <c r="O36" i="16"/>
  <c r="D41" i="16"/>
  <c r="D43" i="16"/>
  <c r="N43" i="16" s="1"/>
  <c r="D38" i="16"/>
  <c r="D16" i="16"/>
  <c r="E37" i="16"/>
  <c r="O37" i="16" s="1"/>
  <c r="E42" i="16"/>
  <c r="O42" i="16" s="1"/>
  <c r="D39" i="16"/>
  <c r="N39" i="16" s="1"/>
  <c r="D44" i="16"/>
  <c r="N44" i="16" s="1"/>
  <c r="D42" i="16"/>
  <c r="N42" i="16" s="1"/>
  <c r="D37" i="16"/>
  <c r="E43" i="16"/>
  <c r="O43" i="16" s="1"/>
  <c r="E38" i="16"/>
  <c r="E39" i="16"/>
  <c r="E44" i="16"/>
  <c r="O44" i="16" s="1"/>
  <c r="E56" i="14"/>
  <c r="D56" i="14"/>
  <c r="F41" i="16" l="1"/>
  <c r="P41" i="16" s="1"/>
  <c r="F36" i="16"/>
  <c r="P36" i="16" s="1"/>
  <c r="F38" i="16"/>
  <c r="P38" i="16" s="1"/>
  <c r="F43" i="16"/>
  <c r="P43" i="16" s="1"/>
  <c r="Z16" i="16"/>
  <c r="AJ16" i="16" s="1"/>
  <c r="P58" i="16"/>
  <c r="N16" i="16"/>
  <c r="X16" i="16" s="1"/>
  <c r="AH16" i="16" s="1"/>
  <c r="D40" i="16"/>
  <c r="D15" i="16" s="1"/>
  <c r="H39" i="16"/>
  <c r="R39" i="16" s="1"/>
  <c r="H38" i="16"/>
  <c r="H48" i="16" s="1"/>
  <c r="I43" i="16"/>
  <c r="S43" i="16" s="1"/>
  <c r="I37" i="16"/>
  <c r="S37" i="16" s="1"/>
  <c r="I39" i="16"/>
  <c r="S39" i="16" s="1"/>
  <c r="F37" i="16"/>
  <c r="P37" i="16" s="1"/>
  <c r="P47" i="16" s="1"/>
  <c r="F39" i="16"/>
  <c r="F49" i="16" s="1"/>
  <c r="H42" i="16"/>
  <c r="R42" i="16" s="1"/>
  <c r="G37" i="16"/>
  <c r="Q37" i="16" s="1"/>
  <c r="G43" i="16"/>
  <c r="Q43" i="16" s="1"/>
  <c r="G16" i="17"/>
  <c r="F16" i="17"/>
  <c r="O12" i="16"/>
  <c r="Y12" i="16" s="1"/>
  <c r="AI12" i="16" s="1"/>
  <c r="O13" i="16"/>
  <c r="Y13" i="16" s="1"/>
  <c r="AI13" i="16" s="1"/>
  <c r="N12" i="16"/>
  <c r="X12" i="16" s="1"/>
  <c r="AH12" i="16" s="1"/>
  <c r="H56" i="14"/>
  <c r="H36" i="16"/>
  <c r="R36" i="16" s="1"/>
  <c r="I36" i="16"/>
  <c r="I46" i="16" s="1"/>
  <c r="G56" i="14"/>
  <c r="F56" i="14"/>
  <c r="I56" i="14"/>
  <c r="H41" i="16"/>
  <c r="G39" i="16"/>
  <c r="Q39" i="16" s="1"/>
  <c r="G36" i="16"/>
  <c r="Q36" i="16" s="1"/>
  <c r="E48" i="16"/>
  <c r="D47" i="16"/>
  <c r="N49" i="16"/>
  <c r="D48" i="16"/>
  <c r="E49" i="16"/>
  <c r="O47" i="16"/>
  <c r="O41" i="16"/>
  <c r="E45" i="16"/>
  <c r="E20" i="16" s="1"/>
  <c r="X17" i="16"/>
  <c r="AH17" i="16" s="1"/>
  <c r="O38" i="16"/>
  <c r="S41" i="16"/>
  <c r="Q41" i="16"/>
  <c r="N38" i="16"/>
  <c r="N48" i="16" s="1"/>
  <c r="X18" i="16"/>
  <c r="AH18" i="16" s="1"/>
  <c r="N37" i="16"/>
  <c r="N47" i="16" s="1"/>
  <c r="D46" i="16"/>
  <c r="N36" i="16"/>
  <c r="N41" i="16"/>
  <c r="N45" i="16" s="1"/>
  <c r="D45" i="16"/>
  <c r="D20" i="16" s="1"/>
  <c r="O39" i="16"/>
  <c r="D49" i="16"/>
  <c r="E47" i="16"/>
  <c r="Q38" i="16"/>
  <c r="E40" i="16"/>
  <c r="E15" i="16" s="1"/>
  <c r="E46" i="16"/>
  <c r="AC16" i="16"/>
  <c r="AM16" i="16" s="1"/>
  <c r="Y16" i="16"/>
  <c r="AI16" i="16" s="1"/>
  <c r="AB16" i="16"/>
  <c r="AL16" i="16" s="1"/>
  <c r="D47" i="7"/>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G11" i="13"/>
  <c r="N47" i="7" l="1"/>
  <c r="O49" i="16"/>
  <c r="N20" i="16"/>
  <c r="Q49" i="16"/>
  <c r="O48" i="16"/>
  <c r="Q47" i="16"/>
  <c r="S48" i="16"/>
  <c r="S49" i="16"/>
  <c r="S47" i="16"/>
  <c r="R49" i="16"/>
  <c r="R47" i="16"/>
  <c r="H49" i="16"/>
  <c r="O45" i="16"/>
  <c r="S45" i="16"/>
  <c r="I48" i="16"/>
  <c r="I45" i="16"/>
  <c r="I20" i="16" s="1"/>
  <c r="R38" i="16"/>
  <c r="I47" i="16"/>
  <c r="G47" i="16"/>
  <c r="P45" i="16"/>
  <c r="P20" i="16" s="1"/>
  <c r="F45" i="16"/>
  <c r="F48" i="16"/>
  <c r="P48" i="16"/>
  <c r="Q45" i="16"/>
  <c r="H47" i="16"/>
  <c r="I49" i="16"/>
  <c r="P39" i="16"/>
  <c r="P49" i="16" s="1"/>
  <c r="H45" i="16"/>
  <c r="H20" i="16" s="1"/>
  <c r="F47" i="16"/>
  <c r="R41" i="16"/>
  <c r="Q48" i="16"/>
  <c r="G48" i="16"/>
  <c r="G45" i="16"/>
  <c r="G20" i="16" s="1"/>
  <c r="E16" i="17"/>
  <c r="I16" i="17"/>
  <c r="D16" i="17"/>
  <c r="H16" i="17"/>
  <c r="H40" i="16"/>
  <c r="H15" i="16" s="1"/>
  <c r="I40" i="16"/>
  <c r="I15" i="16" s="1"/>
  <c r="H46" i="16"/>
  <c r="G46" i="16"/>
  <c r="G49" i="16"/>
  <c r="G40" i="16"/>
  <c r="G15" i="16" s="1"/>
  <c r="F46" i="16"/>
  <c r="S36" i="16"/>
  <c r="F40" i="16"/>
  <c r="F15" i="16" s="1"/>
  <c r="P46" i="16"/>
  <c r="E50" i="16"/>
  <c r="O46" i="16"/>
  <c r="Q40" i="16"/>
  <c r="Q46" i="16"/>
  <c r="D50" i="16"/>
  <c r="O40" i="16"/>
  <c r="N46" i="16"/>
  <c r="N50" i="16" s="1"/>
  <c r="N40" i="16"/>
  <c r="X47" i="7"/>
  <c r="AH47" i="7" s="1"/>
  <c r="E47" i="7"/>
  <c r="O47" i="7" s="1"/>
  <c r="Y47" i="7" s="1"/>
  <c r="AI47" i="7" s="1"/>
  <c r="F81" i="13"/>
  <c r="E81" i="13" s="1"/>
  <c r="F80" i="13"/>
  <c r="E80" i="13" s="1"/>
  <c r="F78" i="13"/>
  <c r="F79" i="13" s="1"/>
  <c r="F84" i="13" s="1"/>
  <c r="F68" i="13"/>
  <c r="E68" i="13" s="1"/>
  <c r="F67" i="13"/>
  <c r="E52" i="13"/>
  <c r="E51" i="13"/>
  <c r="F50" i="13"/>
  <c r="E49" i="13"/>
  <c r="F48" i="13"/>
  <c r="F47" i="13"/>
  <c r="E47" i="13"/>
  <c r="F46" i="13"/>
  <c r="E46" i="13"/>
  <c r="E33" i="13"/>
  <c r="E32" i="13"/>
  <c r="E30" i="13"/>
  <c r="F29" i="13"/>
  <c r="E29" i="13"/>
  <c r="E28" i="13"/>
  <c r="E27" i="13"/>
  <c r="E14" i="13"/>
  <c r="E13" i="13"/>
  <c r="E12" i="13" s="1"/>
  <c r="F9" i="13"/>
  <c r="E9" i="13"/>
  <c r="E8" i="13"/>
  <c r="I38" i="14"/>
  <c r="D26" i="14"/>
  <c r="E26" i="14"/>
  <c r="D27" i="14"/>
  <c r="E27" i="14"/>
  <c r="E28" i="14" s="1"/>
  <c r="H26" i="14"/>
  <c r="I26" i="14"/>
  <c r="H27" i="14"/>
  <c r="H28" i="14" s="1"/>
  <c r="H20" i="7" s="1"/>
  <c r="I27" i="14"/>
  <c r="I28" i="14" s="1"/>
  <c r="I25" i="14"/>
  <c r="H25" i="14"/>
  <c r="F26" i="14"/>
  <c r="G26" i="14"/>
  <c r="F27" i="14"/>
  <c r="F28" i="14" s="1"/>
  <c r="G25" i="14"/>
  <c r="G18" i="15"/>
  <c r="H18" i="15"/>
  <c r="D31" i="14" s="1"/>
  <c r="I18" i="15"/>
  <c r="E31" i="14" s="1"/>
  <c r="G10" i="15"/>
  <c r="H17" i="15"/>
  <c r="D30" i="14" s="1"/>
  <c r="I17" i="15"/>
  <c r="E30" i="14" s="1"/>
  <c r="H16" i="15"/>
  <c r="D29" i="14" s="1"/>
  <c r="D13" i="7" s="1"/>
  <c r="I16" i="15"/>
  <c r="E29" i="14" s="1"/>
  <c r="G13" i="15"/>
  <c r="H13" i="15"/>
  <c r="D37" i="14" s="1"/>
  <c r="D37" i="7" s="1"/>
  <c r="I13" i="15"/>
  <c r="E37" i="14" s="1"/>
  <c r="B10" i="15"/>
  <c r="D10" i="15"/>
  <c r="O50" i="16" l="1"/>
  <c r="O20" i="16"/>
  <c r="Q20" i="16"/>
  <c r="F20" i="16"/>
  <c r="S20" i="16"/>
  <c r="S46" i="16"/>
  <c r="R45" i="16"/>
  <c r="R20" i="16" s="1"/>
  <c r="R48" i="16"/>
  <c r="R40" i="16"/>
  <c r="I50" i="16"/>
  <c r="Q50" i="16"/>
  <c r="P50" i="16"/>
  <c r="E31" i="13"/>
  <c r="E34" i="13" s="1"/>
  <c r="E39" i="13" s="1"/>
  <c r="F29" i="14"/>
  <c r="H29" i="14"/>
  <c r="F15" i="13"/>
  <c r="F20" i="13" s="1"/>
  <c r="R46" i="16"/>
  <c r="P40" i="16"/>
  <c r="F50" i="16"/>
  <c r="H50" i="16"/>
  <c r="S40" i="16"/>
  <c r="G50" i="16"/>
  <c r="F40" i="14"/>
  <c r="H40" i="14"/>
  <c r="E13" i="7"/>
  <c r="I29" i="14"/>
  <c r="G29" i="14"/>
  <c r="D14" i="7"/>
  <c r="H30" i="14"/>
  <c r="F30" i="14"/>
  <c r="E14" i="7"/>
  <c r="G30" i="14"/>
  <c r="I30" i="14"/>
  <c r="N37" i="7"/>
  <c r="F37" i="14"/>
  <c r="F37" i="7" s="1"/>
  <c r="H37" i="14"/>
  <c r="H37" i="7" s="1"/>
  <c r="G40" i="14"/>
  <c r="I40" i="14"/>
  <c r="E15" i="7"/>
  <c r="O15" i="7" s="1"/>
  <c r="Y15" i="7" s="1"/>
  <c r="AI15" i="7" s="1"/>
  <c r="I31" i="14"/>
  <c r="G31" i="14"/>
  <c r="F31" i="14"/>
  <c r="H31" i="14"/>
  <c r="E37" i="7"/>
  <c r="G37" i="14"/>
  <c r="G37" i="7" s="1"/>
  <c r="I37" i="14"/>
  <c r="I37" i="7" s="1"/>
  <c r="E82" i="13"/>
  <c r="E85" i="13" s="1"/>
  <c r="E50" i="13"/>
  <c r="E53" i="13" s="1"/>
  <c r="E58" i="13" s="1"/>
  <c r="F30" i="7"/>
  <c r="P30" i="7" s="1"/>
  <c r="Z30" i="7" s="1"/>
  <c r="AJ30" i="7" s="1"/>
  <c r="H30" i="7"/>
  <c r="R30" i="7" s="1"/>
  <c r="AB30" i="7" s="1"/>
  <c r="AL30" i="7" s="1"/>
  <c r="E67" i="13"/>
  <c r="E72" i="13" s="1"/>
  <c r="D30" i="7"/>
  <c r="N30" i="7" s="1"/>
  <c r="X30" i="7" s="1"/>
  <c r="AH30" i="7" s="1"/>
  <c r="F82" i="13"/>
  <c r="F85" i="13" s="1"/>
  <c r="F86" i="13" s="1"/>
  <c r="D31" i="7"/>
  <c r="N31" i="7" s="1"/>
  <c r="X31" i="7" s="1"/>
  <c r="AH31" i="7" s="1"/>
  <c r="D29" i="7"/>
  <c r="AC12" i="16"/>
  <c r="AM12" i="16" s="1"/>
  <c r="AC13" i="16"/>
  <c r="AM13" i="16" s="1"/>
  <c r="AB13" i="16"/>
  <c r="AL13" i="16" s="1"/>
  <c r="AB12" i="16"/>
  <c r="AL12" i="16" s="1"/>
  <c r="D48" i="7"/>
  <c r="D49" i="7" s="1"/>
  <c r="AA13" i="16"/>
  <c r="AK13" i="16" s="1"/>
  <c r="AA12" i="16"/>
  <c r="AK12" i="16" s="1"/>
  <c r="E48" i="7"/>
  <c r="E49" i="7" s="1"/>
  <c r="Z12" i="16"/>
  <c r="AJ12" i="16" s="1"/>
  <c r="Z13" i="16"/>
  <c r="AJ13" i="16" s="1"/>
  <c r="E20" i="7"/>
  <c r="H18" i="7"/>
  <c r="H19" i="7"/>
  <c r="D15" i="7"/>
  <c r="N15" i="7" s="1"/>
  <c r="X15" i="7" s="1"/>
  <c r="AH15" i="7" s="1"/>
  <c r="D28" i="14"/>
  <c r="E15" i="13"/>
  <c r="E20" i="13" s="1"/>
  <c r="F39" i="13"/>
  <c r="F53" i="13"/>
  <c r="F58" i="13" s="1"/>
  <c r="F71" i="13"/>
  <c r="F69" i="13"/>
  <c r="F72" i="13" s="1"/>
  <c r="I10" i="15"/>
  <c r="H10" i="15"/>
  <c r="S50" i="16" l="1"/>
  <c r="R50" i="16"/>
  <c r="N29" i="7"/>
  <c r="X29" i="7" s="1"/>
  <c r="AH29" i="7" s="1"/>
  <c r="D19" i="17" s="1"/>
  <c r="E14" i="17"/>
  <c r="E18" i="7"/>
  <c r="E34" i="7" s="1"/>
  <c r="C18" i="13"/>
  <c r="F83" i="13"/>
  <c r="F87" i="13" s="1"/>
  <c r="E31" i="7"/>
  <c r="O31" i="7" s="1"/>
  <c r="Y31" i="7" s="1"/>
  <c r="AI31" i="7" s="1"/>
  <c r="H29" i="7"/>
  <c r="R29" i="7" s="1"/>
  <c r="AB29" i="7" s="1"/>
  <c r="AL29" i="7" s="1"/>
  <c r="H19" i="17" s="1"/>
  <c r="F31" i="7"/>
  <c r="P31" i="7" s="1"/>
  <c r="Z31" i="7" s="1"/>
  <c r="AJ31" i="7" s="1"/>
  <c r="H31" i="7"/>
  <c r="R31" i="7" s="1"/>
  <c r="AB31" i="7" s="1"/>
  <c r="AL31" i="7" s="1"/>
  <c r="I31" i="7"/>
  <c r="S31" i="7" s="1"/>
  <c r="AC31" i="7" s="1"/>
  <c r="AM31" i="7" s="1"/>
  <c r="D14" i="17"/>
  <c r="F29" i="7"/>
  <c r="P29" i="7" s="1"/>
  <c r="Z29" i="7" s="1"/>
  <c r="AJ29" i="7" s="1"/>
  <c r="F19" i="17" s="1"/>
  <c r="E29" i="7"/>
  <c r="O29" i="7" s="1"/>
  <c r="Y29" i="7" s="1"/>
  <c r="AI29" i="7" s="1"/>
  <c r="E19" i="17" s="1"/>
  <c r="E30" i="7"/>
  <c r="O30" i="7" s="1"/>
  <c r="Y30" i="7" s="1"/>
  <c r="AI30" i="7" s="1"/>
  <c r="E17" i="13"/>
  <c r="E35" i="13"/>
  <c r="E54" i="13" s="1"/>
  <c r="F35" i="13"/>
  <c r="F54" i="13" s="1"/>
  <c r="F16" i="13"/>
  <c r="F18" i="13" s="1"/>
  <c r="E36" i="13"/>
  <c r="E55" i="13" s="1"/>
  <c r="F36" i="13"/>
  <c r="F55" i="13" s="1"/>
  <c r="E19" i="7"/>
  <c r="D20" i="7"/>
  <c r="G31" i="7"/>
  <c r="Q31" i="7" s="1"/>
  <c r="AA31" i="7" s="1"/>
  <c r="AK31" i="7" s="1"/>
  <c r="G29" i="7"/>
  <c r="Q29" i="7" s="1"/>
  <c r="AA29" i="7" s="1"/>
  <c r="AK29" i="7" s="1"/>
  <c r="G19" i="17" s="1"/>
  <c r="G30" i="7"/>
  <c r="Q30" i="7" s="1"/>
  <c r="AA30" i="7" s="1"/>
  <c r="AK30" i="7" s="1"/>
  <c r="H21" i="7"/>
  <c r="E36" i="7"/>
  <c r="O37" i="7"/>
  <c r="F73" i="13"/>
  <c r="F70" i="13"/>
  <c r="E18" i="13" l="1"/>
  <c r="E19" i="13" s="1"/>
  <c r="O7" i="16"/>
  <c r="E55" i="14"/>
  <c r="E21" i="7"/>
  <c r="D36" i="7"/>
  <c r="I29" i="7"/>
  <c r="S29" i="7" s="1"/>
  <c r="AC29" i="7" s="1"/>
  <c r="AM29" i="7" s="1"/>
  <c r="I19" i="17" s="1"/>
  <c r="E35" i="7"/>
  <c r="I30" i="7"/>
  <c r="S30" i="7" s="1"/>
  <c r="AC30" i="7" s="1"/>
  <c r="AM30" i="7" s="1"/>
  <c r="E56" i="13"/>
  <c r="E59" i="13" s="1"/>
  <c r="E60" i="13" s="1"/>
  <c r="F37" i="13"/>
  <c r="F56" i="13"/>
  <c r="F59" i="13" s="1"/>
  <c r="F60" i="13" s="1"/>
  <c r="F19" i="13"/>
  <c r="F21" i="13"/>
  <c r="F22" i="13" s="1"/>
  <c r="E37" i="13"/>
  <c r="D19" i="7"/>
  <c r="D35" i="7" s="1"/>
  <c r="D18" i="7"/>
  <c r="D34" i="7" s="1"/>
  <c r="F74" i="13"/>
  <c r="E21" i="13" l="1"/>
  <c r="E22" i="13" s="1"/>
  <c r="E23" i="13" s="1"/>
  <c r="O58" i="16"/>
  <c r="O59" i="16"/>
  <c r="Y59" i="16" s="1"/>
  <c r="AI59" i="16" s="1"/>
  <c r="O60" i="16"/>
  <c r="Y60" i="16" s="1"/>
  <c r="AI60" i="16" s="1"/>
  <c r="O61" i="16"/>
  <c r="Y61" i="16" s="1"/>
  <c r="AI61" i="16" s="1"/>
  <c r="F23" i="13"/>
  <c r="E32" i="14" s="1"/>
  <c r="Y7" i="16"/>
  <c r="AI7" i="16" s="1"/>
  <c r="E11" i="17" s="1"/>
  <c r="E57" i="13"/>
  <c r="N6" i="16" s="1"/>
  <c r="F57" i="13"/>
  <c r="O6" i="16" s="1"/>
  <c r="F38" i="13"/>
  <c r="F40" i="13"/>
  <c r="F41" i="13" s="1"/>
  <c r="F43" i="13" s="1"/>
  <c r="E38" i="13"/>
  <c r="E40" i="13"/>
  <c r="E41" i="13" s="1"/>
  <c r="E34" i="14"/>
  <c r="O8" i="7"/>
  <c r="E7" i="16"/>
  <c r="E60" i="16" s="1"/>
  <c r="D21" i="7"/>
  <c r="J78" i="13"/>
  <c r="H78" i="13"/>
  <c r="H79" i="13" s="1"/>
  <c r="B78" i="13"/>
  <c r="E78" i="13" s="1"/>
  <c r="E79" i="13" s="1"/>
  <c r="J81" i="13"/>
  <c r="I81" i="13" s="1"/>
  <c r="H81" i="13"/>
  <c r="G81" i="13" s="1"/>
  <c r="B81" i="13"/>
  <c r="B82" i="13" s="1"/>
  <c r="B85" i="13" s="1"/>
  <c r="J80" i="13"/>
  <c r="I80" i="13" s="1"/>
  <c r="H80" i="13"/>
  <c r="J68" i="13"/>
  <c r="I68" i="13" s="1"/>
  <c r="J67" i="13"/>
  <c r="I67" i="13" s="1"/>
  <c r="H68" i="13"/>
  <c r="G68" i="13" s="1"/>
  <c r="H67" i="13"/>
  <c r="H66" i="13"/>
  <c r="J66" i="13"/>
  <c r="B68" i="13"/>
  <c r="B69" i="13" s="1"/>
  <c r="B72" i="13" s="1"/>
  <c r="B65" i="13"/>
  <c r="E65" i="13" s="1"/>
  <c r="J50" i="13"/>
  <c r="J48" i="13"/>
  <c r="I48" i="13"/>
  <c r="H48" i="13"/>
  <c r="G48" i="13"/>
  <c r="J47" i="13"/>
  <c r="I47" i="13"/>
  <c r="H47" i="13"/>
  <c r="G47" i="13"/>
  <c r="J46" i="13"/>
  <c r="I46" i="13"/>
  <c r="H46" i="13"/>
  <c r="G46" i="13"/>
  <c r="C56" i="13"/>
  <c r="B56" i="13"/>
  <c r="B59" i="13" s="1"/>
  <c r="I52" i="13"/>
  <c r="G52" i="13"/>
  <c r="I51" i="13"/>
  <c r="G51" i="13"/>
  <c r="H50" i="13"/>
  <c r="B50" i="13"/>
  <c r="B53" i="13" s="1"/>
  <c r="I49" i="13"/>
  <c r="G49" i="13"/>
  <c r="C37" i="13"/>
  <c r="J15" i="13"/>
  <c r="H27" i="13"/>
  <c r="I27" i="13"/>
  <c r="J27" i="13"/>
  <c r="H28" i="13"/>
  <c r="I28" i="13"/>
  <c r="J28" i="13"/>
  <c r="G28" i="13"/>
  <c r="G27" i="13"/>
  <c r="J29" i="13"/>
  <c r="I29" i="13"/>
  <c r="H29" i="13"/>
  <c r="G29" i="13"/>
  <c r="B37" i="13"/>
  <c r="B40" i="13" s="1"/>
  <c r="I33" i="13"/>
  <c r="G33" i="13"/>
  <c r="I32" i="13"/>
  <c r="G32" i="13"/>
  <c r="I30" i="13"/>
  <c r="G30" i="13"/>
  <c r="J10" i="13"/>
  <c r="J17" i="13" s="1"/>
  <c r="G10" i="13"/>
  <c r="G16" i="13" s="1"/>
  <c r="I11" i="13"/>
  <c r="I12" i="13" s="1"/>
  <c r="G14" i="13"/>
  <c r="G13" i="13"/>
  <c r="G12" i="13" s="1"/>
  <c r="H17" i="13"/>
  <c r="I10" i="13"/>
  <c r="I16" i="13" s="1"/>
  <c r="H8" i="13"/>
  <c r="H9" i="13"/>
  <c r="G9" i="13"/>
  <c r="G8" i="13"/>
  <c r="B18" i="13"/>
  <c r="O54" i="16" l="1"/>
  <c r="O55" i="16"/>
  <c r="N54" i="16"/>
  <c r="N55" i="16"/>
  <c r="E58" i="16"/>
  <c r="E59" i="16"/>
  <c r="E61" i="16"/>
  <c r="O64" i="16"/>
  <c r="O65" i="16"/>
  <c r="I31" i="13"/>
  <c r="I34" i="13" s="1"/>
  <c r="G31" i="13"/>
  <c r="G34" i="13" s="1"/>
  <c r="J34" i="13"/>
  <c r="J39" i="13" s="1"/>
  <c r="G15" i="13"/>
  <c r="D32" i="14"/>
  <c r="F32" i="14" s="1"/>
  <c r="N6" i="7"/>
  <c r="G32" i="14"/>
  <c r="I32" i="14"/>
  <c r="E61" i="13"/>
  <c r="D54" i="14"/>
  <c r="D6" i="16" s="1"/>
  <c r="E42" i="13"/>
  <c r="N7" i="7" s="1"/>
  <c r="F61" i="13"/>
  <c r="E54" i="14"/>
  <c r="E6" i="16" s="1"/>
  <c r="E56" i="16" s="1"/>
  <c r="I78" i="13"/>
  <c r="I79" i="13" s="1"/>
  <c r="I84" i="13" s="1"/>
  <c r="B79" i="13"/>
  <c r="B84" i="13" s="1"/>
  <c r="B86" i="13" s="1"/>
  <c r="I82" i="13"/>
  <c r="I85" i="13" s="1"/>
  <c r="Y58" i="16"/>
  <c r="AI58" i="16" s="1"/>
  <c r="O62" i="16"/>
  <c r="O6" i="7"/>
  <c r="Y6" i="7" s="1"/>
  <c r="AI6" i="7" s="1"/>
  <c r="E7" i="17" s="1"/>
  <c r="X6" i="16"/>
  <c r="F42" i="13"/>
  <c r="E33" i="14" s="1"/>
  <c r="G33" i="14" s="1"/>
  <c r="G7" i="7" s="1"/>
  <c r="B15" i="13"/>
  <c r="B19" i="13" s="1"/>
  <c r="G80" i="13"/>
  <c r="G82" i="13" s="1"/>
  <c r="G85" i="13" s="1"/>
  <c r="E84" i="13"/>
  <c r="E86" i="13" s="1"/>
  <c r="G66" i="13"/>
  <c r="E66" i="13"/>
  <c r="E70" i="13" s="1"/>
  <c r="H69" i="13"/>
  <c r="H72" i="13" s="1"/>
  <c r="G67" i="13"/>
  <c r="G69" i="13" s="1"/>
  <c r="G72" i="13" s="1"/>
  <c r="J82" i="13"/>
  <c r="J85" i="13" s="1"/>
  <c r="B34" i="13"/>
  <c r="B39" i="13" s="1"/>
  <c r="B41" i="13" s="1"/>
  <c r="G35" i="13"/>
  <c r="G54" i="13" s="1"/>
  <c r="G36" i="13"/>
  <c r="G55" i="13" s="1"/>
  <c r="H36" i="13"/>
  <c r="H55" i="13" s="1"/>
  <c r="H35" i="13"/>
  <c r="H54" i="13" s="1"/>
  <c r="I36" i="13"/>
  <c r="I55" i="13" s="1"/>
  <c r="I35" i="13"/>
  <c r="I54" i="13" s="1"/>
  <c r="J35" i="13"/>
  <c r="J54" i="13" s="1"/>
  <c r="J36" i="13"/>
  <c r="J55" i="13" s="1"/>
  <c r="Y8" i="7"/>
  <c r="AI8" i="7" s="1"/>
  <c r="E9" i="17" s="1"/>
  <c r="O42" i="7"/>
  <c r="Y42" i="7" s="1"/>
  <c r="AI42" i="7" s="1"/>
  <c r="E22" i="17" s="1"/>
  <c r="G34" i="14"/>
  <c r="G8" i="7" s="1"/>
  <c r="E8" i="7"/>
  <c r="E42" i="7" s="1"/>
  <c r="I34" i="14"/>
  <c r="I8" i="7" s="1"/>
  <c r="E6" i="7"/>
  <c r="E40" i="7" s="1"/>
  <c r="H15" i="13"/>
  <c r="H20" i="13" s="1"/>
  <c r="J69" i="13"/>
  <c r="J72" i="13" s="1"/>
  <c r="B66" i="13"/>
  <c r="B71" i="13" s="1"/>
  <c r="B73" i="13" s="1"/>
  <c r="J79" i="13"/>
  <c r="J84" i="13" s="1"/>
  <c r="H84" i="13"/>
  <c r="G78" i="13"/>
  <c r="G79" i="13" s="1"/>
  <c r="H82" i="13"/>
  <c r="H85" i="13" s="1"/>
  <c r="H53" i="13"/>
  <c r="H58" i="13" s="1"/>
  <c r="I69" i="13"/>
  <c r="I72" i="13" s="1"/>
  <c r="J53" i="13"/>
  <c r="J58" i="13" s="1"/>
  <c r="I65" i="13"/>
  <c r="J71" i="13"/>
  <c r="H71" i="13"/>
  <c r="I50" i="13"/>
  <c r="I53" i="13" s="1"/>
  <c r="I58" i="13" s="1"/>
  <c r="G50" i="13"/>
  <c r="B57" i="13"/>
  <c r="B58" i="13"/>
  <c r="B60" i="13" s="1"/>
  <c r="H34" i="13"/>
  <c r="H39" i="13" s="1"/>
  <c r="H16" i="13"/>
  <c r="H18" i="13" s="1"/>
  <c r="J20" i="13"/>
  <c r="I17" i="13"/>
  <c r="I18" i="13" s="1"/>
  <c r="G17" i="13"/>
  <c r="G18" i="13" s="1"/>
  <c r="J16" i="13"/>
  <c r="B21" i="13"/>
  <c r="G56" i="13" l="1"/>
  <c r="G59" i="13" s="1"/>
  <c r="H56" i="13"/>
  <c r="H59" i="13" s="1"/>
  <c r="H60" i="13" s="1"/>
  <c r="J56" i="13"/>
  <c r="J59" i="13" s="1"/>
  <c r="J60" i="13" s="1"/>
  <c r="I56" i="13"/>
  <c r="I59" i="13" s="1"/>
  <c r="I60" i="13" s="1"/>
  <c r="E63" i="16"/>
  <c r="E64" i="16"/>
  <c r="E66" i="16"/>
  <c r="E65" i="16"/>
  <c r="Y65" i="16"/>
  <c r="AI65" i="16" s="1"/>
  <c r="D53" i="16"/>
  <c r="D54" i="16"/>
  <c r="D56" i="16"/>
  <c r="D55" i="16"/>
  <c r="E53" i="16"/>
  <c r="E54" i="16"/>
  <c r="E55" i="16"/>
  <c r="B38" i="13"/>
  <c r="B42" i="13" s="1"/>
  <c r="I15" i="13"/>
  <c r="I20" i="13" s="1"/>
  <c r="N7" i="16"/>
  <c r="D55" i="14"/>
  <c r="H32" i="14"/>
  <c r="H6" i="7" s="1"/>
  <c r="D6" i="7"/>
  <c r="D40" i="7" s="1"/>
  <c r="N9" i="7"/>
  <c r="Y64" i="16"/>
  <c r="AI64" i="16" s="1"/>
  <c r="Y6" i="16"/>
  <c r="Y8" i="16" s="1"/>
  <c r="Y54" i="16"/>
  <c r="AI54" i="16" s="1"/>
  <c r="Y55" i="16"/>
  <c r="AI55" i="16" s="1"/>
  <c r="X54" i="16"/>
  <c r="AH54" i="16" s="1"/>
  <c r="H70" i="13"/>
  <c r="H73" i="13"/>
  <c r="E87" i="13"/>
  <c r="B83" i="13"/>
  <c r="B87" i="13" s="1"/>
  <c r="I83" i="13"/>
  <c r="J70" i="13"/>
  <c r="I86" i="13"/>
  <c r="X55" i="16"/>
  <c r="AH55" i="16" s="1"/>
  <c r="O8" i="16"/>
  <c r="AH6" i="16"/>
  <c r="X8" i="16"/>
  <c r="I33" i="14"/>
  <c r="I7" i="7" s="1"/>
  <c r="O7" i="7"/>
  <c r="E35" i="14"/>
  <c r="E9" i="7" s="1"/>
  <c r="E7" i="7"/>
  <c r="E41" i="7" s="1"/>
  <c r="N8" i="16"/>
  <c r="N11" i="16" s="1"/>
  <c r="J37" i="13"/>
  <c r="J38" i="13" s="1"/>
  <c r="X6" i="7"/>
  <c r="AH6" i="7" s="1"/>
  <c r="D7" i="17" s="1"/>
  <c r="I37" i="13"/>
  <c r="I40" i="13" s="1"/>
  <c r="E62" i="16"/>
  <c r="J86" i="13"/>
  <c r="J83" i="13"/>
  <c r="J73" i="13"/>
  <c r="E71" i="13"/>
  <c r="B20" i="13"/>
  <c r="B22" i="13" s="1"/>
  <c r="B23" i="13" s="1"/>
  <c r="H37" i="13"/>
  <c r="H40" i="13" s="1"/>
  <c r="H41" i="13" s="1"/>
  <c r="D33" i="14"/>
  <c r="H21" i="13"/>
  <c r="H22" i="13" s="1"/>
  <c r="G21" i="13"/>
  <c r="Y25" i="16"/>
  <c r="AI25" i="16" s="1"/>
  <c r="G6" i="7"/>
  <c r="G35" i="14"/>
  <c r="G9" i="7" s="1"/>
  <c r="I6" i="7"/>
  <c r="F6" i="7"/>
  <c r="G37" i="13"/>
  <c r="B70" i="13"/>
  <c r="G84" i="13"/>
  <c r="G86" i="13" s="1"/>
  <c r="G83" i="13"/>
  <c r="H86" i="13"/>
  <c r="H83" i="13"/>
  <c r="B74" i="13"/>
  <c r="I66" i="13"/>
  <c r="I70" i="13" s="1"/>
  <c r="G53" i="13"/>
  <c r="G58" i="13" s="1"/>
  <c r="G70" i="13"/>
  <c r="G71" i="13"/>
  <c r="G73" i="13" s="1"/>
  <c r="B61" i="13"/>
  <c r="G39" i="13"/>
  <c r="I39" i="13"/>
  <c r="I21" i="13"/>
  <c r="H19" i="13"/>
  <c r="G19" i="13"/>
  <c r="J18" i="13"/>
  <c r="G20" i="13"/>
  <c r="D57" i="16" l="1"/>
  <c r="H57" i="13"/>
  <c r="H61" i="13" s="1"/>
  <c r="G60" i="13"/>
  <c r="J57" i="13"/>
  <c r="I54" i="14" s="1"/>
  <c r="I6" i="16" s="1"/>
  <c r="I57" i="13"/>
  <c r="R6" i="16" s="1"/>
  <c r="N8" i="7"/>
  <c r="N63" i="16"/>
  <c r="N53" i="16"/>
  <c r="X53" i="16" s="1"/>
  <c r="N65" i="16"/>
  <c r="N64" i="16"/>
  <c r="N58" i="16"/>
  <c r="N59" i="16"/>
  <c r="N60" i="16"/>
  <c r="X60" i="16" s="1"/>
  <c r="AH60" i="16" s="1"/>
  <c r="N61" i="16"/>
  <c r="N14" i="16"/>
  <c r="N56" i="16" s="1"/>
  <c r="I19" i="13"/>
  <c r="I22" i="13"/>
  <c r="Q7" i="16"/>
  <c r="G55" i="14"/>
  <c r="G7" i="16" s="1"/>
  <c r="S7" i="16"/>
  <c r="I55" i="14"/>
  <c r="I7" i="16" s="1"/>
  <c r="P7" i="16"/>
  <c r="F55" i="14"/>
  <c r="F7" i="16" s="1"/>
  <c r="R7" i="16"/>
  <c r="H55" i="14"/>
  <c r="H7" i="16" s="1"/>
  <c r="G54" i="14"/>
  <c r="G6" i="16" s="1"/>
  <c r="Q6" i="16"/>
  <c r="D10" i="17"/>
  <c r="AH8" i="16"/>
  <c r="AI6" i="16"/>
  <c r="E10" i="17" s="1"/>
  <c r="O11" i="16"/>
  <c r="H74" i="13"/>
  <c r="Q8" i="7" s="1"/>
  <c r="AA8" i="7" s="1"/>
  <c r="AK8" i="7" s="1"/>
  <c r="G9" i="17" s="1"/>
  <c r="H87" i="13"/>
  <c r="J74" i="13"/>
  <c r="S8" i="7" s="1"/>
  <c r="AC8" i="7" s="1"/>
  <c r="AM8" i="7" s="1"/>
  <c r="I9" i="17" s="1"/>
  <c r="I87" i="13"/>
  <c r="J87" i="13"/>
  <c r="J40" i="13"/>
  <c r="J41" i="13" s="1"/>
  <c r="J42" i="13" s="1"/>
  <c r="E67" i="16"/>
  <c r="E57" i="16"/>
  <c r="I38" i="13"/>
  <c r="X11" i="16"/>
  <c r="AH11" i="16" s="1"/>
  <c r="I35" i="14"/>
  <c r="I9" i="7" s="1"/>
  <c r="Y7" i="7"/>
  <c r="AI7" i="7" s="1"/>
  <c r="E8" i="17" s="1"/>
  <c r="O9" i="7"/>
  <c r="O10" i="7" s="1"/>
  <c r="H38" i="13"/>
  <c r="H42" i="13" s="1"/>
  <c r="D7" i="16"/>
  <c r="X7" i="7"/>
  <c r="AH7" i="7" s="1"/>
  <c r="D8" i="17" s="1"/>
  <c r="F33" i="14"/>
  <c r="D7" i="7"/>
  <c r="D41" i="7" s="1"/>
  <c r="D35" i="14"/>
  <c r="D9" i="7" s="1"/>
  <c r="H33" i="14"/>
  <c r="G22" i="13"/>
  <c r="G23" i="13" s="1"/>
  <c r="P6" i="7" s="1"/>
  <c r="Z6" i="7" s="1"/>
  <c r="AJ6" i="7" s="1"/>
  <c r="F7" i="17" s="1"/>
  <c r="H23" i="13"/>
  <c r="Q6" i="7" s="1"/>
  <c r="AA6" i="7" s="1"/>
  <c r="AK6" i="7" s="1"/>
  <c r="G7" i="17" s="1"/>
  <c r="I41" i="13"/>
  <c r="Y24" i="16"/>
  <c r="AI24" i="16" s="1"/>
  <c r="G40" i="13"/>
  <c r="G41" i="13" s="1"/>
  <c r="X24" i="16"/>
  <c r="AH24" i="16" s="1"/>
  <c r="G38" i="13"/>
  <c r="I71" i="13"/>
  <c r="I73" i="13" s="1"/>
  <c r="I74" i="13" s="1"/>
  <c r="R8" i="7" s="1"/>
  <c r="AB8" i="7" s="1"/>
  <c r="AL8" i="7" s="1"/>
  <c r="H9" i="17" s="1"/>
  <c r="G87" i="13"/>
  <c r="G57" i="13"/>
  <c r="P6" i="16" s="1"/>
  <c r="P8" i="7"/>
  <c r="Z8" i="7" s="1"/>
  <c r="AJ8" i="7" s="1"/>
  <c r="F9" i="17" s="1"/>
  <c r="J19" i="13"/>
  <c r="J21" i="13"/>
  <c r="J22" i="13" s="1"/>
  <c r="S6" i="16" l="1"/>
  <c r="S55" i="16" s="1"/>
  <c r="AC55" i="16" s="1"/>
  <c r="AM55" i="16" s="1"/>
  <c r="J61" i="13"/>
  <c r="I61" i="13"/>
  <c r="H54" i="14"/>
  <c r="H6" i="16" s="1"/>
  <c r="H66" i="16" s="1"/>
  <c r="I66" i="16"/>
  <c r="I63" i="16"/>
  <c r="I64" i="16"/>
  <c r="I65" i="16"/>
  <c r="G65" i="16"/>
  <c r="G64" i="16"/>
  <c r="G63" i="16"/>
  <c r="G66" i="16"/>
  <c r="D63" i="16"/>
  <c r="D64" i="16"/>
  <c r="D66" i="16"/>
  <c r="D65" i="16"/>
  <c r="P54" i="16"/>
  <c r="P55" i="16"/>
  <c r="Q54" i="16"/>
  <c r="AA54" i="16" s="1"/>
  <c r="AK54" i="16" s="1"/>
  <c r="Q55" i="16"/>
  <c r="AA55" i="16" s="1"/>
  <c r="AK55" i="16" s="1"/>
  <c r="O63" i="16"/>
  <c r="Y63" i="16" s="1"/>
  <c r="AI63" i="16" s="1"/>
  <c r="O53" i="16"/>
  <c r="Y53" i="16" s="1"/>
  <c r="AI53" i="16" s="1"/>
  <c r="R55" i="16"/>
  <c r="AB55" i="16" s="1"/>
  <c r="AL55" i="16" s="1"/>
  <c r="R54" i="16"/>
  <c r="AB54" i="16" s="1"/>
  <c r="AL54" i="16" s="1"/>
  <c r="F61" i="16"/>
  <c r="F60" i="16"/>
  <c r="F58" i="16"/>
  <c r="F59" i="16"/>
  <c r="G60" i="16"/>
  <c r="G61" i="16"/>
  <c r="G59" i="16"/>
  <c r="G58" i="16"/>
  <c r="H59" i="16"/>
  <c r="H60" i="16"/>
  <c r="H61" i="16"/>
  <c r="H58" i="16"/>
  <c r="I58" i="16"/>
  <c r="I59" i="16"/>
  <c r="I60" i="16"/>
  <c r="I61" i="16"/>
  <c r="D58" i="16"/>
  <c r="D59" i="16"/>
  <c r="D60" i="16"/>
  <c r="D61" i="16"/>
  <c r="I54" i="16"/>
  <c r="I56" i="16"/>
  <c r="I55" i="16"/>
  <c r="G56" i="16"/>
  <c r="G55" i="16"/>
  <c r="G54" i="16"/>
  <c r="I53" i="16"/>
  <c r="G53" i="16"/>
  <c r="R65" i="16"/>
  <c r="AB65" i="16" s="1"/>
  <c r="AL65" i="16" s="1"/>
  <c r="R64" i="16"/>
  <c r="AB64" i="16" s="1"/>
  <c r="AL64" i="16" s="1"/>
  <c r="P64" i="16"/>
  <c r="P65" i="16"/>
  <c r="S64" i="16"/>
  <c r="AC64" i="16" s="1"/>
  <c r="AM64" i="16" s="1"/>
  <c r="Q64" i="16"/>
  <c r="AA64" i="16" s="1"/>
  <c r="AK64" i="16" s="1"/>
  <c r="Q65" i="16"/>
  <c r="AA65" i="16" s="1"/>
  <c r="AK65" i="16" s="1"/>
  <c r="X56" i="16"/>
  <c r="AH56" i="16" s="1"/>
  <c r="N66" i="16"/>
  <c r="X66" i="16" s="1"/>
  <c r="AH66" i="16" s="1"/>
  <c r="R59" i="16"/>
  <c r="AB59" i="16" s="1"/>
  <c r="AL59" i="16" s="1"/>
  <c r="R60" i="16"/>
  <c r="AB60" i="16" s="1"/>
  <c r="AL60" i="16" s="1"/>
  <c r="R61" i="16"/>
  <c r="AB61" i="16" s="1"/>
  <c r="AL61" i="16" s="1"/>
  <c r="R58" i="16"/>
  <c r="AB58" i="16" s="1"/>
  <c r="AL58" i="16" s="1"/>
  <c r="S58" i="16"/>
  <c r="AC58" i="16" s="1"/>
  <c r="AM58" i="16" s="1"/>
  <c r="S59" i="16"/>
  <c r="AC59" i="16" s="1"/>
  <c r="AM59" i="16" s="1"/>
  <c r="S60" i="16"/>
  <c r="AC60" i="16" s="1"/>
  <c r="AM60" i="16" s="1"/>
  <c r="S61" i="16"/>
  <c r="AC61" i="16" s="1"/>
  <c r="AM61" i="16" s="1"/>
  <c r="P61" i="16"/>
  <c r="Z61" i="16" s="1"/>
  <c r="AJ61" i="16" s="1"/>
  <c r="P59" i="16"/>
  <c r="Z59" i="16" s="1"/>
  <c r="AJ59" i="16" s="1"/>
  <c r="P60" i="16"/>
  <c r="Z60" i="16" s="1"/>
  <c r="AJ60" i="16" s="1"/>
  <c r="Q60" i="16"/>
  <c r="AA60" i="16" s="1"/>
  <c r="AK60" i="16" s="1"/>
  <c r="Q61" i="16"/>
  <c r="AA61" i="16" s="1"/>
  <c r="AK61" i="16" s="1"/>
  <c r="Q58" i="16"/>
  <c r="Q59" i="16"/>
  <c r="AA59" i="16" s="1"/>
  <c r="AK59" i="16" s="1"/>
  <c r="N62" i="16"/>
  <c r="O14" i="16"/>
  <c r="O56" i="16" s="1"/>
  <c r="I23" i="13"/>
  <c r="R6" i="7" s="1"/>
  <c r="AB6" i="7" s="1"/>
  <c r="AL6" i="7" s="1"/>
  <c r="H7" i="17" s="1"/>
  <c r="AB7" i="16"/>
  <c r="AL7" i="16" s="1"/>
  <c r="H11" i="17" s="1"/>
  <c r="AI8" i="16"/>
  <c r="Y11" i="16"/>
  <c r="AI11" i="16" s="1"/>
  <c r="O20" i="7"/>
  <c r="O13" i="7"/>
  <c r="O14" i="7"/>
  <c r="O41" i="7" s="1"/>
  <c r="Y41" i="7" s="1"/>
  <c r="AI41" i="7" s="1"/>
  <c r="E21" i="17" s="1"/>
  <c r="X14" i="16"/>
  <c r="AH14" i="16" s="1"/>
  <c r="G61" i="13"/>
  <c r="F54" i="14"/>
  <c r="F6" i="16" s="1"/>
  <c r="N15" i="16"/>
  <c r="AA7" i="16"/>
  <c r="AK7" i="16" s="1"/>
  <c r="G11" i="17" s="1"/>
  <c r="X59" i="16"/>
  <c r="AH59" i="16" s="1"/>
  <c r="X65" i="16"/>
  <c r="AH65" i="16" s="1"/>
  <c r="X61" i="16"/>
  <c r="AH61" i="16" s="1"/>
  <c r="X64" i="16"/>
  <c r="AH64" i="16" s="1"/>
  <c r="X63" i="16"/>
  <c r="AH63" i="16" s="1"/>
  <c r="X58" i="16"/>
  <c r="AH58" i="16" s="1"/>
  <c r="X7" i="16"/>
  <c r="AH7" i="16" s="1"/>
  <c r="D11" i="17" s="1"/>
  <c r="AC7" i="16"/>
  <c r="AM7" i="16" s="1"/>
  <c r="I11" i="17" s="1"/>
  <c r="Z7" i="16"/>
  <c r="AJ7" i="16" s="1"/>
  <c r="F11" i="17" s="1"/>
  <c r="I42" i="13"/>
  <c r="R7" i="7" s="1"/>
  <c r="AB7" i="7" s="1"/>
  <c r="AL7" i="7" s="1"/>
  <c r="H8" i="17" s="1"/>
  <c r="AH53" i="16"/>
  <c r="D34" i="14"/>
  <c r="F7" i="7"/>
  <c r="F35" i="14"/>
  <c r="F9" i="7" s="1"/>
  <c r="H7" i="7"/>
  <c r="H35" i="14"/>
  <c r="H9" i="7" s="1"/>
  <c r="N10" i="7"/>
  <c r="AC6" i="16"/>
  <c r="S8" i="16"/>
  <c r="AA6" i="16"/>
  <c r="Q8" i="16"/>
  <c r="AB6" i="16"/>
  <c r="G42" i="13"/>
  <c r="P7" i="7" s="1"/>
  <c r="Z7" i="7" s="1"/>
  <c r="AJ7" i="7" s="1"/>
  <c r="F8" i="17" s="1"/>
  <c r="Q7" i="7"/>
  <c r="AA7" i="7" s="1"/>
  <c r="AK7" i="7" s="1"/>
  <c r="G8" i="17" s="1"/>
  <c r="S7" i="7"/>
  <c r="AC7" i="7" s="1"/>
  <c r="AM7" i="7" s="1"/>
  <c r="I8" i="17" s="1"/>
  <c r="J23" i="13"/>
  <c r="S6" i="7" s="1"/>
  <c r="AC6" i="7" s="1"/>
  <c r="AM6" i="7" s="1"/>
  <c r="I7" i="17" s="1"/>
  <c r="F62" i="16" l="1"/>
  <c r="S54" i="16"/>
  <c r="AC54" i="16" s="1"/>
  <c r="S65" i="16"/>
  <c r="AC65" i="16" s="1"/>
  <c r="AM65" i="16" s="1"/>
  <c r="H54" i="16"/>
  <c r="R8" i="16"/>
  <c r="R11" i="16" s="1"/>
  <c r="R63" i="16" s="1"/>
  <c r="AB63" i="16" s="1"/>
  <c r="AL63" i="16" s="1"/>
  <c r="H53" i="16"/>
  <c r="H56" i="16"/>
  <c r="H64" i="16"/>
  <c r="H65" i="16"/>
  <c r="H55" i="16"/>
  <c r="H63" i="16"/>
  <c r="F65" i="16"/>
  <c r="F64" i="16"/>
  <c r="F66" i="16"/>
  <c r="F63" i="16"/>
  <c r="F55" i="16"/>
  <c r="F54" i="16"/>
  <c r="F56" i="16"/>
  <c r="F53" i="16"/>
  <c r="N57" i="16"/>
  <c r="Y56" i="16"/>
  <c r="AI56" i="16" s="1"/>
  <c r="O66" i="16"/>
  <c r="O67" i="16" s="1"/>
  <c r="O68" i="16" s="1"/>
  <c r="Y50" i="16" s="1"/>
  <c r="Y14" i="16"/>
  <c r="AI14" i="16" s="1"/>
  <c r="Z55" i="16"/>
  <c r="AJ55" i="16" s="1"/>
  <c r="O15" i="16"/>
  <c r="I57" i="16"/>
  <c r="I62" i="16"/>
  <c r="G62" i="16"/>
  <c r="G57" i="16"/>
  <c r="G67" i="16"/>
  <c r="I67" i="16"/>
  <c r="P8" i="16"/>
  <c r="P11" i="16" s="1"/>
  <c r="P53" i="16" s="1"/>
  <c r="Z64" i="16"/>
  <c r="AJ64" i="16" s="1"/>
  <c r="Z54" i="16"/>
  <c r="AJ54" i="16" s="1"/>
  <c r="Z65" i="16"/>
  <c r="AJ65" i="16" s="1"/>
  <c r="O57" i="16"/>
  <c r="Z6" i="16"/>
  <c r="Z8" i="16" s="1"/>
  <c r="Q11" i="16"/>
  <c r="S11" i="16"/>
  <c r="N13" i="7"/>
  <c r="N40" i="7" s="1"/>
  <c r="X40" i="7" s="1"/>
  <c r="AH40" i="7" s="1"/>
  <c r="D20" i="17" s="1"/>
  <c r="N14" i="7"/>
  <c r="N20" i="7"/>
  <c r="Y14" i="7"/>
  <c r="AI14" i="7" s="1"/>
  <c r="N67" i="16"/>
  <c r="Q62" i="16"/>
  <c r="AA58" i="16"/>
  <c r="AK58" i="16" s="1"/>
  <c r="R62" i="16"/>
  <c r="S62" i="16"/>
  <c r="Z58" i="16"/>
  <c r="AJ58" i="16" s="1"/>
  <c r="P62" i="16"/>
  <c r="Y13" i="7"/>
  <c r="AI13" i="7" s="1"/>
  <c r="O40" i="7"/>
  <c r="Y40" i="7" s="1"/>
  <c r="AI40" i="7" s="1"/>
  <c r="E20" i="17" s="1"/>
  <c r="Y20" i="7"/>
  <c r="AI20" i="7" s="1"/>
  <c r="O19" i="7"/>
  <c r="O36" i="7"/>
  <c r="O18" i="7"/>
  <c r="D62" i="16"/>
  <c r="H62" i="16"/>
  <c r="AM54" i="16"/>
  <c r="D67" i="16"/>
  <c r="D8" i="7"/>
  <c r="D42" i="7" s="1"/>
  <c r="H34" i="14"/>
  <c r="H8" i="7" s="1"/>
  <c r="F34" i="14"/>
  <c r="F8" i="7" s="1"/>
  <c r="X8" i="7"/>
  <c r="AH8" i="7" s="1"/>
  <c r="D9" i="17" s="1"/>
  <c r="N42" i="7"/>
  <c r="X42" i="7" s="1"/>
  <c r="AH42" i="7" s="1"/>
  <c r="D22" i="17" s="1"/>
  <c r="AC8" i="16"/>
  <c r="AM6" i="16"/>
  <c r="I10" i="17" s="1"/>
  <c r="AB8" i="16"/>
  <c r="AL6" i="16"/>
  <c r="H10" i="17" s="1"/>
  <c r="AA8" i="16"/>
  <c r="AK6" i="16"/>
  <c r="G10" i="17" s="1"/>
  <c r="H13" i="7"/>
  <c r="G13" i="7"/>
  <c r="F13" i="7"/>
  <c r="I13" i="7"/>
  <c r="I15" i="7"/>
  <c r="S15" i="7" s="1"/>
  <c r="AC15" i="7" s="1"/>
  <c r="AM15" i="7" s="1"/>
  <c r="I14" i="7"/>
  <c r="H15" i="7"/>
  <c r="R15" i="7" s="1"/>
  <c r="AB15" i="7" s="1"/>
  <c r="AL15" i="7" s="1"/>
  <c r="H14" i="7"/>
  <c r="G15" i="7"/>
  <c r="F15" i="7"/>
  <c r="G14" i="7"/>
  <c r="F14" i="7"/>
  <c r="H47" i="7"/>
  <c r="R47" i="7" s="1"/>
  <c r="AB47" i="7" s="1"/>
  <c r="AL47" i="7" s="1"/>
  <c r="I47" i="7"/>
  <c r="S47" i="7" s="1"/>
  <c r="AC47" i="7" s="1"/>
  <c r="AM47" i="7" s="1"/>
  <c r="I20" i="7"/>
  <c r="S37" i="7"/>
  <c r="I48" i="7"/>
  <c r="H48" i="7"/>
  <c r="Q37" i="7"/>
  <c r="P37" i="7"/>
  <c r="H57" i="16" l="1"/>
  <c r="H67" i="16"/>
  <c r="Y40" i="16"/>
  <c r="Y37" i="16"/>
  <c r="AI37" i="16" s="1"/>
  <c r="Y47" i="16"/>
  <c r="Y44" i="16"/>
  <c r="AI44" i="16" s="1"/>
  <c r="Y49" i="16"/>
  <c r="Y42" i="16"/>
  <c r="AI42" i="16" s="1"/>
  <c r="Y39" i="16"/>
  <c r="AI39" i="16" s="1"/>
  <c r="Y38" i="16"/>
  <c r="AI38" i="16" s="1"/>
  <c r="Y43" i="16"/>
  <c r="AI43" i="16" s="1"/>
  <c r="Y41" i="16"/>
  <c r="Y48" i="16"/>
  <c r="Y45" i="16"/>
  <c r="Y36" i="16"/>
  <c r="AI36" i="16" s="1"/>
  <c r="Y46" i="16"/>
  <c r="S63" i="16"/>
  <c r="AC63" i="16" s="1"/>
  <c r="AM63" i="16" s="1"/>
  <c r="S53" i="16"/>
  <c r="AC53" i="16" s="1"/>
  <c r="AM53" i="16" s="1"/>
  <c r="Q63" i="16"/>
  <c r="AA63" i="16" s="1"/>
  <c r="AK63" i="16" s="1"/>
  <c r="Q53" i="16"/>
  <c r="AA53" i="16" s="1"/>
  <c r="AK53" i="16" s="1"/>
  <c r="R53" i="16"/>
  <c r="AB53" i="16" s="1"/>
  <c r="AL53" i="16" s="1"/>
  <c r="Y66" i="16"/>
  <c r="AI66" i="16" s="1"/>
  <c r="N68" i="16"/>
  <c r="X50" i="16" s="1"/>
  <c r="Z53" i="16"/>
  <c r="AJ53" i="16" s="1"/>
  <c r="P63" i="16"/>
  <c r="Z63" i="16" s="1"/>
  <c r="AJ63" i="16" s="1"/>
  <c r="S14" i="16"/>
  <c r="S56" i="16" s="1"/>
  <c r="Q14" i="16"/>
  <c r="Q56" i="16" s="1"/>
  <c r="R14" i="16"/>
  <c r="AB14" i="16" s="1"/>
  <c r="AL14" i="16" s="1"/>
  <c r="AJ6" i="16"/>
  <c r="F10" i="17" s="1"/>
  <c r="P14" i="16"/>
  <c r="P56" i="16" s="1"/>
  <c r="Z11" i="16"/>
  <c r="AJ11" i="16" s="1"/>
  <c r="AB11" i="16"/>
  <c r="AL11" i="16" s="1"/>
  <c r="AC11" i="16"/>
  <c r="AM11" i="16" s="1"/>
  <c r="AA11" i="16"/>
  <c r="AK11" i="16" s="1"/>
  <c r="F67" i="16"/>
  <c r="I14" i="17"/>
  <c r="H14" i="17"/>
  <c r="E12" i="17"/>
  <c r="E13" i="17"/>
  <c r="N36" i="7"/>
  <c r="N18" i="7"/>
  <c r="N34" i="7" s="1"/>
  <c r="F57" i="16"/>
  <c r="O35" i="7"/>
  <c r="Y19" i="7"/>
  <c r="AI19" i="7" s="1"/>
  <c r="O34" i="7"/>
  <c r="Y18" i="7"/>
  <c r="O21" i="7"/>
  <c r="Y21" i="7" s="1"/>
  <c r="AI21" i="7" s="1"/>
  <c r="X13" i="7"/>
  <c r="AH13" i="7" s="1"/>
  <c r="X14" i="7"/>
  <c r="AH14" i="7" s="1"/>
  <c r="N41" i="7"/>
  <c r="X41" i="7" s="1"/>
  <c r="AH41" i="7" s="1"/>
  <c r="D21" i="17" s="1"/>
  <c r="X20" i="7"/>
  <c r="AH20" i="7" s="1"/>
  <c r="N19" i="7"/>
  <c r="N35" i="7" s="1"/>
  <c r="AL8" i="16"/>
  <c r="AM8" i="16"/>
  <c r="AK8" i="16"/>
  <c r="H36" i="7"/>
  <c r="R37" i="7"/>
  <c r="G42" i="7"/>
  <c r="Q15" i="7"/>
  <c r="Q42" i="7" s="1"/>
  <c r="F41" i="7"/>
  <c r="H41" i="7"/>
  <c r="G41" i="7"/>
  <c r="F40" i="7"/>
  <c r="F42" i="7"/>
  <c r="P15" i="7"/>
  <c r="I41" i="7"/>
  <c r="G40" i="7"/>
  <c r="I36" i="7"/>
  <c r="I18" i="7"/>
  <c r="I19" i="7"/>
  <c r="I40" i="7"/>
  <c r="H40" i="7"/>
  <c r="S42" i="7"/>
  <c r="AC42" i="7" s="1"/>
  <c r="AM42" i="7" s="1"/>
  <c r="I22" i="17" s="1"/>
  <c r="I42" i="7"/>
  <c r="R42" i="7"/>
  <c r="AB42" i="7" s="1"/>
  <c r="AL42" i="7" s="1"/>
  <c r="H22" i="17" s="1"/>
  <c r="H42" i="7"/>
  <c r="H49" i="7"/>
  <c r="I49" i="7"/>
  <c r="X40" i="16" l="1"/>
  <c r="X44" i="16"/>
  <c r="AH44" i="16" s="1"/>
  <c r="X48" i="16"/>
  <c r="X38" i="16"/>
  <c r="AH38" i="16" s="1"/>
  <c r="X46" i="16"/>
  <c r="X43" i="16"/>
  <c r="AH43" i="16" s="1"/>
  <c r="X37" i="16"/>
  <c r="AH37" i="16" s="1"/>
  <c r="X41" i="16"/>
  <c r="X45" i="16"/>
  <c r="X49" i="16"/>
  <c r="X42" i="16"/>
  <c r="AH42" i="16" s="1"/>
  <c r="X36" i="16"/>
  <c r="AH36" i="16" s="1"/>
  <c r="X39" i="16"/>
  <c r="AH39" i="16" s="1"/>
  <c r="X47" i="16"/>
  <c r="N44" i="7"/>
  <c r="N48" i="7" s="1"/>
  <c r="AI40" i="16"/>
  <c r="R15" i="16"/>
  <c r="R56" i="16"/>
  <c r="AB56" i="16" s="1"/>
  <c r="AL56" i="16" s="1"/>
  <c r="S57" i="16"/>
  <c r="S66" i="16"/>
  <c r="S67" i="16" s="1"/>
  <c r="S68" i="16" s="1"/>
  <c r="AC50" i="16" s="1"/>
  <c r="Z56" i="16"/>
  <c r="AJ56" i="16" s="1"/>
  <c r="P66" i="16"/>
  <c r="P67" i="16" s="1"/>
  <c r="P68" i="16" s="1"/>
  <c r="Z50" i="16" s="1"/>
  <c r="R66" i="16"/>
  <c r="R67" i="16" s="1"/>
  <c r="R68" i="16" s="1"/>
  <c r="AB50" i="16" s="1"/>
  <c r="AA56" i="16"/>
  <c r="AK56" i="16" s="1"/>
  <c r="Q66" i="16"/>
  <c r="AA66" i="16" s="1"/>
  <c r="AK66" i="16" s="1"/>
  <c r="AA14" i="16"/>
  <c r="AK14" i="16" s="1"/>
  <c r="Q15" i="16"/>
  <c r="AC14" i="16"/>
  <c r="AM14" i="16" s="1"/>
  <c r="S15" i="16"/>
  <c r="Y15" i="16"/>
  <c r="AJ8" i="16"/>
  <c r="Y20" i="16"/>
  <c r="AI41" i="16"/>
  <c r="P15" i="16"/>
  <c r="Z14" i="16"/>
  <c r="AJ14" i="16" s="1"/>
  <c r="D13" i="17"/>
  <c r="O48" i="7"/>
  <c r="Y9" i="7"/>
  <c r="Y10" i="7" s="1"/>
  <c r="AI18" i="7"/>
  <c r="P57" i="16"/>
  <c r="D12" i="17"/>
  <c r="AC56" i="16"/>
  <c r="AM56" i="16" s="1"/>
  <c r="N21" i="7"/>
  <c r="X21" i="7" s="1"/>
  <c r="AH21" i="7" s="1"/>
  <c r="X18" i="7"/>
  <c r="X19" i="7"/>
  <c r="AH19" i="7" s="1"/>
  <c r="AI48" i="16"/>
  <c r="AI47" i="16"/>
  <c r="AI49" i="16"/>
  <c r="Z25" i="16"/>
  <c r="AJ25" i="16" s="1"/>
  <c r="AB25" i="16"/>
  <c r="AL25" i="16" s="1"/>
  <c r="AC25" i="16"/>
  <c r="AM25" i="16" s="1"/>
  <c r="AA25" i="16"/>
  <c r="AK25" i="16" s="1"/>
  <c r="P42" i="7"/>
  <c r="Z42" i="7" s="1"/>
  <c r="AJ42" i="7" s="1"/>
  <c r="Z15" i="7"/>
  <c r="AJ15" i="7" s="1"/>
  <c r="AA42" i="7"/>
  <c r="AA15" i="7"/>
  <c r="AK15" i="7" s="1"/>
  <c r="I35" i="7"/>
  <c r="I21" i="7"/>
  <c r="H35" i="7"/>
  <c r="I34" i="7"/>
  <c r="H34" i="7"/>
  <c r="S9" i="7"/>
  <c r="S10" i="7" s="1"/>
  <c r="R9" i="7"/>
  <c r="R10" i="7" s="1"/>
  <c r="R13" i="7" s="1"/>
  <c r="AI57" i="16" l="1"/>
  <c r="E24" i="17" s="1"/>
  <c r="AI77" i="16"/>
  <c r="AI74" i="16"/>
  <c r="AK42" i="7"/>
  <c r="G22" i="17" s="1"/>
  <c r="F22" i="17"/>
  <c r="Z36" i="16"/>
  <c r="AJ36" i="16" s="1"/>
  <c r="Z40" i="16"/>
  <c r="Z44" i="16"/>
  <c r="Z48" i="16"/>
  <c r="Z38" i="16"/>
  <c r="Z42" i="16"/>
  <c r="Z46" i="16"/>
  <c r="Z37" i="16"/>
  <c r="Z49" i="16"/>
  <c r="Z39" i="16"/>
  <c r="Z43" i="16"/>
  <c r="Z47" i="16"/>
  <c r="Z41" i="16"/>
  <c r="Z45" i="16"/>
  <c r="AC46" i="16"/>
  <c r="AC44" i="16"/>
  <c r="AC37" i="16"/>
  <c r="AC48" i="16"/>
  <c r="AC49" i="16"/>
  <c r="AC38" i="16"/>
  <c r="AC39" i="16"/>
  <c r="AC45" i="16"/>
  <c r="AC40" i="16"/>
  <c r="AC42" i="16"/>
  <c r="AC43" i="16"/>
  <c r="AC47" i="16"/>
  <c r="AC41" i="16"/>
  <c r="AC36" i="16"/>
  <c r="AB45" i="16"/>
  <c r="AB46" i="16"/>
  <c r="AB48" i="16"/>
  <c r="AB40" i="16"/>
  <c r="AB36" i="16"/>
  <c r="AL36" i="16" s="1"/>
  <c r="AB41" i="16"/>
  <c r="AL41" i="16" s="1"/>
  <c r="AB49" i="16"/>
  <c r="AB44" i="16"/>
  <c r="AL44" i="16" s="1"/>
  <c r="AB47" i="16"/>
  <c r="AB43" i="16"/>
  <c r="AL43" i="16" s="1"/>
  <c r="AB42" i="16"/>
  <c r="AB39" i="16"/>
  <c r="AB37" i="16"/>
  <c r="AB38" i="16"/>
  <c r="AL38" i="16" s="1"/>
  <c r="AI45" i="16"/>
  <c r="AI62" i="16" s="1"/>
  <c r="E25" i="17" s="1"/>
  <c r="AB66" i="16"/>
  <c r="AL66" i="16" s="1"/>
  <c r="Y67" i="16"/>
  <c r="Y68" i="16" s="1"/>
  <c r="AC66" i="16"/>
  <c r="AM66" i="16" s="1"/>
  <c r="R57" i="16"/>
  <c r="Q57" i="16"/>
  <c r="Q67" i="16"/>
  <c r="Q68" i="16" s="1"/>
  <c r="AA50" i="16" s="1"/>
  <c r="Y57" i="16"/>
  <c r="Y62" i="16"/>
  <c r="AI46" i="16"/>
  <c r="AI92" i="16" s="1"/>
  <c r="Z66" i="16"/>
  <c r="AJ66" i="16" s="1"/>
  <c r="AI9" i="7"/>
  <c r="AI10" i="7" s="1"/>
  <c r="AL42" i="16"/>
  <c r="AI95" i="16"/>
  <c r="AI94" i="16"/>
  <c r="AI93" i="16"/>
  <c r="G14" i="17"/>
  <c r="F14" i="17"/>
  <c r="R20" i="7"/>
  <c r="AB20" i="7" s="1"/>
  <c r="AL20" i="7" s="1"/>
  <c r="R14" i="7"/>
  <c r="AB14" i="7" s="1"/>
  <c r="AL14" i="7" s="1"/>
  <c r="S13" i="7"/>
  <c r="S14" i="7"/>
  <c r="S20" i="7"/>
  <c r="AC20" i="7" s="1"/>
  <c r="AM20" i="7" s="1"/>
  <c r="AH41" i="16"/>
  <c r="AH45" i="16" s="1"/>
  <c r="D32" i="17" s="1"/>
  <c r="X15" i="16"/>
  <c r="AH48" i="16"/>
  <c r="AH49" i="16"/>
  <c r="AH40" i="16"/>
  <c r="AH47" i="16"/>
  <c r="X20" i="16"/>
  <c r="Y48" i="7"/>
  <c r="AI48" i="7" s="1"/>
  <c r="O49" i="7"/>
  <c r="AI15" i="16"/>
  <c r="E31" i="17"/>
  <c r="X48" i="7"/>
  <c r="AH48" i="7" s="1"/>
  <c r="AH18" i="7"/>
  <c r="X9" i="7"/>
  <c r="X10" i="7" s="1"/>
  <c r="AA23" i="16"/>
  <c r="AK23" i="16" s="1"/>
  <c r="AA26" i="16"/>
  <c r="AK26" i="16" s="1"/>
  <c r="AA24" i="16"/>
  <c r="AK24" i="16" s="1"/>
  <c r="AB26" i="16"/>
  <c r="AL26" i="16" s="1"/>
  <c r="AB23" i="16"/>
  <c r="AL23" i="16" s="1"/>
  <c r="Z26" i="16"/>
  <c r="AJ26" i="16" s="1"/>
  <c r="Z23" i="16"/>
  <c r="AJ23" i="16" s="1"/>
  <c r="AB24" i="16"/>
  <c r="AL24" i="16" s="1"/>
  <c r="Z24" i="16"/>
  <c r="AJ24" i="16" s="1"/>
  <c r="AC24" i="16"/>
  <c r="AM24" i="16" s="1"/>
  <c r="AC26" i="16"/>
  <c r="AM26" i="16" s="1"/>
  <c r="AC23" i="16"/>
  <c r="AM23" i="16" s="1"/>
  <c r="I43" i="7"/>
  <c r="H43" i="7"/>
  <c r="AH15" i="16" l="1"/>
  <c r="AH71" i="16" s="1"/>
  <c r="AH77" i="16"/>
  <c r="AH74" i="16"/>
  <c r="E32" i="17"/>
  <c r="AA40" i="16"/>
  <c r="AA49" i="16"/>
  <c r="AA41" i="16"/>
  <c r="AA43" i="16"/>
  <c r="AK43" i="16" s="1"/>
  <c r="AA48" i="16"/>
  <c r="AA39" i="16"/>
  <c r="AA46" i="16"/>
  <c r="AA38" i="16"/>
  <c r="AA47" i="16"/>
  <c r="AA37" i="16"/>
  <c r="AA45" i="16"/>
  <c r="AA44" i="16"/>
  <c r="AK44" i="16" s="1"/>
  <c r="AA36" i="16"/>
  <c r="AA42" i="16"/>
  <c r="AK42" i="16" s="1"/>
  <c r="X67" i="16"/>
  <c r="X68" i="16" s="1"/>
  <c r="AI71" i="16"/>
  <c r="E15" i="17"/>
  <c r="AI20" i="16"/>
  <c r="AI50" i="16"/>
  <c r="AI80" i="16" s="1"/>
  <c r="AH9" i="7"/>
  <c r="AH10" i="7" s="1"/>
  <c r="AL37" i="16"/>
  <c r="AL47" i="16" s="1"/>
  <c r="AB15" i="16"/>
  <c r="AL39" i="16"/>
  <c r="AB20" i="16"/>
  <c r="AI96" i="16"/>
  <c r="E74" i="17" s="1"/>
  <c r="AH95" i="16"/>
  <c r="AH94" i="16"/>
  <c r="AH93" i="16"/>
  <c r="AH46" i="16"/>
  <c r="AH92" i="16" s="1"/>
  <c r="AM42" i="16"/>
  <c r="AM44" i="16"/>
  <c r="AM43" i="16"/>
  <c r="AI84" i="16"/>
  <c r="E58" i="17" s="1"/>
  <c r="AI83" i="16"/>
  <c r="E57" i="17" s="1"/>
  <c r="AH84" i="16"/>
  <c r="D58" i="17" s="1"/>
  <c r="H13" i="17"/>
  <c r="X62" i="16"/>
  <c r="X57" i="16"/>
  <c r="AH20" i="16"/>
  <c r="AH90" i="16" s="1"/>
  <c r="D31" i="17"/>
  <c r="AH57" i="16"/>
  <c r="D24" i="17" s="1"/>
  <c r="AH62" i="16"/>
  <c r="D25" i="17" s="1"/>
  <c r="O50" i="7"/>
  <c r="Y49" i="7"/>
  <c r="D15" i="17"/>
  <c r="AI88" i="16"/>
  <c r="AH88" i="16"/>
  <c r="AI89" i="16"/>
  <c r="E68" i="17" s="1"/>
  <c r="N49" i="7"/>
  <c r="AL45" i="16"/>
  <c r="AL62" i="16" s="1"/>
  <c r="AL46" i="16"/>
  <c r="AL48" i="16"/>
  <c r="AL94" i="16"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Q47" i="7" s="1"/>
  <c r="AA47" i="7" s="1"/>
  <c r="AK47" i="7" s="1"/>
  <c r="F47" i="7"/>
  <c r="P47" i="7" s="1"/>
  <c r="Z47" i="7" s="1"/>
  <c r="AJ47" i="7" s="1"/>
  <c r="G48" i="7"/>
  <c r="F48" i="7"/>
  <c r="AH89" i="16" l="1"/>
  <c r="D68" i="17" s="1"/>
  <c r="AH83" i="16"/>
  <c r="D57" i="17" s="1"/>
  <c r="AI90" i="16"/>
  <c r="E69" i="17" s="1"/>
  <c r="AB40" i="7"/>
  <c r="AL40" i="7" s="1"/>
  <c r="H20" i="17" s="1"/>
  <c r="E33" i="17"/>
  <c r="E51" i="17"/>
  <c r="AI85" i="16"/>
  <c r="E59" i="17" s="1"/>
  <c r="AI72" i="16"/>
  <c r="AI73" i="16" s="1"/>
  <c r="E38" i="17" s="1"/>
  <c r="AI76" i="16"/>
  <c r="E43" i="17" s="1"/>
  <c r="AI67" i="16"/>
  <c r="E26" i="17" s="1"/>
  <c r="AH50" i="16"/>
  <c r="AH80" i="16" s="1"/>
  <c r="N50" i="7"/>
  <c r="X34" i="7" s="1"/>
  <c r="X49" i="7"/>
  <c r="AH49" i="7" s="1"/>
  <c r="AH50" i="7" s="1"/>
  <c r="AL40" i="16"/>
  <c r="AB67" i="16"/>
  <c r="AB68" i="16" s="1"/>
  <c r="AL49" i="16"/>
  <c r="AL95" i="16" s="1"/>
  <c r="AB62" i="16"/>
  <c r="AB57" i="16"/>
  <c r="AI79" i="16"/>
  <c r="E47" i="17" s="1"/>
  <c r="AH79" i="16"/>
  <c r="D47" i="17" s="1"/>
  <c r="AH76" i="16"/>
  <c r="D43" i="17" s="1"/>
  <c r="AH72" i="16"/>
  <c r="D69" i="17"/>
  <c r="AH96" i="16"/>
  <c r="D74" i="17" s="1"/>
  <c r="AL93" i="16"/>
  <c r="D67" i="17"/>
  <c r="E67" i="17"/>
  <c r="E77" i="17" s="1"/>
  <c r="AJ42" i="16"/>
  <c r="AJ44" i="16"/>
  <c r="AJ43" i="16"/>
  <c r="I13" i="17"/>
  <c r="I12" i="17"/>
  <c r="H12" i="17"/>
  <c r="Y36" i="7"/>
  <c r="Y34" i="7"/>
  <c r="Y35" i="7"/>
  <c r="AH85" i="16"/>
  <c r="D59" i="17" s="1"/>
  <c r="Y50" i="7"/>
  <c r="AI49" i="7"/>
  <c r="AI50" i="7" s="1"/>
  <c r="AL20" i="16"/>
  <c r="AL90" i="16" s="1"/>
  <c r="H32" i="17"/>
  <c r="AL92" i="16"/>
  <c r="H25" i="17"/>
  <c r="AM39" i="16"/>
  <c r="AK39" i="16"/>
  <c r="AC20" i="16"/>
  <c r="AM41" i="16"/>
  <c r="AK41" i="16"/>
  <c r="AA20" i="16"/>
  <c r="AC15" i="16"/>
  <c r="AM36" i="16"/>
  <c r="AM37" i="16"/>
  <c r="AK37" i="16"/>
  <c r="AK36" i="16"/>
  <c r="AA15" i="16"/>
  <c r="AM38" i="16"/>
  <c r="AK38" i="16"/>
  <c r="AM40" i="7"/>
  <c r="I20" i="17" s="1"/>
  <c r="K20" i="17" s="1"/>
  <c r="S35" i="7"/>
  <c r="AC19" i="7"/>
  <c r="AM19" i="7" s="1"/>
  <c r="S34" i="7"/>
  <c r="AC18" i="7"/>
  <c r="R34" i="7"/>
  <c r="AB18" i="7"/>
  <c r="R35" i="7"/>
  <c r="AB19" i="7"/>
  <c r="AL19" i="7" s="1"/>
  <c r="S21" i="7"/>
  <c r="AC21" i="7" s="1"/>
  <c r="AM21" i="7" s="1"/>
  <c r="R21" i="7"/>
  <c r="AB21" i="7" s="1"/>
  <c r="AL21" i="7" s="1"/>
  <c r="F49" i="7"/>
  <c r="G49" i="7"/>
  <c r="H31" i="17" l="1"/>
  <c r="AL74" i="16"/>
  <c r="AL77" i="16"/>
  <c r="AI91" i="16"/>
  <c r="R43" i="7"/>
  <c r="E36" i="17"/>
  <c r="D33" i="17"/>
  <c r="D51" i="17"/>
  <c r="D77" i="17"/>
  <c r="AI68" i="16"/>
  <c r="AH73" i="16"/>
  <c r="D38" i="17" s="1"/>
  <c r="AH67" i="16"/>
  <c r="D26" i="17" s="1"/>
  <c r="X35" i="7"/>
  <c r="AH35" i="7" s="1"/>
  <c r="X36" i="7"/>
  <c r="AH36" i="7" s="1"/>
  <c r="AL15" i="16"/>
  <c r="AL50" i="16"/>
  <c r="AL57" i="16"/>
  <c r="H24" i="17" s="1"/>
  <c r="AL72" i="16"/>
  <c r="AH91" i="16"/>
  <c r="AL96" i="16"/>
  <c r="H74" i="17" s="1"/>
  <c r="AL85" i="16"/>
  <c r="H59" i="17" s="1"/>
  <c r="Y37" i="7"/>
  <c r="Y44" i="7" s="1"/>
  <c r="AI36" i="7"/>
  <c r="AI82" i="7" s="1"/>
  <c r="AI34" i="7"/>
  <c r="AI35" i="7"/>
  <c r="X50" i="7"/>
  <c r="AC62" i="16"/>
  <c r="H69" i="17"/>
  <c r="AA62" i="16"/>
  <c r="AC57" i="16"/>
  <c r="AK45" i="16"/>
  <c r="AK62" i="16" s="1"/>
  <c r="G25" i="17" s="1"/>
  <c r="AM45" i="16"/>
  <c r="AA57" i="16"/>
  <c r="AH34" i="7"/>
  <c r="Z15" i="16"/>
  <c r="AK47" i="16"/>
  <c r="AM40" i="16"/>
  <c r="AM46" i="16"/>
  <c r="AK49" i="16"/>
  <c r="AJ39" i="16"/>
  <c r="AJ38" i="16"/>
  <c r="AK48" i="16"/>
  <c r="AA67" i="16"/>
  <c r="AA68" i="16" s="1"/>
  <c r="AC67" i="16"/>
  <c r="AC68" i="16" s="1"/>
  <c r="AJ37" i="16"/>
  <c r="AJ41" i="16"/>
  <c r="Z20" i="16"/>
  <c r="AM48" i="16"/>
  <c r="AK40" i="16"/>
  <c r="AK46" i="16"/>
  <c r="AM47" i="16"/>
  <c r="AM49" i="16"/>
  <c r="AM18" i="7"/>
  <c r="AC9" i="7"/>
  <c r="AC10" i="7" s="1"/>
  <c r="AB9" i="7"/>
  <c r="AB10" i="7" s="1"/>
  <c r="AL18" i="7"/>
  <c r="S43" i="7"/>
  <c r="AM57" i="16" l="1"/>
  <c r="I24" i="17" s="1"/>
  <c r="AM74" i="16"/>
  <c r="AM77" i="16"/>
  <c r="AL67" i="16"/>
  <c r="H26" i="17" s="1"/>
  <c r="AL80" i="16"/>
  <c r="H51" i="17" s="1"/>
  <c r="AK15" i="16"/>
  <c r="AK71" i="16" s="1"/>
  <c r="AK77" i="16"/>
  <c r="AK74" i="16"/>
  <c r="R44" i="7"/>
  <c r="R48" i="7" s="1"/>
  <c r="AH57" i="7"/>
  <c r="AH61" i="7"/>
  <c r="AI58" i="7"/>
  <c r="AI62" i="7"/>
  <c r="AH58" i="7"/>
  <c r="AH62" i="7"/>
  <c r="AI57" i="7"/>
  <c r="AI61" i="7"/>
  <c r="D36" i="17"/>
  <c r="AJ40" i="16"/>
  <c r="S44" i="7"/>
  <c r="S48" i="7" s="1"/>
  <c r="AC48" i="7" s="1"/>
  <c r="AM48" i="7" s="1"/>
  <c r="AH55" i="7"/>
  <c r="AH82" i="7"/>
  <c r="AH85" i="7" s="1"/>
  <c r="D66" i="17" s="1"/>
  <c r="D72" i="17" s="1"/>
  <c r="AH78" i="7"/>
  <c r="H33" i="17"/>
  <c r="H36" i="17" s="1"/>
  <c r="AH68" i="16"/>
  <c r="AL84" i="16"/>
  <c r="H58" i="17" s="1"/>
  <c r="AL89" i="16"/>
  <c r="H68" i="17" s="1"/>
  <c r="AL71" i="16"/>
  <c r="AL79" i="16"/>
  <c r="H47" i="17" s="1"/>
  <c r="X37" i="7"/>
  <c r="H15" i="17"/>
  <c r="AL88" i="16"/>
  <c r="H67" i="17" s="1"/>
  <c r="AL83" i="16"/>
  <c r="H57" i="17" s="1"/>
  <c r="AH53" i="7"/>
  <c r="AH54" i="7"/>
  <c r="AM9" i="7"/>
  <c r="AM10" i="7" s="1"/>
  <c r="AL9" i="7"/>
  <c r="AL10" i="7" s="1"/>
  <c r="AL76" i="16"/>
  <c r="H43" i="17" s="1"/>
  <c r="AM95" i="16"/>
  <c r="AM94" i="16"/>
  <c r="AK95" i="16"/>
  <c r="AM93" i="16"/>
  <c r="AK94" i="16"/>
  <c r="AK93"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Z57" i="16"/>
  <c r="Z62" i="16"/>
  <c r="AJ45" i="16"/>
  <c r="AJ62" i="16" s="1"/>
  <c r="AM20" i="16"/>
  <c r="AM90" i="16" s="1"/>
  <c r="I32" i="17"/>
  <c r="AK92" i="16"/>
  <c r="AM15" i="16"/>
  <c r="I31" i="17"/>
  <c r="AH87" i="7"/>
  <c r="D28" i="17"/>
  <c r="AM62" i="16"/>
  <c r="I25" i="17" s="1"/>
  <c r="AK20" i="16"/>
  <c r="AK90" i="16" s="1"/>
  <c r="G32" i="17"/>
  <c r="AH86" i="7"/>
  <c r="D27" i="17"/>
  <c r="G31" i="17"/>
  <c r="AM92" i="16"/>
  <c r="AH88" i="7"/>
  <c r="D29" i="17"/>
  <c r="AK57" i="16"/>
  <c r="G24" i="17" s="1"/>
  <c r="AH80" i="7"/>
  <c r="AH37" i="7"/>
  <c r="AH65" i="7" s="1"/>
  <c r="AH81" i="7"/>
  <c r="AH79" i="7"/>
  <c r="AJ47" i="16"/>
  <c r="AJ49" i="16"/>
  <c r="AM50" i="16"/>
  <c r="AM80" i="16" s="1"/>
  <c r="AK50" i="16"/>
  <c r="AK80" i="16" s="1"/>
  <c r="Z67" i="16"/>
  <c r="Z68" i="16" s="1"/>
  <c r="AJ48" i="16"/>
  <c r="AJ46" i="16"/>
  <c r="G20" i="7"/>
  <c r="AH83" i="7" l="1"/>
  <c r="AH60" i="7"/>
  <c r="AJ57" i="16"/>
  <c r="F24" i="17" s="1"/>
  <c r="AJ74" i="16"/>
  <c r="AJ77" i="16"/>
  <c r="AL68" i="16"/>
  <c r="F25" i="17"/>
  <c r="G33" i="17"/>
  <c r="G51" i="17"/>
  <c r="I33" i="17"/>
  <c r="I36" i="17" s="1"/>
  <c r="I51" i="17"/>
  <c r="H77" i="17"/>
  <c r="AL91" i="16"/>
  <c r="AI60" i="7"/>
  <c r="E42" i="17" s="1"/>
  <c r="E44" i="17" s="1"/>
  <c r="E45" i="17" s="1"/>
  <c r="AH64" i="7"/>
  <c r="D46" i="17" s="1"/>
  <c r="D48" i="17" s="1"/>
  <c r="D49" i="17" s="1"/>
  <c r="D42" i="17"/>
  <c r="D44" i="17" s="1"/>
  <c r="D45" i="17" s="1"/>
  <c r="D23" i="17"/>
  <c r="D50" i="17"/>
  <c r="D52" i="17" s="1"/>
  <c r="D53" i="17" s="1"/>
  <c r="E30" i="17"/>
  <c r="AI65" i="7"/>
  <c r="E50" i="17" s="1"/>
  <c r="E52" i="17" s="1"/>
  <c r="E53" i="17" s="1"/>
  <c r="AI64" i="7"/>
  <c r="E46" i="17" s="1"/>
  <c r="E48" i="17" s="1"/>
  <c r="E49" i="17" s="1"/>
  <c r="AK72" i="16"/>
  <c r="AK73" i="16" s="1"/>
  <c r="G38" i="17" s="1"/>
  <c r="AM72" i="16"/>
  <c r="AM71" i="16"/>
  <c r="AJ93" i="16"/>
  <c r="AJ94" i="16"/>
  <c r="AJ95" i="16"/>
  <c r="AM96" i="16"/>
  <c r="I74" i="17" s="1"/>
  <c r="AK96" i="16"/>
  <c r="G74" i="17" s="1"/>
  <c r="I15" i="17"/>
  <c r="AM84" i="16"/>
  <c r="I58" i="17" s="1"/>
  <c r="AM83" i="16"/>
  <c r="I57" i="17" s="1"/>
  <c r="G15" i="17"/>
  <c r="AK84" i="16"/>
  <c r="G58" i="17" s="1"/>
  <c r="AK83" i="16"/>
  <c r="G57" i="17" s="1"/>
  <c r="AI83" i="7"/>
  <c r="AI56" i="7"/>
  <c r="E37" i="17" s="1"/>
  <c r="E40" i="17" s="1"/>
  <c r="E41" i="17" s="1"/>
  <c r="AI73" i="7"/>
  <c r="E54" i="17" s="1"/>
  <c r="E60" i="17" s="1"/>
  <c r="AI74" i="7"/>
  <c r="E55" i="17" s="1"/>
  <c r="E61" i="17" s="1"/>
  <c r="AI89" i="7"/>
  <c r="E73" i="17" s="1"/>
  <c r="E75" i="17" s="1"/>
  <c r="AI84" i="7"/>
  <c r="E65" i="17" s="1"/>
  <c r="AM88" i="16"/>
  <c r="AM89" i="16"/>
  <c r="I68" i="17" s="1"/>
  <c r="AJ15" i="16"/>
  <c r="F31" i="17"/>
  <c r="AK67" i="16"/>
  <c r="AK68" i="16" s="1"/>
  <c r="AJ92" i="16"/>
  <c r="AK88" i="16"/>
  <c r="AM85" i="16"/>
  <c r="I59" i="17" s="1"/>
  <c r="I69" i="17"/>
  <c r="AM67" i="16"/>
  <c r="AM68" i="16" s="1"/>
  <c r="D30" i="17"/>
  <c r="AK89" i="16"/>
  <c r="G68" i="17" s="1"/>
  <c r="AH89" i="7"/>
  <c r="D73" i="17" s="1"/>
  <c r="D75" i="17" s="1"/>
  <c r="AK85" i="16"/>
  <c r="G59" i="17" s="1"/>
  <c r="G69" i="17"/>
  <c r="AJ20" i="16"/>
  <c r="AJ90" i="16" s="1"/>
  <c r="F32" i="17"/>
  <c r="AH84" i="7"/>
  <c r="D65" i="17" s="1"/>
  <c r="D71" i="17" s="1"/>
  <c r="D64" i="17"/>
  <c r="AH74" i="7"/>
  <c r="D55" i="17" s="1"/>
  <c r="D61" i="17" s="1"/>
  <c r="AH56" i="7"/>
  <c r="D37" i="17" s="1"/>
  <c r="D40" i="17" s="1"/>
  <c r="D41" i="17" s="1"/>
  <c r="AH73" i="7"/>
  <c r="D54" i="17" s="1"/>
  <c r="D60" i="17" s="1"/>
  <c r="AJ50" i="16"/>
  <c r="AJ80" i="16" s="1"/>
  <c r="S49" i="7"/>
  <c r="S50" i="7" s="1"/>
  <c r="R49" i="7"/>
  <c r="AB48" i="7"/>
  <c r="AL48" i="7" s="1"/>
  <c r="G18" i="7"/>
  <c r="G19" i="7"/>
  <c r="G36" i="7"/>
  <c r="F20" i="7"/>
  <c r="E63" i="17" l="1"/>
  <c r="F18" i="7"/>
  <c r="D63" i="17"/>
  <c r="AJ67" i="16"/>
  <c r="AJ68" i="16" s="1"/>
  <c r="G36" i="17"/>
  <c r="AB49" i="7"/>
  <c r="AB50" i="7" s="1"/>
  <c r="R50" i="7"/>
  <c r="E23" i="17"/>
  <c r="AI44" i="7"/>
  <c r="E34" i="17"/>
  <c r="D34" i="17"/>
  <c r="F33" i="17"/>
  <c r="D68" i="14" s="1"/>
  <c r="F51" i="17"/>
  <c r="E64" i="17"/>
  <c r="E70" i="17" s="1"/>
  <c r="D76" i="17"/>
  <c r="D78" i="17" s="1"/>
  <c r="AM79" i="16"/>
  <c r="I47" i="17" s="1"/>
  <c r="E35" i="17"/>
  <c r="AH44" i="7"/>
  <c r="AK79" i="16"/>
  <c r="G47" i="17" s="1"/>
  <c r="AJ71" i="16"/>
  <c r="AJ96" i="16"/>
  <c r="F74" i="17" s="1"/>
  <c r="AJ72" i="16"/>
  <c r="AK76" i="16"/>
  <c r="G43" i="17" s="1"/>
  <c r="AM76" i="16"/>
  <c r="I43" i="17" s="1"/>
  <c r="G67" i="17"/>
  <c r="G77" i="17" s="1"/>
  <c r="AK91" i="16"/>
  <c r="I67" i="17"/>
  <c r="I77" i="17" s="1"/>
  <c r="AM91" i="16"/>
  <c r="F15" i="17"/>
  <c r="AJ84" i="16"/>
  <c r="F58" i="17" s="1"/>
  <c r="AJ83" i="16"/>
  <c r="F57" i="17" s="1"/>
  <c r="E71" i="17"/>
  <c r="AJ88" i="16"/>
  <c r="AJ89" i="16"/>
  <c r="F68" i="17" s="1"/>
  <c r="I26" i="17"/>
  <c r="D35" i="17"/>
  <c r="AJ85" i="16"/>
  <c r="F59" i="17" s="1"/>
  <c r="F69" i="17"/>
  <c r="G26" i="17"/>
  <c r="D70" i="17"/>
  <c r="AL73" i="16"/>
  <c r="H38" i="17" s="1"/>
  <c r="AM73" i="16"/>
  <c r="I38" i="17" s="1"/>
  <c r="AC49" i="7"/>
  <c r="AC50" i="7" s="1"/>
  <c r="G35" i="7"/>
  <c r="F19" i="7"/>
  <c r="F36" i="7"/>
  <c r="G21" i="7"/>
  <c r="Q9" i="7"/>
  <c r="Q10" i="7" s="1"/>
  <c r="G34" i="7"/>
  <c r="F21" i="7" l="1"/>
  <c r="F36" i="17"/>
  <c r="AL49" i="7"/>
  <c r="AL50" i="7" s="1"/>
  <c r="E76" i="17"/>
  <c r="E78" i="17" s="1"/>
  <c r="P9" i="7"/>
  <c r="AJ73" i="16"/>
  <c r="F38" i="17" s="1"/>
  <c r="D66" i="14" s="1"/>
  <c r="AJ76" i="16"/>
  <c r="F43" i="17" s="1"/>
  <c r="AJ79" i="16"/>
  <c r="F47" i="17" s="1"/>
  <c r="F67" i="17"/>
  <c r="F77" i="17" s="1"/>
  <c r="AJ91" i="16"/>
  <c r="AB36" i="7"/>
  <c r="AB34" i="7"/>
  <c r="AB35" i="7"/>
  <c r="AL35" i="7" s="1"/>
  <c r="AC36" i="7"/>
  <c r="AC34" i="7"/>
  <c r="AC35" i="7"/>
  <c r="Q13" i="7"/>
  <c r="AA13" i="7" s="1"/>
  <c r="AK13" i="7" s="1"/>
  <c r="Q14" i="7"/>
  <c r="Q20" i="7"/>
  <c r="F26" i="17"/>
  <c r="AM49" i="7"/>
  <c r="AM50" i="7" s="1"/>
  <c r="F34" i="7"/>
  <c r="F35" i="7"/>
  <c r="G43" i="7"/>
  <c r="P10" i="7" l="1"/>
  <c r="P20" i="7" s="1"/>
  <c r="P19" i="7" s="1"/>
  <c r="AL58" i="7"/>
  <c r="AL62" i="7"/>
  <c r="F43" i="7"/>
  <c r="AA20" i="7"/>
  <c r="AK20" i="7" s="1"/>
  <c r="Q18" i="7"/>
  <c r="Q34" i="7" s="1"/>
  <c r="AL54" i="7"/>
  <c r="AL71" i="7"/>
  <c r="AL69" i="7"/>
  <c r="G12" i="17"/>
  <c r="AB37" i="7"/>
  <c r="AB43" i="7" s="1"/>
  <c r="AB44" i="7" s="1"/>
  <c r="H28" i="17"/>
  <c r="AL87" i="7"/>
  <c r="AL79" i="7"/>
  <c r="AL81" i="7"/>
  <c r="AL34" i="7"/>
  <c r="AL61" i="7" s="1"/>
  <c r="AL36" i="7"/>
  <c r="AL82" i="7" s="1"/>
  <c r="Q41" i="7"/>
  <c r="AA41" i="7" s="1"/>
  <c r="AK41" i="7" s="1"/>
  <c r="G21" i="17" s="1"/>
  <c r="AA14" i="7"/>
  <c r="AK14" i="7" s="1"/>
  <c r="AM35" i="7"/>
  <c r="Q40" i="7"/>
  <c r="AM36" i="7"/>
  <c r="AM82" i="7" s="1"/>
  <c r="AM34" i="7"/>
  <c r="AM61" i="7" s="1"/>
  <c r="AC37" i="7"/>
  <c r="AC43" i="7" s="1"/>
  <c r="AC44" i="7" s="1"/>
  <c r="Q36" i="7"/>
  <c r="Q19" i="7"/>
  <c r="P13" i="7" l="1"/>
  <c r="Z13" i="7" s="1"/>
  <c r="AJ13" i="7" s="1"/>
  <c r="F12" i="17" s="1"/>
  <c r="P14" i="7"/>
  <c r="AM58" i="7"/>
  <c r="AM62" i="7"/>
  <c r="AL37" i="7"/>
  <c r="AA40" i="7"/>
  <c r="AK40" i="7" s="1"/>
  <c r="G20" i="17" s="1"/>
  <c r="AM57" i="7"/>
  <c r="AL57" i="7"/>
  <c r="AL60" i="7" s="1"/>
  <c r="P18" i="7"/>
  <c r="P34" i="7" s="1"/>
  <c r="Z20" i="7"/>
  <c r="AJ20" i="7" s="1"/>
  <c r="P36" i="7"/>
  <c r="AL64" i="7"/>
  <c r="AL53" i="7"/>
  <c r="AM53" i="7"/>
  <c r="AM55" i="7"/>
  <c r="AL55" i="7"/>
  <c r="AM54" i="7"/>
  <c r="AM71" i="7"/>
  <c r="AM69" i="7"/>
  <c r="AM68" i="7"/>
  <c r="AM70" i="7"/>
  <c r="AL68" i="7"/>
  <c r="AL73" i="7" s="1"/>
  <c r="H54" i="17" s="1"/>
  <c r="AL70" i="7"/>
  <c r="AL74" i="7" s="1"/>
  <c r="H55" i="17" s="1"/>
  <c r="G13" i="17"/>
  <c r="AL85" i="7"/>
  <c r="H66" i="17" s="1"/>
  <c r="H72"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H71" i="17" s="1"/>
  <c r="AL72" i="7"/>
  <c r="AL75" i="7" s="1"/>
  <c r="H56" i="17" s="1"/>
  <c r="AM72" i="7"/>
  <c r="AM75" i="7" s="1"/>
  <c r="I56" i="17" s="1"/>
  <c r="AL65" i="7"/>
  <c r="AM37" i="7"/>
  <c r="AM65" i="7" s="1"/>
  <c r="AA18" i="7"/>
  <c r="Q35" i="7"/>
  <c r="Q43" i="7" s="1"/>
  <c r="Q44" i="7" s="1"/>
  <c r="AA19" i="7"/>
  <c r="AK19" i="7" s="1"/>
  <c r="P35" i="7"/>
  <c r="Z19" i="7"/>
  <c r="AJ19" i="7" s="1"/>
  <c r="Q21" i="7"/>
  <c r="AA21" i="7" s="1"/>
  <c r="AK21" i="7" s="1"/>
  <c r="P40" i="7" l="1"/>
  <c r="Z40" i="7" s="1"/>
  <c r="P41" i="7"/>
  <c r="Z41" i="7" s="1"/>
  <c r="AJ41" i="7" s="1"/>
  <c r="F21" i="17" s="1"/>
  <c r="Z14" i="7"/>
  <c r="AJ14" i="7" s="1"/>
  <c r="F13" i="17" s="1"/>
  <c r="H62" i="17"/>
  <c r="I62" i="17"/>
  <c r="H61" i="17"/>
  <c r="H60" i="17"/>
  <c r="AM43" i="7"/>
  <c r="AM44" i="7" s="1"/>
  <c r="AL43" i="7"/>
  <c r="AL44" i="7" s="1"/>
  <c r="Z18" i="7"/>
  <c r="AJ18" i="7" s="1"/>
  <c r="AJ9" i="7" s="1"/>
  <c r="AJ10" i="7" s="1"/>
  <c r="P21" i="7"/>
  <c r="Z21" i="7" s="1"/>
  <c r="AJ21" i="7" s="1"/>
  <c r="AM64" i="7"/>
  <c r="I46" i="17" s="1"/>
  <c r="I48" i="17" s="1"/>
  <c r="I49" i="17" s="1"/>
  <c r="AM60" i="7"/>
  <c r="I42" i="17" s="1"/>
  <c r="I44" i="17" s="1"/>
  <c r="I45" i="17" s="1"/>
  <c r="H46" i="17"/>
  <c r="H48" i="17" s="1"/>
  <c r="H49" i="17" s="1"/>
  <c r="I50" i="17"/>
  <c r="I52" i="17" s="1"/>
  <c r="I53" i="17" s="1"/>
  <c r="AL56" i="7"/>
  <c r="H37" i="17" s="1"/>
  <c r="H40" i="17" s="1"/>
  <c r="H41" i="17" s="1"/>
  <c r="H50" i="17"/>
  <c r="H52" i="17" s="1"/>
  <c r="H53" i="17" s="1"/>
  <c r="H42" i="17"/>
  <c r="H44" i="17" s="1"/>
  <c r="H45" i="17" s="1"/>
  <c r="AL89" i="7"/>
  <c r="H73" i="17" s="1"/>
  <c r="H75" i="17" s="1"/>
  <c r="I30" i="17"/>
  <c r="I34" i="17" s="1"/>
  <c r="H70" i="17"/>
  <c r="AM89" i="7"/>
  <c r="I73" i="17" s="1"/>
  <c r="I75" i="17" s="1"/>
  <c r="H30" i="17"/>
  <c r="H34" i="17" s="1"/>
  <c r="AM84" i="7"/>
  <c r="I65" i="17" s="1"/>
  <c r="I71" i="17" s="1"/>
  <c r="AM83" i="7"/>
  <c r="I64" i="17" s="1"/>
  <c r="AM73" i="7"/>
  <c r="I54" i="17" s="1"/>
  <c r="AM74" i="7"/>
  <c r="I55" i="17" s="1"/>
  <c r="AM56" i="7"/>
  <c r="I37" i="17" s="1"/>
  <c r="I40" i="17" s="1"/>
  <c r="I41" i="17" s="1"/>
  <c r="AA9" i="7"/>
  <c r="AA10" i="7" s="1"/>
  <c r="AK18" i="7"/>
  <c r="Z9" i="7" l="1"/>
  <c r="Z10" i="7" s="1"/>
  <c r="P43" i="7"/>
  <c r="P44" i="7" s="1"/>
  <c r="P48" i="7" s="1"/>
  <c r="P49" i="7" s="1"/>
  <c r="P50" i="7" s="1"/>
  <c r="Z34" i="7" s="1"/>
  <c r="AJ34" i="7" s="1"/>
  <c r="H63" i="17"/>
  <c r="I61" i="17"/>
  <c r="I60" i="17"/>
  <c r="AJ40" i="7"/>
  <c r="F20" i="17" s="1"/>
  <c r="H76" i="17"/>
  <c r="H78" i="17" s="1"/>
  <c r="AK9" i="7"/>
  <c r="AK10" i="7" s="1"/>
  <c r="Q48" i="7"/>
  <c r="Q49" i="7" s="1"/>
  <c r="Q50" i="7" s="1"/>
  <c r="H35" i="17"/>
  <c r="H23" i="17"/>
  <c r="I76" i="17"/>
  <c r="I78" i="17" s="1"/>
  <c r="I70" i="17"/>
  <c r="I35" i="17"/>
  <c r="I23" i="17"/>
  <c r="I63" i="17" l="1"/>
  <c r="AJ61" i="7"/>
  <c r="AJ57" i="7"/>
  <c r="AA49" i="7"/>
  <c r="AA50" i="7" s="1"/>
  <c r="AA48" i="7"/>
  <c r="AK48" i="7" s="1"/>
  <c r="Z48" i="7"/>
  <c r="AJ48" i="7" s="1"/>
  <c r="AK49" i="7" l="1"/>
  <c r="AK50" i="7" s="1"/>
  <c r="AA36" i="7"/>
  <c r="AK36" i="7" s="1"/>
  <c r="AK82" i="7" s="1"/>
  <c r="AA34" i="7"/>
  <c r="AA35" i="7"/>
  <c r="AK35" i="7" s="1"/>
  <c r="F27" i="17"/>
  <c r="Z49" i="7"/>
  <c r="Z50" i="7" s="1"/>
  <c r="AK58" i="7" l="1"/>
  <c r="AK62" i="7"/>
  <c r="G29" i="17"/>
  <c r="AK55" i="7"/>
  <c r="AK54" i="7"/>
  <c r="AK71" i="7"/>
  <c r="AK69" i="7"/>
  <c r="AK87" i="7"/>
  <c r="AK81" i="7"/>
  <c r="G28" i="17"/>
  <c r="AK79" i="7"/>
  <c r="AA37" i="7"/>
  <c r="AA43" i="7" s="1"/>
  <c r="AA44" i="7" s="1"/>
  <c r="Z36" i="7"/>
  <c r="Z35" i="7"/>
  <c r="AK85" i="7"/>
  <c r="G66" i="17" s="1"/>
  <c r="G72" i="17" s="1"/>
  <c r="AK88" i="7"/>
  <c r="AK72" i="7"/>
  <c r="AK75" i="7" s="1"/>
  <c r="G56" i="17" s="1"/>
  <c r="AK34" i="7"/>
  <c r="AK61" i="7" s="1"/>
  <c r="AJ49" i="7"/>
  <c r="AJ50" i="7" s="1"/>
  <c r="G62" i="17" l="1"/>
  <c r="AK57" i="7"/>
  <c r="AK60" i="7" s="1"/>
  <c r="G42" i="17" s="1"/>
  <c r="G44" i="17" s="1"/>
  <c r="G45" i="17" s="1"/>
  <c r="Z37" i="7"/>
  <c r="Z43" i="7" s="1"/>
  <c r="Z44" i="7" s="1"/>
  <c r="AK64" i="7"/>
  <c r="G46" i="17" s="1"/>
  <c r="G48" i="17" s="1"/>
  <c r="G49" i="17" s="1"/>
  <c r="AK53" i="7"/>
  <c r="AK56" i="7" s="1"/>
  <c r="G37" i="17" s="1"/>
  <c r="AK70" i="7"/>
  <c r="AK74" i="7" s="1"/>
  <c r="G55" i="17" s="1"/>
  <c r="AK68" i="7"/>
  <c r="AK73" i="7" s="1"/>
  <c r="G54" i="17" s="1"/>
  <c r="AK86" i="7"/>
  <c r="AK89" i="7" s="1"/>
  <c r="G73" i="17" s="1"/>
  <c r="G75" i="17" s="1"/>
  <c r="AK80" i="7"/>
  <c r="AK84" i="7" s="1"/>
  <c r="G65" i="17" s="1"/>
  <c r="G71" i="17" s="1"/>
  <c r="G27" i="17"/>
  <c r="AK78" i="7"/>
  <c r="AK83" i="7" s="1"/>
  <c r="G64" i="17" s="1"/>
  <c r="G70" i="17" s="1"/>
  <c r="AK37" i="7"/>
  <c r="AK43" i="7" s="1"/>
  <c r="AK44" i="7" s="1"/>
  <c r="AJ35" i="7"/>
  <c r="AJ62" i="7" s="1"/>
  <c r="AJ36" i="7"/>
  <c r="AJ82" i="7" s="1"/>
  <c r="AJ85" i="7" s="1"/>
  <c r="F66" i="17" s="1"/>
  <c r="F72" i="17" s="1"/>
  <c r="G40" i="17" l="1"/>
  <c r="G41" i="17" s="1"/>
  <c r="G60" i="17"/>
  <c r="G61" i="17"/>
  <c r="AJ58" i="7"/>
  <c r="AJ37" i="7"/>
  <c r="AJ43" i="7" s="1"/>
  <c r="AJ44" i="7" s="1"/>
  <c r="G30" i="17"/>
  <c r="G34" i="17" s="1"/>
  <c r="AK65" i="7"/>
  <c r="G50" i="17" s="1"/>
  <c r="G52" i="17" s="1"/>
  <c r="G53" i="17" s="1"/>
  <c r="AJ53" i="7"/>
  <c r="AJ55" i="7"/>
  <c r="AJ54" i="7"/>
  <c r="AJ70" i="7"/>
  <c r="AJ68" i="7"/>
  <c r="AJ69" i="7"/>
  <c r="AJ71" i="7"/>
  <c r="G76" i="17"/>
  <c r="G78" i="17" s="1"/>
  <c r="AJ88" i="7"/>
  <c r="F29" i="17"/>
  <c r="AJ86" i="7"/>
  <c r="AJ87" i="7"/>
  <c r="F28" i="17"/>
  <c r="AJ81" i="7"/>
  <c r="AJ79" i="7"/>
  <c r="AJ80" i="7"/>
  <c r="AJ78" i="7"/>
  <c r="AJ72" i="7"/>
  <c r="AJ75" i="7" s="1"/>
  <c r="F56" i="17" s="1"/>
  <c r="G63" i="17" l="1"/>
  <c r="F62" i="17"/>
  <c r="D73" i="14" s="1"/>
  <c r="AJ65" i="7"/>
  <c r="F50" i="17" s="1"/>
  <c r="F52" i="17" s="1"/>
  <c r="F53" i="17" s="1"/>
  <c r="F30" i="17"/>
  <c r="G35" i="17"/>
  <c r="AJ64" i="7"/>
  <c r="F46" i="17" s="1"/>
  <c r="F48" i="17" s="1"/>
  <c r="F49" i="17" s="1"/>
  <c r="AJ60" i="7"/>
  <c r="F42" i="17" s="1"/>
  <c r="F44" i="17" s="1"/>
  <c r="F45" i="17" s="1"/>
  <c r="G23" i="17"/>
  <c r="AJ89" i="7"/>
  <c r="F73" i="17" s="1"/>
  <c r="F75" i="17" s="1"/>
  <c r="AJ84" i="7"/>
  <c r="F65" i="17" s="1"/>
  <c r="F71" i="17" s="1"/>
  <c r="AJ73" i="7"/>
  <c r="F54" i="17" s="1"/>
  <c r="AJ83" i="7"/>
  <c r="F64" i="17" s="1"/>
  <c r="AJ74" i="7"/>
  <c r="F55" i="17" s="1"/>
  <c r="AJ56" i="7"/>
  <c r="F37" i="17" s="1"/>
  <c r="F40" i="17" s="1"/>
  <c r="F41" i="17" l="1"/>
  <c r="D67" i="14" s="1"/>
  <c r="F60" i="17"/>
  <c r="D72" i="14" s="1"/>
  <c r="F61" i="17"/>
  <c r="D71" i="14" s="1"/>
  <c r="F34" i="17"/>
  <c r="D69" i="14" s="1"/>
  <c r="F76" i="17"/>
  <c r="F78" i="17" s="1"/>
  <c r="F70" i="17"/>
  <c r="F35" i="17"/>
  <c r="F23" i="17"/>
  <c r="F63" i="17" l="1"/>
  <c r="D70" i="14" s="1"/>
</calcChain>
</file>

<file path=xl/comments1.xml><?xml version="1.0" encoding="utf-8"?>
<comments xmlns="http://schemas.openxmlformats.org/spreadsheetml/2006/main">
  <authors>
    <author>Samuelsson, Sandra</author>
  </authors>
  <commentList>
    <comment ref="D5" authorId="0" shapeId="0">
      <text>
        <r>
          <rPr>
            <b/>
            <sz val="9"/>
            <color indexed="81"/>
            <rFont val="Tahoma"/>
            <family val="2"/>
          </rPr>
          <t>Samuelsson, Sandra:</t>
        </r>
        <r>
          <rPr>
            <sz val="9"/>
            <color indexed="81"/>
            <rFont val="Tahoma"/>
            <family val="2"/>
          </rPr>
          <t xml:space="preserve">
Ska vi ha 2017 med också?</t>
        </r>
      </text>
    </comment>
    <comment ref="H5" authorId="0" shapeId="0">
      <text>
        <r>
          <rPr>
            <b/>
            <sz val="9"/>
            <color indexed="81"/>
            <rFont val="Tahoma"/>
            <family val="2"/>
          </rPr>
          <t>Samuelsson, Sandra:</t>
        </r>
        <r>
          <rPr>
            <sz val="9"/>
            <color indexed="81"/>
            <rFont val="Tahoma"/>
            <family val="2"/>
          </rPr>
          <t xml:space="preserve">
Hur många scenarion vill vi ha?</t>
        </r>
      </text>
    </comment>
  </commentList>
</comments>
</file>

<file path=xl/comments2.xml><?xml version="1.0" encoding="utf-8"?>
<comments xmlns="http://schemas.openxmlformats.org/spreadsheetml/2006/main">
  <authors>
    <author>Lindblom Helen, PLkvm</author>
  </authors>
  <commentList>
    <comment ref="A64" authorId="0" shapeId="0">
      <text>
        <r>
          <rPr>
            <b/>
            <sz val="9"/>
            <color indexed="81"/>
            <rFont val="Tahoma"/>
            <family val="2"/>
          </rPr>
          <t>Lindblom Helen, PLkvm:</t>
        </r>
        <r>
          <rPr>
            <sz val="9"/>
            <color indexed="81"/>
            <rFont val="Tahoma"/>
            <family val="2"/>
          </rPr>
          <t xml:space="preserve">
Exkluderar eventuella intäkter från drivmedelsskatter för bussar </t>
        </r>
      </text>
    </comment>
    <comment ref="A73" authorId="0" shapeId="0">
      <text>
        <r>
          <rPr>
            <b/>
            <sz val="9"/>
            <color indexed="81"/>
            <rFont val="Tahoma"/>
            <family val="2"/>
          </rPr>
          <t>Lindblom Helen, PLkvm:</t>
        </r>
        <r>
          <rPr>
            <sz val="9"/>
            <color indexed="81"/>
            <rFont val="Tahoma"/>
            <family val="2"/>
          </rPr>
          <t xml:space="preserve">
Exkluderar bussar</t>
        </r>
      </text>
    </comment>
    <comment ref="A76" authorId="0" shapeId="0">
      <text>
        <r>
          <rPr>
            <b/>
            <sz val="9"/>
            <color indexed="81"/>
            <rFont val="Tahoma"/>
            <family val="2"/>
          </rPr>
          <t>Lindblom Helen, PLkvm:</t>
        </r>
        <r>
          <rPr>
            <sz val="9"/>
            <color indexed="81"/>
            <rFont val="Tahoma"/>
            <family val="2"/>
          </rPr>
          <t xml:space="preserve">
Exkluderar bussar</t>
        </r>
      </text>
    </comment>
  </commentList>
</comments>
</file>

<file path=xl/comments3.xml><?xml version="1.0" encoding="utf-8"?>
<comments xmlns="http://schemas.openxmlformats.org/spreadsheetml/2006/main">
  <authors>
    <author>Samuelsson, Sandra</author>
    <author>Lindblom Helen, PLkvm</author>
  </authors>
  <commentList>
    <comment ref="A7" authorId="0" shapeId="0">
      <text>
        <r>
          <rPr>
            <b/>
            <sz val="9"/>
            <color indexed="81"/>
            <rFont val="Tahoma"/>
            <family val="2"/>
          </rPr>
          <t>Samuelsson, Sandra:</t>
        </r>
        <r>
          <rPr>
            <sz val="9"/>
            <color indexed="81"/>
            <rFont val="Tahoma"/>
            <family val="2"/>
          </rPr>
          <t xml:space="preserve">
inkl. etanol och gas</t>
        </r>
      </text>
    </comment>
    <comment ref="F7" authorId="0" shapeId="0">
      <text>
        <r>
          <rPr>
            <b/>
            <sz val="9"/>
            <color indexed="81"/>
            <rFont val="Tahoma"/>
            <family val="2"/>
          </rPr>
          <t>Samuelsson, Sandra:</t>
        </r>
        <r>
          <rPr>
            <sz val="9"/>
            <color indexed="81"/>
            <rFont val="Tahoma"/>
            <family val="2"/>
          </rPr>
          <t xml:space="preserve">
inkl. etanol och gas</t>
        </r>
      </text>
    </comment>
    <comment ref="A12" authorId="1" shapeId="0">
      <text>
        <r>
          <rPr>
            <b/>
            <sz val="9"/>
            <color indexed="81"/>
            <rFont val="Tahoma"/>
            <family val="2"/>
          </rPr>
          <t>Lindblom Helen, PLkvm:</t>
        </r>
        <r>
          <rPr>
            <sz val="9"/>
            <color indexed="81"/>
            <rFont val="Tahoma"/>
            <family val="2"/>
          </rPr>
          <t xml:space="preserve">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F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A16" authorId="0" shapeId="0">
      <text>
        <r>
          <rPr>
            <b/>
            <sz val="9"/>
            <color indexed="81"/>
            <rFont val="Tahoma"/>
            <family val="2"/>
          </rPr>
          <t>Samuelsson, Sandra:</t>
        </r>
        <r>
          <rPr>
            <sz val="9"/>
            <color indexed="81"/>
            <rFont val="Tahoma"/>
            <family val="2"/>
          </rPr>
          <t xml:space="preserve">
Bensin=Otto</t>
        </r>
      </text>
    </comment>
    <comment ref="F16" authorId="0" shapeId="0">
      <text>
        <r>
          <rPr>
            <b/>
            <sz val="9"/>
            <color indexed="81"/>
            <rFont val="Tahoma"/>
            <family val="2"/>
          </rPr>
          <t>Samuelsson, Sandra:</t>
        </r>
        <r>
          <rPr>
            <sz val="9"/>
            <color indexed="81"/>
            <rFont val="Tahoma"/>
            <family val="2"/>
          </rPr>
          <t xml:space="preserve">
Bensin=Otto</t>
        </r>
      </text>
    </comment>
  </commentList>
</comments>
</file>

<file path=xl/comments4.xml><?xml version="1.0" encoding="utf-8"?>
<comments xmlns="http://schemas.openxmlformats.org/spreadsheetml/2006/main">
  <authors>
    <author>Samuelsson, Sandra</author>
  </authors>
  <commentList>
    <comment ref="D10"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11" authorId="0" shapeId="0">
      <text>
        <r>
          <rPr>
            <b/>
            <sz val="9"/>
            <color indexed="81"/>
            <rFont val="Tahoma"/>
            <family val="2"/>
          </rPr>
          <t>Samuelsson, Sandra:</t>
        </r>
        <r>
          <rPr>
            <sz val="9"/>
            <color indexed="81"/>
            <rFont val="Tahoma"/>
            <family val="2"/>
          </rPr>
          <t xml:space="preserve">
Linjär utveckling antas mellan 2017 och 2040.</t>
        </r>
      </text>
    </comment>
    <comment ref="G11" authorId="0" shapeId="0">
      <text>
        <r>
          <rPr>
            <b/>
            <sz val="9"/>
            <color indexed="81"/>
            <rFont val="Tahoma"/>
            <family val="2"/>
          </rPr>
          <t>Samuelsson, Sandra:</t>
        </r>
        <r>
          <rPr>
            <sz val="9"/>
            <color indexed="81"/>
            <rFont val="Tahoma"/>
            <family val="2"/>
          </rPr>
          <t xml:space="preserve">
Linjär utveckling antas mellan 2017 och 2040.</t>
        </r>
      </text>
    </comment>
    <comment ref="I11" authorId="0" shapeId="0">
      <text>
        <r>
          <rPr>
            <b/>
            <sz val="9"/>
            <color indexed="81"/>
            <rFont val="Tahoma"/>
            <family val="2"/>
          </rPr>
          <t>Samuelsson, Sandra:</t>
        </r>
        <r>
          <rPr>
            <sz val="9"/>
            <color indexed="81"/>
            <rFont val="Tahoma"/>
            <family val="2"/>
          </rPr>
          <t xml:space="preserve">
Linjär utveckling antas mellan 2017 och 2040.</t>
        </r>
      </text>
    </comment>
    <comment ref="E13" authorId="0" shapeId="0">
      <text>
        <r>
          <rPr>
            <b/>
            <sz val="9"/>
            <color indexed="81"/>
            <rFont val="Tahoma"/>
            <family val="2"/>
          </rPr>
          <t>Samuelsson, Sandra:</t>
        </r>
        <r>
          <rPr>
            <sz val="9"/>
            <color indexed="81"/>
            <rFont val="Tahoma"/>
            <family val="2"/>
          </rPr>
          <t xml:space="preserve">
Linjär utveckling antas mellan 2017 och 2040.</t>
        </r>
      </text>
    </comment>
    <comment ref="G13" authorId="0" shapeId="0">
      <text>
        <r>
          <rPr>
            <b/>
            <sz val="9"/>
            <color indexed="81"/>
            <rFont val="Tahoma"/>
            <family val="2"/>
          </rPr>
          <t>Samuelsson, Sandra:</t>
        </r>
        <r>
          <rPr>
            <sz val="9"/>
            <color indexed="81"/>
            <rFont val="Tahoma"/>
            <family val="2"/>
          </rPr>
          <t xml:space="preserve">
Linjär utveckling antas mellan 2017 och 2040.</t>
        </r>
      </text>
    </comment>
    <comment ref="I13" authorId="0" shapeId="0">
      <text>
        <r>
          <rPr>
            <b/>
            <sz val="9"/>
            <color indexed="81"/>
            <rFont val="Tahoma"/>
            <family val="2"/>
          </rPr>
          <t>Samuelsson, Sandra:</t>
        </r>
        <r>
          <rPr>
            <sz val="9"/>
            <color indexed="81"/>
            <rFont val="Tahoma"/>
            <family val="2"/>
          </rPr>
          <t xml:space="preserve">
Linjär utveckling antas mellan 2017 och 2040.</t>
        </r>
      </text>
    </comment>
    <comment ref="E14" authorId="0" shapeId="0">
      <text>
        <r>
          <rPr>
            <b/>
            <sz val="9"/>
            <color indexed="81"/>
            <rFont val="Tahoma"/>
            <family val="2"/>
          </rPr>
          <t>Samuelsson, Sandra:</t>
        </r>
        <r>
          <rPr>
            <sz val="9"/>
            <color indexed="81"/>
            <rFont val="Tahoma"/>
            <family val="2"/>
          </rPr>
          <t xml:space="preserve">
Linjär utveckling antas mellan 2017 och 2040.</t>
        </r>
      </text>
    </comment>
    <comment ref="G14" authorId="0" shapeId="0">
      <text>
        <r>
          <rPr>
            <b/>
            <sz val="9"/>
            <color indexed="81"/>
            <rFont val="Tahoma"/>
            <family val="2"/>
          </rPr>
          <t>Samuelsson, Sandra:</t>
        </r>
        <r>
          <rPr>
            <sz val="9"/>
            <color indexed="81"/>
            <rFont val="Tahoma"/>
            <family val="2"/>
          </rPr>
          <t xml:space="preserve">
Linjär utveckling antas mellan 2017 och 2040.</t>
        </r>
      </text>
    </comment>
    <comment ref="I14" authorId="0" shapeId="0">
      <text>
        <r>
          <rPr>
            <b/>
            <sz val="9"/>
            <color indexed="81"/>
            <rFont val="Tahoma"/>
            <family val="2"/>
          </rPr>
          <t>Samuelsson, Sandra:</t>
        </r>
        <r>
          <rPr>
            <sz val="9"/>
            <color indexed="81"/>
            <rFont val="Tahoma"/>
            <family val="2"/>
          </rPr>
          <t xml:space="preserve">
Linjär utveckling antas mellan 2017 och 2040.</t>
        </r>
      </text>
    </comment>
    <comment ref="D29"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30" authorId="0" shapeId="0">
      <text>
        <r>
          <rPr>
            <b/>
            <sz val="9"/>
            <color indexed="81"/>
            <rFont val="Tahoma"/>
            <family val="2"/>
          </rPr>
          <t>Samuelsson, Sandra:</t>
        </r>
        <r>
          <rPr>
            <sz val="9"/>
            <color indexed="81"/>
            <rFont val="Tahoma"/>
            <family val="2"/>
          </rPr>
          <t xml:space="preserve">
Linjär utveckling antas mellan 2017 och 2040.</t>
        </r>
      </text>
    </comment>
    <comment ref="G30" authorId="0" shapeId="0">
      <text>
        <r>
          <rPr>
            <b/>
            <sz val="9"/>
            <color indexed="81"/>
            <rFont val="Tahoma"/>
            <family val="2"/>
          </rPr>
          <t>Samuelsson, Sandra:</t>
        </r>
        <r>
          <rPr>
            <sz val="9"/>
            <color indexed="81"/>
            <rFont val="Tahoma"/>
            <family val="2"/>
          </rPr>
          <t xml:space="preserve">
Linjär utveckling antas mellan 2017 och 2040.</t>
        </r>
      </text>
    </comment>
    <comment ref="I30" authorId="0" shapeId="0">
      <text>
        <r>
          <rPr>
            <b/>
            <sz val="9"/>
            <color indexed="81"/>
            <rFont val="Tahoma"/>
            <family val="2"/>
          </rPr>
          <t>Samuelsson, Sandra:</t>
        </r>
        <r>
          <rPr>
            <sz val="9"/>
            <color indexed="81"/>
            <rFont val="Tahoma"/>
            <family val="2"/>
          </rPr>
          <t xml:space="preserve">
Linjär utveckling antas mellan 2017 och 2040.</t>
        </r>
      </text>
    </comment>
    <comment ref="E32" authorId="0" shapeId="0">
      <text>
        <r>
          <rPr>
            <b/>
            <sz val="9"/>
            <color indexed="81"/>
            <rFont val="Tahoma"/>
            <family val="2"/>
          </rPr>
          <t>Samuelsson, Sandra:</t>
        </r>
        <r>
          <rPr>
            <sz val="9"/>
            <color indexed="81"/>
            <rFont val="Tahoma"/>
            <family val="2"/>
          </rPr>
          <t xml:space="preserve">
Linjär utveckling antas mellan 2017 och 2040.</t>
        </r>
      </text>
    </comment>
    <comment ref="G32" authorId="0" shapeId="0">
      <text>
        <r>
          <rPr>
            <b/>
            <sz val="9"/>
            <color indexed="81"/>
            <rFont val="Tahoma"/>
            <family val="2"/>
          </rPr>
          <t>Samuelsson, Sandra:</t>
        </r>
        <r>
          <rPr>
            <sz val="9"/>
            <color indexed="81"/>
            <rFont val="Tahoma"/>
            <family val="2"/>
          </rPr>
          <t xml:space="preserve">
Linjär utveckling antas mellan 2017 och 2040.</t>
        </r>
      </text>
    </comment>
    <comment ref="I32" authorId="0" shapeId="0">
      <text>
        <r>
          <rPr>
            <b/>
            <sz val="9"/>
            <color indexed="81"/>
            <rFont val="Tahoma"/>
            <family val="2"/>
          </rPr>
          <t>Samuelsson, Sandra:</t>
        </r>
        <r>
          <rPr>
            <sz val="9"/>
            <color indexed="81"/>
            <rFont val="Tahoma"/>
            <family val="2"/>
          </rPr>
          <t xml:space="preserve">
Linjär utveckling antas mellan 2017 och 2040.</t>
        </r>
      </text>
    </comment>
    <comment ref="E33" authorId="0" shapeId="0">
      <text>
        <r>
          <rPr>
            <b/>
            <sz val="9"/>
            <color indexed="81"/>
            <rFont val="Tahoma"/>
            <family val="2"/>
          </rPr>
          <t>Samuelsson, Sandra:</t>
        </r>
        <r>
          <rPr>
            <sz val="9"/>
            <color indexed="81"/>
            <rFont val="Tahoma"/>
            <family val="2"/>
          </rPr>
          <t xml:space="preserve">
Linjär utveckling antas mellan 2017 och 2040.</t>
        </r>
      </text>
    </comment>
    <comment ref="G33" authorId="0" shapeId="0">
      <text>
        <r>
          <rPr>
            <b/>
            <sz val="9"/>
            <color indexed="81"/>
            <rFont val="Tahoma"/>
            <family val="2"/>
          </rPr>
          <t>Samuelsson, Sandra:</t>
        </r>
        <r>
          <rPr>
            <sz val="9"/>
            <color indexed="81"/>
            <rFont val="Tahoma"/>
            <family val="2"/>
          </rPr>
          <t xml:space="preserve">
Linjär utveckling antas mellan 2017 och 2040.</t>
        </r>
      </text>
    </comment>
    <comment ref="I33" authorId="0" shapeId="0">
      <text>
        <r>
          <rPr>
            <b/>
            <sz val="9"/>
            <color indexed="81"/>
            <rFont val="Tahoma"/>
            <family val="2"/>
          </rPr>
          <t>Samuelsson, Sandra:</t>
        </r>
        <r>
          <rPr>
            <sz val="9"/>
            <color indexed="81"/>
            <rFont val="Tahoma"/>
            <family val="2"/>
          </rPr>
          <t xml:space="preserve">
Linjär utveckling antas mellan 2017 och 2040.</t>
        </r>
      </text>
    </comment>
    <comment ref="D48"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49" authorId="0" shapeId="0">
      <text>
        <r>
          <rPr>
            <b/>
            <sz val="9"/>
            <color indexed="81"/>
            <rFont val="Tahoma"/>
            <family val="2"/>
          </rPr>
          <t>Samuelsson, Sandra:</t>
        </r>
        <r>
          <rPr>
            <sz val="9"/>
            <color indexed="81"/>
            <rFont val="Tahoma"/>
            <family val="2"/>
          </rPr>
          <t xml:space="preserve">
Linjär utveckling antas mellan 2017 och 2040.</t>
        </r>
      </text>
    </comment>
    <comment ref="G49" authorId="0" shapeId="0">
      <text>
        <r>
          <rPr>
            <b/>
            <sz val="9"/>
            <color indexed="81"/>
            <rFont val="Tahoma"/>
            <family val="2"/>
          </rPr>
          <t>Samuelsson, Sandra:</t>
        </r>
        <r>
          <rPr>
            <sz val="9"/>
            <color indexed="81"/>
            <rFont val="Tahoma"/>
            <family val="2"/>
          </rPr>
          <t xml:space="preserve">
Linjär utveckling antas mellan 2017 och 2040.</t>
        </r>
      </text>
    </comment>
    <comment ref="I49" authorId="0" shapeId="0">
      <text>
        <r>
          <rPr>
            <b/>
            <sz val="9"/>
            <color indexed="81"/>
            <rFont val="Tahoma"/>
            <family val="2"/>
          </rPr>
          <t>Samuelsson, Sandra:</t>
        </r>
        <r>
          <rPr>
            <sz val="9"/>
            <color indexed="81"/>
            <rFont val="Tahoma"/>
            <family val="2"/>
          </rPr>
          <t xml:space="preserve">
Linjär utveckling antas mellan 2017 och 2040.</t>
        </r>
      </text>
    </comment>
    <comment ref="E51" authorId="0" shapeId="0">
      <text>
        <r>
          <rPr>
            <b/>
            <sz val="9"/>
            <color indexed="81"/>
            <rFont val="Tahoma"/>
            <family val="2"/>
          </rPr>
          <t>Samuelsson, Sandra:</t>
        </r>
        <r>
          <rPr>
            <sz val="9"/>
            <color indexed="81"/>
            <rFont val="Tahoma"/>
            <family val="2"/>
          </rPr>
          <t xml:space="preserve">
Linjär utveckling antas mellan 2017 och 2040.</t>
        </r>
      </text>
    </comment>
    <comment ref="G51" authorId="0" shapeId="0">
      <text>
        <r>
          <rPr>
            <b/>
            <sz val="9"/>
            <color indexed="81"/>
            <rFont val="Tahoma"/>
            <family val="2"/>
          </rPr>
          <t>Samuelsson, Sandra:</t>
        </r>
        <r>
          <rPr>
            <sz val="9"/>
            <color indexed="81"/>
            <rFont val="Tahoma"/>
            <family val="2"/>
          </rPr>
          <t xml:space="preserve">
Linjär utveckling antas mellan 2017 och 2040.</t>
        </r>
      </text>
    </comment>
    <comment ref="I51" authorId="0" shapeId="0">
      <text>
        <r>
          <rPr>
            <b/>
            <sz val="9"/>
            <color indexed="81"/>
            <rFont val="Tahoma"/>
            <family val="2"/>
          </rPr>
          <t>Samuelsson, Sandra:</t>
        </r>
        <r>
          <rPr>
            <sz val="9"/>
            <color indexed="81"/>
            <rFont val="Tahoma"/>
            <family val="2"/>
          </rPr>
          <t xml:space="preserve">
Linjär utveckling antas mellan 2017 och 2040.</t>
        </r>
      </text>
    </comment>
    <comment ref="E52" authorId="0" shapeId="0">
      <text>
        <r>
          <rPr>
            <b/>
            <sz val="9"/>
            <color indexed="81"/>
            <rFont val="Tahoma"/>
            <family val="2"/>
          </rPr>
          <t>Samuelsson, Sandra:</t>
        </r>
        <r>
          <rPr>
            <sz val="9"/>
            <color indexed="81"/>
            <rFont val="Tahoma"/>
            <family val="2"/>
          </rPr>
          <t xml:space="preserve">
Linjär utveckling antas mellan 2017 och 2040.</t>
        </r>
      </text>
    </comment>
    <comment ref="G52" authorId="0" shapeId="0">
      <text>
        <r>
          <rPr>
            <b/>
            <sz val="9"/>
            <color indexed="81"/>
            <rFont val="Tahoma"/>
            <family val="2"/>
          </rPr>
          <t>Samuelsson, Sandra:</t>
        </r>
        <r>
          <rPr>
            <sz val="9"/>
            <color indexed="81"/>
            <rFont val="Tahoma"/>
            <family val="2"/>
          </rPr>
          <t xml:space="preserve">
Linjär utveckling antas mellan 2017 och 2040.</t>
        </r>
      </text>
    </comment>
    <comment ref="I52" authorId="0" shapeId="0">
      <text>
        <r>
          <rPr>
            <b/>
            <sz val="9"/>
            <color indexed="81"/>
            <rFont val="Tahoma"/>
            <family val="2"/>
          </rPr>
          <t>Samuelsson, Sandra:</t>
        </r>
        <r>
          <rPr>
            <sz val="9"/>
            <color indexed="81"/>
            <rFont val="Tahoma"/>
            <family val="2"/>
          </rPr>
          <t xml:space="preserve">
Linjär utveckling antas mellan 2017 och 2040.</t>
        </r>
      </text>
    </comment>
    <comment ref="E65" authorId="0" shapeId="0">
      <text>
        <r>
          <rPr>
            <b/>
            <sz val="9"/>
            <color indexed="81"/>
            <rFont val="Tahoma"/>
            <family val="2"/>
          </rPr>
          <t>Samuelsson, Sandra:</t>
        </r>
        <r>
          <rPr>
            <sz val="9"/>
            <color indexed="81"/>
            <rFont val="Tahoma"/>
            <family val="2"/>
          </rPr>
          <t xml:space="preserve">
Linjär utveckling antas mellan 2017 och 2040.</t>
        </r>
      </text>
    </comment>
    <comment ref="G65" authorId="0" shapeId="0">
      <text>
        <r>
          <rPr>
            <b/>
            <sz val="9"/>
            <color indexed="81"/>
            <rFont val="Tahoma"/>
            <family val="2"/>
          </rPr>
          <t>Samuelsson, Sandra:</t>
        </r>
        <r>
          <rPr>
            <sz val="9"/>
            <color indexed="81"/>
            <rFont val="Tahoma"/>
            <family val="2"/>
          </rPr>
          <t xml:space="preserve">
Linjär utveckling antas mellan 2017 och 2040.</t>
        </r>
      </text>
    </comment>
    <comment ref="I65" authorId="0" shapeId="0">
      <text>
        <r>
          <rPr>
            <b/>
            <sz val="9"/>
            <color indexed="81"/>
            <rFont val="Tahoma"/>
            <family val="2"/>
          </rPr>
          <t>Samuelsson, Sandra:</t>
        </r>
        <r>
          <rPr>
            <sz val="9"/>
            <color indexed="81"/>
            <rFont val="Tahoma"/>
            <family val="2"/>
          </rPr>
          <t xml:space="preserve">
Linjär utveckling antas mellan 2017 och 2040.</t>
        </r>
      </text>
    </comment>
    <comment ref="E78" authorId="0" shapeId="0">
      <text>
        <r>
          <rPr>
            <b/>
            <sz val="9"/>
            <color indexed="81"/>
            <rFont val="Tahoma"/>
            <family val="2"/>
          </rPr>
          <t>Samuelsson, Sandra:</t>
        </r>
        <r>
          <rPr>
            <sz val="9"/>
            <color indexed="81"/>
            <rFont val="Tahoma"/>
            <family val="2"/>
          </rPr>
          <t xml:space="preserve">
Linjär utveckling antas mellan 2017 och 2040.</t>
        </r>
      </text>
    </comment>
    <comment ref="G78" authorId="0" shapeId="0">
      <text>
        <r>
          <rPr>
            <b/>
            <sz val="9"/>
            <color indexed="81"/>
            <rFont val="Tahoma"/>
            <family val="2"/>
          </rPr>
          <t>Samuelsson, Sandra:</t>
        </r>
        <r>
          <rPr>
            <sz val="9"/>
            <color indexed="81"/>
            <rFont val="Tahoma"/>
            <family val="2"/>
          </rPr>
          <t xml:space="preserve">
Linjär utveckling antas mellan 2017 och 2040.</t>
        </r>
      </text>
    </comment>
    <comment ref="I78" authorId="0" shapeId="0">
      <text>
        <r>
          <rPr>
            <b/>
            <sz val="9"/>
            <color indexed="81"/>
            <rFont val="Tahoma"/>
            <family val="2"/>
          </rPr>
          <t>Samuelsson, Sandra:</t>
        </r>
        <r>
          <rPr>
            <sz val="9"/>
            <color indexed="81"/>
            <rFont val="Tahoma"/>
            <family val="2"/>
          </rPr>
          <t xml:space="preserve">
Linjär utveckling antas mellan 2017 och 2040.</t>
        </r>
      </text>
    </comment>
  </commentList>
</comments>
</file>

<file path=xl/comments5.xml><?xml version="1.0" encoding="utf-8"?>
<comments xmlns="http://schemas.openxmlformats.org/spreadsheetml/2006/main">
  <authors>
    <author>Samuelsson, Sandra</author>
  </authors>
  <commentList>
    <comment ref="V9" authorId="0" shapeId="0">
      <text>
        <r>
          <rPr>
            <b/>
            <sz val="9"/>
            <color indexed="81"/>
            <rFont val="Tahoma"/>
            <family val="2"/>
          </rPr>
          <t>Samuelsson, Sandra:</t>
        </r>
        <r>
          <rPr>
            <sz val="9"/>
            <color indexed="81"/>
            <rFont val="Tahoma"/>
            <family val="2"/>
          </rPr>
          <t xml:space="preserve">
Ev. liten justering beroende på vilken drivmedelsfördelning som använts i förebearbetning</t>
        </r>
      </text>
    </comment>
  </commentList>
</comments>
</file>

<file path=xl/sharedStrings.xml><?xml version="1.0" encoding="utf-8"?>
<sst xmlns="http://schemas.openxmlformats.org/spreadsheetml/2006/main" count="1702" uniqueCount="399">
  <si>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</si>
  <si>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</si>
  <si>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</si>
  <si>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</si>
  <si>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</si>
  <si>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</si>
  <si>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</si>
  <si>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</si>
  <si>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</si>
  <si>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</si>
  <si>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</si>
  <si>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</si>
  <si>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</si>
  <si>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</si>
  <si>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</si>
  <si>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</si>
  <si>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</si>
  <si>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</si>
  <si>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</si>
  <si>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</si>
  <si>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</si>
  <si>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</si>
  <si>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</si>
  <si>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</si>
  <si>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</si>
  <si>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</si>
  <si>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</si>
  <si>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</si>
  <si>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</si>
  <si>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</si>
  <si>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</si>
  <si>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</si>
  <si>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</si>
  <si>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</si>
  <si>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</si>
  <si>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</si>
  <si>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</si>
  <si>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</si>
  <si>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</si>
  <si>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</si>
  <si>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</si>
  <si>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</si>
  <si>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</si>
  <si>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</si>
  <si>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</si>
  <si>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</si>
  <si>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</si>
  <si>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</si>
  <si>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</si>
  <si>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</si>
  <si>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</si>
  <si>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</si>
  <si>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</si>
  <si>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</si>
  <si>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</si>
  <si>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</si>
  <si>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</si>
  <si>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</si>
  <si>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</si>
  <si>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</si>
  <si>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Indata som kan justeras</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</si>
  <si>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</si>
  <si>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</si>
  <si>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</si>
  <si>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</si>
  <si>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</si>
  <si>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</si>
  <si>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</si>
  <si>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</si>
  <si>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</si>
  <si>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</si>
  <si>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</si>
  <si>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</si>
  <si>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</si>
  <si>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</si>
  <si>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</si>
  <si>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</si>
  <si>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</si>
  <si>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</si>
  <si>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</si>
  <si>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</si>
  <si>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</si>
  <si>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</si>
  <si>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</si>
  <si>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</si>
  <si>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</si>
  <si>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UTGÅNGLÄGE 8a. BILINNEHAV</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</si>
  <si>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</si>
  <si>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</si>
  <si>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</si>
  <si>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</si>
  <si>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</si>
  <si>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</si>
  <si>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</si>
  <si>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</si>
  <si>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</si>
  <si>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</si>
  <si>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</si>
  <si>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</si>
  <si>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</si>
  <si>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</si>
  <si>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</si>
  <si>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</si>
  <si>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</si>
  <si>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</si>
  <si>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</si>
  <si>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</si>
  <si>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</si>
  <si>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</si>
  <si>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</si>
  <si>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</si>
  <si>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</si>
  <si>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</si>
  <si>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</si>
  <si>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</si>
  <si>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</si>
  <si>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</si>
  <si>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</si>
  <si>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</si>
  <si>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</si>
  <si>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</si>
  <si>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</si>
  <si>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</si>
  <si>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</si>
  <si>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</si>
  <si>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</si>
  <si>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</si>
  <si>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</si>
  <si>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</si>
  <si>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</si>
  <si>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</si>
  <si>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</si>
  <si>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</si>
  <si>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</si>
  <si>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</si>
  <si>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</si>
  <si>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</si>
  <si>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</si>
  <si>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</si>
  <si>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</si>
  <si>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</si>
  <si>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</si>
  <si>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</si>
  <si>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</si>
  <si>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</si>
  <si>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</si>
  <si>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</si>
  <si>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</si>
  <si>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</si>
  <si>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</si>
  <si>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</si>
  <si>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FÖRBEARBETNING 3b. ANDEL ELFORDON av trafikarbetet (ingen justering)</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</si>
  <si>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</si>
  <si>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</si>
  <si>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</si>
  <si>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</si>
  <si>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</si>
  <si>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</si>
  <si>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</si>
  <si>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</si>
  <si>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</si>
  <si>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FÖRBEARBETNING 5b.  ÖVRIG KÖRKOSTNAD  (ingen justering)</t>
  </si>
  <si>
    <t>FÖRBEARBETNING 6b. TRAFIKARBETE PER FORDONSLAG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</si>
  <si>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</si>
  <si>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</si>
  <si>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</si>
  <si>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</si>
  <si>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</si>
  <si>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</si>
  <si>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</si>
  <si>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</si>
  <si>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</si>
  <si>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</si>
  <si>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</si>
  <si>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</si>
  <si>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</si>
  <si>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</si>
  <si>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</si>
  <si>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</si>
  <si>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</si>
  <si>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</si>
  <si>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</si>
  <si>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</si>
  <si>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</si>
  <si>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</si>
  <si>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</si>
  <si>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</si>
  <si>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</si>
  <si>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</si>
  <si>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</si>
  <si>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</si>
  <si>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</si>
  <si>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</si>
  <si>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</si>
  <si>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</si>
  <si>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</si>
  <si>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</si>
  <si>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</si>
  <si>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</si>
  <si>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</si>
  <si>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</si>
  <si>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</si>
  <si>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</si>
  <si>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</si>
  <si>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</si>
  <si>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</si>
  <si>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</si>
  <si>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</si>
  <si>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</si>
  <si>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</si>
  <si>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</si>
  <si>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</si>
  <si>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</si>
  <si>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</si>
  <si>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</si>
  <si>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</si>
  <si>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</si>
  <si>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</si>
  <si>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</si>
  <si>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</si>
  <si>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</si>
  <si>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</si>
  <si>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</si>
  <si>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</si>
  <si>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</si>
  <si>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</si>
  <si>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</si>
  <si>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</si>
  <si>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2b. JUSTERAR DRIVMEDELSFÖRBRUKNING m.h.t. DRIVMEDELSPRIS och YTTERLIGARE ENERGIEFFEKTIV ANVÄNDNING</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</si>
  <si>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</si>
  <si>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</si>
  <si>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</si>
  <si>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</si>
  <si>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</si>
  <si>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</si>
  <si>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</si>
  <si>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</si>
  <si>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</si>
  <si>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</si>
  <si>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</si>
  <si>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</si>
  <si>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</si>
  <si>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</si>
  <si>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</si>
  <si>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</si>
  <si>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</si>
  <si>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</si>
  <si>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</si>
  <si>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</si>
  <si>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</si>
  <si>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</si>
  <si>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</si>
  <si>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</si>
  <si>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</si>
  <si>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</si>
  <si>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</si>
  <si>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</si>
  <si>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</si>
  <si>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</si>
  <si>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</si>
  <si>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</si>
  <si>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</si>
  <si>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</si>
  <si>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</si>
  <si>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</si>
  <si>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</si>
  <si>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</si>
  <si>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</si>
  <si>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</si>
  <si>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</si>
  <si>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</si>
  <si>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</si>
  <si>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</si>
  <si>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</si>
  <si>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</si>
  <si>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</si>
  <si>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</si>
  <si>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</si>
  <si>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</si>
  <si>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</si>
  <si>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</si>
  <si>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</si>
  <si>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</si>
  <si>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</si>
  <si>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</si>
  <si>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</si>
  <si>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</si>
  <si>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</si>
  <si>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</si>
  <si>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</si>
  <si>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</si>
  <si>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</si>
  <si>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</si>
  <si>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</si>
  <si>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</si>
  <si>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</si>
  <si>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</si>
  <si>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</si>
  <si>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</si>
  <si>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</si>
  <si>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</si>
  <si>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</si>
  <si>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</si>
  <si>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</si>
  <si>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</si>
  <si>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</si>
  <si>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</si>
  <si>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</si>
  <si>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</si>
  <si>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</si>
  <si>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</si>
  <si>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</si>
  <si>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</si>
  <si>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</si>
  <si>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</si>
  <si>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</si>
  <si>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</si>
  <si>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</si>
  <si>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</si>
  <si>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</si>
  <si>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</si>
  <si>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</si>
  <si>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</si>
  <si>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</si>
  <si>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</si>
  <si>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</si>
  <si>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</si>
  <si>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</si>
  <si>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</si>
  <si>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</si>
  <si>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</si>
  <si>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</si>
  <si>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</si>
  <si>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</si>
  <si>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</si>
  <si>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</si>
  <si>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Nivå 1</t>
  </si>
  <si>
    <t>Beslutad politik</t>
  </si>
  <si>
    <t>2. Mer ambitös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</si>
  <si>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</si>
  <si>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</si>
  <si>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</si>
  <si>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</si>
  <si>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</si>
  <si>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</si>
  <si>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</si>
  <si>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</si>
  <si>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</si>
  <si>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</si>
  <si>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</si>
  <si>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</si>
  <si>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</si>
  <si>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</si>
  <si>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</si>
  <si>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</si>
  <si>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</si>
  <si>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</si>
  <si>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</si>
  <si>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</si>
  <si>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</si>
  <si>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</si>
  <si>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</si>
  <si>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</si>
  <si>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</si>
  <si>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</si>
  <si>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</si>
  <si>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</si>
  <si>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</si>
  <si>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</si>
  <si>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</si>
  <si>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</si>
  <si>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</si>
  <si>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</si>
  <si>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</si>
  <si>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</si>
  <si>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</si>
  <si>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</si>
  <si>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</si>
  <si>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</si>
  <si>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</si>
  <si>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</si>
  <si>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</si>
  <si>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</si>
  <si>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t>Här kan användaren beskriva sitt scenario, t.ex. "Biodrivmedelsscenario"</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</si>
  <si>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</si>
  <si>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</si>
  <si>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</si>
  <si>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Outputs</t>
  </si>
  <si>
    <t>Fordonskilometer lastbilar</t>
  </si>
  <si>
    <t>Energiförbrukning totalt</t>
  </si>
  <si>
    <t>Förändring i utsläpp totalt</t>
  </si>
  <si>
    <t>Fordonskilometer totalt</t>
  </si>
  <si>
    <t>Förändring i utsläpp lastbilar</t>
  </si>
  <si>
    <t>Energi bio totalt</t>
  </si>
  <si>
    <t>Energi fossil totalt</t>
  </si>
  <si>
    <t>Energi el totalt</t>
  </si>
  <si>
    <t>Inputs</t>
  </si>
  <si>
    <t>Cost elasticitiy truck traffic</t>
  </si>
  <si>
    <t>Global truck electrification share 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</si>
</sst>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00"/>
    <numFmt numFmtId="165" formatCode="0.0%"/>
    <numFmt numFmtId="166" formatCode="0.0"/>
    <numFmt numFmtId="167" formatCode="_-* #,##0.00\ _k_r_-;\-* #,##0.00\ _k_r_-;_-* &quot;-&quot;??\ _k_r_-;_-@_-"/>
    <numFmt numFmtId="168" formatCode="#,##0.0"/>
  </numFmts>
  <fonts count="43"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9"/>
      <color indexed="81"/>
      <name val="Tahoma"/>
      <family val="2"/>
    </font>
    <font>
      <sz val="9"/>
      <color indexed="81"/>
      <name val="Tahoma"/>
      <family val="2"/>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s>
  <fills count="8">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s>
  <borders count="7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thin">
        <color indexed="64"/>
      </left>
      <right style="medium">
        <color indexed="64"/>
      </right>
      <top style="medium">
        <color indexed="64"/>
      </top>
      <bottom style="thin">
        <color rgb="FF7F7F7F"/>
      </bottom>
      <diagonal/>
    </border>
    <border>
      <left style="thin">
        <color indexed="64"/>
      </left>
      <right style="medium">
        <color indexed="64"/>
      </right>
      <top style="thin">
        <color rgb="FF7F7F7F"/>
      </top>
      <bottom style="medium">
        <color indexed="64"/>
      </bottom>
      <diagonal/>
    </border>
    <border>
      <left style="thin">
        <color indexed="64"/>
      </left>
      <right/>
      <top style="medium">
        <color indexed="64"/>
      </top>
      <bottom style="thin">
        <color rgb="FF7F7F7F"/>
      </bottom>
      <diagonal/>
    </border>
    <border>
      <left style="thin">
        <color indexed="64"/>
      </left>
      <right/>
      <top style="thin">
        <color rgb="FF7F7F7F"/>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28">
    <xf numFmtId="0" fontId="0" fillId="0" borderId="0"/>
    <xf numFmtId="9" fontId="1" fillId="0" borderId="0" applyFont="0" applyFill="0" applyBorder="0" applyAlignment="0" applyProtection="0"/>
    <xf numFmtId="0" fontId="2" fillId="2" borderId="1" applyNumberFormat="0" applyAlignment="0" applyProtection="0"/>
    <xf numFmtId="0" fontId="7" fillId="0" borderId="0" applyFill="0" applyProtection="0"/>
    <xf numFmtId="0" fontId="1" fillId="0" borderId="0"/>
    <xf numFmtId="9" fontId="9" fillId="0" borderId="0" applyFont="0" applyFill="0" applyBorder="0" applyAlignment="0" applyProtection="0"/>
    <xf numFmtId="0" fontId="14" fillId="0" borderId="0"/>
    <xf numFmtId="0" fontId="16" fillId="4" borderId="1" applyNumberFormat="0" applyAlignment="0" applyProtection="0"/>
    <xf numFmtId="0" fontId="33" fillId="0" borderId="0" applyNumberFormat="0"/>
    <xf numFmtId="0" fontId="1" fillId="0" borderId="0"/>
    <xf numFmtId="0" fontId="21" fillId="0" borderId="0">
      <alignment horizontal="center"/>
    </xf>
    <xf numFmtId="0" fontId="34" fillId="7" borderId="0" applyNumberFormat="0" applyBorder="0" applyAlignment="0" applyProtection="0"/>
    <xf numFmtId="0" fontId="35" fillId="2" borderId="1" applyNumberFormat="0" applyAlignment="0" applyProtection="0"/>
    <xf numFmtId="0" fontId="36" fillId="4" borderId="1" applyNumberFormat="0" applyAlignment="0" applyProtection="0"/>
    <xf numFmtId="0" fontId="37" fillId="0" borderId="0" applyNumberFormat="0" applyFill="0" applyBorder="0" applyAlignment="0" applyProtection="0"/>
    <xf numFmtId="9" fontId="1" fillId="0" borderId="0" applyFont="0" applyFill="0" applyBorder="0" applyAlignment="0" applyProtection="0"/>
    <xf numFmtId="0" fontId="9" fillId="0" borderId="0"/>
    <xf numFmtId="0" fontId="9" fillId="0" borderId="0"/>
    <xf numFmtId="9" fontId="1" fillId="0" borderId="0" applyFont="0" applyFill="0" applyBorder="0" applyAlignment="0" applyProtection="0"/>
    <xf numFmtId="0" fontId="9" fillId="0" borderId="0"/>
    <xf numFmtId="0" fontId="9" fillId="0" borderId="0"/>
    <xf numFmtId="0" fontId="39" fillId="0" borderId="0"/>
    <xf numFmtId="0" fontId="39" fillId="0" borderId="0"/>
    <xf numFmtId="0" fontId="9" fillId="0" borderId="0"/>
    <xf numFmtId="0" fontId="40" fillId="0" borderId="0"/>
    <xf numFmtId="9" fontId="4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cellStyleXfs>
  <cellXfs count="648">
    <xf numFmtId="0" fontId="0" fillId="0" borderId="0" xfId="0"/>
    <xf numFmtId="0" fontId="11" fillId="3" borderId="11" xfId="0" applyFont="1" applyFill="1" applyBorder="1"/>
    <xf numFmtId="0" fontId="11" fillId="3" borderId="12" xfId="0" applyFont="1" applyFill="1" applyBorder="1"/>
    <xf numFmtId="165" fontId="10" fillId="3" borderId="5" xfId="1" applyNumberFormat="1" applyFont="1" applyFill="1" applyBorder="1"/>
    <xf numFmtId="165" fontId="10" fillId="3" borderId="6" xfId="1" applyNumberFormat="1" applyFont="1" applyFill="1" applyBorder="1"/>
    <xf numFmtId="165" fontId="10" fillId="3" borderId="0" xfId="1" applyNumberFormat="1" applyFont="1" applyFill="1" applyBorder="1"/>
    <xf numFmtId="0" fontId="11" fillId="3" borderId="8" xfId="0" applyFont="1" applyFill="1" applyBorder="1"/>
    <xf numFmtId="0" fontId="11" fillId="3" borderId="9" xfId="0" applyFont="1" applyFill="1" applyBorder="1"/>
    <xf numFmtId="2" fontId="10" fillId="3" borderId="2" xfId="3" applyNumberFormat="1" applyFont="1" applyFill="1" applyBorder="1"/>
    <xf numFmtId="2" fontId="10" fillId="3" borderId="3" xfId="3" applyNumberFormat="1" applyFont="1" applyFill="1" applyBorder="1"/>
    <xf numFmtId="2" fontId="10" fillId="3" borderId="2" xfId="0" applyNumberFormat="1" applyFont="1" applyFill="1" applyBorder="1"/>
    <xf numFmtId="2" fontId="10" fillId="3" borderId="4" xfId="0" applyNumberFormat="1" applyFont="1" applyFill="1" applyBorder="1"/>
    <xf numFmtId="2" fontId="10" fillId="3" borderId="3" xfId="0" applyNumberFormat="1" applyFont="1" applyFill="1" applyBorder="1"/>
    <xf numFmtId="2" fontId="12" fillId="3" borderId="2" xfId="3" applyNumberFormat="1" applyFont="1" applyFill="1" applyBorder="1"/>
    <xf numFmtId="0" fontId="11" fillId="3" borderId="3" xfId="0" applyFont="1" applyFill="1" applyBorder="1"/>
    <xf numFmtId="0" fontId="11" fillId="3" borderId="4" xfId="0" applyFont="1" applyFill="1" applyBorder="1"/>
    <xf numFmtId="2" fontId="12" fillId="3" borderId="4" xfId="3" applyNumberFormat="1" applyFont="1" applyFill="1" applyBorder="1"/>
    <xf numFmtId="2" fontId="10" fillId="3" borderId="5" xfId="3" applyNumberFormat="1" applyFont="1" applyFill="1" applyBorder="1"/>
    <xf numFmtId="0" fontId="11" fillId="3" borderId="0" xfId="0" applyFont="1" applyFill="1" applyBorder="1"/>
    <xf numFmtId="0" fontId="11" fillId="3" borderId="6" xfId="0" applyFont="1" applyFill="1" applyBorder="1"/>
    <xf numFmtId="2" fontId="10" fillId="3" borderId="6" xfId="3" applyNumberFormat="1" applyFont="1" applyFill="1" applyBorder="1"/>
    <xf numFmtId="2" fontId="10" fillId="3" borderId="11" xfId="3" applyNumberFormat="1" applyFont="1" applyFill="1" applyBorder="1"/>
    <xf numFmtId="2" fontId="10" fillId="3" borderId="8" xfId="3" applyNumberFormat="1" applyFont="1" applyFill="1" applyBorder="1"/>
    <xf numFmtId="2" fontId="10" fillId="3" borderId="10" xfId="3" applyNumberFormat="1" applyFont="1" applyFill="1" applyBorder="1"/>
    <xf numFmtId="2" fontId="10" fillId="3" borderId="7" xfId="3" applyNumberFormat="1" applyFont="1" applyFill="1" applyBorder="1"/>
    <xf numFmtId="2" fontId="10" fillId="3" borderId="0" xfId="3" applyNumberFormat="1" applyFont="1" applyFill="1" applyBorder="1"/>
    <xf numFmtId="0" fontId="0" fillId="3" borderId="0" xfId="0" applyFill="1"/>
    <xf numFmtId="0" fontId="0" fillId="3" borderId="0" xfId="0" applyFill="1" applyBorder="1"/>
    <xf numFmtId="2" fontId="12" fillId="3" borderId="3" xfId="3" applyNumberFormat="1" applyFont="1" applyFill="1" applyBorder="1"/>
    <xf numFmtId="0" fontId="10" fillId="3" borderId="10" xfId="0" applyFont="1" applyFill="1" applyBorder="1"/>
    <xf numFmtId="0" fontId="10" fillId="3" borderId="7" xfId="0" applyFont="1" applyFill="1" applyBorder="1"/>
    <xf numFmtId="0" fontId="10" fillId="3" borderId="2" xfId="0" applyFont="1" applyFill="1" applyBorder="1"/>
    <xf numFmtId="0" fontId="10" fillId="3" borderId="5" xfId="0" applyFont="1" applyFill="1" applyBorder="1"/>
    <xf numFmtId="0" fontId="12" fillId="3" borderId="2" xfId="0" applyFont="1" applyFill="1" applyBorder="1"/>
    <xf numFmtId="0" fontId="13" fillId="3" borderId="2" xfId="0" applyFont="1" applyFill="1" applyBorder="1"/>
    <xf numFmtId="0" fontId="10" fillId="3" borderId="19" xfId="0" applyFont="1" applyFill="1" applyBorder="1"/>
    <xf numFmtId="0" fontId="11" fillId="3" borderId="0" xfId="0" applyFont="1" applyFill="1"/>
    <xf numFmtId="0" fontId="12" fillId="3" borderId="3" xfId="0" applyFont="1" applyFill="1" applyBorder="1"/>
    <xf numFmtId="0" fontId="12" fillId="3" borderId="4" xfId="0" applyFont="1" applyFill="1" applyBorder="1"/>
    <xf numFmtId="0" fontId="18" fillId="3" borderId="0" xfId="0" applyFont="1" applyFill="1"/>
    <xf numFmtId="0" fontId="10" fillId="3" borderId="0" xfId="0" applyFont="1" applyFill="1"/>
    <xf numFmtId="0" fontId="4" fillId="3" borderId="0" xfId="0" applyFont="1" applyFill="1"/>
    <xf numFmtId="0" fontId="12" fillId="3" borderId="0" xfId="0" applyFont="1" applyFill="1"/>
    <xf numFmtId="0" fontId="10" fillId="3" borderId="0" xfId="0" applyFont="1" applyFill="1" applyBorder="1"/>
    <xf numFmtId="0" fontId="10" fillId="3" borderId="0" xfId="0" applyFont="1" applyFill="1" applyAlignment="1">
      <alignment horizontal="center"/>
    </xf>
    <xf numFmtId="165" fontId="10" fillId="3" borderId="28" xfId="2" applyNumberFormat="1" applyFont="1" applyFill="1" applyBorder="1" applyAlignment="1">
      <alignment horizontal="center"/>
    </xf>
    <xf numFmtId="165" fontId="10" fillId="3" borderId="25" xfId="2" applyNumberFormat="1" applyFont="1" applyFill="1" applyBorder="1" applyAlignment="1">
      <alignment horizontal="center"/>
    </xf>
    <xf numFmtId="165" fontId="10" fillId="3" borderId="37" xfId="2" applyNumberFormat="1" applyFont="1" applyFill="1" applyBorder="1" applyAlignment="1">
      <alignment horizontal="center"/>
    </xf>
    <xf numFmtId="165" fontId="10" fillId="3" borderId="29" xfId="2" applyNumberFormat="1" applyFont="1" applyFill="1" applyBorder="1" applyAlignment="1">
      <alignment horizontal="center"/>
    </xf>
    <xf numFmtId="165" fontId="10" fillId="3" borderId="26" xfId="2" applyNumberFormat="1" applyFont="1" applyFill="1" applyBorder="1" applyAlignment="1">
      <alignment horizontal="center"/>
    </xf>
    <xf numFmtId="165" fontId="10" fillId="3" borderId="45" xfId="2" applyNumberFormat="1" applyFont="1" applyFill="1" applyBorder="1" applyAlignment="1">
      <alignment horizontal="center"/>
    </xf>
    <xf numFmtId="165" fontId="10" fillId="3" borderId="36" xfId="2" applyNumberFormat="1" applyFont="1" applyFill="1" applyBorder="1" applyAlignment="1">
      <alignment horizontal="center"/>
    </xf>
    <xf numFmtId="165" fontId="10" fillId="3" borderId="32" xfId="2" applyNumberFormat="1" applyFont="1" applyFill="1" applyBorder="1" applyAlignment="1">
      <alignment horizontal="center"/>
    </xf>
    <xf numFmtId="165" fontId="10" fillId="3" borderId="35" xfId="2" applyNumberFormat="1" applyFont="1" applyFill="1" applyBorder="1" applyAlignment="1">
      <alignment horizontal="center"/>
    </xf>
    <xf numFmtId="2" fontId="10" fillId="3" borderId="28" xfId="2" applyNumberFormat="1" applyFont="1" applyFill="1" applyBorder="1" applyAlignment="1">
      <alignment horizontal="center"/>
    </xf>
    <xf numFmtId="2" fontId="10" fillId="3" borderId="25" xfId="2" applyNumberFormat="1" applyFont="1" applyFill="1" applyBorder="1" applyAlignment="1">
      <alignment horizontal="center"/>
    </xf>
    <xf numFmtId="2" fontId="10" fillId="3" borderId="29" xfId="2" applyNumberFormat="1" applyFont="1" applyFill="1" applyBorder="1" applyAlignment="1">
      <alignment horizontal="center"/>
    </xf>
    <xf numFmtId="2" fontId="10" fillId="3" borderId="26" xfId="2" applyNumberFormat="1" applyFont="1" applyFill="1" applyBorder="1" applyAlignment="1">
      <alignment horizontal="center"/>
    </xf>
    <xf numFmtId="2" fontId="10" fillId="3" borderId="36" xfId="2" applyNumberFormat="1" applyFont="1" applyFill="1" applyBorder="1" applyAlignment="1">
      <alignment horizontal="center"/>
    </xf>
    <xf numFmtId="2" fontId="10" fillId="3" borderId="32" xfId="2" applyNumberFormat="1" applyFont="1" applyFill="1" applyBorder="1" applyAlignment="1">
      <alignment horizontal="center"/>
    </xf>
    <xf numFmtId="2" fontId="10" fillId="3" borderId="43" xfId="2" applyNumberFormat="1" applyFont="1" applyFill="1" applyBorder="1" applyAlignment="1">
      <alignment horizontal="center"/>
    </xf>
    <xf numFmtId="2" fontId="10" fillId="3" borderId="44" xfId="2" applyNumberFormat="1" applyFont="1" applyFill="1" applyBorder="1" applyAlignment="1">
      <alignment horizontal="center"/>
    </xf>
    <xf numFmtId="0" fontId="17" fillId="3" borderId="23" xfId="0" applyFont="1" applyFill="1" applyBorder="1" applyAlignment="1"/>
    <xf numFmtId="0" fontId="17" fillId="3" borderId="16" xfId="0" applyFont="1" applyFill="1" applyBorder="1" applyAlignment="1"/>
    <xf numFmtId="0" fontId="12" fillId="3" borderId="19" xfId="0" applyFont="1" applyFill="1" applyBorder="1"/>
    <xf numFmtId="0" fontId="12" fillId="3" borderId="0" xfId="0" applyFont="1" applyFill="1" applyAlignment="1">
      <alignment vertical="center"/>
    </xf>
    <xf numFmtId="0" fontId="10" fillId="3" borderId="0" xfId="0" applyFont="1" applyFill="1" applyAlignment="1">
      <alignment vertical="center"/>
    </xf>
    <xf numFmtId="0" fontId="0" fillId="3" borderId="0" xfId="0" applyFill="1" applyAlignment="1">
      <alignment vertical="center"/>
    </xf>
    <xf numFmtId="165" fontId="10" fillId="3" borderId="30" xfId="2" applyNumberFormat="1" applyFont="1" applyFill="1" applyBorder="1" applyAlignment="1">
      <alignment horizontal="center"/>
    </xf>
    <xf numFmtId="165" fontId="10" fillId="3" borderId="27" xfId="2" applyNumberFormat="1" applyFont="1" applyFill="1" applyBorder="1" applyAlignment="1">
      <alignment horizontal="center"/>
    </xf>
    <xf numFmtId="2" fontId="10" fillId="3" borderId="31" xfId="2" applyNumberFormat="1" applyFont="1" applyFill="1" applyBorder="1" applyAlignment="1">
      <alignment horizontal="center"/>
    </xf>
    <xf numFmtId="2" fontId="10" fillId="3" borderId="24" xfId="2" applyNumberFormat="1" applyFont="1" applyFill="1" applyBorder="1" applyAlignment="1">
      <alignment horizontal="center"/>
    </xf>
    <xf numFmtId="165" fontId="10" fillId="3" borderId="41" xfId="2" applyNumberFormat="1" applyFont="1" applyFill="1" applyBorder="1" applyAlignment="1">
      <alignment horizontal="center"/>
    </xf>
    <xf numFmtId="165" fontId="10" fillId="3" borderId="21" xfId="2" applyNumberFormat="1" applyFont="1" applyFill="1" applyBorder="1" applyAlignment="1">
      <alignment horizontal="center"/>
    </xf>
    <xf numFmtId="0" fontId="15" fillId="3" borderId="0" xfId="0" applyFont="1" applyFill="1"/>
    <xf numFmtId="0" fontId="12" fillId="3" borderId="2" xfId="0" applyFont="1" applyFill="1" applyBorder="1" applyAlignment="1">
      <alignment horizontal="center" vertical="center"/>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0" fillId="3" borderId="0" xfId="0" applyFont="1" applyFill="1"/>
    <xf numFmtId="2" fontId="10" fillId="3" borderId="46" xfId="2" applyNumberFormat="1" applyFont="1" applyFill="1" applyBorder="1" applyAlignment="1">
      <alignment horizontal="center"/>
    </xf>
    <xf numFmtId="2" fontId="10" fillId="3" borderId="33" xfId="2" applyNumberFormat="1" applyFont="1" applyFill="1" applyBorder="1" applyAlignment="1">
      <alignment horizontal="center"/>
    </xf>
    <xf numFmtId="165" fontId="10" fillId="3" borderId="31" xfId="1" applyNumberFormat="1" applyFont="1" applyFill="1" applyBorder="1" applyAlignment="1">
      <alignment horizontal="center"/>
    </xf>
    <xf numFmtId="165" fontId="10" fillId="3" borderId="3" xfId="1" applyNumberFormat="1" applyFont="1" applyFill="1" applyBorder="1" applyAlignment="1">
      <alignment horizontal="center"/>
    </xf>
    <xf numFmtId="0" fontId="17" fillId="3" borderId="0" xfId="0" applyFont="1" applyFill="1" applyAlignment="1">
      <alignment horizontal="center"/>
    </xf>
    <xf numFmtId="2" fontId="10" fillId="0" borderId="36" xfId="2" applyNumberFormat="1" applyFont="1" applyFill="1" applyBorder="1" applyAlignment="1">
      <alignment horizontal="center"/>
    </xf>
    <xf numFmtId="2" fontId="10" fillId="0" borderId="32" xfId="2" applyNumberFormat="1" applyFont="1" applyFill="1" applyBorder="1" applyAlignment="1">
      <alignment horizontal="center"/>
    </xf>
    <xf numFmtId="2" fontId="10" fillId="0" borderId="4" xfId="3" applyNumberFormat="1" applyFont="1" applyFill="1" applyBorder="1"/>
    <xf numFmtId="165" fontId="10" fillId="3" borderId="10" xfId="3" applyNumberFormat="1" applyFont="1" applyFill="1" applyBorder="1"/>
    <xf numFmtId="165" fontId="10" fillId="3" borderId="5" xfId="3" applyNumberFormat="1" applyFont="1" applyFill="1" applyBorder="1"/>
    <xf numFmtId="2" fontId="10" fillId="0" borderId="51" xfId="2" applyNumberFormat="1" applyFont="1" applyFill="1" applyBorder="1" applyAlignment="1">
      <alignment horizontal="center"/>
    </xf>
    <xf numFmtId="3" fontId="10" fillId="0" borderId="48" xfId="2" applyNumberFormat="1" applyFont="1" applyFill="1" applyBorder="1" applyAlignment="1">
      <alignment horizontal="center"/>
    </xf>
    <xf numFmtId="2" fontId="10" fillId="0" borderId="49" xfId="2" applyNumberFormat="1" applyFont="1" applyFill="1" applyBorder="1" applyAlignment="1">
      <alignment horizontal="center"/>
    </xf>
    <xf numFmtId="165" fontId="10" fillId="3" borderId="39" xfId="2" applyNumberFormat="1" applyFont="1" applyFill="1" applyBorder="1" applyAlignment="1">
      <alignment horizontal="center"/>
    </xf>
    <xf numFmtId="165" fontId="10" fillId="3" borderId="40" xfId="2" applyNumberFormat="1" applyFont="1" applyFill="1" applyBorder="1" applyAlignment="1">
      <alignment horizontal="center"/>
    </xf>
    <xf numFmtId="165" fontId="10" fillId="3" borderId="34" xfId="2" applyNumberFormat="1" applyFont="1" applyFill="1" applyBorder="1" applyAlignment="1">
      <alignment horizontal="center"/>
    </xf>
    <xf numFmtId="165" fontId="10" fillId="3" borderId="55" xfId="2" applyNumberFormat="1" applyFont="1" applyFill="1" applyBorder="1" applyAlignment="1">
      <alignment horizontal="center"/>
    </xf>
    <xf numFmtId="0" fontId="0" fillId="3" borderId="0" xfId="0" applyFill="1" applyAlignment="1">
      <alignment horizontal="center"/>
    </xf>
    <xf numFmtId="0" fontId="12" fillId="3" borderId="0" xfId="0" applyFont="1" applyFill="1" applyAlignment="1">
      <alignment horizontal="center"/>
    </xf>
    <xf numFmtId="9" fontId="10" fillId="3" borderId="36" xfId="1" applyNumberFormat="1" applyFont="1" applyFill="1" applyBorder="1" applyAlignment="1">
      <alignment horizontal="center"/>
    </xf>
    <xf numFmtId="9" fontId="10" fillId="3" borderId="32" xfId="1" applyNumberFormat="1" applyFont="1" applyFill="1" applyBorder="1" applyAlignment="1">
      <alignment horizontal="center"/>
    </xf>
    <xf numFmtId="9" fontId="10" fillId="3" borderId="35" xfId="1" applyNumberFormat="1" applyFont="1" applyFill="1" applyBorder="1" applyAlignment="1">
      <alignment horizontal="center"/>
    </xf>
    <xf numFmtId="9" fontId="10" fillId="3" borderId="46" xfId="1" applyNumberFormat="1" applyFont="1" applyFill="1" applyBorder="1" applyAlignment="1">
      <alignment horizontal="center"/>
    </xf>
    <xf numFmtId="9" fontId="10" fillId="3" borderId="55" xfId="1" applyNumberFormat="1" applyFont="1" applyFill="1" applyBorder="1" applyAlignment="1">
      <alignment horizontal="center"/>
    </xf>
    <xf numFmtId="9" fontId="10" fillId="3" borderId="33" xfId="1" applyNumberFormat="1" applyFont="1" applyFill="1" applyBorder="1" applyAlignment="1">
      <alignment horizontal="center"/>
    </xf>
    <xf numFmtId="9" fontId="10" fillId="3" borderId="34" xfId="1" applyNumberFormat="1" applyFont="1" applyFill="1" applyBorder="1" applyAlignment="1">
      <alignment horizontal="center"/>
    </xf>
    <xf numFmtId="0" fontId="0" fillId="3" borderId="0" xfId="0" applyFill="1" applyBorder="1" applyAlignment="1">
      <alignment horizontal="center"/>
    </xf>
    <xf numFmtId="0" fontId="10" fillId="3" borderId="11" xfId="0" applyFont="1" applyFill="1" applyBorder="1"/>
    <xf numFmtId="0" fontId="10" fillId="3" borderId="8" xfId="0" applyFont="1" applyFill="1" applyBorder="1"/>
    <xf numFmtId="0" fontId="10" fillId="3" borderId="3" xfId="0" applyFont="1" applyFill="1" applyBorder="1"/>
    <xf numFmtId="0" fontId="22" fillId="6" borderId="2" xfId="0" applyFont="1" applyFill="1" applyBorder="1"/>
    <xf numFmtId="0" fontId="23" fillId="6" borderId="2" xfId="0" applyFont="1" applyFill="1" applyBorder="1"/>
    <xf numFmtId="0" fontId="23" fillId="6" borderId="3" xfId="0" applyFont="1" applyFill="1" applyBorder="1"/>
    <xf numFmtId="165" fontId="10" fillId="5" borderId="28" xfId="2" applyNumberFormat="1" applyFont="1" applyFill="1" applyBorder="1" applyAlignment="1">
      <alignment horizontal="center"/>
    </xf>
    <xf numFmtId="165" fontId="10" fillId="5" borderId="25" xfId="2" applyNumberFormat="1" applyFont="1" applyFill="1" applyBorder="1" applyAlignment="1">
      <alignment horizontal="center"/>
    </xf>
    <xf numFmtId="165" fontId="10" fillId="5" borderId="29" xfId="2" applyNumberFormat="1" applyFont="1" applyFill="1" applyBorder="1" applyAlignment="1">
      <alignment horizontal="center"/>
    </xf>
    <xf numFmtId="165" fontId="10" fillId="5" borderId="26" xfId="2" applyNumberFormat="1" applyFont="1" applyFill="1" applyBorder="1" applyAlignment="1">
      <alignment horizontal="center"/>
    </xf>
    <xf numFmtId="165" fontId="10" fillId="5" borderId="30" xfId="2" applyNumberFormat="1" applyFont="1" applyFill="1" applyBorder="1" applyAlignment="1">
      <alignment horizontal="center"/>
    </xf>
    <xf numFmtId="165" fontId="10" fillId="5" borderId="27" xfId="2" applyNumberFormat="1" applyFont="1" applyFill="1" applyBorder="1" applyAlignment="1">
      <alignment horizontal="center"/>
    </xf>
    <xf numFmtId="165" fontId="10" fillId="5" borderId="36" xfId="2" applyNumberFormat="1" applyFont="1" applyFill="1" applyBorder="1" applyAlignment="1">
      <alignment horizontal="center"/>
    </xf>
    <xf numFmtId="165" fontId="10" fillId="5" borderId="32" xfId="2" applyNumberFormat="1" applyFont="1" applyFill="1" applyBorder="1" applyAlignment="1">
      <alignment horizontal="center"/>
    </xf>
    <xf numFmtId="2" fontId="10" fillId="5" borderId="28" xfId="2" applyNumberFormat="1" applyFont="1" applyFill="1" applyBorder="1" applyAlignment="1">
      <alignment horizontal="center"/>
    </xf>
    <xf numFmtId="2" fontId="10" fillId="5" borderId="25" xfId="2" applyNumberFormat="1" applyFont="1" applyFill="1" applyBorder="1" applyAlignment="1">
      <alignment horizontal="center"/>
    </xf>
    <xf numFmtId="2" fontId="10" fillId="5" borderId="36" xfId="2" applyNumberFormat="1" applyFont="1" applyFill="1" applyBorder="1" applyAlignment="1">
      <alignment horizontal="center"/>
    </xf>
    <xf numFmtId="2" fontId="10" fillId="5" borderId="32" xfId="2" applyNumberFormat="1" applyFont="1" applyFill="1" applyBorder="1" applyAlignment="1">
      <alignment horizontal="center"/>
    </xf>
    <xf numFmtId="2" fontId="10" fillId="5" borderId="31" xfId="2" applyNumberFormat="1" applyFont="1" applyFill="1" applyBorder="1" applyAlignment="1">
      <alignment horizontal="center"/>
    </xf>
    <xf numFmtId="2" fontId="10" fillId="5" borderId="24" xfId="2" applyNumberFormat="1" applyFont="1" applyFill="1" applyBorder="1" applyAlignment="1">
      <alignment horizontal="center"/>
    </xf>
    <xf numFmtId="0" fontId="24" fillId="3" borderId="0" xfId="0" applyFont="1" applyFill="1"/>
    <xf numFmtId="0" fontId="25" fillId="3" borderId="0" xfId="0" applyFont="1" applyFill="1"/>
    <xf numFmtId="0" fontId="27" fillId="3" borderId="0" xfId="0" applyFont="1" applyFill="1"/>
    <xf numFmtId="165" fontId="10" fillId="5" borderId="46" xfId="2" applyNumberFormat="1" applyFont="1" applyFill="1" applyBorder="1" applyAlignment="1">
      <alignment horizontal="center"/>
    </xf>
    <xf numFmtId="165" fontId="10" fillId="5" borderId="33" xfId="2" applyNumberFormat="1" applyFont="1" applyFill="1" applyBorder="1" applyAlignment="1">
      <alignment horizontal="center"/>
    </xf>
    <xf numFmtId="0" fontId="26" fillId="6" borderId="2" xfId="0" applyFont="1" applyFill="1" applyBorder="1"/>
    <xf numFmtId="0" fontId="26" fillId="6" borderId="3" xfId="0"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28" fillId="6" borderId="11" xfId="0" applyFont="1" applyFill="1" applyBorder="1"/>
    <xf numFmtId="0" fontId="28" fillId="6" borderId="0" xfId="0" applyFont="1" applyFill="1" applyBorder="1"/>
    <xf numFmtId="0" fontId="28" fillId="6" borderId="8" xfId="0" applyFont="1" applyFill="1" applyBorder="1"/>
    <xf numFmtId="0" fontId="10" fillId="3" borderId="3" xfId="0" applyFont="1" applyFill="1" applyBorder="1" applyAlignment="1">
      <alignment vertical="center"/>
    </xf>
    <xf numFmtId="0" fontId="10" fillId="3" borderId="4" xfId="0" applyFont="1" applyFill="1" applyBorder="1" applyAlignment="1">
      <alignment vertical="center"/>
    </xf>
    <xf numFmtId="0" fontId="12" fillId="3" borderId="2" xfId="0" applyFont="1" applyFill="1" applyBorder="1" applyAlignment="1">
      <alignment horizontal="center" vertical="center" wrapText="1"/>
    </xf>
    <xf numFmtId="0" fontId="10" fillId="3" borderId="12" xfId="0" applyFont="1" applyFill="1" applyBorder="1" applyAlignment="1">
      <alignment horizontal="left"/>
    </xf>
    <xf numFmtId="0" fontId="10" fillId="3" borderId="9" xfId="0" applyFont="1" applyFill="1" applyBorder="1" applyAlignment="1">
      <alignment horizontal="left"/>
    </xf>
    <xf numFmtId="0" fontId="10" fillId="3" borderId="6" xfId="0" applyFont="1" applyFill="1" applyBorder="1"/>
    <xf numFmtId="0" fontId="10" fillId="3" borderId="9" xfId="0" applyFont="1" applyFill="1" applyBorder="1"/>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xf>
    <xf numFmtId="0" fontId="10" fillId="3" borderId="12" xfId="0" applyFont="1" applyFill="1" applyBorder="1"/>
    <xf numFmtId="0" fontId="10" fillId="5" borderId="1" xfId="2" applyFont="1" applyFill="1"/>
    <xf numFmtId="0" fontId="10" fillId="3" borderId="1" xfId="2" applyFont="1" applyFill="1"/>
    <xf numFmtId="2" fontId="10" fillId="5" borderId="10" xfId="3" applyNumberFormat="1" applyFont="1" applyFill="1" applyBorder="1"/>
    <xf numFmtId="2" fontId="10" fillId="5" borderId="5" xfId="3" applyNumberFormat="1" applyFont="1" applyFill="1" applyBorder="1"/>
    <xf numFmtId="2" fontId="10" fillId="5" borderId="7" xfId="3" applyNumberFormat="1" applyFont="1" applyFill="1" applyBorder="1"/>
    <xf numFmtId="2" fontId="10" fillId="5" borderId="12" xfId="3" applyNumberFormat="1" applyFont="1" applyFill="1" applyBorder="1"/>
    <xf numFmtId="2" fontId="10" fillId="5" borderId="6" xfId="3" applyNumberFormat="1" applyFont="1" applyFill="1" applyBorder="1"/>
    <xf numFmtId="2" fontId="13" fillId="3" borderId="2" xfId="3" applyNumberFormat="1" applyFont="1" applyFill="1" applyBorder="1"/>
    <xf numFmtId="2" fontId="13" fillId="3" borderId="3" xfId="3" applyNumberFormat="1" applyFont="1" applyFill="1" applyBorder="1"/>
    <xf numFmtId="2" fontId="13" fillId="3" borderId="4" xfId="3" applyNumberFormat="1" applyFont="1" applyFill="1" applyBorder="1"/>
    <xf numFmtId="0" fontId="22" fillId="6" borderId="4" xfId="0" applyFont="1" applyFill="1" applyBorder="1"/>
    <xf numFmtId="2" fontId="10" fillId="5" borderId="0" xfId="3" applyNumberFormat="1" applyFont="1" applyFill="1" applyBorder="1"/>
    <xf numFmtId="2" fontId="10" fillId="5" borderId="9" xfId="3" applyNumberFormat="1" applyFont="1" applyFill="1" applyBorder="1"/>
    <xf numFmtId="9" fontId="10" fillId="3" borderId="5" xfId="0" applyNumberFormat="1" applyFont="1" applyFill="1" applyBorder="1"/>
    <xf numFmtId="9" fontId="10" fillId="3" borderId="0" xfId="0" applyNumberFormat="1" applyFont="1" applyFill="1" applyBorder="1"/>
    <xf numFmtId="9" fontId="10" fillId="3" borderId="6" xfId="0" applyNumberFormat="1" applyFont="1" applyFill="1" applyBorder="1"/>
    <xf numFmtId="9" fontId="12" fillId="3" borderId="2" xfId="0" applyNumberFormat="1" applyFont="1" applyFill="1" applyBorder="1"/>
    <xf numFmtId="9" fontId="12" fillId="3" borderId="3" xfId="0" applyNumberFormat="1" applyFont="1" applyFill="1" applyBorder="1"/>
    <xf numFmtId="9" fontId="12" fillId="3" borderId="4" xfId="0" applyNumberFormat="1" applyFont="1" applyFill="1" applyBorder="1"/>
    <xf numFmtId="0" fontId="12" fillId="3" borderId="0" xfId="0" applyFont="1" applyFill="1" applyBorder="1"/>
    <xf numFmtId="9" fontId="12" fillId="3" borderId="0" xfId="0" applyNumberFormat="1" applyFont="1" applyFill="1" applyBorder="1"/>
    <xf numFmtId="2" fontId="12" fillId="3" borderId="2" xfId="0" applyNumberFormat="1" applyFont="1" applyFill="1" applyBorder="1"/>
    <xf numFmtId="2" fontId="12" fillId="3" borderId="3" xfId="0" applyNumberFormat="1" applyFont="1" applyFill="1" applyBorder="1"/>
    <xf numFmtId="2" fontId="12" fillId="3" borderId="4" xfId="0" applyNumberFormat="1" applyFont="1" applyFill="1" applyBorder="1"/>
    <xf numFmtId="2" fontId="10" fillId="3" borderId="10" xfId="0" applyNumberFormat="1" applyFont="1" applyFill="1" applyBorder="1"/>
    <xf numFmtId="2" fontId="10" fillId="3" borderId="11" xfId="0" applyNumberFormat="1" applyFont="1" applyFill="1" applyBorder="1"/>
    <xf numFmtId="2" fontId="10" fillId="3" borderId="12" xfId="0" applyNumberFormat="1" applyFont="1" applyFill="1" applyBorder="1"/>
    <xf numFmtId="2" fontId="10" fillId="3" borderId="5" xfId="0" applyNumberFormat="1" applyFont="1" applyFill="1" applyBorder="1"/>
    <xf numFmtId="2" fontId="10" fillId="3" borderId="0" xfId="0" applyNumberFormat="1" applyFont="1" applyFill="1" applyBorder="1"/>
    <xf numFmtId="2" fontId="10" fillId="3" borderId="6" xfId="0" applyNumberFormat="1"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0" fontId="10" fillId="3" borderId="16" xfId="0" applyFont="1" applyFill="1" applyBorder="1"/>
    <xf numFmtId="0" fontId="11" fillId="3" borderId="0" xfId="0" applyFont="1" applyFill="1" applyAlignment="1">
      <alignment horizontal="center"/>
    </xf>
    <xf numFmtId="0" fontId="8" fillId="3" borderId="0" xfId="0" applyFont="1" applyFill="1" applyAlignment="1">
      <alignment horizontal="center"/>
    </xf>
    <xf numFmtId="0" fontId="3" fillId="3" borderId="0" xfId="0" applyFont="1" applyFill="1" applyAlignment="1">
      <alignment horizontal="center"/>
    </xf>
    <xf numFmtId="0" fontId="15" fillId="3" borderId="0" xfId="0" applyFont="1" applyFill="1" applyAlignment="1">
      <alignment horizontal="center"/>
    </xf>
    <xf numFmtId="0" fontId="0" fillId="3" borderId="3" xfId="0" applyFill="1" applyBorder="1"/>
    <xf numFmtId="0" fontId="22" fillId="6" borderId="0" xfId="0" applyFont="1" applyFill="1" applyBorder="1"/>
    <xf numFmtId="0" fontId="29" fillId="6" borderId="8" xfId="0" applyFont="1" applyFill="1" applyBorder="1"/>
    <xf numFmtId="0" fontId="22" fillId="6" borderId="8" xfId="0" applyFont="1" applyFill="1" applyBorder="1"/>
    <xf numFmtId="0" fontId="28" fillId="6" borderId="12" xfId="0" applyFont="1" applyFill="1" applyBorder="1"/>
    <xf numFmtId="0" fontId="28" fillId="6" borderId="6" xfId="0" applyFont="1" applyFill="1" applyBorder="1"/>
    <xf numFmtId="0" fontId="29" fillId="6" borderId="9" xfId="0" applyFont="1" applyFill="1" applyBorder="1"/>
    <xf numFmtId="0" fontId="28" fillId="6" borderId="9" xfId="0" applyFont="1" applyFill="1" applyBorder="1"/>
    <xf numFmtId="0" fontId="8" fillId="3" borderId="0" xfId="4" applyFont="1" applyFill="1"/>
    <xf numFmtId="0" fontId="23" fillId="6" borderId="4" xfId="0" applyFont="1" applyFill="1" applyBorder="1"/>
    <xf numFmtId="0" fontId="23" fillId="6" borderId="19" xfId="3" applyFont="1" applyFill="1" applyBorder="1" applyAlignment="1" applyProtection="1"/>
    <xf numFmtId="0" fontId="8" fillId="3" borderId="0" xfId="3" applyNumberFormat="1" applyFont="1" applyFill="1" applyBorder="1" applyAlignment="1"/>
    <xf numFmtId="2" fontId="19" fillId="3" borderId="53" xfId="7" applyNumberFormat="1" applyFont="1" applyFill="1" applyBorder="1" applyAlignment="1">
      <alignment horizontal="center" vertical="center"/>
    </xf>
    <xf numFmtId="2" fontId="19" fillId="3" borderId="18" xfId="7" applyNumberFormat="1" applyFont="1" applyFill="1" applyBorder="1" applyAlignment="1">
      <alignment horizontal="center" vertical="center"/>
    </xf>
    <xf numFmtId="2" fontId="19" fillId="3" borderId="17" xfId="7" applyNumberFormat="1" applyFont="1" applyFill="1" applyBorder="1" applyAlignment="1">
      <alignment horizontal="center" vertical="center"/>
    </xf>
    <xf numFmtId="0" fontId="20" fillId="3" borderId="0" xfId="0" applyFont="1" applyFill="1" applyAlignment="1">
      <alignment horizontal="center" vertical="center"/>
    </xf>
    <xf numFmtId="2" fontId="20" fillId="3" borderId="52" xfId="7" applyNumberFormat="1" applyFont="1" applyFill="1" applyBorder="1" applyAlignment="1">
      <alignment horizontal="center" vertical="center"/>
    </xf>
    <xf numFmtId="2" fontId="20" fillId="3" borderId="14" xfId="7" applyNumberFormat="1" applyFont="1" applyFill="1" applyBorder="1" applyAlignment="1">
      <alignment horizontal="center" vertical="center"/>
    </xf>
    <xf numFmtId="2" fontId="20" fillId="3" borderId="13" xfId="7" applyNumberFormat="1" applyFont="1" applyFill="1" applyBorder="1" applyAlignment="1">
      <alignment horizontal="center" vertical="center"/>
    </xf>
    <xf numFmtId="2" fontId="20" fillId="3" borderId="53" xfId="7" applyNumberFormat="1" applyFont="1" applyFill="1" applyBorder="1" applyAlignment="1">
      <alignment horizontal="center" vertical="center"/>
    </xf>
    <xf numFmtId="2" fontId="20" fillId="3" borderId="18" xfId="7" applyNumberFormat="1" applyFont="1" applyFill="1" applyBorder="1" applyAlignment="1">
      <alignment horizontal="center" vertical="center"/>
    </xf>
    <xf numFmtId="2" fontId="20" fillId="3" borderId="17" xfId="7" applyNumberFormat="1" applyFont="1" applyFill="1" applyBorder="1" applyAlignment="1">
      <alignment horizontal="center" vertical="center"/>
    </xf>
    <xf numFmtId="2" fontId="19" fillId="3" borderId="54" xfId="7" applyNumberFormat="1" applyFont="1" applyFill="1" applyBorder="1" applyAlignment="1">
      <alignment horizontal="center" vertical="center"/>
    </xf>
    <xf numFmtId="2" fontId="19" fillId="3" borderId="57" xfId="7" applyNumberFormat="1" applyFont="1" applyFill="1" applyBorder="1" applyAlignment="1">
      <alignment horizontal="center" vertical="center"/>
    </xf>
    <xf numFmtId="2" fontId="19" fillId="3" borderId="15" xfId="7" applyNumberFormat="1" applyFont="1" applyFill="1" applyBorder="1" applyAlignment="1">
      <alignment horizontal="center" vertical="center"/>
    </xf>
    <xf numFmtId="2" fontId="19" fillId="3" borderId="20" xfId="7" applyNumberFormat="1" applyFont="1" applyFill="1" applyBorder="1" applyAlignment="1">
      <alignment horizontal="center" vertical="center"/>
    </xf>
    <xf numFmtId="0" fontId="20" fillId="3" borderId="0" xfId="0" applyFont="1" applyFill="1" applyAlignment="1">
      <alignment vertical="center"/>
    </xf>
    <xf numFmtId="9" fontId="19" fillId="3" borderId="54" xfId="7" applyNumberFormat="1" applyFont="1" applyFill="1" applyBorder="1" applyAlignment="1">
      <alignment horizontal="center" vertical="center"/>
    </xf>
    <xf numFmtId="9" fontId="19" fillId="3" borderId="57" xfId="7" applyNumberFormat="1" applyFont="1" applyFill="1" applyBorder="1" applyAlignment="1">
      <alignment horizontal="center" vertical="center"/>
    </xf>
    <xf numFmtId="9" fontId="19" fillId="3" borderId="15" xfId="7" applyNumberFormat="1" applyFont="1" applyFill="1" applyBorder="1" applyAlignment="1">
      <alignment horizontal="center" vertical="center"/>
    </xf>
    <xf numFmtId="9" fontId="19" fillId="3" borderId="20" xfId="7" applyNumberFormat="1" applyFont="1" applyFill="1" applyBorder="1" applyAlignment="1">
      <alignment horizontal="center" vertical="center"/>
    </xf>
    <xf numFmtId="0" fontId="30" fillId="3" borderId="0" xfId="0" applyFont="1" applyFill="1"/>
    <xf numFmtId="2" fontId="19" fillId="3" borderId="53" xfId="7" applyNumberFormat="1" applyFont="1" applyFill="1" applyBorder="1" applyAlignment="1">
      <alignment horizontal="center"/>
    </xf>
    <xf numFmtId="2" fontId="19" fillId="3" borderId="18" xfId="7" applyNumberFormat="1" applyFont="1" applyFill="1" applyBorder="1" applyAlignment="1">
      <alignment horizontal="center"/>
    </xf>
    <xf numFmtId="2" fontId="19" fillId="3" borderId="17" xfId="7" applyNumberFormat="1" applyFont="1" applyFill="1" applyBorder="1" applyAlignment="1">
      <alignment horizontal="center"/>
    </xf>
    <xf numFmtId="2" fontId="19" fillId="3" borderId="54" xfId="7" applyNumberFormat="1" applyFont="1" applyFill="1" applyBorder="1" applyAlignment="1">
      <alignment horizontal="center"/>
    </xf>
    <xf numFmtId="2" fontId="19" fillId="3" borderId="15" xfId="7" applyNumberFormat="1" applyFont="1" applyFill="1" applyBorder="1" applyAlignment="1">
      <alignment horizontal="center"/>
    </xf>
    <xf numFmtId="2" fontId="19" fillId="3" borderId="20" xfId="7" applyNumberFormat="1" applyFont="1" applyFill="1" applyBorder="1" applyAlignment="1">
      <alignment horizontal="center"/>
    </xf>
    <xf numFmtId="9" fontId="31" fillId="3" borderId="54" xfId="1" applyFont="1" applyFill="1" applyBorder="1" applyAlignment="1">
      <alignment horizontal="center" vertical="center"/>
    </xf>
    <xf numFmtId="9" fontId="31" fillId="3" borderId="15" xfId="1" applyFont="1" applyFill="1" applyBorder="1" applyAlignment="1">
      <alignment horizontal="center" vertical="center"/>
    </xf>
    <xf numFmtId="9" fontId="31" fillId="3" borderId="20" xfId="1" applyFont="1" applyFill="1" applyBorder="1" applyAlignment="1">
      <alignment horizontal="center" vertical="center"/>
    </xf>
    <xf numFmtId="2" fontId="20" fillId="3" borderId="56" xfId="7" applyNumberFormat="1" applyFont="1" applyFill="1" applyBorder="1" applyAlignment="1">
      <alignment horizontal="center" vertical="center"/>
    </xf>
    <xf numFmtId="2" fontId="20" fillId="3" borderId="22" xfId="7" applyNumberFormat="1" applyFont="1" applyFill="1" applyBorder="1" applyAlignment="1">
      <alignment horizontal="center" vertical="center"/>
    </xf>
    <xf numFmtId="2" fontId="20" fillId="3" borderId="54" xfId="7" applyNumberFormat="1" applyFont="1" applyFill="1" applyBorder="1" applyAlignment="1">
      <alignment horizontal="center" vertical="center"/>
    </xf>
    <xf numFmtId="2" fontId="20" fillId="3" borderId="57" xfId="7" applyNumberFormat="1" applyFont="1" applyFill="1" applyBorder="1" applyAlignment="1">
      <alignment horizontal="center" vertical="center"/>
    </xf>
    <xf numFmtId="2" fontId="20" fillId="3" borderId="15" xfId="7" applyNumberFormat="1" applyFont="1" applyFill="1" applyBorder="1" applyAlignment="1">
      <alignment horizontal="center" vertical="center"/>
    </xf>
    <xf numFmtId="2" fontId="20" fillId="3" borderId="20" xfId="7" applyNumberFormat="1" applyFont="1" applyFill="1" applyBorder="1" applyAlignment="1">
      <alignment horizontal="center" vertical="center"/>
    </xf>
    <xf numFmtId="9" fontId="20" fillId="3" borderId="52" xfId="7" applyNumberFormat="1" applyFont="1" applyFill="1" applyBorder="1" applyAlignment="1">
      <alignment horizontal="center" vertical="center"/>
    </xf>
    <xf numFmtId="9" fontId="20" fillId="3" borderId="56" xfId="7" applyNumberFormat="1" applyFont="1" applyFill="1" applyBorder="1" applyAlignment="1">
      <alignment horizontal="center" vertical="center"/>
    </xf>
    <xf numFmtId="9" fontId="20" fillId="3" borderId="14" xfId="7" applyNumberFormat="1" applyFont="1" applyFill="1" applyBorder="1" applyAlignment="1">
      <alignment horizontal="center" vertical="center"/>
    </xf>
    <xf numFmtId="9" fontId="20" fillId="3" borderId="13" xfId="7" applyNumberFormat="1" applyFont="1" applyFill="1" applyBorder="1" applyAlignment="1">
      <alignment horizontal="center" vertical="center"/>
    </xf>
    <xf numFmtId="9" fontId="20" fillId="3" borderId="53" xfId="7" applyNumberFormat="1" applyFont="1" applyFill="1" applyBorder="1" applyAlignment="1">
      <alignment horizontal="center" vertical="center"/>
    </xf>
    <xf numFmtId="9" fontId="20" fillId="3" borderId="22" xfId="7" applyNumberFormat="1" applyFont="1" applyFill="1" applyBorder="1" applyAlignment="1">
      <alignment horizontal="center" vertical="center"/>
    </xf>
    <xf numFmtId="9" fontId="20" fillId="3" borderId="18" xfId="7" applyNumberFormat="1" applyFont="1" applyFill="1" applyBorder="1" applyAlignment="1">
      <alignment horizontal="center" vertical="center"/>
    </xf>
    <xf numFmtId="9" fontId="20" fillId="3" borderId="17" xfId="7" applyNumberFormat="1" applyFont="1" applyFill="1" applyBorder="1" applyAlignment="1">
      <alignment horizontal="center" vertical="center"/>
    </xf>
    <xf numFmtId="9" fontId="20" fillId="3" borderId="54" xfId="7" applyNumberFormat="1" applyFont="1" applyFill="1" applyBorder="1" applyAlignment="1">
      <alignment horizontal="center" vertical="center"/>
    </xf>
    <xf numFmtId="9" fontId="20" fillId="3" borderId="57" xfId="7" applyNumberFormat="1" applyFont="1" applyFill="1" applyBorder="1" applyAlignment="1">
      <alignment horizontal="center" vertical="center"/>
    </xf>
    <xf numFmtId="9" fontId="20" fillId="3" borderId="15" xfId="7" applyNumberFormat="1" applyFont="1" applyFill="1" applyBorder="1" applyAlignment="1">
      <alignment horizontal="center" vertical="center"/>
    </xf>
    <xf numFmtId="9" fontId="20" fillId="3" borderId="20" xfId="7" applyNumberFormat="1" applyFont="1" applyFill="1" applyBorder="1" applyAlignment="1">
      <alignment horizontal="center" vertical="center"/>
    </xf>
    <xf numFmtId="2" fontId="20" fillId="3" borderId="52" xfId="7" applyNumberFormat="1" applyFont="1" applyFill="1" applyBorder="1" applyAlignment="1">
      <alignment horizontal="center"/>
    </xf>
    <xf numFmtId="2" fontId="20" fillId="3" borderId="14" xfId="7" applyNumberFormat="1" applyFont="1" applyFill="1" applyBorder="1" applyAlignment="1">
      <alignment horizontal="center"/>
    </xf>
    <xf numFmtId="2" fontId="20" fillId="3" borderId="13" xfId="7" applyNumberFormat="1" applyFont="1" applyFill="1" applyBorder="1" applyAlignment="1">
      <alignment horizontal="center"/>
    </xf>
    <xf numFmtId="2" fontId="20" fillId="3" borderId="53" xfId="7" applyNumberFormat="1" applyFont="1" applyFill="1" applyBorder="1" applyAlignment="1">
      <alignment horizontal="center"/>
    </xf>
    <xf numFmtId="2" fontId="20" fillId="3" borderId="18" xfId="7" applyNumberFormat="1" applyFont="1" applyFill="1" applyBorder="1" applyAlignment="1">
      <alignment horizontal="center"/>
    </xf>
    <xf numFmtId="2" fontId="20" fillId="3" borderId="17" xfId="7" applyNumberFormat="1" applyFont="1" applyFill="1" applyBorder="1" applyAlignment="1">
      <alignment horizontal="center"/>
    </xf>
    <xf numFmtId="2" fontId="20" fillId="3" borderId="54" xfId="7" applyNumberFormat="1" applyFont="1" applyFill="1" applyBorder="1" applyAlignment="1">
      <alignment horizontal="center"/>
    </xf>
    <xf numFmtId="2" fontId="20" fillId="3" borderId="15" xfId="7" applyNumberFormat="1" applyFont="1" applyFill="1" applyBorder="1" applyAlignment="1">
      <alignment horizontal="center"/>
    </xf>
    <xf numFmtId="2" fontId="20" fillId="3" borderId="20" xfId="7" applyNumberFormat="1" applyFont="1" applyFill="1" applyBorder="1" applyAlignment="1">
      <alignment horizontal="center"/>
    </xf>
    <xf numFmtId="3" fontId="20" fillId="3" borderId="52" xfId="7" applyNumberFormat="1" applyFont="1" applyFill="1" applyBorder="1" applyAlignment="1">
      <alignment horizontal="center"/>
    </xf>
    <xf numFmtId="3" fontId="20" fillId="3" borderId="56" xfId="7" applyNumberFormat="1" applyFont="1" applyFill="1" applyBorder="1" applyAlignment="1">
      <alignment horizontal="center"/>
    </xf>
    <xf numFmtId="3" fontId="20" fillId="3" borderId="14" xfId="7" applyNumberFormat="1" applyFont="1" applyFill="1" applyBorder="1" applyAlignment="1">
      <alignment horizontal="center"/>
    </xf>
    <xf numFmtId="3" fontId="20" fillId="3" borderId="13" xfId="7" applyNumberFormat="1" applyFont="1" applyFill="1" applyBorder="1" applyAlignment="1">
      <alignment horizontal="center"/>
    </xf>
    <xf numFmtId="164" fontId="20" fillId="3" borderId="53" xfId="7" applyNumberFormat="1" applyFont="1" applyFill="1" applyBorder="1" applyAlignment="1">
      <alignment horizontal="center"/>
    </xf>
    <xf numFmtId="164" fontId="20" fillId="3" borderId="22" xfId="7" applyNumberFormat="1" applyFont="1" applyFill="1" applyBorder="1" applyAlignment="1">
      <alignment horizontal="center"/>
    </xf>
    <xf numFmtId="164" fontId="20" fillId="3" borderId="18" xfId="7" applyNumberFormat="1" applyFont="1" applyFill="1" applyBorder="1" applyAlignment="1">
      <alignment horizontal="center"/>
    </xf>
    <xf numFmtId="164" fontId="20" fillId="3" borderId="17" xfId="7" applyNumberFormat="1" applyFont="1" applyFill="1" applyBorder="1" applyAlignment="1">
      <alignment horizontal="center"/>
    </xf>
    <xf numFmtId="3" fontId="20" fillId="3" borderId="53" xfId="7" applyNumberFormat="1" applyFont="1" applyFill="1" applyBorder="1" applyAlignment="1">
      <alignment horizontal="center" vertical="center"/>
    </xf>
    <xf numFmtId="3" fontId="20" fillId="3" borderId="18" xfId="7" applyNumberFormat="1" applyFont="1" applyFill="1" applyBorder="1" applyAlignment="1">
      <alignment horizontal="center" vertical="center"/>
    </xf>
    <xf numFmtId="3" fontId="20" fillId="3" borderId="17" xfId="7" applyNumberFormat="1"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3" xfId="0" applyFont="1" applyFill="1" applyBorder="1" applyAlignment="1">
      <alignment horizontal="center" vertical="center"/>
    </xf>
    <xf numFmtId="0" fontId="22" fillId="6" borderId="6" xfId="0" applyFont="1" applyFill="1" applyBorder="1"/>
    <xf numFmtId="0" fontId="22" fillId="6" borderId="9" xfId="0" applyFont="1" applyFill="1" applyBorder="1"/>
    <xf numFmtId="2" fontId="19" fillId="3" borderId="59" xfId="7" applyNumberFormat="1" applyFont="1" applyFill="1" applyBorder="1" applyAlignment="1">
      <alignment horizontal="center"/>
    </xf>
    <xf numFmtId="2" fontId="19" fillId="3" borderId="61" xfId="7" applyNumberFormat="1" applyFont="1" applyFill="1" applyBorder="1" applyAlignment="1">
      <alignment horizontal="center"/>
    </xf>
    <xf numFmtId="2" fontId="19" fillId="3" borderId="62" xfId="7" applyNumberFormat="1" applyFont="1" applyFill="1" applyBorder="1" applyAlignment="1">
      <alignment horizontal="center"/>
    </xf>
    <xf numFmtId="2" fontId="20" fillId="3" borderId="66" xfId="7" applyNumberFormat="1" applyFont="1" applyFill="1" applyBorder="1" applyAlignment="1">
      <alignment horizontal="center"/>
    </xf>
    <xf numFmtId="2" fontId="20" fillId="3" borderId="59" xfId="7" applyNumberFormat="1" applyFont="1" applyFill="1" applyBorder="1" applyAlignment="1">
      <alignment horizontal="center"/>
    </xf>
    <xf numFmtId="2" fontId="20" fillId="3" borderId="61" xfId="7" applyNumberFormat="1" applyFont="1" applyFill="1" applyBorder="1" applyAlignment="1">
      <alignment horizontal="center"/>
    </xf>
    <xf numFmtId="2" fontId="20" fillId="3" borderId="62" xfId="7" applyNumberFormat="1" applyFont="1" applyFill="1" applyBorder="1" applyAlignment="1">
      <alignment horizontal="center"/>
    </xf>
    <xf numFmtId="2" fontId="19" fillId="3" borderId="59" xfId="7" applyNumberFormat="1" applyFont="1" applyFill="1" applyBorder="1" applyAlignment="1">
      <alignment horizontal="center" vertical="center"/>
    </xf>
    <xf numFmtId="2" fontId="19" fillId="3" borderId="60" xfId="7" applyNumberFormat="1" applyFont="1" applyFill="1" applyBorder="1" applyAlignment="1">
      <alignment horizontal="center" vertical="center"/>
    </xf>
    <xf numFmtId="2" fontId="19" fillId="3" borderId="61" xfId="7" applyNumberFormat="1" applyFont="1" applyFill="1" applyBorder="1" applyAlignment="1">
      <alignment horizontal="center" vertical="center"/>
    </xf>
    <xf numFmtId="2" fontId="19" fillId="3" borderId="62" xfId="7" applyNumberFormat="1" applyFont="1" applyFill="1" applyBorder="1" applyAlignment="1">
      <alignment horizontal="center" vertical="center"/>
    </xf>
    <xf numFmtId="2" fontId="20" fillId="3" borderId="59" xfId="7" applyNumberFormat="1" applyFont="1" applyFill="1" applyBorder="1" applyAlignment="1">
      <alignment horizontal="center" vertical="center"/>
    </xf>
    <xf numFmtId="2" fontId="20" fillId="3" borderId="60" xfId="7" applyNumberFormat="1" applyFont="1" applyFill="1" applyBorder="1" applyAlignment="1">
      <alignment horizontal="center" vertical="center"/>
    </xf>
    <xf numFmtId="2" fontId="20" fillId="3" borderId="61" xfId="7" applyNumberFormat="1" applyFont="1" applyFill="1" applyBorder="1" applyAlignment="1">
      <alignment horizontal="center" vertical="center"/>
    </xf>
    <xf numFmtId="2" fontId="20" fillId="3" borderId="62" xfId="7" applyNumberFormat="1" applyFont="1" applyFill="1" applyBorder="1" applyAlignment="1">
      <alignment horizontal="center" vertical="center"/>
    </xf>
    <xf numFmtId="2" fontId="31" fillId="3" borderId="54" xfId="7" applyNumberFormat="1" applyFont="1" applyFill="1" applyBorder="1" applyAlignment="1">
      <alignment horizontal="center" vertical="center"/>
    </xf>
    <xf numFmtId="2" fontId="31" fillId="3" borderId="57" xfId="7" applyNumberFormat="1" applyFont="1" applyFill="1" applyBorder="1" applyAlignment="1">
      <alignment horizontal="center" vertical="center"/>
    </xf>
    <xf numFmtId="2" fontId="31" fillId="3" borderId="15" xfId="7" applyNumberFormat="1" applyFont="1" applyFill="1" applyBorder="1" applyAlignment="1">
      <alignment horizontal="center" vertical="center"/>
    </xf>
    <xf numFmtId="2" fontId="31" fillId="3" borderId="20" xfId="7" applyNumberFormat="1" applyFont="1" applyFill="1" applyBorder="1" applyAlignment="1">
      <alignment horizontal="center" vertical="center"/>
    </xf>
    <xf numFmtId="0" fontId="19" fillId="3" borderId="2" xfId="0" applyFont="1" applyFill="1" applyBorder="1" applyAlignment="1">
      <alignment horizontal="center" vertical="center"/>
    </xf>
    <xf numFmtId="0" fontId="20" fillId="3" borderId="3" xfId="0" applyFont="1" applyFill="1" applyBorder="1" applyAlignment="1">
      <alignment vertical="center"/>
    </xf>
    <xf numFmtId="0" fontId="20" fillId="3" borderId="4" xfId="0" applyFont="1" applyFill="1" applyBorder="1" applyAlignment="1">
      <alignment vertical="center"/>
    </xf>
    <xf numFmtId="0" fontId="20" fillId="3" borderId="11" xfId="0" applyFont="1" applyFill="1" applyBorder="1"/>
    <xf numFmtId="0" fontId="20" fillId="3" borderId="0" xfId="0" applyFont="1" applyFill="1" applyBorder="1"/>
    <xf numFmtId="0" fontId="20" fillId="3" borderId="8" xfId="0" applyFont="1" applyFill="1" applyBorder="1"/>
    <xf numFmtId="0" fontId="20" fillId="3" borderId="12" xfId="0" applyFont="1" applyFill="1" applyBorder="1"/>
    <xf numFmtId="0" fontId="20" fillId="3" borderId="6" xfId="0" applyFont="1" applyFill="1" applyBorder="1"/>
    <xf numFmtId="0" fontId="10" fillId="3" borderId="52" xfId="0" applyFont="1" applyFill="1" applyBorder="1"/>
    <xf numFmtId="0" fontId="10" fillId="3" borderId="14" xfId="0" applyFont="1" applyFill="1" applyBorder="1"/>
    <xf numFmtId="0" fontId="10" fillId="3" borderId="53" xfId="0" applyFont="1" applyFill="1" applyBorder="1"/>
    <xf numFmtId="0" fontId="10" fillId="3" borderId="18" xfId="0" applyFont="1" applyFill="1" applyBorder="1"/>
    <xf numFmtId="0" fontId="10" fillId="3" borderId="54" xfId="0" applyFont="1" applyFill="1" applyBorder="1"/>
    <xf numFmtId="0" fontId="10" fillId="3" borderId="15" xfId="0" applyFont="1" applyFill="1" applyBorder="1"/>
    <xf numFmtId="0" fontId="21" fillId="3" borderId="0" xfId="0" applyFont="1" applyFill="1"/>
    <xf numFmtId="2" fontId="10" fillId="3" borderId="0" xfId="0" applyNumberFormat="1" applyFont="1" applyFill="1"/>
    <xf numFmtId="0" fontId="22" fillId="6" borderId="0" xfId="0" applyFont="1" applyFill="1"/>
    <xf numFmtId="2" fontId="12" fillId="3" borderId="0" xfId="0" applyNumberFormat="1" applyFont="1" applyFill="1"/>
    <xf numFmtId="9" fontId="31" fillId="3" borderId="57" xfId="1" applyFont="1" applyFill="1" applyBorder="1" applyAlignment="1">
      <alignment horizontal="center" vertical="center"/>
    </xf>
    <xf numFmtId="2" fontId="19" fillId="0" borderId="53" xfId="7" applyNumberFormat="1" applyFont="1" applyFill="1" applyBorder="1" applyAlignment="1">
      <alignment horizontal="center" vertical="center"/>
    </xf>
    <xf numFmtId="2" fontId="19" fillId="0" borderId="18" xfId="7" applyNumberFormat="1" applyFont="1" applyFill="1" applyBorder="1" applyAlignment="1">
      <alignment horizontal="center" vertical="center"/>
    </xf>
    <xf numFmtId="2" fontId="19" fillId="0" borderId="17" xfId="7" applyNumberFormat="1" applyFont="1" applyFill="1" applyBorder="1" applyAlignment="1">
      <alignment horizontal="center" vertical="center"/>
    </xf>
    <xf numFmtId="9" fontId="10" fillId="3" borderId="11" xfId="1" applyFont="1" applyFill="1" applyBorder="1"/>
    <xf numFmtId="9" fontId="10" fillId="3" borderId="12" xfId="1" applyFont="1" applyFill="1" applyBorder="1"/>
    <xf numFmtId="9" fontId="10" fillId="3" borderId="0" xfId="1" applyFont="1" applyFill="1" applyBorder="1"/>
    <xf numFmtId="9" fontId="10" fillId="3" borderId="6" xfId="1" applyFont="1" applyFill="1" applyBorder="1"/>
    <xf numFmtId="9" fontId="10" fillId="3" borderId="9" xfId="1" applyFont="1" applyFill="1" applyBorder="1"/>
    <xf numFmtId="9" fontId="12" fillId="3" borderId="3" xfId="1" applyFont="1" applyFill="1" applyBorder="1"/>
    <xf numFmtId="9" fontId="12" fillId="3" borderId="4" xfId="1" applyFont="1" applyFill="1" applyBorder="1"/>
    <xf numFmtId="2" fontId="20" fillId="3" borderId="11" xfId="3" applyNumberFormat="1" applyFont="1" applyFill="1" applyBorder="1"/>
    <xf numFmtId="2" fontId="20" fillId="3" borderId="8" xfId="3" applyNumberFormat="1" applyFont="1" applyFill="1" applyBorder="1"/>
    <xf numFmtId="0" fontId="26" fillId="6" borderId="10" xfId="0" applyFont="1" applyFill="1" applyBorder="1" applyAlignment="1">
      <alignment vertical="center"/>
    </xf>
    <xf numFmtId="0" fontId="26" fillId="6" borderId="11" xfId="0" applyFont="1" applyFill="1" applyBorder="1" applyAlignment="1">
      <alignment vertical="center"/>
    </xf>
    <xf numFmtId="0" fontId="26" fillId="6" borderId="12" xfId="0" applyFont="1" applyFill="1" applyBorder="1" applyAlignment="1">
      <alignment vertical="center"/>
    </xf>
    <xf numFmtId="2" fontId="10" fillId="3" borderId="41" xfId="2" applyNumberFormat="1" applyFont="1" applyFill="1" applyBorder="1" applyAlignment="1">
      <alignment horizontal="center"/>
    </xf>
    <xf numFmtId="2" fontId="10" fillId="3" borderId="42" xfId="2" applyNumberFormat="1" applyFont="1" applyFill="1" applyBorder="1" applyAlignment="1">
      <alignment horizontal="center"/>
    </xf>
    <xf numFmtId="0" fontId="25" fillId="3" borderId="0" xfId="0" applyFont="1" applyFill="1" applyAlignment="1">
      <alignment vertical="center"/>
    </xf>
    <xf numFmtId="2" fontId="20" fillId="0" borderId="45" xfId="2" applyNumberFormat="1" applyFont="1" applyFill="1" applyBorder="1" applyAlignment="1">
      <alignment horizontal="center"/>
    </xf>
    <xf numFmtId="2" fontId="20" fillId="0" borderId="26" xfId="2" applyNumberFormat="1" applyFont="1" applyFill="1" applyBorder="1" applyAlignment="1">
      <alignment horizontal="center"/>
    </xf>
    <xf numFmtId="2" fontId="20" fillId="0" borderId="35" xfId="2" applyNumberFormat="1" applyFont="1" applyFill="1" applyBorder="1" applyAlignment="1">
      <alignment horizontal="center"/>
    </xf>
    <xf numFmtId="2" fontId="20" fillId="0" borderId="32" xfId="2" applyNumberFormat="1" applyFont="1" applyFill="1" applyBorder="1" applyAlignment="1">
      <alignment horizontal="center"/>
    </xf>
    <xf numFmtId="0" fontId="30" fillId="0" borderId="0" xfId="0" applyFont="1" applyFill="1"/>
    <xf numFmtId="0" fontId="10" fillId="0" borderId="6" xfId="0" applyFont="1" applyFill="1" applyBorder="1"/>
    <xf numFmtId="2" fontId="20" fillId="0" borderId="52" xfId="2" applyNumberFormat="1" applyFont="1" applyFill="1" applyBorder="1" applyAlignment="1">
      <alignment horizontal="center"/>
    </xf>
    <xf numFmtId="2" fontId="20" fillId="0" borderId="14" xfId="2" applyNumberFormat="1" applyFont="1" applyFill="1" applyBorder="1" applyAlignment="1">
      <alignment horizontal="center"/>
    </xf>
    <xf numFmtId="2" fontId="20" fillId="0" borderId="54" xfId="2" applyNumberFormat="1" applyFont="1" applyFill="1" applyBorder="1" applyAlignment="1">
      <alignment horizontal="center"/>
    </xf>
    <xf numFmtId="2" fontId="20" fillId="0" borderId="15" xfId="2" applyNumberFormat="1" applyFont="1" applyFill="1" applyBorder="1" applyAlignment="1">
      <alignment horizontal="center"/>
    </xf>
    <xf numFmtId="0" fontId="26" fillId="6" borderId="2" xfId="0" applyFont="1" applyFill="1" applyBorder="1" applyAlignment="1"/>
    <xf numFmtId="0" fontId="20" fillId="0" borderId="5" xfId="0" applyFont="1" applyFill="1" applyBorder="1"/>
    <xf numFmtId="166" fontId="12" fillId="3" borderId="2" xfId="0" applyNumberFormat="1" applyFont="1" applyFill="1" applyBorder="1"/>
    <xf numFmtId="166" fontId="12" fillId="3" borderId="3" xfId="0" applyNumberFormat="1" applyFont="1" applyFill="1" applyBorder="1"/>
    <xf numFmtId="166" fontId="12" fillId="3" borderId="4" xfId="0" applyNumberFormat="1" applyFont="1" applyFill="1" applyBorder="1"/>
    <xf numFmtId="0" fontId="12" fillId="3" borderId="10" xfId="0" applyFont="1" applyFill="1" applyBorder="1"/>
    <xf numFmtId="0" fontId="12" fillId="3" borderId="11" xfId="0" applyFont="1" applyFill="1" applyBorder="1"/>
    <xf numFmtId="0" fontId="12" fillId="3" borderId="12" xfId="0" applyFont="1" applyFill="1" applyBorder="1"/>
    <xf numFmtId="2" fontId="12" fillId="3" borderId="7" xfId="0" applyNumberFormat="1" applyFont="1" applyFill="1" applyBorder="1"/>
    <xf numFmtId="2" fontId="12" fillId="3" borderId="8" xfId="0" applyNumberFormat="1" applyFont="1" applyFill="1" applyBorder="1"/>
    <xf numFmtId="2" fontId="12" fillId="3" borderId="9" xfId="0" applyNumberFormat="1" applyFont="1" applyFill="1" applyBorder="1"/>
    <xf numFmtId="166" fontId="10" fillId="3" borderId="11" xfId="0" applyNumberFormat="1" applyFont="1" applyFill="1" applyBorder="1"/>
    <xf numFmtId="166" fontId="10" fillId="3" borderId="0" xfId="0" applyNumberFormat="1" applyFont="1" applyFill="1" applyBorder="1"/>
    <xf numFmtId="166" fontId="10" fillId="3" borderId="8" xfId="0" applyNumberFormat="1" applyFont="1" applyFill="1" applyBorder="1"/>
    <xf numFmtId="166" fontId="10" fillId="3" borderId="12" xfId="0" applyNumberFormat="1" applyFont="1" applyFill="1" applyBorder="1"/>
    <xf numFmtId="166" fontId="10" fillId="3" borderId="6" xfId="0" applyNumberFormat="1" applyFont="1" applyFill="1" applyBorder="1"/>
    <xf numFmtId="166" fontId="10" fillId="3" borderId="9" xfId="0" applyNumberFormat="1" applyFont="1" applyFill="1" applyBorder="1"/>
    <xf numFmtId="0" fontId="12" fillId="0" borderId="7" xfId="0" applyFont="1" applyFill="1" applyBorder="1" applyAlignment="1">
      <alignment horizontal="center" vertical="center" wrapText="1"/>
    </xf>
    <xf numFmtId="166" fontId="10" fillId="0" borderId="43" xfId="2" applyNumberFormat="1" applyFont="1" applyFill="1" applyBorder="1" applyAlignment="1">
      <alignment horizontal="center"/>
    </xf>
    <xf numFmtId="166" fontId="10" fillId="0" borderId="44" xfId="2" applyNumberFormat="1" applyFont="1" applyFill="1" applyBorder="1" applyAlignment="1">
      <alignment horizontal="center"/>
    </xf>
    <xf numFmtId="166" fontId="10" fillId="3" borderId="43" xfId="2" applyNumberFormat="1" applyFont="1" applyFill="1" applyBorder="1" applyAlignment="1">
      <alignment horizontal="center"/>
    </xf>
    <xf numFmtId="166" fontId="10" fillId="3" borderId="44" xfId="2" applyNumberFormat="1" applyFont="1" applyFill="1" applyBorder="1" applyAlignment="1">
      <alignment horizontal="center"/>
    </xf>
    <xf numFmtId="0" fontId="20" fillId="0" borderId="10" xfId="0" applyFont="1" applyFill="1" applyBorder="1"/>
    <xf numFmtId="2" fontId="10" fillId="0" borderId="5" xfId="3" applyNumberFormat="1" applyFont="1" applyFill="1" applyBorder="1"/>
    <xf numFmtId="2" fontId="10" fillId="0" borderId="6" xfId="3" applyNumberFormat="1" applyFont="1" applyFill="1" applyBorder="1"/>
    <xf numFmtId="2" fontId="10" fillId="0" borderId="0" xfId="3" applyNumberFormat="1" applyFont="1" applyFill="1" applyBorder="1"/>
    <xf numFmtId="2" fontId="11" fillId="3" borderId="0" xfId="0" applyNumberFormat="1" applyFont="1" applyFill="1" applyBorder="1"/>
    <xf numFmtId="2" fontId="11" fillId="3" borderId="0" xfId="0" applyNumberFormat="1" applyFont="1" applyFill="1"/>
    <xf numFmtId="2" fontId="0" fillId="3" borderId="0" xfId="0" applyNumberFormat="1" applyFill="1"/>
    <xf numFmtId="0" fontId="12" fillId="3" borderId="7" xfId="0" applyFont="1" applyFill="1" applyBorder="1" applyAlignment="1">
      <alignment horizontal="center" vertical="center" wrapText="1"/>
    </xf>
    <xf numFmtId="0" fontId="23" fillId="6" borderId="0" xfId="0" applyFont="1" applyFill="1" applyAlignment="1">
      <alignment horizontal="center"/>
    </xf>
    <xf numFmtId="0" fontId="22" fillId="6" borderId="0" xfId="0" applyFont="1" applyFill="1" applyAlignment="1">
      <alignment horizontal="center"/>
    </xf>
    <xf numFmtId="2" fontId="12" fillId="3" borderId="7" xfId="3" applyNumberFormat="1" applyFont="1" applyFill="1" applyBorder="1"/>
    <xf numFmtId="2" fontId="12" fillId="3" borderId="9" xfId="3" applyNumberFormat="1" applyFont="1" applyFill="1" applyBorder="1"/>
    <xf numFmtId="2" fontId="10" fillId="5" borderId="11" xfId="3" applyNumberFormat="1" applyFont="1" applyFill="1" applyBorder="1"/>
    <xf numFmtId="2" fontId="10" fillId="5" borderId="8" xfId="3" applyNumberFormat="1" applyFont="1" applyFill="1" applyBorder="1"/>
    <xf numFmtId="0" fontId="23" fillId="6" borderId="10" xfId="0" applyFont="1" applyFill="1" applyBorder="1"/>
    <xf numFmtId="0" fontId="23" fillId="6" borderId="12" xfId="0" applyFont="1" applyFill="1" applyBorder="1"/>
    <xf numFmtId="165" fontId="10" fillId="3" borderId="10" xfId="1" applyNumberFormat="1" applyFont="1" applyFill="1" applyBorder="1"/>
    <xf numFmtId="165" fontId="10" fillId="3" borderId="12" xfId="1" applyNumberFormat="1" applyFont="1" applyFill="1" applyBorder="1"/>
    <xf numFmtId="165" fontId="10" fillId="3" borderId="7" xfId="1" applyNumberFormat="1" applyFont="1" applyFill="1" applyBorder="1"/>
    <xf numFmtId="165" fontId="10" fillId="3" borderId="9" xfId="1" applyNumberFormat="1" applyFont="1" applyFill="1" applyBorder="1"/>
    <xf numFmtId="0" fontId="23" fillId="6" borderId="0" xfId="0" applyFont="1" applyFill="1" applyAlignment="1">
      <alignment horizontal="left"/>
    </xf>
    <xf numFmtId="0" fontId="17" fillId="3" borderId="67" xfId="0" applyFont="1" applyFill="1" applyBorder="1" applyAlignment="1"/>
    <xf numFmtId="0" fontId="12" fillId="3" borderId="67" xfId="0" applyFont="1" applyFill="1" applyBorder="1"/>
    <xf numFmtId="0" fontId="0" fillId="3" borderId="0" xfId="0" applyFill="1"/>
    <xf numFmtId="0" fontId="38" fillId="3" borderId="0" xfId="0" applyFont="1" applyFill="1"/>
    <xf numFmtId="2" fontId="30" fillId="3" borderId="0" xfId="0" applyNumberFormat="1" applyFont="1" applyFill="1"/>
    <xf numFmtId="0" fontId="19" fillId="3" borderId="10" xfId="0" applyFont="1" applyFill="1" applyBorder="1" applyAlignment="1">
      <alignment horizontal="center" vertical="center"/>
    </xf>
    <xf numFmtId="165" fontId="10" fillId="3" borderId="4" xfId="1" applyNumberFormat="1" applyFont="1" applyFill="1" applyBorder="1" applyAlignment="1">
      <alignment horizontal="center"/>
    </xf>
    <xf numFmtId="0" fontId="22" fillId="6" borderId="10"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1" fillId="3" borderId="8" xfId="0" applyFont="1" applyFill="1" applyBorder="1"/>
    <xf numFmtId="9" fontId="10" fillId="0" borderId="6" xfId="0" applyNumberFormat="1" applyFont="1" applyFill="1" applyBorder="1"/>
    <xf numFmtId="0" fontId="10" fillId="3" borderId="12" xfId="0" applyFont="1" applyFill="1" applyBorder="1" applyAlignment="1">
      <alignment horizontal="center"/>
    </xf>
    <xf numFmtId="0" fontId="19" fillId="3" borderId="0" xfId="0" applyFont="1" applyFill="1" applyBorder="1"/>
    <xf numFmtId="0" fontId="19" fillId="3" borderId="8" xfId="0" applyFont="1" applyFill="1" applyBorder="1"/>
    <xf numFmtId="0" fontId="19" fillId="3" borderId="6" xfId="0" applyFont="1" applyFill="1" applyBorder="1"/>
    <xf numFmtId="0" fontId="19" fillId="3" borderId="9" xfId="0" applyFont="1" applyFill="1" applyBorder="1"/>
    <xf numFmtId="4" fontId="0" fillId="3" borderId="0" xfId="0" applyNumberFormat="1" applyFill="1"/>
    <xf numFmtId="2" fontId="12" fillId="3" borderId="10" xfId="3" applyNumberFormat="1" applyFont="1" applyFill="1" applyBorder="1"/>
    <xf numFmtId="2" fontId="12" fillId="3" borderId="8" xfId="3" applyNumberFormat="1" applyFont="1" applyFill="1" applyBorder="1"/>
    <xf numFmtId="2" fontId="10" fillId="3" borderId="12" xfId="3" applyNumberFormat="1" applyFont="1" applyFill="1" applyBorder="1"/>
    <xf numFmtId="2" fontId="10" fillId="3" borderId="9" xfId="3" applyNumberFormat="1" applyFont="1" applyFill="1" applyBorder="1"/>
    <xf numFmtId="2" fontId="20" fillId="0" borderId="53" xfId="7" applyNumberFormat="1" applyFont="1" applyFill="1" applyBorder="1" applyAlignment="1">
      <alignment horizontal="center"/>
    </xf>
    <xf numFmtId="2" fontId="20" fillId="0" borderId="18" xfId="7" applyNumberFormat="1" applyFont="1" applyFill="1" applyBorder="1" applyAlignment="1">
      <alignment horizontal="center"/>
    </xf>
    <xf numFmtId="0" fontId="12" fillId="0" borderId="0" xfId="0" applyFont="1" applyFill="1"/>
    <xf numFmtId="0" fontId="10" fillId="0" borderId="0" xfId="0" applyFont="1" applyFill="1"/>
    <xf numFmtId="2" fontId="20" fillId="0" borderId="37" xfId="2" applyNumberFormat="1" applyFont="1" applyFill="1" applyBorder="1" applyAlignment="1">
      <alignment horizontal="center"/>
    </xf>
    <xf numFmtId="2" fontId="20" fillId="0" borderId="38" xfId="2" applyNumberFormat="1" applyFont="1" applyFill="1" applyBorder="1" applyAlignment="1">
      <alignment horizontal="center"/>
    </xf>
    <xf numFmtId="164" fontId="10" fillId="0" borderId="27" xfId="2" applyNumberFormat="1" applyFont="1" applyFill="1" applyBorder="1" applyAlignment="1">
      <alignment horizontal="center"/>
    </xf>
    <xf numFmtId="2" fontId="20" fillId="0" borderId="25" xfId="2" applyNumberFormat="1" applyFont="1" applyFill="1" applyBorder="1" applyAlignment="1">
      <alignment horizontal="center"/>
    </xf>
    <xf numFmtId="164" fontId="20" fillId="0" borderId="25" xfId="2" applyNumberFormat="1" applyFont="1" applyFill="1" applyBorder="1" applyAlignment="1">
      <alignment horizontal="center"/>
    </xf>
    <xf numFmtId="164" fontId="20" fillId="0" borderId="42" xfId="2" applyNumberFormat="1" applyFont="1" applyFill="1" applyBorder="1" applyAlignment="1">
      <alignment horizontal="center"/>
    </xf>
    <xf numFmtId="2" fontId="20" fillId="0" borderId="42" xfId="2" applyNumberFormat="1" applyFont="1" applyFill="1" applyBorder="1" applyAlignment="1">
      <alignment horizontal="center"/>
    </xf>
    <xf numFmtId="0" fontId="20" fillId="3" borderId="5" xfId="0" applyFont="1" applyFill="1" applyBorder="1"/>
    <xf numFmtId="164" fontId="20" fillId="0" borderId="37" xfId="2" applyNumberFormat="1" applyFont="1" applyFill="1" applyBorder="1" applyAlignment="1">
      <alignment horizontal="center"/>
    </xf>
    <xf numFmtId="164" fontId="20" fillId="0" borderId="38" xfId="2" applyNumberFormat="1" applyFont="1" applyFill="1" applyBorder="1" applyAlignment="1">
      <alignment horizontal="center"/>
    </xf>
    <xf numFmtId="164" fontId="20" fillId="0" borderId="65" xfId="2" applyNumberFormat="1" applyFont="1" applyFill="1" applyBorder="1" applyAlignment="1">
      <alignment horizontal="center"/>
    </xf>
    <xf numFmtId="0" fontId="10" fillId="0" borderId="9" xfId="0" applyFont="1" applyFill="1" applyBorder="1"/>
    <xf numFmtId="0" fontId="20" fillId="0" borderId="0" xfId="0" applyFont="1" applyFill="1"/>
    <xf numFmtId="0" fontId="10" fillId="3" borderId="10" xfId="0" applyFont="1" applyFill="1" applyBorder="1" applyAlignment="1">
      <alignment horizontal="center"/>
    </xf>
    <xf numFmtId="0" fontId="10" fillId="3" borderId="7" xfId="0" applyFont="1" applyFill="1" applyBorder="1" applyAlignment="1">
      <alignment horizontal="center"/>
    </xf>
    <xf numFmtId="166" fontId="12" fillId="3" borderId="46" xfId="2" applyNumberFormat="1" applyFont="1" applyFill="1" applyBorder="1" applyAlignment="1">
      <alignment horizontal="center"/>
    </xf>
    <xf numFmtId="166" fontId="12" fillId="3" borderId="33" xfId="2" applyNumberFormat="1" applyFont="1" applyFill="1" applyBorder="1" applyAlignment="1">
      <alignment horizontal="center"/>
    </xf>
    <xf numFmtId="9" fontId="31" fillId="3" borderId="54" xfId="1" applyNumberFormat="1" applyFont="1" applyFill="1" applyBorder="1" applyAlignment="1">
      <alignment horizontal="center" vertical="center"/>
    </xf>
    <xf numFmtId="164" fontId="20" fillId="3" borderId="52" xfId="7" applyNumberFormat="1" applyFont="1" applyFill="1" applyBorder="1" applyAlignment="1">
      <alignment horizontal="center"/>
    </xf>
    <xf numFmtId="164" fontId="20" fillId="3" borderId="59" xfId="7" applyNumberFormat="1" applyFont="1" applyFill="1" applyBorder="1" applyAlignment="1">
      <alignment horizontal="center"/>
    </xf>
    <xf numFmtId="9" fontId="10" fillId="3" borderId="0" xfId="0" applyNumberFormat="1" applyFont="1" applyFill="1"/>
    <xf numFmtId="4" fontId="10" fillId="3" borderId="0" xfId="0" applyNumberFormat="1" applyFont="1" applyFill="1"/>
    <xf numFmtId="9" fontId="10" fillId="3" borderId="0" xfId="1" applyFont="1" applyFill="1"/>
    <xf numFmtId="3" fontId="12" fillId="3" borderId="35" xfId="2" applyNumberFormat="1" applyFont="1" applyFill="1" applyBorder="1" applyAlignment="1">
      <alignment horizontal="center"/>
    </xf>
    <xf numFmtId="3" fontId="0" fillId="3" borderId="0" xfId="0" applyNumberFormat="1" applyFill="1"/>
    <xf numFmtId="3" fontId="12" fillId="3" borderId="32" xfId="2" applyNumberFormat="1" applyFont="1" applyFill="1" applyBorder="1" applyAlignment="1">
      <alignment horizont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12" fillId="3"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166" fontId="12" fillId="3" borderId="0" xfId="0" applyNumberFormat="1" applyFont="1" applyFill="1"/>
    <xf numFmtId="1" fontId="10" fillId="3" borderId="0" xfId="0" applyNumberFormat="1" applyFont="1" applyFill="1"/>
    <xf numFmtId="0" fontId="9" fillId="3" borderId="0" xfId="0" applyFont="1" applyFill="1"/>
    <xf numFmtId="0" fontId="42" fillId="3" borderId="0" xfId="0" applyFont="1" applyFill="1"/>
    <xf numFmtId="0" fontId="42" fillId="3" borderId="0" xfId="0" applyFont="1" applyFill="1" applyAlignment="1">
      <alignment horizontal="center"/>
    </xf>
    <xf numFmtId="166" fontId="20" fillId="3" borderId="52" xfId="7" applyNumberFormat="1" applyFont="1" applyFill="1" applyBorder="1" applyAlignment="1">
      <alignment horizontal="center"/>
    </xf>
    <xf numFmtId="166" fontId="20" fillId="3" borderId="14" xfId="7" applyNumberFormat="1" applyFont="1" applyFill="1" applyBorder="1" applyAlignment="1">
      <alignment horizontal="center"/>
    </xf>
    <xf numFmtId="166" fontId="20" fillId="3" borderId="13" xfId="7" applyNumberFormat="1" applyFont="1" applyFill="1" applyBorder="1" applyAlignment="1">
      <alignment horizontal="center"/>
    </xf>
    <xf numFmtId="166" fontId="20" fillId="3" borderId="53" xfId="7" applyNumberFormat="1" applyFont="1" applyFill="1" applyBorder="1" applyAlignment="1">
      <alignment horizontal="center"/>
    </xf>
    <xf numFmtId="166" fontId="20" fillId="3" borderId="18" xfId="7" applyNumberFormat="1" applyFont="1" applyFill="1" applyBorder="1" applyAlignment="1">
      <alignment horizontal="center"/>
    </xf>
    <xf numFmtId="166" fontId="20" fillId="3" borderId="17" xfId="7" applyNumberFormat="1" applyFont="1" applyFill="1" applyBorder="1" applyAlignment="1">
      <alignment horizontal="center"/>
    </xf>
    <xf numFmtId="166" fontId="20" fillId="0" borderId="53" xfId="7" applyNumberFormat="1" applyFont="1" applyFill="1" applyBorder="1" applyAlignment="1">
      <alignment horizontal="center"/>
    </xf>
    <xf numFmtId="166" fontId="20" fillId="0" borderId="18" xfId="7" applyNumberFormat="1" applyFont="1" applyFill="1" applyBorder="1" applyAlignment="1">
      <alignment horizontal="center"/>
    </xf>
    <xf numFmtId="166" fontId="20" fillId="0" borderId="17" xfId="7" applyNumberFormat="1" applyFont="1" applyFill="1" applyBorder="1" applyAlignment="1">
      <alignment horizontal="center"/>
    </xf>
    <xf numFmtId="166" fontId="19" fillId="3" borderId="54" xfId="7" applyNumberFormat="1" applyFont="1" applyFill="1" applyBorder="1" applyAlignment="1">
      <alignment horizontal="center"/>
    </xf>
    <xf numFmtId="166" fontId="19" fillId="3" borderId="15" xfId="7" applyNumberFormat="1" applyFont="1" applyFill="1" applyBorder="1" applyAlignment="1">
      <alignment horizontal="center"/>
    </xf>
    <xf numFmtId="166" fontId="19" fillId="3" borderId="20" xfId="7" applyNumberFormat="1" applyFont="1" applyFill="1" applyBorder="1" applyAlignment="1">
      <alignment horizontal="center"/>
    </xf>
    <xf numFmtId="166" fontId="20" fillId="0" borderId="52" xfId="7" applyNumberFormat="1" applyFont="1" applyFill="1" applyBorder="1" applyAlignment="1">
      <alignment horizontal="center"/>
    </xf>
    <xf numFmtId="166" fontId="19" fillId="0" borderId="54" xfId="7" applyNumberFormat="1" applyFont="1" applyFill="1" applyBorder="1" applyAlignment="1">
      <alignment horizontal="center"/>
    </xf>
    <xf numFmtId="166" fontId="19" fillId="3" borderId="59" xfId="7" applyNumberFormat="1" applyFont="1" applyFill="1" applyBorder="1" applyAlignment="1">
      <alignment horizontal="center"/>
    </xf>
    <xf numFmtId="166" fontId="19" fillId="3" borderId="61" xfId="7" applyNumberFormat="1" applyFont="1" applyFill="1" applyBorder="1" applyAlignment="1">
      <alignment horizontal="center"/>
    </xf>
    <xf numFmtId="166" fontId="19" fillId="3" borderId="68" xfId="7" applyNumberFormat="1" applyFont="1" applyFill="1" applyBorder="1" applyAlignment="1">
      <alignment horizontal="center"/>
    </xf>
    <xf numFmtId="166" fontId="20" fillId="0" borderId="14" xfId="7" applyNumberFormat="1" applyFont="1" applyFill="1" applyBorder="1" applyAlignment="1">
      <alignment horizontal="center"/>
    </xf>
    <xf numFmtId="166" fontId="19" fillId="0" borderId="15" xfId="7" applyNumberFormat="1" applyFont="1" applyFill="1" applyBorder="1" applyAlignment="1">
      <alignment horizontal="center"/>
    </xf>
    <xf numFmtId="166" fontId="20" fillId="0" borderId="56" xfId="7" applyNumberFormat="1" applyFont="1" applyFill="1" applyBorder="1" applyAlignment="1">
      <alignment horizontal="center"/>
    </xf>
    <xf numFmtId="166" fontId="20" fillId="0" borderId="22" xfId="7" applyNumberFormat="1" applyFont="1" applyFill="1" applyBorder="1" applyAlignment="1">
      <alignment horizontal="center"/>
    </xf>
    <xf numFmtId="166" fontId="19" fillId="0" borderId="57" xfId="7" applyNumberFormat="1" applyFont="1" applyFill="1" applyBorder="1" applyAlignment="1">
      <alignment horizontal="center"/>
    </xf>
    <xf numFmtId="166" fontId="19" fillId="3" borderId="62" xfId="7" applyNumberFormat="1" applyFont="1" applyFill="1" applyBorder="1" applyAlignment="1">
      <alignment horizontal="center"/>
    </xf>
    <xf numFmtId="2" fontId="19" fillId="3" borderId="52" xfId="7" applyNumberFormat="1" applyFont="1" applyFill="1" applyBorder="1" applyAlignment="1">
      <alignment horizontal="center"/>
    </xf>
    <xf numFmtId="2" fontId="19" fillId="3" borderId="14" xfId="7" applyNumberFormat="1" applyFont="1" applyFill="1" applyBorder="1" applyAlignment="1">
      <alignment horizontal="center"/>
    </xf>
    <xf numFmtId="2" fontId="20" fillId="3" borderId="69" xfId="7" applyNumberFormat="1" applyFont="1" applyFill="1" applyBorder="1" applyAlignment="1">
      <alignment horizontal="center" vertical="center"/>
    </xf>
    <xf numFmtId="2" fontId="20" fillId="3" borderId="70" xfId="7" applyNumberFormat="1" applyFont="1" applyFill="1" applyBorder="1" applyAlignment="1">
      <alignment horizontal="center" vertical="center"/>
    </xf>
    <xf numFmtId="2" fontId="20" fillId="3" borderId="56" xfId="7" applyNumberFormat="1" applyFont="1" applyFill="1" applyBorder="1" applyAlignment="1">
      <alignment horizontal="center"/>
    </xf>
    <xf numFmtId="2" fontId="20" fillId="3" borderId="22" xfId="7" applyNumberFormat="1" applyFont="1" applyFill="1" applyBorder="1" applyAlignment="1">
      <alignment horizontal="center"/>
    </xf>
    <xf numFmtId="2" fontId="19" fillId="3" borderId="57" xfId="7" applyNumberFormat="1" applyFont="1" applyFill="1" applyBorder="1" applyAlignment="1">
      <alignment horizontal="center"/>
    </xf>
    <xf numFmtId="2" fontId="20" fillId="3" borderId="71" xfId="7" applyNumberFormat="1" applyFont="1" applyFill="1" applyBorder="1" applyAlignment="1">
      <alignment horizontal="center" vertical="center"/>
    </xf>
    <xf numFmtId="3" fontId="10" fillId="3" borderId="28" xfId="2" applyNumberFormat="1" applyFont="1" applyFill="1" applyBorder="1" applyAlignment="1">
      <alignment horizontal="center"/>
    </xf>
    <xf numFmtId="3" fontId="10" fillId="3" borderId="39" xfId="2" applyNumberFormat="1" applyFont="1" applyFill="1" applyBorder="1" applyAlignment="1">
      <alignment horizontal="center"/>
    </xf>
    <xf numFmtId="3" fontId="10" fillId="3" borderId="25" xfId="2" applyNumberFormat="1" applyFont="1" applyFill="1" applyBorder="1" applyAlignment="1">
      <alignment horizontal="center"/>
    </xf>
    <xf numFmtId="3" fontId="10" fillId="3" borderId="37"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3" borderId="63"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32" xfId="2" applyNumberFormat="1" applyFont="1" applyFill="1" applyBorder="1" applyAlignment="1">
      <alignment horizontal="center"/>
    </xf>
    <xf numFmtId="3" fontId="10" fillId="3" borderId="35" xfId="2" applyNumberFormat="1" applyFont="1" applyFill="1" applyBorder="1" applyAlignment="1">
      <alignment horizontal="center"/>
    </xf>
    <xf numFmtId="3" fontId="10" fillId="0" borderId="29" xfId="2" applyNumberFormat="1" applyFont="1" applyFill="1" applyBorder="1" applyAlignment="1">
      <alignment horizontal="center"/>
    </xf>
    <xf numFmtId="3" fontId="10" fillId="0" borderId="28" xfId="2" applyNumberFormat="1" applyFont="1" applyFill="1" applyBorder="1" applyAlignment="1">
      <alignment horizontal="center"/>
    </xf>
    <xf numFmtId="3" fontId="10" fillId="0" borderId="39" xfId="2" applyNumberFormat="1" applyFont="1" applyFill="1" applyBorder="1" applyAlignment="1">
      <alignment horizontal="center"/>
    </xf>
    <xf numFmtId="3" fontId="10" fillId="0" borderId="63" xfId="2" applyNumberFormat="1" applyFont="1" applyFill="1" applyBorder="1" applyAlignment="1">
      <alignment horizontal="center"/>
    </xf>
    <xf numFmtId="3" fontId="12" fillId="3" borderId="29" xfId="2" applyNumberFormat="1" applyFont="1" applyFill="1" applyBorder="1" applyAlignment="1">
      <alignment horizontal="center"/>
    </xf>
    <xf numFmtId="3" fontId="12" fillId="0" borderId="63" xfId="2" applyNumberFormat="1" applyFont="1" applyFill="1" applyBorder="1" applyAlignment="1">
      <alignment horizontal="center"/>
    </xf>
    <xf numFmtId="3" fontId="12" fillId="3" borderId="26" xfId="2" applyNumberFormat="1" applyFont="1" applyFill="1" applyBorder="1" applyAlignment="1">
      <alignment horizontal="center"/>
    </xf>
    <xf numFmtId="3" fontId="12" fillId="3" borderId="45" xfId="2" applyNumberFormat="1" applyFont="1" applyFill="1" applyBorder="1" applyAlignment="1">
      <alignment horizontal="center"/>
    </xf>
    <xf numFmtId="3" fontId="10" fillId="3" borderId="30" xfId="2" applyNumberFormat="1" applyFont="1" applyFill="1" applyBorder="1" applyAlignment="1">
      <alignment horizontal="center"/>
    </xf>
    <xf numFmtId="3" fontId="10" fillId="3" borderId="64"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5" xfId="2" applyNumberFormat="1" applyFont="1" applyFill="1" applyBorder="1" applyAlignment="1">
      <alignment horizontal="center"/>
    </xf>
    <xf numFmtId="3" fontId="12" fillId="3" borderId="36" xfId="2" applyNumberFormat="1" applyFont="1" applyFill="1" applyBorder="1" applyAlignment="1">
      <alignment horizontal="center"/>
    </xf>
    <xf numFmtId="3" fontId="12" fillId="3" borderId="40" xfId="2" applyNumberFormat="1" applyFont="1" applyFill="1" applyBorder="1" applyAlignment="1">
      <alignment horizontal="center"/>
    </xf>
    <xf numFmtId="3" fontId="12" fillId="3" borderId="63" xfId="2" applyNumberFormat="1" applyFont="1" applyFill="1" applyBorder="1" applyAlignment="1">
      <alignment horizontal="center"/>
    </xf>
    <xf numFmtId="168" fontId="10" fillId="0" borderId="52" xfId="2" applyNumberFormat="1" applyFont="1" applyFill="1" applyBorder="1" applyAlignment="1">
      <alignment horizontal="center"/>
    </xf>
    <xf numFmtId="168" fontId="10" fillId="0" borderId="14" xfId="2" applyNumberFormat="1" applyFont="1" applyFill="1" applyBorder="1" applyAlignment="1">
      <alignment horizontal="center"/>
    </xf>
    <xf numFmtId="168" fontId="10" fillId="0" borderId="53" xfId="2" applyNumberFormat="1" applyFont="1" applyFill="1" applyBorder="1" applyAlignment="1">
      <alignment horizontal="center"/>
    </xf>
    <xf numFmtId="168" fontId="10" fillId="0" borderId="18" xfId="2" applyNumberFormat="1" applyFont="1" applyFill="1" applyBorder="1" applyAlignment="1">
      <alignment horizontal="center"/>
    </xf>
    <xf numFmtId="168" fontId="12" fillId="0" borderId="53" xfId="2" applyNumberFormat="1" applyFont="1" applyFill="1" applyBorder="1" applyAlignment="1">
      <alignment horizontal="center"/>
    </xf>
    <xf numFmtId="168" fontId="12" fillId="0" borderId="18" xfId="2" applyNumberFormat="1" applyFont="1" applyFill="1" applyBorder="1" applyAlignment="1">
      <alignment horizontal="center"/>
    </xf>
    <xf numFmtId="168" fontId="12" fillId="0" borderId="54" xfId="2" applyNumberFormat="1" applyFont="1" applyFill="1" applyBorder="1" applyAlignment="1">
      <alignment horizontal="center"/>
    </xf>
    <xf numFmtId="168" fontId="12" fillId="0" borderId="15" xfId="2" applyNumberFormat="1" applyFont="1" applyFill="1" applyBorder="1" applyAlignment="1">
      <alignment horizontal="center"/>
    </xf>
    <xf numFmtId="3" fontId="10" fillId="3" borderId="46" xfId="2" applyNumberFormat="1" applyFont="1" applyFill="1" applyBorder="1" applyAlignment="1">
      <alignment horizontal="center"/>
    </xf>
    <xf numFmtId="3" fontId="10" fillId="3" borderId="55" xfId="2" applyNumberFormat="1" applyFont="1" applyFill="1" applyBorder="1" applyAlignment="1">
      <alignment horizontal="center"/>
    </xf>
    <xf numFmtId="3" fontId="19" fillId="3" borderId="36" xfId="2" applyNumberFormat="1" applyFont="1" applyFill="1" applyBorder="1" applyAlignment="1">
      <alignment horizontal="center"/>
    </xf>
    <xf numFmtId="3" fontId="19" fillId="3" borderId="40" xfId="2" applyNumberFormat="1" applyFont="1" applyFill="1" applyBorder="1" applyAlignment="1">
      <alignment horizontal="center"/>
    </xf>
    <xf numFmtId="3" fontId="19" fillId="3" borderId="32" xfId="2" applyNumberFormat="1" applyFont="1" applyFill="1" applyBorder="1" applyAlignment="1">
      <alignment horizontal="center"/>
    </xf>
    <xf numFmtId="3" fontId="19" fillId="3" borderId="35" xfId="2" applyNumberFormat="1" applyFont="1" applyFill="1" applyBorder="1" applyAlignment="1">
      <alignment horizontal="center"/>
    </xf>
    <xf numFmtId="165" fontId="10" fillId="3" borderId="30" xfId="1" applyNumberFormat="1" applyFont="1" applyFill="1" applyBorder="1" applyAlignment="1">
      <alignment horizontal="center"/>
    </xf>
    <xf numFmtId="165" fontId="10" fillId="3" borderId="64" xfId="1" applyNumberFormat="1" applyFont="1" applyFill="1" applyBorder="1" applyAlignment="1">
      <alignment horizontal="center"/>
    </xf>
    <xf numFmtId="168" fontId="20" fillId="0" borderId="53" xfId="2" applyNumberFormat="1" applyFont="1" applyFill="1" applyBorder="1" applyAlignment="1">
      <alignment horizontal="center"/>
    </xf>
    <xf numFmtId="168" fontId="20" fillId="0" borderId="18" xfId="2" applyNumberFormat="1" applyFont="1" applyFill="1" applyBorder="1" applyAlignment="1">
      <alignment horizontal="center"/>
    </xf>
    <xf numFmtId="9" fontId="10" fillId="0" borderId="54" xfId="1" applyFont="1" applyFill="1" applyBorder="1" applyAlignment="1">
      <alignment horizontal="center"/>
    </xf>
    <xf numFmtId="9" fontId="10" fillId="0" borderId="15" xfId="1" applyFont="1" applyFill="1" applyBorder="1" applyAlignment="1">
      <alignment horizontal="center"/>
    </xf>
    <xf numFmtId="0" fontId="31" fillId="3" borderId="0" xfId="0" applyFont="1" applyFill="1" applyBorder="1"/>
    <xf numFmtId="9" fontId="10" fillId="0" borderId="59" xfId="1" applyFont="1" applyFill="1" applyBorder="1" applyAlignment="1">
      <alignment horizontal="center"/>
    </xf>
    <xf numFmtId="9" fontId="10" fillId="0" borderId="61" xfId="1" applyFont="1" applyFill="1" applyBorder="1" applyAlignment="1">
      <alignment horizontal="center"/>
    </xf>
    <xf numFmtId="168" fontId="0" fillId="3" borderId="0" xfId="0" applyNumberFormat="1" applyFill="1"/>
    <xf numFmtId="3" fontId="10" fillId="3" borderId="33" xfId="2" applyNumberFormat="1" applyFont="1" applyFill="1" applyBorder="1" applyAlignment="1">
      <alignment horizontal="center"/>
    </xf>
    <xf numFmtId="3" fontId="10" fillId="3" borderId="34" xfId="2" applyNumberFormat="1" applyFont="1" applyFill="1" applyBorder="1" applyAlignment="1">
      <alignment horizontal="center"/>
    </xf>
    <xf numFmtId="3" fontId="10" fillId="0" borderId="50" xfId="2" applyNumberFormat="1" applyFont="1" applyFill="1" applyBorder="1" applyAlignment="1">
      <alignment horizontal="center"/>
    </xf>
    <xf numFmtId="166" fontId="12" fillId="3" borderId="34" xfId="2" applyNumberFormat="1" applyFont="1" applyFill="1" applyBorder="1" applyAlignment="1">
      <alignment horizontal="center"/>
    </xf>
    <xf numFmtId="165" fontId="10" fillId="0" borderId="31" xfId="2" applyNumberFormat="1" applyFont="1" applyFill="1" applyBorder="1" applyAlignment="1">
      <alignment horizontal="center"/>
    </xf>
    <xf numFmtId="165" fontId="10" fillId="0" borderId="24" xfId="2" applyNumberFormat="1" applyFont="1" applyFill="1" applyBorder="1" applyAlignment="1">
      <alignment horizontal="center"/>
    </xf>
    <xf numFmtId="165" fontId="10" fillId="0" borderId="58" xfId="2" applyNumberFormat="1" applyFont="1" applyFill="1" applyBorder="1" applyAlignment="1">
      <alignment horizontal="center"/>
    </xf>
    <xf numFmtId="0" fontId="10" fillId="3" borderId="11"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0" fillId="0" borderId="38" xfId="2" applyNumberFormat="1" applyFont="1" applyFill="1" applyBorder="1" applyAlignment="1">
      <alignment horizontal="center"/>
    </xf>
    <xf numFmtId="165" fontId="10" fillId="0" borderId="42" xfId="2" applyNumberFormat="1" applyFont="1" applyFill="1" applyBorder="1" applyAlignment="1">
      <alignment horizontal="center"/>
    </xf>
    <xf numFmtId="166" fontId="10" fillId="3" borderId="28" xfId="2" applyNumberFormat="1" applyFont="1" applyFill="1" applyBorder="1" applyAlignment="1">
      <alignment horizontal="center"/>
    </xf>
    <xf numFmtId="166" fontId="10" fillId="3" borderId="25" xfId="2" applyNumberFormat="1" applyFont="1" applyFill="1" applyBorder="1" applyAlignment="1">
      <alignment horizontal="center"/>
    </xf>
    <xf numFmtId="166" fontId="10" fillId="3" borderId="29" xfId="2" applyNumberFormat="1" applyFont="1" applyFill="1" applyBorder="1" applyAlignment="1">
      <alignment horizontal="center"/>
    </xf>
    <xf numFmtId="166" fontId="10" fillId="3" borderId="26" xfId="2" applyNumberFormat="1" applyFont="1" applyFill="1" applyBorder="1" applyAlignment="1">
      <alignment horizontal="center"/>
    </xf>
    <xf numFmtId="166" fontId="10" fillId="3" borderId="47" xfId="2" applyNumberFormat="1" applyFont="1" applyFill="1" applyBorder="1" applyAlignment="1">
      <alignment horizontal="center"/>
    </xf>
    <xf numFmtId="9" fontId="10" fillId="3" borderId="28" xfId="2" applyNumberFormat="1" applyFont="1" applyFill="1" applyBorder="1" applyAlignment="1">
      <alignment horizontal="center"/>
    </xf>
    <xf numFmtId="9" fontId="10" fillId="3" borderId="25" xfId="2" applyNumberFormat="1" applyFont="1" applyFill="1" applyBorder="1" applyAlignment="1">
      <alignment horizontal="center"/>
    </xf>
    <xf numFmtId="9" fontId="10" fillId="3" borderId="46" xfId="2" applyNumberFormat="1" applyFont="1" applyFill="1" applyBorder="1" applyAlignment="1">
      <alignment horizontal="center"/>
    </xf>
    <xf numFmtId="9" fontId="10" fillId="3" borderId="33" xfId="2" applyNumberFormat="1" applyFont="1" applyFill="1" applyBorder="1" applyAlignment="1">
      <alignment horizontal="center"/>
    </xf>
    <xf numFmtId="9" fontId="10" fillId="3" borderId="29" xfId="2" applyNumberFormat="1" applyFont="1" applyFill="1" applyBorder="1" applyAlignment="1">
      <alignment horizontal="center"/>
    </xf>
    <xf numFmtId="9" fontId="10" fillId="3" borderId="26" xfId="2" applyNumberFormat="1" applyFont="1" applyFill="1" applyBorder="1" applyAlignment="1">
      <alignment horizontal="center"/>
    </xf>
    <xf numFmtId="9" fontId="10" fillId="3" borderId="36" xfId="2" applyNumberFormat="1" applyFont="1" applyFill="1" applyBorder="1" applyAlignment="1">
      <alignment horizontal="center"/>
    </xf>
    <xf numFmtId="9" fontId="10" fillId="3" borderId="32" xfId="2" applyNumberFormat="1" applyFont="1" applyFill="1" applyBorder="1" applyAlignment="1">
      <alignment horizontal="center"/>
    </xf>
    <xf numFmtId="9" fontId="10" fillId="3" borderId="37" xfId="2" applyNumberFormat="1" applyFont="1" applyFill="1" applyBorder="1" applyAlignment="1">
      <alignment horizontal="center"/>
    </xf>
    <xf numFmtId="9" fontId="10" fillId="3" borderId="34" xfId="2" applyNumberFormat="1" applyFont="1" applyFill="1" applyBorder="1" applyAlignment="1">
      <alignment horizontal="center"/>
    </xf>
    <xf numFmtId="9" fontId="10" fillId="3" borderId="45" xfId="2" applyNumberFormat="1" applyFont="1" applyFill="1" applyBorder="1" applyAlignment="1">
      <alignment horizontal="center"/>
    </xf>
    <xf numFmtId="9" fontId="10" fillId="3" borderId="35" xfId="2" applyNumberFormat="1" applyFont="1" applyFill="1" applyBorder="1" applyAlignment="1">
      <alignment horizontal="center"/>
    </xf>
    <xf numFmtId="0" fontId="26" fillId="6" borderId="10" xfId="0" applyFont="1" applyFill="1" applyBorder="1"/>
    <xf numFmtId="0" fontId="26" fillId="6" borderId="11" xfId="0" applyFont="1" applyFill="1" applyBorder="1"/>
    <xf numFmtId="166" fontId="0" fillId="3" borderId="0" xfId="0" applyNumberFormat="1" applyFill="1"/>
    <xf numFmtId="166" fontId="10" fillId="3" borderId="37" xfId="2" applyNumberFormat="1" applyFont="1" applyFill="1" applyBorder="1" applyAlignment="1">
      <alignment horizontal="center"/>
    </xf>
    <xf numFmtId="166" fontId="10" fillId="3" borderId="34" xfId="2" applyNumberFormat="1" applyFont="1" applyFill="1" applyBorder="1" applyAlignment="1">
      <alignment horizontal="center"/>
    </xf>
    <xf numFmtId="166" fontId="10" fillId="3" borderId="33" xfId="2" applyNumberFormat="1" applyFont="1" applyFill="1" applyBorder="1" applyAlignment="1">
      <alignment horizontal="center"/>
    </xf>
    <xf numFmtId="166" fontId="10" fillId="3" borderId="46" xfId="2" applyNumberFormat="1" applyFont="1" applyFill="1" applyBorder="1" applyAlignment="1">
      <alignment horizontal="center"/>
    </xf>
    <xf numFmtId="166" fontId="10" fillId="3" borderId="45" xfId="2" applyNumberFormat="1" applyFont="1" applyFill="1" applyBorder="1" applyAlignment="1">
      <alignment horizontal="center"/>
    </xf>
    <xf numFmtId="166" fontId="10" fillId="3" borderId="35" xfId="2" applyNumberFormat="1" applyFont="1" applyFill="1" applyBorder="1" applyAlignment="1">
      <alignment horizontal="center"/>
    </xf>
    <xf numFmtId="166" fontId="10" fillId="3" borderId="32" xfId="2" applyNumberFormat="1" applyFont="1" applyFill="1" applyBorder="1" applyAlignment="1">
      <alignment horizontal="center"/>
    </xf>
    <xf numFmtId="166" fontId="10" fillId="3" borderId="36" xfId="2" applyNumberFormat="1" applyFont="1" applyFill="1" applyBorder="1" applyAlignment="1">
      <alignment horizontal="center"/>
    </xf>
    <xf numFmtId="166" fontId="10" fillId="0" borderId="28" xfId="2" applyNumberFormat="1" applyFont="1" applyFill="1" applyBorder="1" applyAlignment="1">
      <alignment horizontal="center"/>
    </xf>
    <xf numFmtId="166" fontId="10" fillId="0" borderId="25" xfId="2" applyNumberFormat="1" applyFont="1" applyFill="1" applyBorder="1" applyAlignment="1">
      <alignment horizontal="center"/>
    </xf>
    <xf numFmtId="166" fontId="10" fillId="0" borderId="36" xfId="2" applyNumberFormat="1" applyFont="1" applyFill="1" applyBorder="1" applyAlignment="1">
      <alignment horizontal="center"/>
    </xf>
    <xf numFmtId="166" fontId="10" fillId="0" borderId="32" xfId="2" applyNumberFormat="1" applyFont="1" applyFill="1" applyBorder="1" applyAlignment="1">
      <alignment horizontal="center"/>
    </xf>
    <xf numFmtId="168" fontId="12" fillId="3" borderId="29" xfId="2" applyNumberFormat="1" applyFont="1" applyFill="1" applyBorder="1" applyAlignment="1">
      <alignment horizontal="center"/>
    </xf>
    <xf numFmtId="168" fontId="10" fillId="3" borderId="29" xfId="2" applyNumberFormat="1" applyFont="1" applyFill="1" applyBorder="1" applyAlignment="1">
      <alignment horizontal="center"/>
    </xf>
    <xf numFmtId="168" fontId="10" fillId="3" borderId="63"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12" fillId="3" borderId="63" xfId="2" applyNumberFormat="1" applyFont="1" applyFill="1" applyBorder="1" applyAlignment="1">
      <alignment horizontal="center"/>
    </xf>
    <xf numFmtId="168" fontId="19" fillId="3" borderId="29" xfId="2" applyNumberFormat="1" applyFont="1" applyFill="1" applyBorder="1" applyAlignment="1">
      <alignment horizontal="center"/>
    </xf>
    <xf numFmtId="168" fontId="12" fillId="3" borderId="26" xfId="2" applyNumberFormat="1" applyFont="1" applyFill="1" applyBorder="1" applyAlignment="1">
      <alignment horizontal="center"/>
    </xf>
    <xf numFmtId="168" fontId="12" fillId="3" borderId="45" xfId="2" applyNumberFormat="1" applyFont="1" applyFill="1" applyBorder="1" applyAlignment="1">
      <alignment horizontal="center"/>
    </xf>
    <xf numFmtId="168" fontId="10" fillId="3" borderId="30" xfId="2" applyNumberFormat="1" applyFont="1" applyFill="1" applyBorder="1" applyAlignment="1">
      <alignment horizontal="center"/>
    </xf>
    <xf numFmtId="168" fontId="10" fillId="3" borderId="64" xfId="2" applyNumberFormat="1" applyFont="1" applyFill="1" applyBorder="1" applyAlignment="1">
      <alignment horizontal="center"/>
    </xf>
    <xf numFmtId="168" fontId="10" fillId="3" borderId="27" xfId="2" applyNumberFormat="1" applyFont="1" applyFill="1" applyBorder="1" applyAlignment="1">
      <alignment horizontal="center"/>
    </xf>
    <xf numFmtId="168" fontId="10" fillId="3" borderId="65" xfId="2" applyNumberFormat="1" applyFont="1" applyFill="1" applyBorder="1" applyAlignment="1">
      <alignment horizontal="center"/>
    </xf>
    <xf numFmtId="168" fontId="12" fillId="3" borderId="36" xfId="2" applyNumberFormat="1" applyFont="1" applyFill="1" applyBorder="1" applyAlignment="1">
      <alignment horizontal="center"/>
    </xf>
    <xf numFmtId="168" fontId="12" fillId="3" borderId="40" xfId="2" applyNumberFormat="1" applyFont="1" applyFill="1" applyBorder="1" applyAlignment="1">
      <alignment horizontal="center"/>
    </xf>
    <xf numFmtId="168" fontId="12" fillId="3" borderId="32" xfId="2" applyNumberFormat="1" applyFont="1" applyFill="1" applyBorder="1" applyAlignment="1">
      <alignment horizontal="center"/>
    </xf>
    <xf numFmtId="168" fontId="12" fillId="3" borderId="35" xfId="2" applyNumberFormat="1" applyFont="1" applyFill="1" applyBorder="1" applyAlignment="1">
      <alignment horizontal="center"/>
    </xf>
    <xf numFmtId="43" fontId="10" fillId="3" borderId="0" xfId="27" applyFont="1" applyFill="1"/>
    <xf numFmtId="0" fontId="8" fillId="3" borderId="0" xfId="0" applyFont="1" applyFill="1" applyAlignment="1">
      <alignment horizontal="left" vertical="top" wrapText="1"/>
    </xf>
    <xf numFmtId="0" fontId="12" fillId="3" borderId="10" xfId="0" applyFont="1" applyFill="1" applyBorder="1" applyAlignment="1">
      <alignment horizontal="center" vertical="center"/>
    </xf>
    <xf numFmtId="0" fontId="12" fillId="3" borderId="7" xfId="0" applyFont="1" applyFill="1" applyBorder="1" applyAlignment="1">
      <alignment horizontal="center" vertical="center"/>
    </xf>
    <xf numFmtId="0" fontId="12" fillId="0" borderId="10" xfId="0" applyFont="1" applyFill="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2" fillId="3" borderId="10"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26" fillId="6" borderId="2" xfId="0" applyFont="1" applyFill="1" applyBorder="1" applyAlignment="1">
      <alignment horizontal="left"/>
    </xf>
    <xf numFmtId="0" fontId="26" fillId="6" borderId="4" xfId="0" applyFont="1" applyFill="1" applyBorder="1" applyAlignment="1">
      <alignment horizontal="left"/>
    </xf>
    <xf numFmtId="0" fontId="12" fillId="3" borderId="5" xfId="0" applyFont="1" applyFill="1" applyBorder="1" applyAlignment="1">
      <alignment horizontal="center" vertical="center"/>
    </xf>
    <xf numFmtId="0" fontId="12" fillId="0"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0" fontId="10" fillId="0" borderId="2"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5" borderId="2" xfId="2" applyFont="1" applyFill="1" applyBorder="1" applyAlignment="1">
      <alignment horizontal="center" vertical="center" wrapText="1"/>
    </xf>
    <xf numFmtId="0" fontId="10" fillId="5" borderId="4" xfId="2" applyFont="1" applyFill="1" applyBorder="1" applyAlignment="1">
      <alignment horizontal="center" vertical="center" wrapText="1"/>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9" fillId="3" borderId="10" xfId="0" applyFont="1" applyFill="1" applyBorder="1" applyAlignment="1">
      <alignment horizontal="center" vertic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9" fillId="0" borderId="10" xfId="0" applyFont="1" applyFill="1" applyBorder="1" applyAlignment="1">
      <alignment horizontal="center" vertical="center"/>
    </xf>
    <xf numFmtId="0" fontId="19" fillId="0" borderId="5" xfId="0" applyFont="1" applyFill="1" applyBorder="1" applyAlignment="1">
      <alignment horizontal="center" vertical="center"/>
    </xf>
    <xf numFmtId="0" fontId="17" fillId="3" borderId="0" xfId="0" applyFont="1" applyFill="1" applyAlignment="1">
      <alignment horizontal="center"/>
    </xf>
    <xf numFmtId="0" fontId="0" fillId="0" borderId="0" xfId="0" applyAlignment="1">
      <alignment horizontal="center"/>
    </xf>
    <xf numFmtId="0" fontId="23" fillId="6" borderId="0" xfId="0" applyFont="1" applyFill="1" applyAlignment="1">
      <alignment horizontal="center"/>
    </xf>
    <xf numFmtId="0" fontId="22" fillId="6" borderId="0" xfId="0" applyFont="1" applyFill="1" applyAlignment="1">
      <alignment horizontal="center"/>
    </xf>
    <xf numFmtId="0" fontId="12" fillId="0" borderId="5" xfId="0" applyFont="1" applyFill="1" applyBorder="1" applyAlignment="1">
      <alignment horizontal="center" vertical="center" wrapText="1"/>
    </xf>
    <xf numFmtId="0" fontId="10" fillId="3" borderId="8" xfId="0" applyFont="1" applyFill="1" applyBorder="1" applyAlignment="1">
      <alignment vertical="center" wrapText="1"/>
    </xf>
    <xf numFmtId="0" fontId="10" fillId="3" borderId="9" xfId="0" applyFont="1" applyFill="1" applyBorder="1" applyAlignment="1">
      <alignment vertical="center" wrapText="1"/>
    </xf>
    <xf numFmtId="0" fontId="10" fillId="3" borderId="11" xfId="0" applyFont="1" applyFill="1" applyBorder="1" applyAlignment="1">
      <alignment vertical="center" wrapText="1"/>
    </xf>
    <xf numFmtId="0" fontId="10" fillId="3" borderId="12" xfId="0" applyFont="1" applyFill="1" applyBorder="1" applyAlignment="1">
      <alignment vertical="center" wrapText="1"/>
    </xf>
    <xf numFmtId="0" fontId="10" fillId="3" borderId="0" xfId="0" applyFont="1" applyFill="1" applyBorder="1" applyAlignment="1">
      <alignment vertical="center" wrapText="1"/>
    </xf>
    <xf numFmtId="0" fontId="10" fillId="3" borderId="6" xfId="0" applyFont="1" applyFill="1" applyBorder="1" applyAlignment="1">
      <alignment vertical="center" wrapText="1"/>
    </xf>
    <xf numFmtId="0" fontId="23" fillId="6" borderId="10" xfId="0" applyFont="1" applyFill="1" applyBorder="1" applyAlignment="1">
      <alignment horizontal="center"/>
    </xf>
    <xf numFmtId="0" fontId="23" fillId="6" borderId="12" xfId="0" applyFont="1" applyFill="1" applyBorder="1" applyAlignment="1">
      <alignment horizontal="center"/>
    </xf>
    <xf numFmtId="0" fontId="23" fillId="6" borderId="11" xfId="0" applyFont="1" applyFill="1" applyBorder="1" applyAlignment="1">
      <alignment horizontal="center"/>
    </xf>
    <xf numFmtId="0" fontId="7" fillId="3" borderId="0" xfId="3" applyFont="1" applyFill="1" applyAlignment="1" applyProtection="1">
      <alignment horizontal="left"/>
    </xf>
    <xf numFmtId="0" fontId="8" fillId="5" borderId="5" xfId="3" applyNumberFormat="1" applyFont="1" applyFill="1" applyBorder="1" applyAlignment="1">
      <alignment horizontal="left"/>
    </xf>
    <xf numFmtId="0" fontId="8" fillId="5" borderId="0" xfId="3" applyNumberFormat="1" applyFont="1" applyFill="1" applyBorder="1" applyAlignment="1">
      <alignment horizontal="left"/>
    </xf>
    <xf numFmtId="0" fontId="22" fillId="6" borderId="10"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2" fillId="6" borderId="10"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7" xfId="0" applyFont="1" applyFill="1" applyBorder="1" applyAlignment="1">
      <alignment horizontal="center" vertical="center"/>
    </xf>
    <xf numFmtId="0" fontId="26" fillId="6" borderId="11"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0" xfId="0" applyFont="1" applyFill="1" applyBorder="1" applyAlignment="1">
      <alignment horizontal="center" vertical="center"/>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6" fillId="6" borderId="7" xfId="0" applyFont="1" applyFill="1" applyBorder="1" applyAlignment="1">
      <alignment horizontal="center" vertical="center"/>
    </xf>
    <xf numFmtId="0" fontId="32" fillId="6" borderId="11" xfId="0" applyFont="1" applyFill="1" applyBorder="1" applyAlignment="1">
      <alignment horizontal="center" vertical="center" wrapText="1"/>
    </xf>
    <xf numFmtId="0" fontId="32" fillId="6" borderId="12"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2" fillId="6" borderId="9" xfId="0" applyFont="1" applyFill="1" applyBorder="1" applyAlignment="1">
      <alignment horizontal="center" vertical="center" wrapText="1"/>
    </xf>
  </cellXfs>
  <cellStyles count="28">
    <cellStyle name="Beräkning 2" xfId="13"/>
    <cellStyle name="Calculation" xfId="7" builtinId="22"/>
    <cellStyle name="Comma" xfId="27" builtinId="3"/>
    <cellStyle name="Förklarande text 2" xfId="14"/>
    <cellStyle name="Indata 2" xfId="12"/>
    <cellStyle name="Input" xfId="2" builtinId="20"/>
    <cellStyle name="Länkat rubrikår" xfId="10"/>
    <cellStyle name="Neutral 2" xfId="11"/>
    <cellStyle name="Normal" xfId="0" builtinId="0"/>
    <cellStyle name="Normal 12" xfId="19"/>
    <cellStyle name="Normal 2" xfId="9"/>
    <cellStyle name="Normal 2 2" xfId="16"/>
    <cellStyle name="Normal 2 4" xfId="22"/>
    <cellStyle name="Normal 3" xfId="17"/>
    <cellStyle name="Normal 4" xfId="6"/>
    <cellStyle name="Normal 4 2" xfId="20"/>
    <cellStyle name="Normal 5" xfId="23"/>
    <cellStyle name="Normal 6" xfId="21"/>
    <cellStyle name="Normal 7" xfId="24"/>
    <cellStyle name="Normal 8 2" xfId="3"/>
    <cellStyle name="Normal 9" xfId="4"/>
    <cellStyle name="Percent" xfId="1" builtinId="5"/>
    <cellStyle name="Procent 2" xfId="15"/>
    <cellStyle name="Procent 3" xfId="5"/>
    <cellStyle name="Procent 4" xfId="25"/>
    <cellStyle name="Procent 6" xfId="18"/>
    <cellStyle name="Rubrik 2 PS" xfId="8"/>
    <cellStyle name="Tusental 2" xfId="26"/>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0.16043102663443456</c:v>
                </c:pt>
                <c:pt idx="1">
                  <c:v>8.710102670583772E-2</c:v>
                </c:pt>
                <c:pt idx="2">
                  <c:v>0.14346025708900673</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0.13372072886924891</c:v>
                </c:pt>
                <c:pt idx="1">
                  <c:v>7.6334383167790523E-2</c:v>
                </c:pt>
                <c:pt idx="2">
                  <c:v>7.6334383167790523E-2</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10.659926180053853</c:v>
                </c:pt>
                <c:pt idx="2">
                  <c:v>18.787993697043081</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21.462424372705144</c:v>
                </c:pt>
                <c:pt idx="1">
                  <c:v>21.75747943737116</c:v>
                </c:pt>
                <c:pt idx="2">
                  <c:v>21.75747943737116</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9.8222848467547585</c:v>
                </c:pt>
                <c:pt idx="1">
                  <c:v>5.3353378371329088</c:v>
                </c:pt>
                <c:pt idx="2">
                  <c:v>8.7834111868409348</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6.331070923366525</c:v>
                </c:pt>
                <c:pt idx="1">
                  <c:v>3.6970964182809305</c:v>
                </c:pt>
                <c:pt idx="2">
                  <c:v>3.6970964182809305</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11.21232171264937</c:v>
                </c:pt>
                <c:pt idx="1">
                  <c:v>6.0002099137727312</c:v>
                </c:pt>
                <c:pt idx="2">
                  <c:v>5.6424832121928095</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8.2826821776793018</c:v>
                </c:pt>
                <c:pt idx="1">
                  <c:v>1.9062348715434425</c:v>
                </c:pt>
                <c:pt idx="2">
                  <c:v>1.9062348715434425</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70000"/>
  </sheetPr>
  <dimension ref="A1:J26"/>
  <sheetViews>
    <sheetView zoomScale="70" zoomScaleNormal="70" workbookViewId="0"/>
  </sheetViews>
  <sheetFormatPr defaultColWidth="8.85546875" defaultRowHeight="15" x14ac:dyDescent="0.25"/>
  <cols>
    <col min="1" max="1" width="25" style="26" customWidth="1"/>
    <col min="2" max="2" width="54.5703125" style="26" customWidth="1"/>
    <col min="3" max="16384" width="8.85546875" style="26"/>
  </cols>
  <sheetData>
    <row r="1" spans="1:10" ht="18" x14ac:dyDescent="0.25">
      <c r="A1" s="126" t="s">
        <v>386</v>
      </c>
    </row>
    <row r="2" spans="1:10" ht="16.5" customHeight="1" x14ac:dyDescent="0.25"/>
    <row r="3" spans="1:10" ht="308.25" customHeight="1" x14ac:dyDescent="0.25">
      <c r="A3" s="584" t="s">
        <v>384</v>
      </c>
      <c r="B3" s="584"/>
      <c r="C3" s="584"/>
      <c r="D3" s="584"/>
      <c r="E3" s="584"/>
      <c r="F3" s="584"/>
      <c r="G3" s="584"/>
      <c r="H3" s="584"/>
      <c r="I3" s="584"/>
      <c r="J3" s="36"/>
    </row>
    <row r="4" spans="1:10" ht="15.75" customHeight="1" thickBot="1" x14ac:dyDescent="0.3"/>
    <row r="5" spans="1:10" ht="15.75" thickBot="1" x14ac:dyDescent="0.3">
      <c r="A5" s="109" t="s">
        <v>249</v>
      </c>
      <c r="B5" s="158" t="s">
        <v>67</v>
      </c>
      <c r="C5" s="40"/>
    </row>
    <row r="6" spans="1:10" x14ac:dyDescent="0.25">
      <c r="A6" s="297" t="s">
        <v>181</v>
      </c>
      <c r="B6" s="298" t="s">
        <v>282</v>
      </c>
      <c r="C6" s="40"/>
    </row>
    <row r="7" spans="1:10" x14ac:dyDescent="0.25">
      <c r="A7" s="299" t="s">
        <v>346</v>
      </c>
      <c r="B7" s="300" t="s">
        <v>347</v>
      </c>
      <c r="C7" s="40"/>
    </row>
    <row r="8" spans="1:10" x14ac:dyDescent="0.25">
      <c r="A8" s="299" t="s">
        <v>283</v>
      </c>
      <c r="B8" s="300" t="s">
        <v>281</v>
      </c>
      <c r="C8" s="40"/>
    </row>
    <row r="9" spans="1:10" x14ac:dyDescent="0.25">
      <c r="A9" s="299" t="s">
        <v>374</v>
      </c>
      <c r="B9" s="300" t="s">
        <v>375</v>
      </c>
      <c r="C9" s="40"/>
    </row>
    <row r="10" spans="1:10" x14ac:dyDescent="0.25">
      <c r="A10" s="299" t="s">
        <v>246</v>
      </c>
      <c r="B10" s="300" t="s">
        <v>212</v>
      </c>
      <c r="C10" s="40"/>
    </row>
    <row r="11" spans="1:10" x14ac:dyDescent="0.25">
      <c r="A11" s="299" t="s">
        <v>247</v>
      </c>
      <c r="B11" s="300" t="s">
        <v>250</v>
      </c>
      <c r="C11" s="40"/>
    </row>
    <row r="12" spans="1:10" x14ac:dyDescent="0.25">
      <c r="A12" s="299" t="s">
        <v>248</v>
      </c>
      <c r="B12" s="300" t="s">
        <v>251</v>
      </c>
      <c r="C12" s="40"/>
    </row>
    <row r="13" spans="1:10" ht="15.75" thickBot="1" x14ac:dyDescent="0.3">
      <c r="A13" s="301" t="s">
        <v>180</v>
      </c>
      <c r="B13" s="302" t="s">
        <v>252</v>
      </c>
      <c r="C13" s="40"/>
    </row>
    <row r="15" spans="1:10" x14ac:dyDescent="0.25">
      <c r="A15" s="382" t="s">
        <v>348</v>
      </c>
      <c r="B15" s="217"/>
    </row>
    <row r="16" spans="1:10" x14ac:dyDescent="0.25">
      <c r="A16" s="217" t="s">
        <v>349</v>
      </c>
      <c r="B16" s="217"/>
    </row>
    <row r="17" spans="1:2" x14ac:dyDescent="0.25">
      <c r="A17" s="217" t="s">
        <v>350</v>
      </c>
      <c r="B17" s="217"/>
    </row>
    <row r="18" spans="1:2" x14ac:dyDescent="0.25">
      <c r="A18" s="217" t="s">
        <v>351</v>
      </c>
      <c r="B18" s="217"/>
    </row>
    <row r="19" spans="1:2" x14ac:dyDescent="0.25">
      <c r="A19" s="217" t="s">
        <v>352</v>
      </c>
      <c r="B19" s="217"/>
    </row>
    <row r="20" spans="1:2" x14ac:dyDescent="0.25">
      <c r="A20" s="217" t="s">
        <v>353</v>
      </c>
      <c r="B20" s="217"/>
    </row>
    <row r="21" spans="1:2" x14ac:dyDescent="0.25">
      <c r="A21" s="217"/>
      <c r="B21" s="217"/>
    </row>
    <row r="22" spans="1:2" x14ac:dyDescent="0.25">
      <c r="A22" s="217"/>
      <c r="B22" s="217"/>
    </row>
    <row r="23" spans="1:2" x14ac:dyDescent="0.25">
      <c r="A23" s="217"/>
      <c r="B23" s="217"/>
    </row>
    <row r="24" spans="1:2" x14ac:dyDescent="0.25">
      <c r="A24" s="217"/>
      <c r="B24" s="217"/>
    </row>
    <row r="25" spans="1:2" x14ac:dyDescent="0.25">
      <c r="A25" s="217"/>
      <c r="B25" s="217"/>
    </row>
    <row r="26" spans="1:2" x14ac:dyDescent="0.25">
      <c r="A26" s="217"/>
      <c r="B26" s="217"/>
    </row>
  </sheetData>
  <mergeCells count="1">
    <mergeCell ref="A3:I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M99"/>
  <sheetViews>
    <sheetView zoomScale="70" zoomScaleNormal="70" workbookViewId="0">
      <pane ySplit="4" topLeftCell="A5" activePane="bottomLeft" state="frozen"/>
      <selection pane="bottomLeft" activeCell="A53" sqref="A53:A68"/>
    </sheetView>
  </sheetViews>
  <sheetFormatPr defaultColWidth="8.85546875" defaultRowHeight="15" x14ac:dyDescent="0.25"/>
  <cols>
    <col min="1" max="1" width="22.140625" style="40" customWidth="1"/>
    <col min="2" max="2" width="27.140625" style="40" bestFit="1" customWidth="1"/>
    <col min="3" max="3" width="29.28515625" style="40" bestFit="1" customWidth="1"/>
    <col min="4" max="9" width="13.28515625" style="40" customWidth="1"/>
    <col min="10" max="10" width="8.85546875" style="26"/>
    <col min="11" max="11" width="22.140625" style="40" customWidth="1"/>
    <col min="12" max="12" width="27.140625" style="40" bestFit="1" customWidth="1"/>
    <col min="13" max="13" width="29.28515625" style="40" bestFit="1" customWidth="1"/>
    <col min="14" max="19" width="13.28515625" style="40" customWidth="1"/>
    <col min="20" max="20" width="8.85546875" style="26"/>
    <col min="21" max="21" width="22.140625" style="40" customWidth="1"/>
    <col min="22" max="22" width="27.140625" style="40" bestFit="1" customWidth="1"/>
    <col min="23" max="23" width="29.28515625" style="40" bestFit="1" customWidth="1"/>
    <col min="24" max="29" width="13.28515625" style="40"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26" t="s">
        <v>254</v>
      </c>
    </row>
    <row r="2" spans="1:39" ht="15.75" thickBot="1" x14ac:dyDescent="0.3"/>
    <row r="3" spans="1:39" s="325" customFormat="1" ht="25.9" customHeight="1" thickBot="1" x14ac:dyDescent="0.3">
      <c r="A3" s="638" t="s">
        <v>67</v>
      </c>
      <c r="B3" s="644" t="s">
        <v>226</v>
      </c>
      <c r="C3" s="645"/>
      <c r="D3" s="638" t="s">
        <v>64</v>
      </c>
      <c r="E3" s="637"/>
      <c r="F3" s="638" t="s">
        <v>65</v>
      </c>
      <c r="G3" s="637"/>
      <c r="H3" s="636" t="s">
        <v>66</v>
      </c>
      <c r="I3" s="637"/>
      <c r="K3" s="638" t="s">
        <v>67</v>
      </c>
      <c r="L3" s="644" t="s">
        <v>240</v>
      </c>
      <c r="M3" s="645"/>
      <c r="N3" s="638" t="s">
        <v>64</v>
      </c>
      <c r="O3" s="637"/>
      <c r="P3" s="638" t="s">
        <v>65</v>
      </c>
      <c r="Q3" s="637"/>
      <c r="R3" s="636" t="s">
        <v>66</v>
      </c>
      <c r="S3" s="637"/>
      <c r="U3" s="638" t="s">
        <v>67</v>
      </c>
      <c r="V3" s="644" t="s">
        <v>241</v>
      </c>
      <c r="W3" s="645"/>
      <c r="X3" s="638" t="s">
        <v>64</v>
      </c>
      <c r="Y3" s="637"/>
      <c r="Z3" s="638" t="s">
        <v>65</v>
      </c>
      <c r="AA3" s="637"/>
      <c r="AB3" s="636" t="s">
        <v>66</v>
      </c>
      <c r="AC3" s="637"/>
      <c r="AE3" s="638" t="s">
        <v>67</v>
      </c>
      <c r="AF3" s="644" t="s">
        <v>238</v>
      </c>
      <c r="AG3" s="645"/>
      <c r="AH3" s="638" t="s">
        <v>64</v>
      </c>
      <c r="AI3" s="637"/>
      <c r="AJ3" s="638" t="s">
        <v>65</v>
      </c>
      <c r="AK3" s="637"/>
      <c r="AL3" s="636" t="s">
        <v>66</v>
      </c>
      <c r="AM3" s="637"/>
    </row>
    <row r="4" spans="1:39" s="127" customFormat="1" ht="25.9" customHeight="1" thickBot="1" x14ac:dyDescent="0.25">
      <c r="A4" s="643"/>
      <c r="B4" s="646"/>
      <c r="C4" s="647"/>
      <c r="D4" s="265">
        <v>2030</v>
      </c>
      <c r="E4" s="266">
        <v>2040</v>
      </c>
      <c r="F4" s="265">
        <v>2030</v>
      </c>
      <c r="G4" s="266">
        <v>2040</v>
      </c>
      <c r="H4" s="267">
        <v>2030</v>
      </c>
      <c r="I4" s="266">
        <v>2040</v>
      </c>
      <c r="K4" s="643"/>
      <c r="L4" s="646"/>
      <c r="M4" s="647"/>
      <c r="N4" s="265">
        <v>2030</v>
      </c>
      <c r="O4" s="266">
        <v>2040</v>
      </c>
      <c r="P4" s="265">
        <v>2030</v>
      </c>
      <c r="Q4" s="266">
        <v>2040</v>
      </c>
      <c r="R4" s="267">
        <v>2030</v>
      </c>
      <c r="S4" s="266">
        <v>2040</v>
      </c>
      <c r="U4" s="643"/>
      <c r="V4" s="646"/>
      <c r="W4" s="647"/>
      <c r="X4" s="265">
        <v>2030</v>
      </c>
      <c r="Y4" s="266">
        <v>2040</v>
      </c>
      <c r="Z4" s="265">
        <v>2030</v>
      </c>
      <c r="AA4" s="266">
        <v>2040</v>
      </c>
      <c r="AB4" s="267">
        <v>2030</v>
      </c>
      <c r="AC4" s="266">
        <v>2040</v>
      </c>
      <c r="AE4" s="643"/>
      <c r="AF4" s="646"/>
      <c r="AG4" s="647"/>
      <c r="AH4" s="265">
        <v>2030</v>
      </c>
      <c r="AI4" s="266">
        <v>2040</v>
      </c>
      <c r="AJ4" s="265">
        <v>2030</v>
      </c>
      <c r="AK4" s="266">
        <v>2040</v>
      </c>
      <c r="AL4" s="267">
        <v>2030</v>
      </c>
      <c r="AM4" s="266">
        <v>2040</v>
      </c>
    </row>
    <row r="5" spans="1:39" ht="15.75" thickBot="1" x14ac:dyDescent="0.3">
      <c r="A5" s="42" t="s">
        <v>79</v>
      </c>
      <c r="D5" s="76"/>
      <c r="E5" s="76"/>
      <c r="F5" s="76"/>
      <c r="G5" s="76"/>
      <c r="H5" s="76"/>
      <c r="I5" s="76"/>
      <c r="K5" s="42" t="s">
        <v>239</v>
      </c>
      <c r="N5" s="76"/>
      <c r="O5" s="76"/>
      <c r="P5" s="76"/>
      <c r="Q5" s="76"/>
      <c r="R5" s="76"/>
      <c r="S5" s="76"/>
      <c r="U5" s="42" t="s">
        <v>89</v>
      </c>
      <c r="X5" s="76"/>
      <c r="Y5" s="76"/>
      <c r="Z5" s="76"/>
      <c r="AA5" s="76"/>
      <c r="AB5" s="76"/>
      <c r="AC5" s="76"/>
      <c r="AE5" s="42" t="s">
        <v>153</v>
      </c>
      <c r="AF5" s="40"/>
      <c r="AG5" s="40"/>
      <c r="AH5" s="76"/>
      <c r="AI5" s="76"/>
      <c r="AJ5" s="76"/>
      <c r="AK5" s="76"/>
      <c r="AL5" s="76"/>
      <c r="AM5" s="76"/>
    </row>
    <row r="6" spans="1:39" x14ac:dyDescent="0.25">
      <c r="A6" s="633" t="s">
        <v>0</v>
      </c>
      <c r="B6" s="135" t="s">
        <v>9</v>
      </c>
      <c r="C6" s="190" t="s">
        <v>262</v>
      </c>
      <c r="D6" s="202">
        <f>Indata!D54</f>
        <v>13.466674098111907</v>
      </c>
      <c r="E6" s="203">
        <f>Indata!E54</f>
        <v>16.350158148247193</v>
      </c>
      <c r="F6" s="202">
        <f>Indata!F54</f>
        <v>12.410383353593298</v>
      </c>
      <c r="G6" s="203">
        <f>Indata!G54</f>
        <v>19.161594511883557</v>
      </c>
      <c r="H6" s="204">
        <f>Indata!H54</f>
        <v>15.187478163611624</v>
      </c>
      <c r="I6" s="203">
        <f>Indata!I54</f>
        <v>19.161594511883557</v>
      </c>
      <c r="K6" s="633" t="s">
        <v>0</v>
      </c>
      <c r="L6" s="135" t="s">
        <v>9</v>
      </c>
      <c r="M6" s="190" t="s">
        <v>262</v>
      </c>
      <c r="N6" s="202">
        <f>'Modell - Drivmedelpriser'!E57</f>
        <v>13.466674098111907</v>
      </c>
      <c r="O6" s="203">
        <f>'Modell - Drivmedelpriser'!F57</f>
        <v>16.350158148247193</v>
      </c>
      <c r="P6" s="202">
        <f>'Modell - Drivmedelpriser'!G57</f>
        <v>12.410383353593298</v>
      </c>
      <c r="Q6" s="203">
        <f>'Modell - Drivmedelpriser'!H57</f>
        <v>19.161594511883557</v>
      </c>
      <c r="R6" s="204">
        <f>'Modell - Drivmedelpriser'!I57</f>
        <v>15.187478163611624</v>
      </c>
      <c r="S6" s="203">
        <f>'Modell - Drivmedelpriser'!J57</f>
        <v>19.161594511883557</v>
      </c>
      <c r="U6" s="633" t="s">
        <v>0</v>
      </c>
      <c r="V6" s="135" t="s">
        <v>9</v>
      </c>
      <c r="W6" s="190" t="s">
        <v>262</v>
      </c>
      <c r="X6" s="202">
        <f>N6</f>
        <v>13.466674098111907</v>
      </c>
      <c r="Y6" s="203">
        <f t="shared" ref="Y6:Y7" si="0">O6</f>
        <v>16.350158148247193</v>
      </c>
      <c r="Z6" s="202">
        <f t="shared" ref="Z6:Z7" si="1">P6</f>
        <v>12.410383353593298</v>
      </c>
      <c r="AA6" s="203">
        <f t="shared" ref="AA6:AA7" si="2">Q6</f>
        <v>19.161594511883557</v>
      </c>
      <c r="AB6" s="204">
        <f t="shared" ref="AB6:AB7" si="3">R6</f>
        <v>15.187478163611624</v>
      </c>
      <c r="AC6" s="203">
        <f t="shared" ref="AC6:AC7" si="4">S6</f>
        <v>19.161594511883557</v>
      </c>
      <c r="AE6" s="633" t="s">
        <v>0</v>
      </c>
      <c r="AF6" s="135" t="s">
        <v>9</v>
      </c>
      <c r="AG6" s="190" t="s">
        <v>262</v>
      </c>
      <c r="AH6" s="202">
        <f>X6</f>
        <v>13.466674098111907</v>
      </c>
      <c r="AI6" s="203">
        <f t="shared" ref="AI6:AI7" si="5">Y6</f>
        <v>16.350158148247193</v>
      </c>
      <c r="AJ6" s="202">
        <f t="shared" ref="AJ6:AJ7" si="6">Z6</f>
        <v>12.410383353593298</v>
      </c>
      <c r="AK6" s="203">
        <f t="shared" ref="AK6:AK7" si="7">AA6</f>
        <v>19.161594511883557</v>
      </c>
      <c r="AL6" s="204">
        <f t="shared" ref="AL6:AL7" si="8">AB6</f>
        <v>15.187478163611624</v>
      </c>
      <c r="AM6" s="203">
        <f t="shared" ref="AM6:AM7" si="9">AC6</f>
        <v>19.161594511883557</v>
      </c>
    </row>
    <row r="7" spans="1:39" x14ac:dyDescent="0.25">
      <c r="A7" s="634"/>
      <c r="B7" s="136" t="s">
        <v>7</v>
      </c>
      <c r="C7" s="191" t="s">
        <v>263</v>
      </c>
      <c r="D7" s="281">
        <f>Indata!D55</f>
        <v>1.1975304347826086</v>
      </c>
      <c r="E7" s="282">
        <f>Indata!E55</f>
        <v>1.4034</v>
      </c>
      <c r="F7" s="281">
        <f>Indata!F55</f>
        <v>1.1975304347826086</v>
      </c>
      <c r="G7" s="283">
        <f>Indata!G55</f>
        <v>1.4034</v>
      </c>
      <c r="H7" s="284">
        <f>Indata!H55</f>
        <v>1.1975304347826086</v>
      </c>
      <c r="I7" s="283">
        <f>Indata!I55</f>
        <v>1.4034</v>
      </c>
      <c r="K7" s="634"/>
      <c r="L7" s="136" t="s">
        <v>7</v>
      </c>
      <c r="M7" s="191" t="s">
        <v>263</v>
      </c>
      <c r="N7" s="281">
        <f>'Modell - Drivmedelpriser'!E83</f>
        <v>1.1975304347826086</v>
      </c>
      <c r="O7" s="282">
        <f>'Modell - Drivmedelpriser'!F83</f>
        <v>1.4034</v>
      </c>
      <c r="P7" s="281">
        <f>'Modell - Drivmedelpriser'!G83</f>
        <v>1.1975304347826086</v>
      </c>
      <c r="Q7" s="283">
        <f>'Modell - Drivmedelpriser'!H83</f>
        <v>1.4034</v>
      </c>
      <c r="R7" s="284">
        <f>'Modell - Drivmedelpriser'!I83</f>
        <v>1.1975304347826086</v>
      </c>
      <c r="S7" s="283">
        <f>'Modell - Drivmedelpriser'!J83</f>
        <v>1.4034</v>
      </c>
      <c r="U7" s="634"/>
      <c r="V7" s="136" t="s">
        <v>7</v>
      </c>
      <c r="W7" s="191" t="s">
        <v>263</v>
      </c>
      <c r="X7" s="281">
        <f t="shared" ref="X7" si="10">N7</f>
        <v>1.1975304347826086</v>
      </c>
      <c r="Y7" s="282">
        <f t="shared" si="0"/>
        <v>1.4034</v>
      </c>
      <c r="Z7" s="281">
        <f t="shared" si="1"/>
        <v>1.1975304347826086</v>
      </c>
      <c r="AA7" s="283">
        <f t="shared" si="2"/>
        <v>1.4034</v>
      </c>
      <c r="AB7" s="284">
        <f t="shared" si="3"/>
        <v>1.1975304347826086</v>
      </c>
      <c r="AC7" s="283">
        <f t="shared" si="4"/>
        <v>1.4034</v>
      </c>
      <c r="AE7" s="634"/>
      <c r="AF7" s="136" t="s">
        <v>7</v>
      </c>
      <c r="AG7" s="191" t="s">
        <v>263</v>
      </c>
      <c r="AH7" s="281">
        <f t="shared" ref="AH7" si="11">X7</f>
        <v>1.1975304347826086</v>
      </c>
      <c r="AI7" s="282">
        <f t="shared" si="5"/>
        <v>1.4034</v>
      </c>
      <c r="AJ7" s="281">
        <f t="shared" si="6"/>
        <v>1.1975304347826086</v>
      </c>
      <c r="AK7" s="283">
        <f t="shared" si="7"/>
        <v>1.4034</v>
      </c>
      <c r="AL7" s="284">
        <f t="shared" si="8"/>
        <v>1.1975304347826086</v>
      </c>
      <c r="AM7" s="283">
        <f t="shared" si="9"/>
        <v>1.4034</v>
      </c>
    </row>
    <row r="8" spans="1:39" ht="15.75" thickBot="1" x14ac:dyDescent="0.3">
      <c r="A8" s="635"/>
      <c r="B8" s="188" t="s">
        <v>244</v>
      </c>
      <c r="C8" s="192" t="s">
        <v>25</v>
      </c>
      <c r="D8" s="285" t="s">
        <v>78</v>
      </c>
      <c r="E8" s="286" t="s">
        <v>78</v>
      </c>
      <c r="F8" s="285" t="s">
        <v>78</v>
      </c>
      <c r="G8" s="287" t="s">
        <v>78</v>
      </c>
      <c r="H8" s="288" t="s">
        <v>78</v>
      </c>
      <c r="I8" s="287" t="s">
        <v>78</v>
      </c>
      <c r="K8" s="635"/>
      <c r="L8" s="188" t="s">
        <v>244</v>
      </c>
      <c r="M8" s="192" t="s">
        <v>25</v>
      </c>
      <c r="N8" s="224">
        <f>N6/D6-1</f>
        <v>0</v>
      </c>
      <c r="O8" s="307">
        <f t="shared" ref="O8:S8" si="12">O6/E6-1</f>
        <v>0</v>
      </c>
      <c r="P8" s="224">
        <f t="shared" si="12"/>
        <v>0</v>
      </c>
      <c r="Q8" s="225">
        <f t="shared" si="12"/>
        <v>0</v>
      </c>
      <c r="R8" s="226">
        <f t="shared" si="12"/>
        <v>0</v>
      </c>
      <c r="S8" s="225">
        <f t="shared" si="12"/>
        <v>0</v>
      </c>
      <c r="U8" s="635"/>
      <c r="V8" s="188" t="s">
        <v>244</v>
      </c>
      <c r="W8" s="192" t="s">
        <v>25</v>
      </c>
      <c r="X8" s="224">
        <f>X6/D6-1</f>
        <v>0</v>
      </c>
      <c r="Y8" s="307">
        <f t="shared" ref="Y8:AC8" si="13">Y6/E6-1</f>
        <v>0</v>
      </c>
      <c r="Z8" s="224">
        <f t="shared" si="13"/>
        <v>0</v>
      </c>
      <c r="AA8" s="225">
        <f t="shared" si="13"/>
        <v>0</v>
      </c>
      <c r="AB8" s="226">
        <f t="shared" si="13"/>
        <v>0</v>
      </c>
      <c r="AC8" s="225">
        <f t="shared" si="13"/>
        <v>0</v>
      </c>
      <c r="AE8" s="635"/>
      <c r="AF8" s="188" t="s">
        <v>244</v>
      </c>
      <c r="AG8" s="192" t="s">
        <v>25</v>
      </c>
      <c r="AH8" s="224">
        <f>AH6/D6-1</f>
        <v>0</v>
      </c>
      <c r="AI8" s="307">
        <f t="shared" ref="AI8:AM8" si="14">AI6/E6-1</f>
        <v>0</v>
      </c>
      <c r="AJ8" s="224">
        <f t="shared" si="14"/>
        <v>0</v>
      </c>
      <c r="AK8" s="225">
        <f t="shared" si="14"/>
        <v>0</v>
      </c>
      <c r="AL8" s="226">
        <f t="shared" si="14"/>
        <v>0</v>
      </c>
      <c r="AM8" s="225">
        <f t="shared" si="14"/>
        <v>0</v>
      </c>
    </row>
    <row r="9" spans="1:39" x14ac:dyDescent="0.25">
      <c r="AE9" s="40"/>
      <c r="AF9" s="40"/>
      <c r="AG9" s="40"/>
      <c r="AH9" s="40"/>
      <c r="AI9" s="40"/>
      <c r="AJ9" s="40"/>
      <c r="AK9" s="40"/>
      <c r="AL9" s="40"/>
      <c r="AM9" s="40"/>
    </row>
    <row r="10" spans="1:39" ht="15.75" thickBot="1" x14ac:dyDescent="0.3">
      <c r="A10" s="42" t="s">
        <v>80</v>
      </c>
      <c r="D10" s="77"/>
      <c r="E10" s="77"/>
      <c r="F10" s="77"/>
      <c r="G10" s="77"/>
      <c r="H10" s="77"/>
      <c r="I10" s="77"/>
      <c r="K10" s="42" t="s">
        <v>228</v>
      </c>
      <c r="N10" s="77"/>
      <c r="O10" s="77"/>
      <c r="P10" s="77"/>
      <c r="Q10" s="77"/>
      <c r="R10" s="77"/>
      <c r="S10" s="77"/>
      <c r="U10" s="42" t="s">
        <v>90</v>
      </c>
      <c r="X10" s="77"/>
      <c r="Y10" s="77"/>
      <c r="Z10" s="77"/>
      <c r="AA10" s="77"/>
      <c r="AB10" s="77"/>
      <c r="AC10" s="77"/>
      <c r="AE10" s="42" t="s">
        <v>154</v>
      </c>
      <c r="AF10" s="40"/>
      <c r="AG10" s="40"/>
      <c r="AH10" s="77"/>
      <c r="AI10" s="77"/>
      <c r="AJ10" s="77"/>
      <c r="AK10" s="77"/>
      <c r="AL10" s="77"/>
      <c r="AM10" s="77"/>
    </row>
    <row r="11" spans="1:39" ht="14.45" customHeight="1" x14ac:dyDescent="0.25">
      <c r="A11" s="630" t="s">
        <v>38</v>
      </c>
      <c r="B11" s="135" t="s">
        <v>137</v>
      </c>
      <c r="C11" s="135" t="s">
        <v>39</v>
      </c>
      <c r="D11" s="202">
        <f>Indata!D46</f>
        <v>1.409627347092486</v>
      </c>
      <c r="E11" s="227">
        <f>Indata!E46</f>
        <v>1.0975404858629165</v>
      </c>
      <c r="F11" s="202">
        <f>Indata!F46</f>
        <v>1.409627347092486</v>
      </c>
      <c r="G11" s="203">
        <f>Indata!G46</f>
        <v>1.0975404858629165</v>
      </c>
      <c r="H11" s="204">
        <f>Indata!H46</f>
        <v>1.409627347092486</v>
      </c>
      <c r="I11" s="203">
        <f>Indata!I46</f>
        <v>1.0975404858629165</v>
      </c>
      <c r="K11" s="630" t="s">
        <v>38</v>
      </c>
      <c r="L11" s="135" t="s">
        <v>137</v>
      </c>
      <c r="M11" s="135" t="s">
        <v>39</v>
      </c>
      <c r="N11" s="202">
        <f>D11*(100%+N8*'Indata - Effektsamband-Faktorer'!$D$6)*(1-Indata!D$20)</f>
        <v>1.409627347092486</v>
      </c>
      <c r="O11" s="227">
        <f>E11*(100%+O8*'Indata - Effektsamband-Faktorer'!$E$6)*(1-Indata!E$20)</f>
        <v>1.0975404858629165</v>
      </c>
      <c r="P11" s="202">
        <f>F11*(100%+P8*'Indata - Effektsamband-Faktorer'!$D$6)*(1-Indata!F$20)</f>
        <v>1.409627347092486</v>
      </c>
      <c r="Q11" s="203">
        <f>G11*(100%+Q8*'Indata - Effektsamband-Faktorer'!$E$6)*(1-Indata!G$20)</f>
        <v>1.0975404858629165</v>
      </c>
      <c r="R11" s="204">
        <f>H11*(100%+R8*'Indata - Effektsamband-Faktorer'!$D$6)*(1-Indata!H$20)</f>
        <v>1.409627347092486</v>
      </c>
      <c r="S11" s="203">
        <f>I11*(100%+S8*'Indata - Effektsamband-Faktorer'!$E$6)*(1-Indata!I$20)</f>
        <v>1.0975404858629165</v>
      </c>
      <c r="U11" s="630" t="s">
        <v>38</v>
      </c>
      <c r="V11" s="135" t="s">
        <v>137</v>
      </c>
      <c r="W11" s="135" t="s">
        <v>39</v>
      </c>
      <c r="X11" s="202">
        <f>N11</f>
        <v>1.409627347092486</v>
      </c>
      <c r="Y11" s="227">
        <f t="shared" ref="Y11:Y14" si="15">O11</f>
        <v>1.0975404858629165</v>
      </c>
      <c r="Z11" s="202">
        <f t="shared" ref="Z11:Z14" si="16">P11</f>
        <v>1.409627347092486</v>
      </c>
      <c r="AA11" s="203">
        <f t="shared" ref="AA11:AA14" si="17">Q11</f>
        <v>1.0975404858629165</v>
      </c>
      <c r="AB11" s="204">
        <f t="shared" ref="AB11:AB14" si="18">R11</f>
        <v>1.409627347092486</v>
      </c>
      <c r="AC11" s="203">
        <f t="shared" ref="AC11:AC14" si="19">S11</f>
        <v>1.0975404858629165</v>
      </c>
      <c r="AE11" s="630" t="s">
        <v>38</v>
      </c>
      <c r="AF11" s="135" t="s">
        <v>137</v>
      </c>
      <c r="AG11" s="135" t="s">
        <v>39</v>
      </c>
      <c r="AH11" s="202">
        <f>X11</f>
        <v>1.409627347092486</v>
      </c>
      <c r="AI11" s="227">
        <f t="shared" ref="AI11:AI14" si="20">Y11</f>
        <v>1.0975404858629165</v>
      </c>
      <c r="AJ11" s="202">
        <f t="shared" ref="AJ11:AJ14" si="21">Z11</f>
        <v>1.409627347092486</v>
      </c>
      <c r="AK11" s="203">
        <f t="shared" ref="AK11:AK14" si="22">AA11</f>
        <v>1.0975404858629165</v>
      </c>
      <c r="AL11" s="204">
        <f t="shared" ref="AL11:AL14" si="23">AB11</f>
        <v>1.409627347092486</v>
      </c>
      <c r="AM11" s="203">
        <f t="shared" ref="AM11:AM14" si="24">AC11</f>
        <v>1.0975404858629165</v>
      </c>
    </row>
    <row r="12" spans="1:39" x14ac:dyDescent="0.25">
      <c r="A12" s="631"/>
      <c r="B12" s="136" t="s">
        <v>138</v>
      </c>
      <c r="C12" s="136" t="s">
        <v>39</v>
      </c>
      <c r="D12" s="205">
        <f>Indata!D47</f>
        <v>1.8521521959043132</v>
      </c>
      <c r="E12" s="228">
        <f>Indata!E47</f>
        <v>1.4301687678393367</v>
      </c>
      <c r="F12" s="205">
        <f>Indata!F47</f>
        <v>1.8521521959043132</v>
      </c>
      <c r="G12" s="206">
        <f>Indata!G47</f>
        <v>1.4301687678393367</v>
      </c>
      <c r="H12" s="207">
        <f>Indata!H47</f>
        <v>1.8521521959043132</v>
      </c>
      <c r="I12" s="206">
        <f>Indata!I47</f>
        <v>1.4301687678393367</v>
      </c>
      <c r="K12" s="631"/>
      <c r="L12" s="136" t="s">
        <v>138</v>
      </c>
      <c r="M12" s="136" t="s">
        <v>39</v>
      </c>
      <c r="N12" s="205">
        <f>D12*(100%+N9*'Indata - Effektsamband-Faktorer'!$D$6)*(1-Indata!D$20)</f>
        <v>1.8521521959043132</v>
      </c>
      <c r="O12" s="228">
        <f>E12*(100%+O9*'Indata - Effektsamband-Faktorer'!$E$6)*(1-Indata!E$20)</f>
        <v>1.4301687678393367</v>
      </c>
      <c r="P12" s="205">
        <f>F12*(100%+P9*'Indata - Effektsamband-Faktorer'!$D$6)*(1-Indata!F$20)</f>
        <v>1.8521521959043132</v>
      </c>
      <c r="Q12" s="206">
        <f>G12*(100%+Q9*'Indata - Effektsamband-Faktorer'!$E$6)*(1-Indata!G$20)</f>
        <v>1.4301687678393367</v>
      </c>
      <c r="R12" s="207">
        <f>H12*(100%+R9*'Indata - Effektsamband-Faktorer'!$D$6)*(1-Indata!H$20)</f>
        <v>1.8521521959043132</v>
      </c>
      <c r="S12" s="206">
        <f>I12*(100%+S9*'Indata - Effektsamband-Faktorer'!$E$6)*(1-Indata!I$20)</f>
        <v>1.4301687678393367</v>
      </c>
      <c r="U12" s="631"/>
      <c r="V12" s="136" t="s">
        <v>138</v>
      </c>
      <c r="W12" s="136" t="s">
        <v>39</v>
      </c>
      <c r="X12" s="205">
        <f t="shared" ref="X12:X14" si="25">N12</f>
        <v>1.8521521959043132</v>
      </c>
      <c r="Y12" s="228">
        <f t="shared" si="15"/>
        <v>1.4301687678393367</v>
      </c>
      <c r="Z12" s="205">
        <f t="shared" si="16"/>
        <v>1.8521521959043132</v>
      </c>
      <c r="AA12" s="206">
        <f t="shared" si="17"/>
        <v>1.4301687678393367</v>
      </c>
      <c r="AB12" s="207">
        <f t="shared" si="18"/>
        <v>1.8521521959043132</v>
      </c>
      <c r="AC12" s="206">
        <f t="shared" si="19"/>
        <v>1.4301687678393367</v>
      </c>
      <c r="AE12" s="631"/>
      <c r="AF12" s="136" t="s">
        <v>138</v>
      </c>
      <c r="AG12" s="136" t="s">
        <v>39</v>
      </c>
      <c r="AH12" s="205">
        <f>X12</f>
        <v>1.8521521959043132</v>
      </c>
      <c r="AI12" s="228">
        <f t="shared" si="20"/>
        <v>1.4301687678393367</v>
      </c>
      <c r="AJ12" s="205">
        <f t="shared" si="21"/>
        <v>1.8521521959043132</v>
      </c>
      <c r="AK12" s="206">
        <f t="shared" si="22"/>
        <v>1.4301687678393367</v>
      </c>
      <c r="AL12" s="207">
        <f t="shared" si="23"/>
        <v>1.8521521959043132</v>
      </c>
      <c r="AM12" s="206">
        <f t="shared" si="24"/>
        <v>1.4301687678393367</v>
      </c>
    </row>
    <row r="13" spans="1:39" x14ac:dyDescent="0.25">
      <c r="A13" s="631"/>
      <c r="B13" s="136" t="s">
        <v>139</v>
      </c>
      <c r="C13" s="136" t="s">
        <v>39</v>
      </c>
      <c r="D13" s="281">
        <f>Indata!D48</f>
        <v>2.2765487554982271</v>
      </c>
      <c r="E13" s="282">
        <f>Indata!E48</f>
        <v>1.7743995375527619</v>
      </c>
      <c r="F13" s="281">
        <f>Indata!F48</f>
        <v>2.2765487554982271</v>
      </c>
      <c r="G13" s="283">
        <f>Indata!G48</f>
        <v>1.7743995375527619</v>
      </c>
      <c r="H13" s="284">
        <f>Indata!H48</f>
        <v>2.2765487554982271</v>
      </c>
      <c r="I13" s="283">
        <f>Indata!I48</f>
        <v>1.7743995375527619</v>
      </c>
      <c r="K13" s="631"/>
      <c r="L13" s="136" t="s">
        <v>139</v>
      </c>
      <c r="M13" s="136" t="s">
        <v>39</v>
      </c>
      <c r="N13" s="281">
        <f>D13*(100%+N10*'Indata - Effektsamband-Faktorer'!$D$6)*(1-Indata!D$20)</f>
        <v>2.2765487554982271</v>
      </c>
      <c r="O13" s="282">
        <f>E13*(100%+O10*'Indata - Effektsamband-Faktorer'!$E$6)*(1-Indata!E$20)</f>
        <v>1.7743995375527619</v>
      </c>
      <c r="P13" s="281">
        <f>F13*(100%+P10*'Indata - Effektsamband-Faktorer'!$D$6)*(1-Indata!F$20)</f>
        <v>2.2765487554982271</v>
      </c>
      <c r="Q13" s="283">
        <f>G13*(100%+Q10*'Indata - Effektsamband-Faktorer'!$E$6)*(1-Indata!G$20)</f>
        <v>1.7743995375527619</v>
      </c>
      <c r="R13" s="284">
        <f>H13*(100%+R10*'Indata - Effektsamband-Faktorer'!$D$6)*(1-Indata!H$20)</f>
        <v>2.2765487554982271</v>
      </c>
      <c r="S13" s="283">
        <f>I13*(100%+S10*'Indata - Effektsamband-Faktorer'!$E$6)*(1-Indata!I$20)</f>
        <v>1.7743995375527619</v>
      </c>
      <c r="U13" s="631"/>
      <c r="V13" s="136" t="s">
        <v>139</v>
      </c>
      <c r="W13" s="136" t="s">
        <v>39</v>
      </c>
      <c r="X13" s="281">
        <f t="shared" si="25"/>
        <v>2.2765487554982271</v>
      </c>
      <c r="Y13" s="282">
        <f t="shared" si="15"/>
        <v>1.7743995375527619</v>
      </c>
      <c r="Z13" s="281">
        <f t="shared" si="16"/>
        <v>2.2765487554982271</v>
      </c>
      <c r="AA13" s="283">
        <f t="shared" si="17"/>
        <v>1.7743995375527619</v>
      </c>
      <c r="AB13" s="284">
        <f t="shared" si="18"/>
        <v>2.2765487554982271</v>
      </c>
      <c r="AC13" s="283">
        <f t="shared" si="19"/>
        <v>1.7743995375527619</v>
      </c>
      <c r="AE13" s="631"/>
      <c r="AF13" s="136" t="s">
        <v>139</v>
      </c>
      <c r="AG13" s="136" t="s">
        <v>39</v>
      </c>
      <c r="AH13" s="281">
        <f t="shared" ref="AH13:AH14" si="26">X13</f>
        <v>2.2765487554982271</v>
      </c>
      <c r="AI13" s="282">
        <f t="shared" si="20"/>
        <v>1.7743995375527619</v>
      </c>
      <c r="AJ13" s="281">
        <f t="shared" si="21"/>
        <v>2.2765487554982271</v>
      </c>
      <c r="AK13" s="283">
        <f t="shared" si="22"/>
        <v>1.7743995375527619</v>
      </c>
      <c r="AL13" s="284">
        <f t="shared" si="23"/>
        <v>2.2765487554982271</v>
      </c>
      <c r="AM13" s="283">
        <f t="shared" si="24"/>
        <v>1.7743995375527619</v>
      </c>
    </row>
    <row r="14" spans="1:39" x14ac:dyDescent="0.25">
      <c r="A14" s="631"/>
      <c r="B14" s="136" t="s">
        <v>140</v>
      </c>
      <c r="C14" s="136" t="s">
        <v>39</v>
      </c>
      <c r="D14" s="281">
        <f>Indata!D49</f>
        <v>2.9364819147657566</v>
      </c>
      <c r="E14" s="282">
        <f>Indata!E49</f>
        <v>2.3008116808806713</v>
      </c>
      <c r="F14" s="281">
        <f>Indata!F49</f>
        <v>2.9364819147657566</v>
      </c>
      <c r="G14" s="283">
        <f>Indata!G49</f>
        <v>2.3008116808806713</v>
      </c>
      <c r="H14" s="284">
        <f>Indata!H49</f>
        <v>2.9364819147657566</v>
      </c>
      <c r="I14" s="283">
        <f>Indata!I49</f>
        <v>2.3008116808806713</v>
      </c>
      <c r="K14" s="631"/>
      <c r="L14" s="136" t="s">
        <v>140</v>
      </c>
      <c r="M14" s="136" t="s">
        <v>39</v>
      </c>
      <c r="N14" s="281">
        <f>D14*(100%+N11*'Indata - Effektsamband-Faktorer'!$D$6)*(1-Indata!D$20)</f>
        <v>2.9364819147657566</v>
      </c>
      <c r="O14" s="282">
        <f>E14*(100%+O11*'Indata - Effektsamband-Faktorer'!$E$6)*(1-Indata!E$20)</f>
        <v>2.3008116808806713</v>
      </c>
      <c r="P14" s="281">
        <f>F14*(100%+P11*'Indata - Effektsamband-Faktorer'!$D$6)*(1-Indata!F$20)</f>
        <v>2.9364819147657566</v>
      </c>
      <c r="Q14" s="283">
        <f>G14*(100%+Q11*'Indata - Effektsamband-Faktorer'!$E$6)*(1-Indata!G$20)</f>
        <v>2.3008116808806713</v>
      </c>
      <c r="R14" s="284">
        <f>H14*(100%+R11*'Indata - Effektsamband-Faktorer'!$D$6)*(1-Indata!H$20)</f>
        <v>2.9364819147657566</v>
      </c>
      <c r="S14" s="283">
        <f>I14*(100%+S11*'Indata - Effektsamband-Faktorer'!$E$6)*(1-Indata!I$20)</f>
        <v>2.3008116808806713</v>
      </c>
      <c r="U14" s="631"/>
      <c r="V14" s="136" t="s">
        <v>140</v>
      </c>
      <c r="W14" s="136" t="s">
        <v>39</v>
      </c>
      <c r="X14" s="281">
        <f t="shared" si="25"/>
        <v>2.9364819147657566</v>
      </c>
      <c r="Y14" s="282">
        <f t="shared" si="15"/>
        <v>2.3008116808806713</v>
      </c>
      <c r="Z14" s="281">
        <f t="shared" si="16"/>
        <v>2.9364819147657566</v>
      </c>
      <c r="AA14" s="283">
        <f t="shared" si="17"/>
        <v>2.3008116808806713</v>
      </c>
      <c r="AB14" s="284">
        <f t="shared" si="18"/>
        <v>2.9364819147657566</v>
      </c>
      <c r="AC14" s="283">
        <f t="shared" si="19"/>
        <v>2.3008116808806713</v>
      </c>
      <c r="AE14" s="631"/>
      <c r="AF14" s="136" t="s">
        <v>140</v>
      </c>
      <c r="AG14" s="136" t="s">
        <v>39</v>
      </c>
      <c r="AH14" s="281">
        <f t="shared" si="26"/>
        <v>2.9364819147657566</v>
      </c>
      <c r="AI14" s="282">
        <f t="shared" si="20"/>
        <v>2.3008116808806713</v>
      </c>
      <c r="AJ14" s="281">
        <f t="shared" si="21"/>
        <v>2.9364819147657566</v>
      </c>
      <c r="AK14" s="283">
        <f t="shared" si="22"/>
        <v>2.3008116808806713</v>
      </c>
      <c r="AL14" s="284">
        <f t="shared" si="23"/>
        <v>2.9364819147657566</v>
      </c>
      <c r="AM14" s="283">
        <f t="shared" si="24"/>
        <v>2.3008116808806713</v>
      </c>
    </row>
    <row r="15" spans="1:39" x14ac:dyDescent="0.25">
      <c r="A15" s="631"/>
      <c r="B15" s="187" t="s">
        <v>141</v>
      </c>
      <c r="C15" s="187" t="s">
        <v>39</v>
      </c>
      <c r="D15" s="277">
        <f>SUMPRODUCT(D11:D14,D36:D39)/D40</f>
        <v>2.635417410126252</v>
      </c>
      <c r="E15" s="278">
        <f t="shared" ref="E15:I15" si="27">SUMPRODUCT(E11:E14,E36:E39)/E40</f>
        <v>2.104120696313331</v>
      </c>
      <c r="F15" s="277">
        <f t="shared" si="27"/>
        <v>2.6191165561821195</v>
      </c>
      <c r="G15" s="279">
        <f t="shared" si="27"/>
        <v>2.1274953516263264</v>
      </c>
      <c r="H15" s="280">
        <f t="shared" si="27"/>
        <v>2.6756106899982623</v>
      </c>
      <c r="I15" s="279">
        <f t="shared" si="27"/>
        <v>2.1274953516263264</v>
      </c>
      <c r="K15" s="631"/>
      <c r="L15" s="187" t="s">
        <v>141</v>
      </c>
      <c r="M15" s="187" t="s">
        <v>39</v>
      </c>
      <c r="N15" s="277">
        <f t="shared" ref="N15:S15" si="28">SUMPRODUCT(N11:N14,N36:N39)/N40</f>
        <v>2.635417410126252</v>
      </c>
      <c r="O15" s="278">
        <f t="shared" si="28"/>
        <v>2.104120696313331</v>
      </c>
      <c r="P15" s="277">
        <f t="shared" si="28"/>
        <v>2.6191165561821195</v>
      </c>
      <c r="Q15" s="279">
        <f t="shared" si="28"/>
        <v>2.1274953516263264</v>
      </c>
      <c r="R15" s="280">
        <f t="shared" si="28"/>
        <v>2.6756106899982623</v>
      </c>
      <c r="S15" s="279">
        <f t="shared" si="28"/>
        <v>2.1274953516263264</v>
      </c>
      <c r="U15" s="631"/>
      <c r="V15" s="187" t="s">
        <v>141</v>
      </c>
      <c r="W15" s="187" t="s">
        <v>39</v>
      </c>
      <c r="X15" s="277">
        <f t="shared" ref="X15:AC15" si="29">SUMPRODUCT(X11:X14,X36:X39)/X40</f>
        <v>2.635417410126252</v>
      </c>
      <c r="Y15" s="278">
        <f t="shared" si="29"/>
        <v>2.104120696313331</v>
      </c>
      <c r="Z15" s="277">
        <f t="shared" si="29"/>
        <v>2.619116556182119</v>
      </c>
      <c r="AA15" s="279">
        <f t="shared" si="29"/>
        <v>2.127495351626326</v>
      </c>
      <c r="AB15" s="280">
        <f t="shared" si="29"/>
        <v>2.6756106899982623</v>
      </c>
      <c r="AC15" s="279">
        <f t="shared" si="29"/>
        <v>2.127495351626326</v>
      </c>
      <c r="AE15" s="631"/>
      <c r="AF15" s="187" t="s">
        <v>141</v>
      </c>
      <c r="AG15" s="187" t="s">
        <v>39</v>
      </c>
      <c r="AH15" s="277">
        <f t="shared" ref="AH15:AM15" si="30">SUMPRODUCT(AH11:AH14,AH36:AH39)/AH40</f>
        <v>2.635417410126252</v>
      </c>
      <c r="AI15" s="278">
        <f t="shared" si="30"/>
        <v>2.1041206963133314</v>
      </c>
      <c r="AJ15" s="277">
        <f t="shared" si="30"/>
        <v>2.619116556182119</v>
      </c>
      <c r="AK15" s="279">
        <f>SUMPRODUCT(AK11:AK14,AK36:AK39)/AK40</f>
        <v>2.127495351626326</v>
      </c>
      <c r="AL15" s="280">
        <f t="shared" si="30"/>
        <v>2.6756106899982623</v>
      </c>
      <c r="AM15" s="279">
        <f t="shared" si="30"/>
        <v>2.127495351626326</v>
      </c>
    </row>
    <row r="16" spans="1:39" x14ac:dyDescent="0.25">
      <c r="A16" s="631"/>
      <c r="B16" s="136" t="s">
        <v>142</v>
      </c>
      <c r="C16" s="136" t="s">
        <v>40</v>
      </c>
      <c r="D16" s="281">
        <f>Indata!D50</f>
        <v>8.4732522945626005</v>
      </c>
      <c r="E16" s="282">
        <f>Indata!E50</f>
        <v>8.4732522945626005</v>
      </c>
      <c r="F16" s="281">
        <f>Indata!F50</f>
        <v>8.4732522945626005</v>
      </c>
      <c r="G16" s="283">
        <f>Indata!G50</f>
        <v>8.4732522945626005</v>
      </c>
      <c r="H16" s="284">
        <f>Indata!H50</f>
        <v>8.4732522945626005</v>
      </c>
      <c r="I16" s="283">
        <f>Indata!I50</f>
        <v>8.4732522945626005</v>
      </c>
      <c r="K16" s="631"/>
      <c r="L16" s="136" t="s">
        <v>142</v>
      </c>
      <c r="M16" s="136" t="s">
        <v>40</v>
      </c>
      <c r="N16" s="281">
        <f>D16*(1-Indata!D$20)</f>
        <v>8.4732522945626005</v>
      </c>
      <c r="O16" s="282">
        <f>E16*(1-Indata!E$20)</f>
        <v>8.4732522945626005</v>
      </c>
      <c r="P16" s="281">
        <f>F16*(1-Indata!F$20)</f>
        <v>8.4732522945626005</v>
      </c>
      <c r="Q16" s="283">
        <f>G16*(1-Indata!G$20)</f>
        <v>8.4732522945626005</v>
      </c>
      <c r="R16" s="284">
        <f>H16*(1-Indata!H$20)</f>
        <v>8.4732522945626005</v>
      </c>
      <c r="S16" s="283">
        <f>I16*(1-Indata!I$20)</f>
        <v>8.4732522945626005</v>
      </c>
      <c r="U16" s="631"/>
      <c r="V16" s="136" t="s">
        <v>142</v>
      </c>
      <c r="W16" s="136" t="s">
        <v>40</v>
      </c>
      <c r="X16" s="281">
        <f t="shared" ref="X16:X19" si="31">N16</f>
        <v>8.4732522945626005</v>
      </c>
      <c r="Y16" s="282">
        <f t="shared" ref="Y16:Y19" si="32">O16</f>
        <v>8.4732522945626005</v>
      </c>
      <c r="Z16" s="281">
        <f t="shared" ref="Z16:Z19" si="33">P16</f>
        <v>8.4732522945626005</v>
      </c>
      <c r="AA16" s="283">
        <f t="shared" ref="AA16:AA19" si="34">Q16</f>
        <v>8.4732522945626005</v>
      </c>
      <c r="AB16" s="284">
        <f t="shared" ref="AB16:AB19" si="35">R16</f>
        <v>8.4732522945626005</v>
      </c>
      <c r="AC16" s="283">
        <f t="shared" ref="AC16:AC19" si="36">S16</f>
        <v>8.4732522945626005</v>
      </c>
      <c r="AE16" s="631"/>
      <c r="AF16" s="136" t="s">
        <v>142</v>
      </c>
      <c r="AG16" s="136" t="s">
        <v>40</v>
      </c>
      <c r="AH16" s="281">
        <f t="shared" ref="AH16:AH19" si="37">X16</f>
        <v>8.4732522945626005</v>
      </c>
      <c r="AI16" s="282">
        <f t="shared" ref="AI16:AI19" si="38">Y16</f>
        <v>8.4732522945626005</v>
      </c>
      <c r="AJ16" s="281">
        <f t="shared" ref="AJ16:AJ19" si="39">Z16</f>
        <v>8.4732522945626005</v>
      </c>
      <c r="AK16" s="283">
        <f t="shared" ref="AK16:AK19" si="40">AA16</f>
        <v>8.4732522945626005</v>
      </c>
      <c r="AL16" s="284">
        <f t="shared" ref="AL16:AL19" si="41">AB16</f>
        <v>8.4732522945626005</v>
      </c>
      <c r="AM16" s="283">
        <f t="shared" ref="AM16:AM19" si="42">AC16</f>
        <v>8.4732522945626005</v>
      </c>
    </row>
    <row r="17" spans="1:39" x14ac:dyDescent="0.25">
      <c r="A17" s="631"/>
      <c r="B17" s="136" t="s">
        <v>143</v>
      </c>
      <c r="C17" s="136" t="s">
        <v>40</v>
      </c>
      <c r="D17" s="281">
        <f>Indata!D51</f>
        <v>8.4732522945626005</v>
      </c>
      <c r="E17" s="282">
        <f>Indata!E51</f>
        <v>8.4732522945626005</v>
      </c>
      <c r="F17" s="281">
        <f>Indata!F51</f>
        <v>8.4732522945626005</v>
      </c>
      <c r="G17" s="283">
        <f>Indata!G51</f>
        <v>8.4732522945626005</v>
      </c>
      <c r="H17" s="284">
        <f>Indata!H51</f>
        <v>8.4732522945626005</v>
      </c>
      <c r="I17" s="283">
        <f>Indata!I51</f>
        <v>8.4732522945626005</v>
      </c>
      <c r="K17" s="631"/>
      <c r="L17" s="136" t="s">
        <v>143</v>
      </c>
      <c r="M17" s="136" t="s">
        <v>40</v>
      </c>
      <c r="N17" s="281">
        <f>D17*(1-Indata!D$20)</f>
        <v>8.4732522945626005</v>
      </c>
      <c r="O17" s="282">
        <f>E17*(1-Indata!E$20)</f>
        <v>8.4732522945626005</v>
      </c>
      <c r="P17" s="281">
        <f>F17*(1-Indata!F$20)</f>
        <v>8.4732522945626005</v>
      </c>
      <c r="Q17" s="283">
        <f>G17*(1-Indata!G$20)</f>
        <v>8.4732522945626005</v>
      </c>
      <c r="R17" s="284">
        <f>H17*(1-Indata!H$20)</f>
        <v>8.4732522945626005</v>
      </c>
      <c r="S17" s="283">
        <f>I17*(1-Indata!I$20)</f>
        <v>8.4732522945626005</v>
      </c>
      <c r="U17" s="631"/>
      <c r="V17" s="136" t="s">
        <v>143</v>
      </c>
      <c r="W17" s="136" t="s">
        <v>40</v>
      </c>
      <c r="X17" s="281">
        <f t="shared" si="31"/>
        <v>8.4732522945626005</v>
      </c>
      <c r="Y17" s="282">
        <f t="shared" si="32"/>
        <v>8.4732522945626005</v>
      </c>
      <c r="Z17" s="281">
        <f t="shared" si="33"/>
        <v>8.4732522945626005</v>
      </c>
      <c r="AA17" s="283">
        <f t="shared" si="34"/>
        <v>8.4732522945626005</v>
      </c>
      <c r="AB17" s="284">
        <f t="shared" si="35"/>
        <v>8.4732522945626005</v>
      </c>
      <c r="AC17" s="283">
        <f t="shared" si="36"/>
        <v>8.4732522945626005</v>
      </c>
      <c r="AE17" s="631"/>
      <c r="AF17" s="136" t="s">
        <v>143</v>
      </c>
      <c r="AG17" s="136" t="s">
        <v>40</v>
      </c>
      <c r="AH17" s="281">
        <f t="shared" si="37"/>
        <v>8.4732522945626005</v>
      </c>
      <c r="AI17" s="282">
        <f t="shared" si="38"/>
        <v>8.4732522945626005</v>
      </c>
      <c r="AJ17" s="281">
        <f t="shared" si="39"/>
        <v>8.4732522945626005</v>
      </c>
      <c r="AK17" s="283">
        <f t="shared" si="40"/>
        <v>8.4732522945626005</v>
      </c>
      <c r="AL17" s="284">
        <f t="shared" si="41"/>
        <v>8.4732522945626005</v>
      </c>
      <c r="AM17" s="283">
        <f t="shared" si="42"/>
        <v>8.4732522945626005</v>
      </c>
    </row>
    <row r="18" spans="1:39" x14ac:dyDescent="0.25">
      <c r="A18" s="631"/>
      <c r="B18" s="136" t="s">
        <v>144</v>
      </c>
      <c r="C18" s="136" t="s">
        <v>40</v>
      </c>
      <c r="D18" s="281">
        <f>Indata!D52</f>
        <v>13.374188060932356</v>
      </c>
      <c r="E18" s="282">
        <f>Indata!E52</f>
        <v>13.374188060932356</v>
      </c>
      <c r="F18" s="281">
        <f>Indata!F52</f>
        <v>13.374188060932356</v>
      </c>
      <c r="G18" s="283">
        <f>Indata!G52</f>
        <v>13.374188060932356</v>
      </c>
      <c r="H18" s="284">
        <f>Indata!H52</f>
        <v>13.374188060932356</v>
      </c>
      <c r="I18" s="283">
        <f>Indata!I52</f>
        <v>13.374188060932356</v>
      </c>
      <c r="K18" s="631"/>
      <c r="L18" s="136" t="s">
        <v>144</v>
      </c>
      <c r="M18" s="136" t="s">
        <v>40</v>
      </c>
      <c r="N18" s="281">
        <f>D18*(1-Indata!D$20)</f>
        <v>13.374188060932356</v>
      </c>
      <c r="O18" s="282">
        <f>E18*(1-Indata!E$20)</f>
        <v>13.374188060932356</v>
      </c>
      <c r="P18" s="281">
        <f>F18*(1-Indata!F$20)</f>
        <v>13.374188060932356</v>
      </c>
      <c r="Q18" s="283">
        <f>G18*(1-Indata!G$20)</f>
        <v>13.374188060932356</v>
      </c>
      <c r="R18" s="284">
        <f>H18*(1-Indata!H$20)</f>
        <v>13.374188060932356</v>
      </c>
      <c r="S18" s="283">
        <f>I18*(1-Indata!I$20)</f>
        <v>13.374188060932356</v>
      </c>
      <c r="U18" s="631"/>
      <c r="V18" s="136" t="s">
        <v>144</v>
      </c>
      <c r="W18" s="136" t="s">
        <v>40</v>
      </c>
      <c r="X18" s="281">
        <f t="shared" si="31"/>
        <v>13.374188060932356</v>
      </c>
      <c r="Y18" s="282">
        <f t="shared" si="32"/>
        <v>13.374188060932356</v>
      </c>
      <c r="Z18" s="281">
        <f t="shared" si="33"/>
        <v>13.374188060932356</v>
      </c>
      <c r="AA18" s="283">
        <f t="shared" si="34"/>
        <v>13.374188060932356</v>
      </c>
      <c r="AB18" s="284">
        <f t="shared" si="35"/>
        <v>13.374188060932356</v>
      </c>
      <c r="AC18" s="283">
        <f t="shared" si="36"/>
        <v>13.374188060932356</v>
      </c>
      <c r="AE18" s="631"/>
      <c r="AF18" s="136" t="s">
        <v>144</v>
      </c>
      <c r="AG18" s="136" t="s">
        <v>40</v>
      </c>
      <c r="AH18" s="281">
        <f t="shared" si="37"/>
        <v>13.374188060932356</v>
      </c>
      <c r="AI18" s="282">
        <f t="shared" si="38"/>
        <v>13.374188060932356</v>
      </c>
      <c r="AJ18" s="281">
        <f t="shared" si="39"/>
        <v>13.374188060932356</v>
      </c>
      <c r="AK18" s="283">
        <f t="shared" si="40"/>
        <v>13.374188060932356</v>
      </c>
      <c r="AL18" s="284">
        <f t="shared" si="41"/>
        <v>13.374188060932356</v>
      </c>
      <c r="AM18" s="283">
        <f t="shared" si="42"/>
        <v>13.374188060932356</v>
      </c>
    </row>
    <row r="19" spans="1:39" x14ac:dyDescent="0.25">
      <c r="A19" s="631"/>
      <c r="B19" s="136" t="s">
        <v>145</v>
      </c>
      <c r="C19" s="136" t="s">
        <v>40</v>
      </c>
      <c r="D19" s="281">
        <f>Indata!D53</f>
        <v>15.182448650666799</v>
      </c>
      <c r="E19" s="282">
        <f>Indata!E53</f>
        <v>15.182448650666799</v>
      </c>
      <c r="F19" s="281">
        <f>Indata!F53</f>
        <v>15.182448650666799</v>
      </c>
      <c r="G19" s="283">
        <f>Indata!G53</f>
        <v>15.182448650666799</v>
      </c>
      <c r="H19" s="284">
        <f>Indata!H53</f>
        <v>15.182448650666799</v>
      </c>
      <c r="I19" s="283">
        <f>Indata!I53</f>
        <v>15.182448650666799</v>
      </c>
      <c r="K19" s="631"/>
      <c r="L19" s="136" t="s">
        <v>145</v>
      </c>
      <c r="M19" s="136" t="s">
        <v>40</v>
      </c>
      <c r="N19" s="281">
        <f>D19*(1-Indata!D$20)</f>
        <v>15.182448650666799</v>
      </c>
      <c r="O19" s="282">
        <f>E19*(1-Indata!E$20)</f>
        <v>15.182448650666799</v>
      </c>
      <c r="P19" s="281">
        <f>F19*(1-Indata!F$20)</f>
        <v>15.182448650666799</v>
      </c>
      <c r="Q19" s="283">
        <f>G19*(1-Indata!G$20)</f>
        <v>15.182448650666799</v>
      </c>
      <c r="R19" s="284">
        <f>H19*(1-Indata!H$20)</f>
        <v>15.182448650666799</v>
      </c>
      <c r="S19" s="283">
        <f>I19*(1-Indata!I$20)</f>
        <v>15.182448650666799</v>
      </c>
      <c r="U19" s="631"/>
      <c r="V19" s="136" t="s">
        <v>145</v>
      </c>
      <c r="W19" s="136" t="s">
        <v>40</v>
      </c>
      <c r="X19" s="281">
        <f t="shared" si="31"/>
        <v>15.182448650666799</v>
      </c>
      <c r="Y19" s="282">
        <f t="shared" si="32"/>
        <v>15.182448650666799</v>
      </c>
      <c r="Z19" s="281">
        <f t="shared" si="33"/>
        <v>15.182448650666799</v>
      </c>
      <c r="AA19" s="283">
        <f t="shared" si="34"/>
        <v>15.182448650666799</v>
      </c>
      <c r="AB19" s="284">
        <f t="shared" si="35"/>
        <v>15.182448650666799</v>
      </c>
      <c r="AC19" s="283">
        <f t="shared" si="36"/>
        <v>15.182448650666799</v>
      </c>
      <c r="AE19" s="631"/>
      <c r="AF19" s="136" t="s">
        <v>145</v>
      </c>
      <c r="AG19" s="136" t="s">
        <v>40</v>
      </c>
      <c r="AH19" s="281">
        <f t="shared" si="37"/>
        <v>15.182448650666799</v>
      </c>
      <c r="AI19" s="282">
        <f t="shared" si="38"/>
        <v>15.182448650666799</v>
      </c>
      <c r="AJ19" s="281">
        <f t="shared" si="39"/>
        <v>15.182448650666799</v>
      </c>
      <c r="AK19" s="283">
        <f t="shared" si="40"/>
        <v>15.182448650666799</v>
      </c>
      <c r="AL19" s="284">
        <f t="shared" si="41"/>
        <v>15.182448650666799</v>
      </c>
      <c r="AM19" s="283">
        <f t="shared" si="42"/>
        <v>15.182448650666799</v>
      </c>
    </row>
    <row r="20" spans="1:39" ht="15.75" thickBot="1" x14ac:dyDescent="0.3">
      <c r="A20" s="632"/>
      <c r="B20" s="189" t="s">
        <v>146</v>
      </c>
      <c r="C20" s="189" t="s">
        <v>40</v>
      </c>
      <c r="D20" s="208">
        <f>SUMPRODUCT(D16:D19,D41:D44)/D45</f>
        <v>11.094254818293248</v>
      </c>
      <c r="E20" s="209">
        <f t="shared" ref="E20:I20" si="43">SUMPRODUCT(E16:E19,E41:E44)/E45</f>
        <v>11.094254818293246</v>
      </c>
      <c r="F20" s="208">
        <f t="shared" si="43"/>
        <v>14.069098336087091</v>
      </c>
      <c r="G20" s="210">
        <f t="shared" si="43"/>
        <v>12.957606815551204</v>
      </c>
      <c r="H20" s="211">
        <f t="shared" si="43"/>
        <v>11.691294775621911</v>
      </c>
      <c r="I20" s="210">
        <f t="shared" si="43"/>
        <v>12.957606815551204</v>
      </c>
      <c r="K20" s="632"/>
      <c r="L20" s="189" t="s">
        <v>146</v>
      </c>
      <c r="M20" s="189" t="s">
        <v>40</v>
      </c>
      <c r="N20" s="208">
        <f>SUMPRODUCT(N16:N19,N41:N44)/N45</f>
        <v>11.094254818293248</v>
      </c>
      <c r="O20" s="209">
        <f t="shared" ref="O20:S20" si="44">SUMPRODUCT(O16:O19,O41:O44)/O45</f>
        <v>11.094254818293246</v>
      </c>
      <c r="P20" s="208">
        <f t="shared" si="44"/>
        <v>14.069098336087091</v>
      </c>
      <c r="Q20" s="210">
        <f t="shared" si="44"/>
        <v>12.957606815551204</v>
      </c>
      <c r="R20" s="211">
        <f t="shared" si="44"/>
        <v>11.691294775621911</v>
      </c>
      <c r="S20" s="210">
        <f t="shared" si="44"/>
        <v>12.957606815551204</v>
      </c>
      <c r="U20" s="632"/>
      <c r="V20" s="189" t="s">
        <v>146</v>
      </c>
      <c r="W20" s="189" t="s">
        <v>40</v>
      </c>
      <c r="X20" s="208">
        <f t="shared" ref="X20:AC20" si="45">SUMPRODUCT(X16:X19,X41:X44)/X45</f>
        <v>11.094254818293248</v>
      </c>
      <c r="Y20" s="209">
        <f t="shared" si="45"/>
        <v>11.094254818293246</v>
      </c>
      <c r="Z20" s="208">
        <f t="shared" si="45"/>
        <v>14.069098336087093</v>
      </c>
      <c r="AA20" s="210">
        <f t="shared" si="45"/>
        <v>12.957606815551204</v>
      </c>
      <c r="AB20" s="211">
        <f t="shared" si="45"/>
        <v>11.691294775621914</v>
      </c>
      <c r="AC20" s="210">
        <f t="shared" si="45"/>
        <v>12.957606815551204</v>
      </c>
      <c r="AE20" s="632"/>
      <c r="AF20" s="189" t="s">
        <v>146</v>
      </c>
      <c r="AG20" s="189" t="s">
        <v>40</v>
      </c>
      <c r="AH20" s="208">
        <f t="shared" ref="AH20:AM20" si="46">SUMPRODUCT(AH16:AH19,AH41:AH44)/AH45</f>
        <v>11.094254818293248</v>
      </c>
      <c r="AI20" s="209">
        <f t="shared" si="46"/>
        <v>11.094254818293246</v>
      </c>
      <c r="AJ20" s="208">
        <f t="shared" si="46"/>
        <v>14.069098336087091</v>
      </c>
      <c r="AK20" s="210">
        <f t="shared" si="46"/>
        <v>12.957606815551204</v>
      </c>
      <c r="AL20" s="211">
        <f t="shared" si="46"/>
        <v>11.691294775621914</v>
      </c>
      <c r="AM20" s="210">
        <f t="shared" si="46"/>
        <v>12.957606815551204</v>
      </c>
    </row>
    <row r="21" spans="1:39" x14ac:dyDescent="0.25">
      <c r="D21" s="76"/>
      <c r="E21" s="76"/>
      <c r="F21" s="76"/>
      <c r="G21" s="76"/>
      <c r="H21" s="76"/>
      <c r="I21" s="76"/>
      <c r="N21" s="76"/>
      <c r="O21" s="76"/>
      <c r="P21" s="76"/>
      <c r="Q21" s="76"/>
      <c r="R21" s="76"/>
      <c r="S21" s="76"/>
      <c r="X21" s="76"/>
      <c r="Y21" s="76"/>
      <c r="Z21" s="76"/>
      <c r="AA21" s="76"/>
      <c r="AB21" s="76"/>
      <c r="AC21" s="76"/>
      <c r="AE21" s="40"/>
      <c r="AF21" s="40"/>
      <c r="AG21" s="40"/>
      <c r="AH21" s="76"/>
      <c r="AI21" s="76"/>
      <c r="AJ21" s="76"/>
      <c r="AK21" s="76"/>
      <c r="AL21" s="76"/>
      <c r="AM21" s="76"/>
    </row>
    <row r="22" spans="1:39" ht="15" customHeight="1" thickBot="1" x14ac:dyDescent="0.3">
      <c r="A22" s="42" t="s">
        <v>148</v>
      </c>
      <c r="D22" s="66"/>
      <c r="E22" s="66"/>
      <c r="F22" s="66"/>
      <c r="G22" s="66"/>
      <c r="H22" s="66"/>
      <c r="I22" s="66"/>
      <c r="K22" s="42" t="s">
        <v>151</v>
      </c>
      <c r="N22" s="66"/>
      <c r="O22" s="66"/>
      <c r="P22" s="66"/>
      <c r="Q22" s="66"/>
      <c r="R22" s="66"/>
      <c r="S22" s="66"/>
      <c r="U22" s="42" t="s">
        <v>152</v>
      </c>
      <c r="X22" s="66"/>
      <c r="Y22" s="66"/>
      <c r="Z22" s="66"/>
      <c r="AA22" s="66"/>
      <c r="AB22" s="66"/>
      <c r="AC22" s="66"/>
      <c r="AE22" s="42" t="s">
        <v>155</v>
      </c>
      <c r="AF22" s="40"/>
      <c r="AG22" s="40"/>
      <c r="AH22" s="66"/>
      <c r="AI22" s="66"/>
      <c r="AJ22" s="66"/>
      <c r="AK22" s="66"/>
      <c r="AL22" s="66"/>
      <c r="AM22" s="66"/>
    </row>
    <row r="23" spans="1:39" ht="14.45" customHeight="1" thickBot="1" x14ac:dyDescent="0.3">
      <c r="A23" s="630" t="s">
        <v>149</v>
      </c>
      <c r="B23" s="135" t="s">
        <v>116</v>
      </c>
      <c r="C23" s="135" t="s">
        <v>25</v>
      </c>
      <c r="D23" s="233">
        <f>Indata!D42</f>
        <v>0.15</v>
      </c>
      <c r="E23" s="233">
        <f>Indata!E42</f>
        <v>0.6</v>
      </c>
      <c r="F23" s="233">
        <f>Indata!F42</f>
        <v>0.1</v>
      </c>
      <c r="G23" s="233">
        <f>Indata!G42</f>
        <v>0.85</v>
      </c>
      <c r="H23" s="233">
        <f>Indata!H42</f>
        <v>0.5</v>
      </c>
      <c r="I23" s="233">
        <f>Indata!I42</f>
        <v>0.85</v>
      </c>
      <c r="K23" s="630" t="s">
        <v>149</v>
      </c>
      <c r="L23" s="135" t="s">
        <v>116</v>
      </c>
      <c r="M23" s="135" t="s">
        <v>25</v>
      </c>
      <c r="N23" s="233">
        <f>D23</f>
        <v>0.15</v>
      </c>
      <c r="O23" s="234">
        <f t="shared" ref="O23:O26" si="47">E23</f>
        <v>0.6</v>
      </c>
      <c r="P23" s="233">
        <f t="shared" ref="P23:P26" si="48">F23</f>
        <v>0.1</v>
      </c>
      <c r="Q23" s="235">
        <f t="shared" ref="Q23:Q26" si="49">G23</f>
        <v>0.85</v>
      </c>
      <c r="R23" s="236">
        <f t="shared" ref="R23:R26" si="50">H23</f>
        <v>0.5</v>
      </c>
      <c r="S23" s="235">
        <f t="shared" ref="S23:S26" si="51">I23</f>
        <v>0.85</v>
      </c>
      <c r="U23" s="630" t="s">
        <v>149</v>
      </c>
      <c r="V23" s="135" t="s">
        <v>116</v>
      </c>
      <c r="W23" s="135" t="s">
        <v>25</v>
      </c>
      <c r="X23" s="233">
        <f>N23</f>
        <v>0.15</v>
      </c>
      <c r="Y23" s="234">
        <f>O23</f>
        <v>0.6</v>
      </c>
      <c r="Z23" s="233">
        <f t="shared" ref="Y23:AC26" si="52">P23</f>
        <v>0.1</v>
      </c>
      <c r="AA23" s="235">
        <f t="shared" si="52"/>
        <v>0.85</v>
      </c>
      <c r="AB23" s="236">
        <f t="shared" si="52"/>
        <v>0.5</v>
      </c>
      <c r="AC23" s="235">
        <f t="shared" si="52"/>
        <v>0.85</v>
      </c>
      <c r="AE23" s="630" t="s">
        <v>149</v>
      </c>
      <c r="AF23" s="135" t="s">
        <v>116</v>
      </c>
      <c r="AG23" s="135" t="s">
        <v>25</v>
      </c>
      <c r="AH23" s="233">
        <f>X23</f>
        <v>0.15</v>
      </c>
      <c r="AI23" s="234">
        <f>Y23</f>
        <v>0.6</v>
      </c>
      <c r="AJ23" s="233">
        <f t="shared" ref="AJ23:AJ26" si="53">Z23</f>
        <v>0.1</v>
      </c>
      <c r="AK23" s="235">
        <f t="shared" ref="AK23:AK26" si="54">AA23</f>
        <v>0.85</v>
      </c>
      <c r="AL23" s="236">
        <f t="shared" ref="AL23:AL26" si="55">AB23</f>
        <v>0.5</v>
      </c>
      <c r="AM23" s="235">
        <f t="shared" ref="AM23:AM26" si="56">AC23</f>
        <v>0.85</v>
      </c>
    </row>
    <row r="24" spans="1:39" ht="15.75" thickBot="1" x14ac:dyDescent="0.3">
      <c r="A24" s="631"/>
      <c r="B24" s="136" t="s">
        <v>117</v>
      </c>
      <c r="C24" s="136" t="s">
        <v>25</v>
      </c>
      <c r="D24" s="233">
        <f>Indata!D43</f>
        <v>0.15</v>
      </c>
      <c r="E24" s="233">
        <f>Indata!E43</f>
        <v>0.6</v>
      </c>
      <c r="F24" s="233">
        <f>Indata!F43</f>
        <v>0.1</v>
      </c>
      <c r="G24" s="233">
        <f>Indata!G43</f>
        <v>0.85</v>
      </c>
      <c r="H24" s="233">
        <f>Indata!H43</f>
        <v>0.5</v>
      </c>
      <c r="I24" s="233">
        <f>Indata!I43</f>
        <v>0.85</v>
      </c>
      <c r="K24" s="631"/>
      <c r="L24" s="136" t="s">
        <v>117</v>
      </c>
      <c r="M24" s="136" t="s">
        <v>25</v>
      </c>
      <c r="N24" s="237">
        <f t="shared" ref="N24:N26" si="57">D24</f>
        <v>0.15</v>
      </c>
      <c r="O24" s="238">
        <f t="shared" si="47"/>
        <v>0.6</v>
      </c>
      <c r="P24" s="237">
        <f t="shared" si="48"/>
        <v>0.1</v>
      </c>
      <c r="Q24" s="239">
        <f t="shared" si="49"/>
        <v>0.85</v>
      </c>
      <c r="R24" s="240">
        <f t="shared" si="50"/>
        <v>0.5</v>
      </c>
      <c r="S24" s="239">
        <f t="shared" si="51"/>
        <v>0.85</v>
      </c>
      <c r="U24" s="631"/>
      <c r="V24" s="136" t="s">
        <v>117</v>
      </c>
      <c r="W24" s="136" t="s">
        <v>25</v>
      </c>
      <c r="X24" s="237">
        <f t="shared" ref="X24" si="58">N24</f>
        <v>0.15</v>
      </c>
      <c r="Y24" s="238">
        <f t="shared" si="52"/>
        <v>0.6</v>
      </c>
      <c r="Z24" s="237">
        <f t="shared" si="52"/>
        <v>0.1</v>
      </c>
      <c r="AA24" s="239">
        <f t="shared" si="52"/>
        <v>0.85</v>
      </c>
      <c r="AB24" s="240">
        <f t="shared" si="52"/>
        <v>0.5</v>
      </c>
      <c r="AC24" s="239">
        <f t="shared" si="52"/>
        <v>0.85</v>
      </c>
      <c r="AE24" s="631"/>
      <c r="AF24" s="136" t="s">
        <v>117</v>
      </c>
      <c r="AG24" s="136" t="s">
        <v>25</v>
      </c>
      <c r="AH24" s="237">
        <f t="shared" ref="AH24" si="59">X24</f>
        <v>0.15</v>
      </c>
      <c r="AI24" s="238">
        <f t="shared" ref="AI24:AI25" si="60">Y24</f>
        <v>0.6</v>
      </c>
      <c r="AJ24" s="237">
        <f t="shared" si="53"/>
        <v>0.1</v>
      </c>
      <c r="AK24" s="239">
        <f t="shared" si="54"/>
        <v>0.85</v>
      </c>
      <c r="AL24" s="240">
        <f t="shared" si="55"/>
        <v>0.5</v>
      </c>
      <c r="AM24" s="239">
        <f t="shared" si="56"/>
        <v>0.85</v>
      </c>
    </row>
    <row r="25" spans="1:39" ht="15.75" thickBot="1" x14ac:dyDescent="0.3">
      <c r="A25" s="631"/>
      <c r="B25" s="136" t="s">
        <v>118</v>
      </c>
      <c r="C25" s="136" t="s">
        <v>25</v>
      </c>
      <c r="D25" s="233">
        <f>Indata!D44</f>
        <v>4.0427955013328291E-2</v>
      </c>
      <c r="E25" s="233">
        <f>Indata!E44</f>
        <v>0.16171182005331317</v>
      </c>
      <c r="F25" s="233">
        <f>Indata!F44</f>
        <v>0.1</v>
      </c>
      <c r="G25" s="233">
        <f>Indata!G44</f>
        <v>0.36423060055908874</v>
      </c>
      <c r="H25" s="233">
        <f>Indata!H44</f>
        <v>0.14936945604265053</v>
      </c>
      <c r="I25" s="233">
        <f>Indata!I44</f>
        <v>0.36423060055908874</v>
      </c>
      <c r="K25" s="631"/>
      <c r="L25" s="136" t="s">
        <v>118</v>
      </c>
      <c r="M25" s="136" t="s">
        <v>25</v>
      </c>
      <c r="N25" s="237">
        <f t="shared" si="57"/>
        <v>4.0427955013328291E-2</v>
      </c>
      <c r="O25" s="238">
        <f t="shared" si="47"/>
        <v>0.16171182005331317</v>
      </c>
      <c r="P25" s="237">
        <f t="shared" si="48"/>
        <v>0.1</v>
      </c>
      <c r="Q25" s="239">
        <f t="shared" si="49"/>
        <v>0.36423060055908874</v>
      </c>
      <c r="R25" s="240">
        <f t="shared" si="50"/>
        <v>0.14936945604265053</v>
      </c>
      <c r="S25" s="239">
        <f t="shared" si="51"/>
        <v>0.36423060055908874</v>
      </c>
      <c r="U25" s="631"/>
      <c r="V25" s="136" t="s">
        <v>118</v>
      </c>
      <c r="W25" s="136" t="s">
        <v>25</v>
      </c>
      <c r="X25" s="237">
        <f>N25</f>
        <v>4.0427955013328291E-2</v>
      </c>
      <c r="Y25" s="238">
        <f t="shared" si="52"/>
        <v>0.16171182005331317</v>
      </c>
      <c r="Z25" s="237">
        <f t="shared" si="52"/>
        <v>0.1</v>
      </c>
      <c r="AA25" s="239">
        <f t="shared" si="52"/>
        <v>0.36423060055908874</v>
      </c>
      <c r="AB25" s="240">
        <f t="shared" si="52"/>
        <v>0.14936945604265053</v>
      </c>
      <c r="AC25" s="239">
        <f t="shared" si="52"/>
        <v>0.36423060055908874</v>
      </c>
      <c r="AE25" s="631"/>
      <c r="AF25" s="136" t="s">
        <v>118</v>
      </c>
      <c r="AG25" s="136" t="s">
        <v>25</v>
      </c>
      <c r="AH25" s="237">
        <f>X25</f>
        <v>4.0427955013328291E-2</v>
      </c>
      <c r="AI25" s="238">
        <f t="shared" si="60"/>
        <v>0.16171182005331317</v>
      </c>
      <c r="AJ25" s="237">
        <f t="shared" si="53"/>
        <v>0.1</v>
      </c>
      <c r="AK25" s="239">
        <f t="shared" si="54"/>
        <v>0.36423060055908874</v>
      </c>
      <c r="AL25" s="240">
        <f t="shared" si="55"/>
        <v>0.14936945604265053</v>
      </c>
      <c r="AM25" s="239">
        <f t="shared" si="56"/>
        <v>0.36423060055908874</v>
      </c>
    </row>
    <row r="26" spans="1:39" ht="15.75" thickBot="1" x14ac:dyDescent="0.3">
      <c r="A26" s="632"/>
      <c r="B26" s="137" t="s">
        <v>119</v>
      </c>
      <c r="C26" s="137" t="s">
        <v>25</v>
      </c>
      <c r="D26" s="233">
        <f>Indata!D45</f>
        <v>0</v>
      </c>
      <c r="E26" s="233">
        <f>Indata!E45</f>
        <v>0</v>
      </c>
      <c r="F26" s="233">
        <f>Indata!F45</f>
        <v>0.1</v>
      </c>
      <c r="G26" s="233">
        <f>Indata!G45</f>
        <v>0.185</v>
      </c>
      <c r="H26" s="233">
        <f>Indata!H45</f>
        <v>0.02</v>
      </c>
      <c r="I26" s="233">
        <f>Indata!I45</f>
        <v>0.185</v>
      </c>
      <c r="K26" s="632"/>
      <c r="L26" s="137" t="s">
        <v>119</v>
      </c>
      <c r="M26" s="137" t="s">
        <v>25</v>
      </c>
      <c r="N26" s="241">
        <f t="shared" si="57"/>
        <v>0</v>
      </c>
      <c r="O26" s="242">
        <f t="shared" si="47"/>
        <v>0</v>
      </c>
      <c r="P26" s="241">
        <f t="shared" si="48"/>
        <v>0.1</v>
      </c>
      <c r="Q26" s="243">
        <f t="shared" si="49"/>
        <v>0.185</v>
      </c>
      <c r="R26" s="244">
        <f t="shared" si="50"/>
        <v>0.02</v>
      </c>
      <c r="S26" s="243">
        <f t="shared" si="51"/>
        <v>0.185</v>
      </c>
      <c r="U26" s="632"/>
      <c r="V26" s="137" t="s">
        <v>119</v>
      </c>
      <c r="W26" s="137" t="s">
        <v>25</v>
      </c>
      <c r="X26" s="241">
        <f>N26</f>
        <v>0</v>
      </c>
      <c r="Y26" s="242">
        <f>O26</f>
        <v>0</v>
      </c>
      <c r="Z26" s="241">
        <f t="shared" si="52"/>
        <v>0.1</v>
      </c>
      <c r="AA26" s="243">
        <f t="shared" si="52"/>
        <v>0.185</v>
      </c>
      <c r="AB26" s="244">
        <f t="shared" si="52"/>
        <v>0.02</v>
      </c>
      <c r="AC26" s="243">
        <f t="shared" si="52"/>
        <v>0.185</v>
      </c>
      <c r="AE26" s="632"/>
      <c r="AF26" s="137" t="s">
        <v>119</v>
      </c>
      <c r="AG26" s="137" t="s">
        <v>25</v>
      </c>
      <c r="AH26" s="241">
        <f>X26</f>
        <v>0</v>
      </c>
      <c r="AI26" s="242">
        <f>Y26</f>
        <v>0</v>
      </c>
      <c r="AJ26" s="241">
        <f t="shared" si="53"/>
        <v>0.1</v>
      </c>
      <c r="AK26" s="243">
        <f t="shared" si="54"/>
        <v>0.185</v>
      </c>
      <c r="AL26" s="244">
        <f t="shared" si="55"/>
        <v>0.02</v>
      </c>
      <c r="AM26" s="243">
        <f t="shared" si="56"/>
        <v>0.185</v>
      </c>
    </row>
    <row r="27" spans="1:39" x14ac:dyDescent="0.25">
      <c r="D27" s="76"/>
      <c r="E27" s="76"/>
      <c r="F27" s="76"/>
      <c r="G27" s="76"/>
      <c r="H27" s="76"/>
      <c r="I27" s="76"/>
      <c r="N27" s="76"/>
      <c r="O27" s="76"/>
      <c r="P27" s="76"/>
      <c r="Q27" s="76"/>
      <c r="R27" s="76"/>
      <c r="S27" s="76"/>
      <c r="X27" s="76"/>
      <c r="Y27" s="76"/>
      <c r="Z27" s="76"/>
      <c r="AA27" s="76"/>
      <c r="AB27" s="76"/>
      <c r="AC27" s="76"/>
      <c r="AE27" s="40"/>
      <c r="AF27" s="40"/>
      <c r="AG27" s="40"/>
      <c r="AH27" s="76"/>
      <c r="AI27" s="76"/>
      <c r="AJ27" s="76"/>
      <c r="AK27" s="76"/>
      <c r="AL27" s="76"/>
      <c r="AM27" s="76"/>
    </row>
    <row r="28" spans="1:39" ht="15" customHeight="1" thickBot="1" x14ac:dyDescent="0.3">
      <c r="A28" s="42" t="s">
        <v>81</v>
      </c>
      <c r="D28" s="77"/>
      <c r="E28" s="77"/>
      <c r="F28" s="77"/>
      <c r="G28" s="77"/>
      <c r="H28" s="77"/>
      <c r="I28" s="77"/>
      <c r="K28" s="42" t="s">
        <v>160</v>
      </c>
      <c r="N28" s="77"/>
      <c r="O28" s="77"/>
      <c r="P28" s="77"/>
      <c r="Q28" s="77"/>
      <c r="R28" s="77"/>
      <c r="S28" s="77"/>
      <c r="U28" s="42" t="s">
        <v>92</v>
      </c>
      <c r="X28" s="77"/>
      <c r="Y28" s="77"/>
      <c r="Z28" s="77"/>
      <c r="AA28" s="77"/>
      <c r="AB28" s="77"/>
      <c r="AC28" s="77"/>
      <c r="AE28" s="42" t="s">
        <v>156</v>
      </c>
      <c r="AF28" s="40"/>
      <c r="AG28" s="40"/>
      <c r="AH28" s="77"/>
      <c r="AI28" s="77"/>
      <c r="AJ28" s="77"/>
      <c r="AK28" s="77"/>
      <c r="AL28" s="77"/>
      <c r="AM28" s="77"/>
    </row>
    <row r="29" spans="1:39" ht="14.45" customHeight="1" x14ac:dyDescent="0.25">
      <c r="A29" s="633" t="s">
        <v>21</v>
      </c>
      <c r="B29" s="135" t="s">
        <v>116</v>
      </c>
      <c r="C29" s="135" t="s">
        <v>74</v>
      </c>
      <c r="D29" s="202">
        <f>Indata!D$16*10</f>
        <v>0</v>
      </c>
      <c r="E29" s="227">
        <f>Indata!E$16*10</f>
        <v>0</v>
      </c>
      <c r="F29" s="202">
        <f>Indata!F$16*10</f>
        <v>35.041693098526949</v>
      </c>
      <c r="G29" s="203">
        <f>Indata!G$16*10</f>
        <v>0</v>
      </c>
      <c r="H29" s="204">
        <f>Indata!H$16*10</f>
        <v>0</v>
      </c>
      <c r="I29" s="203">
        <f>Indata!I$16*10</f>
        <v>0</v>
      </c>
      <c r="K29" s="633" t="s">
        <v>21</v>
      </c>
      <c r="L29" s="135" t="s">
        <v>116</v>
      </c>
      <c r="M29" s="135" t="s">
        <v>74</v>
      </c>
      <c r="N29" s="202">
        <f>D29</f>
        <v>0</v>
      </c>
      <c r="O29" s="227">
        <f t="shared" ref="O29:O32" si="61">E29</f>
        <v>0</v>
      </c>
      <c r="P29" s="202">
        <f t="shared" ref="P29:P32" si="62">F29</f>
        <v>35.041693098526949</v>
      </c>
      <c r="Q29" s="203">
        <f t="shared" ref="Q29:Q32" si="63">G29</f>
        <v>0</v>
      </c>
      <c r="R29" s="204">
        <f t="shared" ref="R29:R32" si="64">H29</f>
        <v>0</v>
      </c>
      <c r="S29" s="203">
        <f t="shared" ref="S29:S32" si="65">I29</f>
        <v>0</v>
      </c>
      <c r="U29" s="633" t="s">
        <v>21</v>
      </c>
      <c r="V29" s="135" t="s">
        <v>116</v>
      </c>
      <c r="W29" s="135" t="s">
        <v>74</v>
      </c>
      <c r="X29" s="202">
        <f>N29</f>
        <v>0</v>
      </c>
      <c r="Y29" s="227">
        <f t="shared" ref="Y29:Y32" si="66">O29</f>
        <v>0</v>
      </c>
      <c r="Z29" s="202">
        <f t="shared" ref="Z29:Z32" si="67">P29</f>
        <v>35.041693098526949</v>
      </c>
      <c r="AA29" s="203">
        <f t="shared" ref="AA29:AA32" si="68">Q29</f>
        <v>0</v>
      </c>
      <c r="AB29" s="204">
        <f t="shared" ref="AB29:AB32" si="69">R29</f>
        <v>0</v>
      </c>
      <c r="AC29" s="203">
        <f t="shared" ref="AC29:AC32" si="70">S29</f>
        <v>0</v>
      </c>
      <c r="AE29" s="633" t="s">
        <v>21</v>
      </c>
      <c r="AF29" s="135" t="s">
        <v>116</v>
      </c>
      <c r="AG29" s="135" t="s">
        <v>74</v>
      </c>
      <c r="AH29" s="202">
        <f>X29</f>
        <v>0</v>
      </c>
      <c r="AI29" s="227">
        <f t="shared" ref="AI29:AI32" si="71">Y29</f>
        <v>0</v>
      </c>
      <c r="AJ29" s="202">
        <f t="shared" ref="AJ29:AJ32" si="72">Z29</f>
        <v>35.041693098526949</v>
      </c>
      <c r="AK29" s="203">
        <f t="shared" ref="AK29:AK32" si="73">AA29</f>
        <v>0</v>
      </c>
      <c r="AL29" s="204">
        <f t="shared" ref="AL29:AL32" si="74">AB29</f>
        <v>0</v>
      </c>
      <c r="AM29" s="203">
        <f t="shared" ref="AM29:AM32" si="75">AC29</f>
        <v>0</v>
      </c>
    </row>
    <row r="30" spans="1:39" x14ac:dyDescent="0.25">
      <c r="A30" s="634"/>
      <c r="B30" s="136" t="s">
        <v>117</v>
      </c>
      <c r="C30" s="136" t="s">
        <v>74</v>
      </c>
      <c r="D30" s="205">
        <f>Indata!D$16*10</f>
        <v>0</v>
      </c>
      <c r="E30" s="228">
        <f>Indata!E$16*10</f>
        <v>0</v>
      </c>
      <c r="F30" s="205">
        <f>Indata!F$16*10</f>
        <v>35.041693098526949</v>
      </c>
      <c r="G30" s="206">
        <f>Indata!G$16*10</f>
        <v>0</v>
      </c>
      <c r="H30" s="207">
        <f>Indata!H$16*10</f>
        <v>0</v>
      </c>
      <c r="I30" s="206">
        <f>Indata!I$16*10</f>
        <v>0</v>
      </c>
      <c r="K30" s="634"/>
      <c r="L30" s="136" t="s">
        <v>117</v>
      </c>
      <c r="M30" s="136" t="s">
        <v>74</v>
      </c>
      <c r="N30" s="205">
        <f t="shared" ref="N30:N32" si="76">D30</f>
        <v>0</v>
      </c>
      <c r="O30" s="228">
        <f t="shared" si="61"/>
        <v>0</v>
      </c>
      <c r="P30" s="205">
        <f t="shared" si="62"/>
        <v>35.041693098526949</v>
      </c>
      <c r="Q30" s="206">
        <f t="shared" si="63"/>
        <v>0</v>
      </c>
      <c r="R30" s="207">
        <f t="shared" si="64"/>
        <v>0</v>
      </c>
      <c r="S30" s="206">
        <f t="shared" si="65"/>
        <v>0</v>
      </c>
      <c r="U30" s="634"/>
      <c r="V30" s="136" t="s">
        <v>117</v>
      </c>
      <c r="W30" s="136" t="s">
        <v>74</v>
      </c>
      <c r="X30" s="205">
        <f t="shared" ref="X30:X32" si="77">N30</f>
        <v>0</v>
      </c>
      <c r="Y30" s="228">
        <f t="shared" si="66"/>
        <v>0</v>
      </c>
      <c r="Z30" s="205">
        <f t="shared" si="67"/>
        <v>35.041693098526949</v>
      </c>
      <c r="AA30" s="206">
        <f t="shared" si="68"/>
        <v>0</v>
      </c>
      <c r="AB30" s="207">
        <f t="shared" si="69"/>
        <v>0</v>
      </c>
      <c r="AC30" s="206">
        <f t="shared" si="70"/>
        <v>0</v>
      </c>
      <c r="AE30" s="634"/>
      <c r="AF30" s="136" t="s">
        <v>117</v>
      </c>
      <c r="AG30" s="136" t="s">
        <v>74</v>
      </c>
      <c r="AH30" s="205">
        <f t="shared" ref="AH30:AH32" si="78">X30</f>
        <v>0</v>
      </c>
      <c r="AI30" s="228">
        <f t="shared" si="71"/>
        <v>0</v>
      </c>
      <c r="AJ30" s="205">
        <f t="shared" si="72"/>
        <v>35.041693098526949</v>
      </c>
      <c r="AK30" s="206">
        <f t="shared" si="73"/>
        <v>0</v>
      </c>
      <c r="AL30" s="207">
        <f t="shared" si="74"/>
        <v>0</v>
      </c>
      <c r="AM30" s="206">
        <f t="shared" si="75"/>
        <v>0</v>
      </c>
    </row>
    <row r="31" spans="1:39" x14ac:dyDescent="0.25">
      <c r="A31" s="634"/>
      <c r="B31" s="136" t="s">
        <v>118</v>
      </c>
      <c r="C31" s="136" t="s">
        <v>74</v>
      </c>
      <c r="D31" s="281">
        <f>Indata!D$16*10</f>
        <v>0</v>
      </c>
      <c r="E31" s="282">
        <f>Indata!E$16*10</f>
        <v>0</v>
      </c>
      <c r="F31" s="281">
        <f>Indata!F$16*10</f>
        <v>35.041693098526949</v>
      </c>
      <c r="G31" s="283">
        <f>Indata!G$16*10</f>
        <v>0</v>
      </c>
      <c r="H31" s="284">
        <f>Indata!H$16*10</f>
        <v>0</v>
      </c>
      <c r="I31" s="283">
        <f>Indata!I$16*10</f>
        <v>0</v>
      </c>
      <c r="K31" s="634"/>
      <c r="L31" s="136" t="s">
        <v>118</v>
      </c>
      <c r="M31" s="136" t="s">
        <v>74</v>
      </c>
      <c r="N31" s="281">
        <f t="shared" si="76"/>
        <v>0</v>
      </c>
      <c r="O31" s="282">
        <f t="shared" si="61"/>
        <v>0</v>
      </c>
      <c r="P31" s="281">
        <f t="shared" si="62"/>
        <v>35.041693098526949</v>
      </c>
      <c r="Q31" s="283">
        <f t="shared" si="63"/>
        <v>0</v>
      </c>
      <c r="R31" s="284">
        <f t="shared" si="64"/>
        <v>0</v>
      </c>
      <c r="S31" s="283">
        <f t="shared" si="65"/>
        <v>0</v>
      </c>
      <c r="U31" s="634"/>
      <c r="V31" s="136" t="s">
        <v>118</v>
      </c>
      <c r="W31" s="136" t="s">
        <v>74</v>
      </c>
      <c r="X31" s="281">
        <f t="shared" si="77"/>
        <v>0</v>
      </c>
      <c r="Y31" s="282">
        <f t="shared" si="66"/>
        <v>0</v>
      </c>
      <c r="Z31" s="281">
        <f t="shared" si="67"/>
        <v>35.041693098526949</v>
      </c>
      <c r="AA31" s="283">
        <f t="shared" si="68"/>
        <v>0</v>
      </c>
      <c r="AB31" s="284">
        <f t="shared" si="69"/>
        <v>0</v>
      </c>
      <c r="AC31" s="283">
        <f t="shared" si="70"/>
        <v>0</v>
      </c>
      <c r="AE31" s="634"/>
      <c r="AF31" s="136" t="s">
        <v>118</v>
      </c>
      <c r="AG31" s="136" t="s">
        <v>74</v>
      </c>
      <c r="AH31" s="281">
        <f t="shared" si="78"/>
        <v>0</v>
      </c>
      <c r="AI31" s="282">
        <f t="shared" si="71"/>
        <v>0</v>
      </c>
      <c r="AJ31" s="281">
        <f t="shared" si="72"/>
        <v>35.041693098526949</v>
      </c>
      <c r="AK31" s="283">
        <f t="shared" si="73"/>
        <v>0</v>
      </c>
      <c r="AL31" s="284">
        <f t="shared" si="74"/>
        <v>0</v>
      </c>
      <c r="AM31" s="283">
        <f t="shared" si="75"/>
        <v>0</v>
      </c>
    </row>
    <row r="32" spans="1:39" ht="15.75" thickBot="1" x14ac:dyDescent="0.3">
      <c r="A32" s="635"/>
      <c r="B32" s="137" t="s">
        <v>119</v>
      </c>
      <c r="C32" s="137" t="s">
        <v>74</v>
      </c>
      <c r="D32" s="229">
        <f>Indata!D$16*10</f>
        <v>0</v>
      </c>
      <c r="E32" s="230">
        <f>Indata!E$16*10</f>
        <v>0</v>
      </c>
      <c r="F32" s="229">
        <f>Indata!F$16*10</f>
        <v>35.041693098526949</v>
      </c>
      <c r="G32" s="231">
        <f>Indata!G$16*10</f>
        <v>0</v>
      </c>
      <c r="H32" s="232">
        <f>Indata!H$16*10</f>
        <v>0</v>
      </c>
      <c r="I32" s="231">
        <f>Indata!I$16*10</f>
        <v>0</v>
      </c>
      <c r="K32" s="635"/>
      <c r="L32" s="137" t="s">
        <v>119</v>
      </c>
      <c r="M32" s="137" t="s">
        <v>74</v>
      </c>
      <c r="N32" s="229">
        <f t="shared" si="76"/>
        <v>0</v>
      </c>
      <c r="O32" s="230">
        <f t="shared" si="61"/>
        <v>0</v>
      </c>
      <c r="P32" s="229">
        <f t="shared" si="62"/>
        <v>35.041693098526949</v>
      </c>
      <c r="Q32" s="231">
        <f t="shared" si="63"/>
        <v>0</v>
      </c>
      <c r="R32" s="232">
        <f t="shared" si="64"/>
        <v>0</v>
      </c>
      <c r="S32" s="231">
        <f t="shared" si="65"/>
        <v>0</v>
      </c>
      <c r="U32" s="635"/>
      <c r="V32" s="137" t="s">
        <v>119</v>
      </c>
      <c r="W32" s="137" t="s">
        <v>74</v>
      </c>
      <c r="X32" s="229">
        <f t="shared" si="77"/>
        <v>0</v>
      </c>
      <c r="Y32" s="230">
        <f t="shared" si="66"/>
        <v>0</v>
      </c>
      <c r="Z32" s="229">
        <f t="shared" si="67"/>
        <v>35.041693098526949</v>
      </c>
      <c r="AA32" s="231">
        <f t="shared" si="68"/>
        <v>0</v>
      </c>
      <c r="AB32" s="232">
        <f t="shared" si="69"/>
        <v>0</v>
      </c>
      <c r="AC32" s="231">
        <f t="shared" si="70"/>
        <v>0</v>
      </c>
      <c r="AE32" s="635"/>
      <c r="AF32" s="137" t="s">
        <v>119</v>
      </c>
      <c r="AG32" s="137" t="s">
        <v>74</v>
      </c>
      <c r="AH32" s="229">
        <f t="shared" si="78"/>
        <v>0</v>
      </c>
      <c r="AI32" s="230">
        <f t="shared" si="71"/>
        <v>0</v>
      </c>
      <c r="AJ32" s="229">
        <f t="shared" si="72"/>
        <v>35.041693098526949</v>
      </c>
      <c r="AK32" s="231">
        <f t="shared" si="73"/>
        <v>0</v>
      </c>
      <c r="AL32" s="232">
        <f t="shared" si="74"/>
        <v>0</v>
      </c>
      <c r="AM32" s="231">
        <f t="shared" si="75"/>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2" t="s">
        <v>84</v>
      </c>
      <c r="K35" s="42" t="s">
        <v>162</v>
      </c>
      <c r="U35" s="42" t="s">
        <v>242</v>
      </c>
      <c r="AE35" s="42" t="s">
        <v>232</v>
      </c>
      <c r="AF35" s="40"/>
      <c r="AG35" s="40"/>
      <c r="AH35" s="40"/>
      <c r="AI35" s="40"/>
      <c r="AJ35" s="40"/>
      <c r="AK35" s="40"/>
      <c r="AL35" s="40"/>
      <c r="AM35" s="40"/>
    </row>
    <row r="36" spans="1:39" ht="15.75" thickBot="1" x14ac:dyDescent="0.3">
      <c r="A36" s="630" t="s">
        <v>17</v>
      </c>
      <c r="B36" s="135" t="s">
        <v>137</v>
      </c>
      <c r="C36" s="135" t="s">
        <v>36</v>
      </c>
      <c r="D36" s="273">
        <f>Indata!D57*(1+Indata!D$61)*(1-D23)</f>
        <v>0.18780957349145666</v>
      </c>
      <c r="E36" s="246">
        <f>Indata!E57*(1+Indata!E$61)*(1-E23)</f>
        <v>0.10422540965954981</v>
      </c>
      <c r="F36" s="245">
        <f>Indata!F57*(1+Indata!F$61)*(1-F23)</f>
        <v>0.19885719546154235</v>
      </c>
      <c r="G36" s="246">
        <f>Indata!G57*(1+Indata!G$61)*(1-G23)</f>
        <v>3.908452862233118E-2</v>
      </c>
      <c r="H36" s="247">
        <f>Indata!H57*(1+Indata!H$61)*(1-H23)</f>
        <v>0.11047621970085686</v>
      </c>
      <c r="I36" s="246">
        <f>Indata!I57*(1+Indata!I$61)*(1-I23)</f>
        <v>3.908452862233118E-2</v>
      </c>
      <c r="K36" s="630" t="s">
        <v>17</v>
      </c>
      <c r="L36" s="135" t="s">
        <v>137</v>
      </c>
      <c r="M36" s="135" t="s">
        <v>36</v>
      </c>
      <c r="N36" s="273">
        <f>D36</f>
        <v>0.18780957349145666</v>
      </c>
      <c r="O36" s="246">
        <f t="shared" ref="O36:O39" si="79">E36</f>
        <v>0.10422540965954981</v>
      </c>
      <c r="P36" s="422">
        <f t="shared" ref="P36:P39" si="80">F36</f>
        <v>0.19885719546154235</v>
      </c>
      <c r="Q36" s="246">
        <f t="shared" ref="Q36:Q39" si="81">G36</f>
        <v>3.908452862233118E-2</v>
      </c>
      <c r="R36" s="247">
        <f t="shared" ref="R36:R39" si="82">H36</f>
        <v>0.11047621970085686</v>
      </c>
      <c r="S36" s="246">
        <f t="shared" ref="S36:S39" si="83">I36</f>
        <v>3.908452862233118E-2</v>
      </c>
      <c r="U36" s="630" t="s">
        <v>17</v>
      </c>
      <c r="V36" s="135" t="s">
        <v>137</v>
      </c>
      <c r="W36" s="135" t="s">
        <v>36</v>
      </c>
      <c r="X36" s="273">
        <f>N36/N$50*X$50</f>
        <v>0.18780957349145669</v>
      </c>
      <c r="Y36" s="273">
        <f t="shared" ref="Y36:AC49" si="84">O36/O$50*Y$50</f>
        <v>0.10422540965954981</v>
      </c>
      <c r="Z36" s="273">
        <f t="shared" si="84"/>
        <v>0.15998574052919889</v>
      </c>
      <c r="AA36" s="273">
        <f t="shared" si="84"/>
        <v>3.8669733233062824E-2</v>
      </c>
      <c r="AB36" s="273">
        <f t="shared" si="84"/>
        <v>0.10835868664584032</v>
      </c>
      <c r="AC36" s="273">
        <f t="shared" si="84"/>
        <v>3.8669733233062824E-2</v>
      </c>
      <c r="AE36" s="630" t="s">
        <v>17</v>
      </c>
      <c r="AF36" s="135" t="s">
        <v>137</v>
      </c>
      <c r="AG36" s="135" t="s">
        <v>36</v>
      </c>
      <c r="AH36" s="273">
        <f>X36*(1-Indata!D$22)</f>
        <v>0.18780957349145669</v>
      </c>
      <c r="AI36" s="246">
        <f>Y36*(1-Indata!E$22)</f>
        <v>0.10422540965954981</v>
      </c>
      <c r="AJ36" s="245">
        <f>Z36*(1-Indata!F$22)</f>
        <v>0.15998574052919889</v>
      </c>
      <c r="AK36" s="246">
        <f>AA36*(1-Indata!G$22)</f>
        <v>3.8669733233062824E-2</v>
      </c>
      <c r="AL36" s="247">
        <f>AB36*(1-Indata!H$22)</f>
        <v>0.10835868664584032</v>
      </c>
      <c r="AM36" s="246">
        <f>AC36*(1-Indata!I$22)</f>
        <v>3.8669733233062824E-2</v>
      </c>
    </row>
    <row r="37" spans="1:39" ht="15.75" thickBot="1" x14ac:dyDescent="0.3">
      <c r="A37" s="631"/>
      <c r="B37" s="136" t="s">
        <v>138</v>
      </c>
      <c r="C37" s="136" t="s">
        <v>36</v>
      </c>
      <c r="D37" s="248">
        <f>Indata!D58*(1+Indata!D$61)*(1-D24)</f>
        <v>0.20441406642615551</v>
      </c>
      <c r="E37" s="249">
        <f>Indata!E58*(1+Indata!E$61)*(1-E24)</f>
        <v>0.11344011605675491</v>
      </c>
      <c r="F37" s="248">
        <f>Indata!F58*(1+Indata!F$61)*(1-F24)</f>
        <v>0.21643842327475288</v>
      </c>
      <c r="G37" s="249">
        <f>Indata!G58*(1+Indata!G$61)*(1-G24)</f>
        <v>4.2540043521283093E-2</v>
      </c>
      <c r="H37" s="250">
        <f>Indata!H58*(1+Indata!H$61)*(1-H24)</f>
        <v>0.12024356848597383</v>
      </c>
      <c r="I37" s="249">
        <f>Indata!I58*(1+Indata!I$61)*(1-I24)</f>
        <v>4.2540043521283093E-2</v>
      </c>
      <c r="K37" s="631"/>
      <c r="L37" s="136" t="s">
        <v>138</v>
      </c>
      <c r="M37" s="136" t="s">
        <v>36</v>
      </c>
      <c r="N37" s="248">
        <f t="shared" ref="N37:N39" si="85">D37</f>
        <v>0.20441406642615551</v>
      </c>
      <c r="O37" s="249">
        <f t="shared" si="79"/>
        <v>0.11344011605675491</v>
      </c>
      <c r="P37" s="248">
        <f t="shared" si="80"/>
        <v>0.21643842327475288</v>
      </c>
      <c r="Q37" s="249">
        <f t="shared" si="81"/>
        <v>4.2540043521283093E-2</v>
      </c>
      <c r="R37" s="250">
        <f t="shared" si="82"/>
        <v>0.12024356848597383</v>
      </c>
      <c r="S37" s="249">
        <f t="shared" si="83"/>
        <v>4.2540043521283093E-2</v>
      </c>
      <c r="U37" s="631"/>
      <c r="V37" s="136" t="s">
        <v>138</v>
      </c>
      <c r="W37" s="136" t="s">
        <v>36</v>
      </c>
      <c r="X37" s="273">
        <f t="shared" ref="X37:X49" si="86">N37/N$50*X$50</f>
        <v>0.20441406642615551</v>
      </c>
      <c r="Y37" s="273">
        <f t="shared" si="84"/>
        <v>0.11344011605675491</v>
      </c>
      <c r="Z37" s="273">
        <f t="shared" si="84"/>
        <v>0.17413029157036555</v>
      </c>
      <c r="AA37" s="273">
        <f t="shared" si="84"/>
        <v>4.2088575522720065E-2</v>
      </c>
      <c r="AB37" s="273">
        <f t="shared" si="84"/>
        <v>0.11793882153127494</v>
      </c>
      <c r="AC37" s="273">
        <f t="shared" si="84"/>
        <v>4.2088575522720065E-2</v>
      </c>
      <c r="AE37" s="631"/>
      <c r="AF37" s="136" t="s">
        <v>138</v>
      </c>
      <c r="AG37" s="136" t="s">
        <v>36</v>
      </c>
      <c r="AH37" s="248">
        <f>X37*(1-Indata!D$22)</f>
        <v>0.20441406642615551</v>
      </c>
      <c r="AI37" s="249">
        <f>Y37*(1-Indata!E$22)</f>
        <v>0.11344011605675491</v>
      </c>
      <c r="AJ37" s="248">
        <f>Z37*(1-Indata!F$22)</f>
        <v>0.17413029157036555</v>
      </c>
      <c r="AK37" s="249">
        <f>AA37*(1-Indata!G$22)</f>
        <v>4.2088575522720065E-2</v>
      </c>
      <c r="AL37" s="250">
        <f>AB37*(1-Indata!H$22)</f>
        <v>0.11793882153127494</v>
      </c>
      <c r="AM37" s="249">
        <f>AC37*(1-Indata!I$22)</f>
        <v>4.2088575522720065E-2</v>
      </c>
    </row>
    <row r="38" spans="1:39" ht="15.75" thickBot="1" x14ac:dyDescent="0.3">
      <c r="A38" s="631"/>
      <c r="B38" s="136" t="s">
        <v>139</v>
      </c>
      <c r="C38" s="136" t="s">
        <v>36</v>
      </c>
      <c r="D38" s="248">
        <f>Indata!D59*(1+Indata!D$61)*(1-D25)</f>
        <v>1.888631464847943</v>
      </c>
      <c r="E38" s="249">
        <f>Indata!E59*(1+Indata!E$61)*(1-E25)</f>
        <v>1.9457085838135497</v>
      </c>
      <c r="F38" s="248">
        <f>Indata!F59*(1+Indata!F$61)*(1-F25)</f>
        <v>1.7713816562744469</v>
      </c>
      <c r="G38" s="249">
        <f>Indata!G59*(1+Indata!G$61)*(1-G25)</f>
        <v>1.4756524157323059</v>
      </c>
      <c r="H38" s="250">
        <f>Indata!H59*(1+Indata!H$61)*(1-H25)</f>
        <v>1.6742126020364483</v>
      </c>
      <c r="I38" s="249">
        <f>Indata!I59*(1+Indata!I$61)*(1-I25)</f>
        <v>1.4756524157323059</v>
      </c>
      <c r="K38" s="631"/>
      <c r="L38" s="136" t="s">
        <v>139</v>
      </c>
      <c r="M38" s="136" t="s">
        <v>36</v>
      </c>
      <c r="N38" s="248">
        <f t="shared" si="85"/>
        <v>1.888631464847943</v>
      </c>
      <c r="O38" s="249">
        <f t="shared" si="79"/>
        <v>1.9457085838135497</v>
      </c>
      <c r="P38" s="248">
        <f t="shared" si="80"/>
        <v>1.7713816562744469</v>
      </c>
      <c r="Q38" s="249">
        <f t="shared" si="81"/>
        <v>1.4756524157323059</v>
      </c>
      <c r="R38" s="250">
        <f t="shared" si="82"/>
        <v>1.6742126020364483</v>
      </c>
      <c r="S38" s="249">
        <f t="shared" si="83"/>
        <v>1.4756524157323059</v>
      </c>
      <c r="U38" s="631"/>
      <c r="V38" s="136" t="s">
        <v>139</v>
      </c>
      <c r="W38" s="136" t="s">
        <v>36</v>
      </c>
      <c r="X38" s="273">
        <f t="shared" si="86"/>
        <v>1.888631464847943</v>
      </c>
      <c r="Y38" s="273">
        <f t="shared" si="84"/>
        <v>1.9457085838135495</v>
      </c>
      <c r="Z38" s="273">
        <f t="shared" si="84"/>
        <v>1.4251222108465926</v>
      </c>
      <c r="AA38" s="273">
        <f t="shared" si="84"/>
        <v>1.4599916456070461</v>
      </c>
      <c r="AB38" s="273">
        <f t="shared" si="84"/>
        <v>1.6421224333509432</v>
      </c>
      <c r="AC38" s="273">
        <f t="shared" si="84"/>
        <v>1.4599916456070461</v>
      </c>
      <c r="AE38" s="631"/>
      <c r="AF38" s="136" t="s">
        <v>139</v>
      </c>
      <c r="AG38" s="136" t="s">
        <v>36</v>
      </c>
      <c r="AH38" s="248">
        <f>X38*(1-Indata!D$22)</f>
        <v>1.888631464847943</v>
      </c>
      <c r="AI38" s="249">
        <f>Y38*(1-Indata!E$22)</f>
        <v>1.9457085838135495</v>
      </c>
      <c r="AJ38" s="248">
        <f>Z38*(1-Indata!F$22)</f>
        <v>1.4251222108465926</v>
      </c>
      <c r="AK38" s="249">
        <f>AA38*(1-Indata!G$22)</f>
        <v>1.4599916456070461</v>
      </c>
      <c r="AL38" s="250">
        <f>AB38*(1-Indata!H$22)</f>
        <v>1.6421224333509432</v>
      </c>
      <c r="AM38" s="249">
        <f>AC38*(1-Indata!I$22)</f>
        <v>1.4599916456070461</v>
      </c>
    </row>
    <row r="39" spans="1:39" ht="15.75" thickBot="1" x14ac:dyDescent="0.3">
      <c r="A39" s="631"/>
      <c r="B39" s="136" t="s">
        <v>140</v>
      </c>
      <c r="C39" s="136" t="s">
        <v>36</v>
      </c>
      <c r="D39" s="274">
        <f>Indata!D60*(1+Indata!D$61)*(1-D26)</f>
        <v>3.5477319739661044</v>
      </c>
      <c r="E39" s="275">
        <f>Indata!E60*(1+Indata!E$61)*(1-E26)</f>
        <v>4.1837489931106022</v>
      </c>
      <c r="F39" s="274">
        <f>Indata!F60*(1+Indata!F$61)*(1-F26)</f>
        <v>3.192958776569494</v>
      </c>
      <c r="G39" s="275">
        <f>Indata!G60*(1+Indata!G$61)*(1-G26)</f>
        <v>3.4097554293851404</v>
      </c>
      <c r="H39" s="276">
        <f>Indata!H60*(1+Indata!H$61)*(1-H26)</f>
        <v>3.4767773344867821</v>
      </c>
      <c r="I39" s="275">
        <f>Indata!I60*(1+Indata!I$61)*(1-I26)</f>
        <v>3.4097554293851404</v>
      </c>
      <c r="K39" s="631"/>
      <c r="L39" s="136" t="s">
        <v>140</v>
      </c>
      <c r="M39" s="136" t="s">
        <v>36</v>
      </c>
      <c r="N39" s="274">
        <f t="shared" si="85"/>
        <v>3.5477319739661044</v>
      </c>
      <c r="O39" s="275">
        <f t="shared" si="79"/>
        <v>4.1837489931106022</v>
      </c>
      <c r="P39" s="274">
        <f t="shared" si="80"/>
        <v>3.192958776569494</v>
      </c>
      <c r="Q39" s="275">
        <f t="shared" si="81"/>
        <v>3.4097554293851404</v>
      </c>
      <c r="R39" s="276">
        <f t="shared" si="82"/>
        <v>3.4767773344867821</v>
      </c>
      <c r="S39" s="275">
        <f t="shared" si="83"/>
        <v>3.4097554293851404</v>
      </c>
      <c r="U39" s="631"/>
      <c r="V39" s="136" t="s">
        <v>140</v>
      </c>
      <c r="W39" s="136" t="s">
        <v>36</v>
      </c>
      <c r="X39" s="273">
        <f t="shared" si="86"/>
        <v>3.5477319739661044</v>
      </c>
      <c r="Y39" s="273">
        <f t="shared" si="84"/>
        <v>4.1837489931106022</v>
      </c>
      <c r="Z39" s="273">
        <f t="shared" si="84"/>
        <v>2.5688176541113199</v>
      </c>
      <c r="AA39" s="273">
        <f t="shared" si="84"/>
        <v>3.3735684551399507</v>
      </c>
      <c r="AB39" s="273">
        <f t="shared" si="84"/>
        <v>3.4101368307598885</v>
      </c>
      <c r="AC39" s="273">
        <f t="shared" si="84"/>
        <v>3.3735684551399507</v>
      </c>
      <c r="AE39" s="631"/>
      <c r="AF39" s="136" t="s">
        <v>140</v>
      </c>
      <c r="AG39" s="136" t="s">
        <v>36</v>
      </c>
      <c r="AH39" s="274">
        <f>X39*(1-Indata!D$22)</f>
        <v>3.5477319739661044</v>
      </c>
      <c r="AI39" s="275">
        <f>Y39*(1-Indata!E$22)</f>
        <v>4.1837489931106022</v>
      </c>
      <c r="AJ39" s="274">
        <f>Z39*(1-Indata!F$22)</f>
        <v>2.5688176541113199</v>
      </c>
      <c r="AK39" s="275">
        <f>AA39*(1-Indata!G$22)</f>
        <v>3.3735684551399507</v>
      </c>
      <c r="AL39" s="276">
        <f>AB39*(1-Indata!H$22)</f>
        <v>3.4101368307598885</v>
      </c>
      <c r="AM39" s="275">
        <f>AC39*(1-Indata!I$22)</f>
        <v>3.3735684551399507</v>
      </c>
    </row>
    <row r="40" spans="1:39" ht="15.75" thickBot="1" x14ac:dyDescent="0.3">
      <c r="A40" s="631"/>
      <c r="B40" s="187" t="s">
        <v>163</v>
      </c>
      <c r="C40" s="187" t="s">
        <v>36</v>
      </c>
      <c r="D40" s="270">
        <f>SUM(D36:D39)</f>
        <v>5.82858707873166</v>
      </c>
      <c r="E40" s="271">
        <f t="shared" ref="E40:I40" si="87">SUM(E36:E39)</f>
        <v>6.3471231026404569</v>
      </c>
      <c r="F40" s="270">
        <f t="shared" si="87"/>
        <v>5.3796360515802366</v>
      </c>
      <c r="G40" s="271">
        <f t="shared" si="87"/>
        <v>4.9670324172610609</v>
      </c>
      <c r="H40" s="272">
        <f t="shared" si="87"/>
        <v>5.3817097247100616</v>
      </c>
      <c r="I40" s="271">
        <f t="shared" si="87"/>
        <v>4.9670324172610609</v>
      </c>
      <c r="K40" s="631"/>
      <c r="L40" s="187" t="s">
        <v>163</v>
      </c>
      <c r="M40" s="187" t="s">
        <v>36</v>
      </c>
      <c r="N40" s="270">
        <f>SUM(N36:N39)</f>
        <v>5.82858707873166</v>
      </c>
      <c r="O40" s="271">
        <f t="shared" ref="O40" si="88">SUM(O36:O39)</f>
        <v>6.3471231026404569</v>
      </c>
      <c r="P40" s="270">
        <f t="shared" ref="P40" si="89">SUM(P36:P39)</f>
        <v>5.3796360515802366</v>
      </c>
      <c r="Q40" s="271">
        <f t="shared" ref="Q40" si="90">SUM(Q36:Q39)</f>
        <v>4.9670324172610609</v>
      </c>
      <c r="R40" s="272">
        <f t="shared" ref="R40" si="91">SUM(R36:R39)</f>
        <v>5.3817097247100616</v>
      </c>
      <c r="S40" s="271">
        <f t="shared" ref="S40" si="92">SUM(S36:S39)</f>
        <v>4.9670324172610609</v>
      </c>
      <c r="U40" s="631"/>
      <c r="V40" s="187" t="s">
        <v>163</v>
      </c>
      <c r="W40" s="187" t="s">
        <v>36</v>
      </c>
      <c r="X40" s="273">
        <f t="shared" si="86"/>
        <v>5.82858707873166</v>
      </c>
      <c r="Y40" s="273">
        <f t="shared" si="84"/>
        <v>6.3471231026404569</v>
      </c>
      <c r="Z40" s="273">
        <f t="shared" si="84"/>
        <v>4.3280558970574772</v>
      </c>
      <c r="AA40" s="273">
        <f t="shared" si="84"/>
        <v>4.9143184095027799</v>
      </c>
      <c r="AB40" s="273">
        <f t="shared" si="84"/>
        <v>5.2785567722879474</v>
      </c>
      <c r="AC40" s="273">
        <f t="shared" si="84"/>
        <v>4.9143184095027799</v>
      </c>
      <c r="AE40" s="631"/>
      <c r="AF40" s="187" t="s">
        <v>163</v>
      </c>
      <c r="AG40" s="187" t="s">
        <v>36</v>
      </c>
      <c r="AH40" s="270">
        <f>SUM(AH36:AH39)</f>
        <v>5.82858707873166</v>
      </c>
      <c r="AI40" s="271">
        <f>SUM(AI36:AI39)</f>
        <v>6.347123102640456</v>
      </c>
      <c r="AJ40" s="270">
        <f>SUM(AJ36:AJ39)</f>
        <v>4.3280558970574772</v>
      </c>
      <c r="AK40" s="271">
        <f t="shared" ref="AK40" si="93">SUM(AK36:AK39)</f>
        <v>4.9143184095027799</v>
      </c>
      <c r="AL40" s="272">
        <f t="shared" ref="AL40" si="94">SUM(AL36:AL39)</f>
        <v>5.2785567722879474</v>
      </c>
      <c r="AM40" s="271">
        <f t="shared" ref="AM40" si="95">SUM(AM36:AM39)</f>
        <v>4.9143184095027799</v>
      </c>
    </row>
    <row r="41" spans="1:39" ht="15.75" thickBot="1" x14ac:dyDescent="0.3">
      <c r="A41" s="631"/>
      <c r="B41" s="136" t="s">
        <v>142</v>
      </c>
      <c r="C41" s="136" t="s">
        <v>36</v>
      </c>
      <c r="D41" s="274">
        <f>Indata!D57*(1+Indata!D$61)*(D23)</f>
        <v>3.3142865910257058E-2</v>
      </c>
      <c r="E41" s="275">
        <f>Indata!E57*(1+Indata!E$61)*(E23)</f>
        <v>0.15633811448932469</v>
      </c>
      <c r="F41" s="274">
        <f>Indata!F57*(1+Indata!F$61)*(F23)</f>
        <v>2.2095243940171372E-2</v>
      </c>
      <c r="G41" s="275">
        <f>Indata!G57*(1+Indata!G$61)*(G23)</f>
        <v>0.22147899552654332</v>
      </c>
      <c r="H41" s="276">
        <f>Indata!H57*(1+Indata!H$61)*(H23)</f>
        <v>0.11047621970085686</v>
      </c>
      <c r="I41" s="275">
        <f>Indata!I57*(1+Indata!I$61)*(I23)</f>
        <v>0.22147899552654332</v>
      </c>
      <c r="K41" s="631"/>
      <c r="L41" s="136" t="s">
        <v>142</v>
      </c>
      <c r="M41" s="136" t="s">
        <v>36</v>
      </c>
      <c r="N41" s="274">
        <f>D41</f>
        <v>3.3142865910257058E-2</v>
      </c>
      <c r="O41" s="275">
        <f t="shared" ref="O41:O44" si="96">E41</f>
        <v>0.15633811448932469</v>
      </c>
      <c r="P41" s="423">
        <f t="shared" ref="P41:P44" si="97">F41</f>
        <v>2.2095243940171372E-2</v>
      </c>
      <c r="Q41" s="275">
        <f t="shared" ref="Q41:Q44" si="98">G41</f>
        <v>0.22147899552654332</v>
      </c>
      <c r="R41" s="276">
        <f t="shared" ref="R41:R44" si="99">H41</f>
        <v>0.11047621970085686</v>
      </c>
      <c r="S41" s="275">
        <f t="shared" ref="S41:S44" si="100">I41</f>
        <v>0.22147899552654332</v>
      </c>
      <c r="U41" s="631"/>
      <c r="V41" s="136" t="s">
        <v>142</v>
      </c>
      <c r="W41" s="136" t="s">
        <v>36</v>
      </c>
      <c r="X41" s="273">
        <f t="shared" si="86"/>
        <v>3.3142865910257058E-2</v>
      </c>
      <c r="Y41" s="273">
        <f t="shared" si="84"/>
        <v>0.15633811448932469</v>
      </c>
      <c r="Z41" s="273">
        <f t="shared" si="84"/>
        <v>1.777619339213321E-2</v>
      </c>
      <c r="AA41" s="273">
        <f t="shared" si="84"/>
        <v>0.21912848832068932</v>
      </c>
      <c r="AB41" s="273">
        <f t="shared" si="84"/>
        <v>0.10835868664584032</v>
      </c>
      <c r="AC41" s="273">
        <f t="shared" si="84"/>
        <v>0.21912848832068932</v>
      </c>
      <c r="AE41" s="631"/>
      <c r="AF41" s="136" t="s">
        <v>142</v>
      </c>
      <c r="AG41" s="136" t="s">
        <v>36</v>
      </c>
      <c r="AH41" s="274">
        <f>X41*(1-Indata!D$22)</f>
        <v>3.3142865910257058E-2</v>
      </c>
      <c r="AI41" s="275">
        <f>Y41*(1-Indata!E$22)</f>
        <v>0.15633811448932469</v>
      </c>
      <c r="AJ41" s="274">
        <f>Z41*(1-Indata!F$22)</f>
        <v>1.777619339213321E-2</v>
      </c>
      <c r="AK41" s="275">
        <f>AA41*(1-Indata!G$22)</f>
        <v>0.21912848832068932</v>
      </c>
      <c r="AL41" s="276">
        <f>AB41*(1-Indata!H$22)</f>
        <v>0.10835868664584032</v>
      </c>
      <c r="AM41" s="275">
        <f>AC41*(1-Indata!I$22)</f>
        <v>0.21912848832068932</v>
      </c>
    </row>
    <row r="42" spans="1:39" ht="15.75" thickBot="1" x14ac:dyDescent="0.3">
      <c r="A42" s="631"/>
      <c r="B42" s="136" t="s">
        <v>143</v>
      </c>
      <c r="C42" s="136" t="s">
        <v>36</v>
      </c>
      <c r="D42" s="274">
        <f>Indata!D58*(1+Indata!D$61)*(D24)</f>
        <v>3.6073070545792146E-2</v>
      </c>
      <c r="E42" s="275">
        <f>Indata!E58*(1+Indata!E$61)*(E24)</f>
        <v>0.17016017408513234</v>
      </c>
      <c r="F42" s="274">
        <f>Indata!F58*(1+Indata!F$61)*(F24)</f>
        <v>2.4048713697194767E-2</v>
      </c>
      <c r="G42" s="275">
        <f>Indata!G58*(1+Indata!G$61)*(G24)</f>
        <v>0.24106024662060416</v>
      </c>
      <c r="H42" s="276">
        <f>Indata!H58*(1+Indata!H$61)*(H24)</f>
        <v>0.12024356848597383</v>
      </c>
      <c r="I42" s="275">
        <f>Indata!I58*(1+Indata!I$61)*(I24)</f>
        <v>0.24106024662060416</v>
      </c>
      <c r="K42" s="631"/>
      <c r="L42" s="136" t="s">
        <v>143</v>
      </c>
      <c r="M42" s="136" t="s">
        <v>36</v>
      </c>
      <c r="N42" s="274">
        <f t="shared" ref="N42:N44" si="101">D42</f>
        <v>3.6073070545792146E-2</v>
      </c>
      <c r="O42" s="275">
        <f t="shared" si="96"/>
        <v>0.17016017408513234</v>
      </c>
      <c r="P42" s="274">
        <f t="shared" si="97"/>
        <v>2.4048713697194767E-2</v>
      </c>
      <c r="Q42" s="275">
        <f t="shared" si="98"/>
        <v>0.24106024662060416</v>
      </c>
      <c r="R42" s="276">
        <f t="shared" si="99"/>
        <v>0.12024356848597383</v>
      </c>
      <c r="S42" s="275">
        <f t="shared" si="100"/>
        <v>0.24106024662060416</v>
      </c>
      <c r="U42" s="631"/>
      <c r="V42" s="136" t="s">
        <v>143</v>
      </c>
      <c r="W42" s="136" t="s">
        <v>36</v>
      </c>
      <c r="X42" s="273">
        <f t="shared" si="86"/>
        <v>3.6073070545792146E-2</v>
      </c>
      <c r="Y42" s="273">
        <f t="shared" si="84"/>
        <v>0.17016017408513234</v>
      </c>
      <c r="Z42" s="273">
        <f t="shared" si="84"/>
        <v>1.9347810174485062E-2</v>
      </c>
      <c r="AA42" s="273">
        <f t="shared" si="84"/>
        <v>0.23850192796208033</v>
      </c>
      <c r="AB42" s="273">
        <f t="shared" si="84"/>
        <v>0.11793882153127494</v>
      </c>
      <c r="AC42" s="273">
        <f t="shared" si="84"/>
        <v>0.23850192796208033</v>
      </c>
      <c r="AE42" s="631"/>
      <c r="AF42" s="136" t="s">
        <v>143</v>
      </c>
      <c r="AG42" s="136" t="s">
        <v>36</v>
      </c>
      <c r="AH42" s="274">
        <f>X42*(1-Indata!D$22)</f>
        <v>3.6073070545792146E-2</v>
      </c>
      <c r="AI42" s="275">
        <f>Y42*(1-Indata!E$22)</f>
        <v>0.17016017408513234</v>
      </c>
      <c r="AJ42" s="274">
        <f>Z42*(1-Indata!F$22)</f>
        <v>1.9347810174485062E-2</v>
      </c>
      <c r="AK42" s="275">
        <f>AA42*(1-Indata!G$22)</f>
        <v>0.23850192796208033</v>
      </c>
      <c r="AL42" s="276">
        <f>AB42*(1-Indata!H$22)</f>
        <v>0.11793882153127494</v>
      </c>
      <c r="AM42" s="275">
        <f>AC42*(1-Indata!I$22)</f>
        <v>0.23850192796208033</v>
      </c>
    </row>
    <row r="43" spans="1:39" ht="15.75" thickBot="1" x14ac:dyDescent="0.3">
      <c r="A43" s="631"/>
      <c r="B43" s="136" t="s">
        <v>144</v>
      </c>
      <c r="C43" s="136" t="s">
        <v>36</v>
      </c>
      <c r="D43" s="274">
        <f>Indata!D59*(1+Indata!D$61)*(D25)</f>
        <v>7.9570375456998105E-2</v>
      </c>
      <c r="E43" s="275">
        <f>Indata!E59*(1+Indata!E$61)*(E25)</f>
        <v>0.3753411820763764</v>
      </c>
      <c r="F43" s="274">
        <f>Indata!F59*(1+Indata!F$61)*(F25)</f>
        <v>0.19682018403049412</v>
      </c>
      <c r="G43" s="275">
        <f>Indata!G59*(1+Indata!G$61)*(G25)</f>
        <v>0.84539735015762008</v>
      </c>
      <c r="H43" s="276">
        <f>Indata!H59*(1+Indata!H$61)*(H25)</f>
        <v>0.29398923826849277</v>
      </c>
      <c r="I43" s="275">
        <f>Indata!I59*(1+Indata!I$61)*(I25)</f>
        <v>0.84539735015762008</v>
      </c>
      <c r="K43" s="631"/>
      <c r="L43" s="136" t="s">
        <v>144</v>
      </c>
      <c r="M43" s="136" t="s">
        <v>36</v>
      </c>
      <c r="N43" s="274">
        <f t="shared" si="101"/>
        <v>7.9570375456998105E-2</v>
      </c>
      <c r="O43" s="275">
        <f t="shared" si="96"/>
        <v>0.3753411820763764</v>
      </c>
      <c r="P43" s="274">
        <f t="shared" si="97"/>
        <v>0.19682018403049412</v>
      </c>
      <c r="Q43" s="275">
        <f t="shared" si="98"/>
        <v>0.84539735015762008</v>
      </c>
      <c r="R43" s="276">
        <f t="shared" si="99"/>
        <v>0.29398923826849277</v>
      </c>
      <c r="S43" s="275">
        <f t="shared" si="100"/>
        <v>0.84539735015762008</v>
      </c>
      <c r="U43" s="631"/>
      <c r="V43" s="136" t="s">
        <v>144</v>
      </c>
      <c r="W43" s="136" t="s">
        <v>36</v>
      </c>
      <c r="X43" s="273">
        <f t="shared" si="86"/>
        <v>7.9570375456998105E-2</v>
      </c>
      <c r="Y43" s="273">
        <f t="shared" si="84"/>
        <v>0.3753411820763764</v>
      </c>
      <c r="Z43" s="273">
        <f t="shared" si="84"/>
        <v>0.15834691231628809</v>
      </c>
      <c r="AA43" s="273">
        <f t="shared" si="84"/>
        <v>0.83642533654237317</v>
      </c>
      <c r="AB43" s="273">
        <f t="shared" si="84"/>
        <v>0.28835425246305579</v>
      </c>
      <c r="AC43" s="273">
        <f t="shared" si="84"/>
        <v>0.83642533654237317</v>
      </c>
      <c r="AE43" s="631"/>
      <c r="AF43" s="136" t="s">
        <v>144</v>
      </c>
      <c r="AG43" s="136" t="s">
        <v>36</v>
      </c>
      <c r="AH43" s="274">
        <f>X43*(1-Indata!D$22)</f>
        <v>7.9570375456998105E-2</v>
      </c>
      <c r="AI43" s="275">
        <f>Y43*(1-Indata!E$22)</f>
        <v>0.3753411820763764</v>
      </c>
      <c r="AJ43" s="274">
        <f>Z43*(1-Indata!F$22)</f>
        <v>0.15834691231628809</v>
      </c>
      <c r="AK43" s="275">
        <f>AA43*(1-Indata!G$22)</f>
        <v>0.83642533654237317</v>
      </c>
      <c r="AL43" s="276">
        <f>AB43*(1-Indata!H$22)</f>
        <v>0.28835425246305579</v>
      </c>
      <c r="AM43" s="275">
        <f>AC43*(1-Indata!I$22)</f>
        <v>0.83642533654237317</v>
      </c>
    </row>
    <row r="44" spans="1:39" ht="15.75" thickBot="1" x14ac:dyDescent="0.3">
      <c r="A44" s="631"/>
      <c r="B44" s="136" t="s">
        <v>145</v>
      </c>
      <c r="C44" s="136" t="s">
        <v>36</v>
      </c>
      <c r="D44" s="274">
        <f>Indata!D60*(1+Indata!D$61)*(D26)</f>
        <v>0</v>
      </c>
      <c r="E44" s="275">
        <f>Indata!E60*(1+Indata!E$61)*(E26)</f>
        <v>0</v>
      </c>
      <c r="F44" s="274">
        <f>Indata!F60*(1+Indata!F$61)*(F26)</f>
        <v>0.35477319739661045</v>
      </c>
      <c r="G44" s="275">
        <f>Indata!G60*(1+Indata!G$61)*(G26)</f>
        <v>0.77399356372546135</v>
      </c>
      <c r="H44" s="276">
        <f>Indata!H60*(1+Indata!H$61)*(H26)</f>
        <v>7.0954639479322096E-2</v>
      </c>
      <c r="I44" s="275">
        <f>Indata!I60*(1+Indata!I$61)*(I26)</f>
        <v>0.77399356372546135</v>
      </c>
      <c r="K44" s="631"/>
      <c r="L44" s="136" t="s">
        <v>145</v>
      </c>
      <c r="M44" s="136" t="s">
        <v>36</v>
      </c>
      <c r="N44" s="274">
        <f t="shared" si="101"/>
        <v>0</v>
      </c>
      <c r="O44" s="275">
        <f t="shared" si="96"/>
        <v>0</v>
      </c>
      <c r="P44" s="274">
        <f t="shared" si="97"/>
        <v>0.35477319739661045</v>
      </c>
      <c r="Q44" s="275">
        <f t="shared" si="98"/>
        <v>0.77399356372546135</v>
      </c>
      <c r="R44" s="276">
        <f t="shared" si="99"/>
        <v>7.0954639479322096E-2</v>
      </c>
      <c r="S44" s="275">
        <f t="shared" si="100"/>
        <v>0.77399356372546135</v>
      </c>
      <c r="U44" s="631"/>
      <c r="V44" s="136" t="s">
        <v>145</v>
      </c>
      <c r="W44" s="136" t="s">
        <v>36</v>
      </c>
      <c r="X44" s="273">
        <f t="shared" si="86"/>
        <v>0</v>
      </c>
      <c r="Y44" s="273">
        <f t="shared" si="84"/>
        <v>0</v>
      </c>
      <c r="Z44" s="273">
        <f t="shared" si="84"/>
        <v>0.28542418379014672</v>
      </c>
      <c r="AA44" s="273">
        <f t="shared" si="84"/>
        <v>0.76577934257778013</v>
      </c>
      <c r="AB44" s="273">
        <f t="shared" si="84"/>
        <v>6.9594629199181413E-2</v>
      </c>
      <c r="AC44" s="273">
        <f t="shared" si="84"/>
        <v>0.76577934257778013</v>
      </c>
      <c r="AE44" s="631"/>
      <c r="AF44" s="136" t="s">
        <v>145</v>
      </c>
      <c r="AG44" s="136" t="s">
        <v>36</v>
      </c>
      <c r="AH44" s="274">
        <f>X44*(1-Indata!D$22)</f>
        <v>0</v>
      </c>
      <c r="AI44" s="275">
        <f>Y44*(1-Indata!E$22)</f>
        <v>0</v>
      </c>
      <c r="AJ44" s="274">
        <f>Z44*(1-Indata!F$22)</f>
        <v>0.28542418379014672</v>
      </c>
      <c r="AK44" s="275">
        <f>AA44*(1-Indata!G$22)</f>
        <v>0.76577934257778013</v>
      </c>
      <c r="AL44" s="276">
        <f>AB44*(1-Indata!H$22)</f>
        <v>6.9594629199181413E-2</v>
      </c>
      <c r="AM44" s="275">
        <f>AC44*(1-Indata!I$22)</f>
        <v>0.76577934257778013</v>
      </c>
    </row>
    <row r="45" spans="1:39" ht="15.75" thickBot="1" x14ac:dyDescent="0.3">
      <c r="A45" s="631"/>
      <c r="B45" s="187" t="s">
        <v>164</v>
      </c>
      <c r="C45" s="187" t="s">
        <v>36</v>
      </c>
      <c r="D45" s="270">
        <f>SUM(D41:D44)</f>
        <v>0.14878631191304731</v>
      </c>
      <c r="E45" s="271">
        <f t="shared" ref="E45:I45" si="102">SUM(E41:E44)</f>
        <v>0.70183947065083352</v>
      </c>
      <c r="F45" s="270">
        <f t="shared" si="102"/>
        <v>0.59773733906447069</v>
      </c>
      <c r="G45" s="271">
        <f t="shared" si="102"/>
        <v>2.081930156030229</v>
      </c>
      <c r="H45" s="272">
        <f t="shared" si="102"/>
        <v>0.59566366593464559</v>
      </c>
      <c r="I45" s="271">
        <f t="shared" si="102"/>
        <v>2.081930156030229</v>
      </c>
      <c r="K45" s="631"/>
      <c r="L45" s="187" t="s">
        <v>164</v>
      </c>
      <c r="M45" s="187" t="s">
        <v>36</v>
      </c>
      <c r="N45" s="270">
        <f>SUM(N41:N44)</f>
        <v>0.14878631191304731</v>
      </c>
      <c r="O45" s="271">
        <f t="shared" ref="O45" si="103">SUM(O41:O44)</f>
        <v>0.70183947065083352</v>
      </c>
      <c r="P45" s="270">
        <f t="shared" ref="P45" si="104">SUM(P41:P44)</f>
        <v>0.59773733906447069</v>
      </c>
      <c r="Q45" s="271">
        <f t="shared" ref="Q45" si="105">SUM(Q41:Q44)</f>
        <v>2.081930156030229</v>
      </c>
      <c r="R45" s="272">
        <f t="shared" ref="R45" si="106">SUM(R41:R44)</f>
        <v>0.59566366593464559</v>
      </c>
      <c r="S45" s="271">
        <f t="shared" ref="S45" si="107">SUM(S41:S44)</f>
        <v>2.081930156030229</v>
      </c>
      <c r="U45" s="631"/>
      <c r="V45" s="187" t="s">
        <v>164</v>
      </c>
      <c r="W45" s="187" t="s">
        <v>36</v>
      </c>
      <c r="X45" s="273">
        <f t="shared" si="86"/>
        <v>0.14878631191304731</v>
      </c>
      <c r="Y45" s="273">
        <f t="shared" si="84"/>
        <v>0.70183947065083352</v>
      </c>
      <c r="Z45" s="273">
        <f t="shared" si="84"/>
        <v>0.48089509967305305</v>
      </c>
      <c r="AA45" s="273">
        <f t="shared" si="84"/>
        <v>2.059835095402923</v>
      </c>
      <c r="AB45" s="273">
        <f t="shared" si="84"/>
        <v>0.5842463898393524</v>
      </c>
      <c r="AC45" s="273">
        <f t="shared" si="84"/>
        <v>2.059835095402923</v>
      </c>
      <c r="AE45" s="631"/>
      <c r="AF45" s="187" t="s">
        <v>164</v>
      </c>
      <c r="AG45" s="187" t="s">
        <v>36</v>
      </c>
      <c r="AH45" s="270">
        <f>SUM(AH41:AH44)</f>
        <v>0.14878631191304731</v>
      </c>
      <c r="AI45" s="271">
        <f>SUM(AI41:AI44)</f>
        <v>0.70183947065083352</v>
      </c>
      <c r="AJ45" s="270">
        <f t="shared" ref="AJ45" si="108">SUM(AJ41:AJ44)</f>
        <v>0.48089509967305311</v>
      </c>
      <c r="AK45" s="271">
        <f t="shared" ref="AK45" si="109">SUM(AK41:AK44)</f>
        <v>2.059835095402923</v>
      </c>
      <c r="AL45" s="272">
        <f t="shared" ref="AL45" si="110">SUM(AL41:AL44)</f>
        <v>0.5842463898393524</v>
      </c>
      <c r="AM45" s="271">
        <f t="shared" ref="AM45" si="111">SUM(AM41:AM44)</f>
        <v>2.059835095402923</v>
      </c>
    </row>
    <row r="46" spans="1:39" ht="15.75" thickBot="1" x14ac:dyDescent="0.3">
      <c r="A46" s="631"/>
      <c r="B46" s="136" t="s">
        <v>165</v>
      </c>
      <c r="C46" s="136" t="s">
        <v>36</v>
      </c>
      <c r="D46" s="274">
        <f>D36+D41</f>
        <v>0.22095243940171372</v>
      </c>
      <c r="E46" s="275">
        <f t="shared" ref="E46:I46" si="112">E36+E41</f>
        <v>0.26056352414887451</v>
      </c>
      <c r="F46" s="274">
        <f t="shared" si="112"/>
        <v>0.22095243940171372</v>
      </c>
      <c r="G46" s="275">
        <f t="shared" si="112"/>
        <v>0.26056352414887451</v>
      </c>
      <c r="H46" s="276">
        <f t="shared" si="112"/>
        <v>0.22095243940171372</v>
      </c>
      <c r="I46" s="275">
        <f t="shared" si="112"/>
        <v>0.26056352414887451</v>
      </c>
      <c r="K46" s="631"/>
      <c r="L46" s="136" t="s">
        <v>165</v>
      </c>
      <c r="M46" s="136" t="s">
        <v>36</v>
      </c>
      <c r="N46" s="274">
        <f>N36+N41</f>
        <v>0.22095243940171372</v>
      </c>
      <c r="O46" s="275">
        <f t="shared" ref="O46:S46" si="113">O36+O41</f>
        <v>0.26056352414887451</v>
      </c>
      <c r="P46" s="274">
        <f t="shared" si="113"/>
        <v>0.22095243940171372</v>
      </c>
      <c r="Q46" s="275">
        <f t="shared" si="113"/>
        <v>0.26056352414887451</v>
      </c>
      <c r="R46" s="276">
        <f t="shared" si="113"/>
        <v>0.22095243940171372</v>
      </c>
      <c r="S46" s="275">
        <f t="shared" si="113"/>
        <v>0.26056352414887451</v>
      </c>
      <c r="U46" s="631"/>
      <c r="V46" s="136" t="s">
        <v>165</v>
      </c>
      <c r="W46" s="136" t="s">
        <v>36</v>
      </c>
      <c r="X46" s="273">
        <f t="shared" si="86"/>
        <v>0.22095243940171372</v>
      </c>
      <c r="Y46" s="273">
        <f t="shared" si="84"/>
        <v>0.26056352414887451</v>
      </c>
      <c r="Z46" s="273">
        <f t="shared" si="84"/>
        <v>0.17776193392133213</v>
      </c>
      <c r="AA46" s="273">
        <f t="shared" si="84"/>
        <v>0.25779822155375215</v>
      </c>
      <c r="AB46" s="273">
        <f t="shared" si="84"/>
        <v>0.21671737329168064</v>
      </c>
      <c r="AC46" s="273">
        <f t="shared" si="84"/>
        <v>0.25779822155375215</v>
      </c>
      <c r="AE46" s="631"/>
      <c r="AF46" s="136" t="s">
        <v>165</v>
      </c>
      <c r="AG46" s="136" t="s">
        <v>36</v>
      </c>
      <c r="AH46" s="274">
        <f>AH36+AH41</f>
        <v>0.22095243940171375</v>
      </c>
      <c r="AI46" s="275">
        <f t="shared" ref="AI46:AM46" si="114">AI36+AI41</f>
        <v>0.26056352414887451</v>
      </c>
      <c r="AJ46" s="274">
        <f t="shared" si="114"/>
        <v>0.1777619339213321</v>
      </c>
      <c r="AK46" s="275">
        <f t="shared" si="114"/>
        <v>0.25779822155375215</v>
      </c>
      <c r="AL46" s="276">
        <f t="shared" si="114"/>
        <v>0.21671737329168064</v>
      </c>
      <c r="AM46" s="275">
        <f t="shared" si="114"/>
        <v>0.25779822155375215</v>
      </c>
    </row>
    <row r="47" spans="1:39" ht="15.75" thickBot="1" x14ac:dyDescent="0.3">
      <c r="A47" s="631"/>
      <c r="B47" s="136" t="s">
        <v>166</v>
      </c>
      <c r="C47" s="136" t="s">
        <v>36</v>
      </c>
      <c r="D47" s="248">
        <f t="shared" ref="D47:I47" si="115">D37+D42</f>
        <v>0.24048713697194765</v>
      </c>
      <c r="E47" s="249">
        <f t="shared" si="115"/>
        <v>0.28360029014188726</v>
      </c>
      <c r="F47" s="248">
        <f t="shared" si="115"/>
        <v>0.24048713697194765</v>
      </c>
      <c r="G47" s="249">
        <f t="shared" si="115"/>
        <v>0.28360029014188726</v>
      </c>
      <c r="H47" s="250">
        <f t="shared" si="115"/>
        <v>0.24048713697194765</v>
      </c>
      <c r="I47" s="249">
        <f t="shared" si="115"/>
        <v>0.28360029014188726</v>
      </c>
      <c r="K47" s="631"/>
      <c r="L47" s="136" t="s">
        <v>166</v>
      </c>
      <c r="M47" s="136" t="s">
        <v>36</v>
      </c>
      <c r="N47" s="248">
        <f t="shared" ref="N47:S47" si="116">N37+N42</f>
        <v>0.24048713697194765</v>
      </c>
      <c r="O47" s="249">
        <f t="shared" si="116"/>
        <v>0.28360029014188726</v>
      </c>
      <c r="P47" s="248">
        <f t="shared" si="116"/>
        <v>0.24048713697194765</v>
      </c>
      <c r="Q47" s="249">
        <f t="shared" si="116"/>
        <v>0.28360029014188726</v>
      </c>
      <c r="R47" s="250">
        <f t="shared" si="116"/>
        <v>0.24048713697194765</v>
      </c>
      <c r="S47" s="249">
        <f t="shared" si="116"/>
        <v>0.28360029014188726</v>
      </c>
      <c r="U47" s="631"/>
      <c r="V47" s="136" t="s">
        <v>166</v>
      </c>
      <c r="W47" s="136" t="s">
        <v>36</v>
      </c>
      <c r="X47" s="273">
        <f t="shared" si="86"/>
        <v>0.24048713697194765</v>
      </c>
      <c r="Y47" s="273">
        <f t="shared" si="84"/>
        <v>0.28360029014188726</v>
      </c>
      <c r="Z47" s="273">
        <f t="shared" si="84"/>
        <v>0.19347810174485061</v>
      </c>
      <c r="AA47" s="273">
        <f t="shared" si="84"/>
        <v>0.28059050348480041</v>
      </c>
      <c r="AB47" s="273">
        <f t="shared" si="84"/>
        <v>0.23587764306254988</v>
      </c>
      <c r="AC47" s="273">
        <f t="shared" si="84"/>
        <v>0.28059050348480041</v>
      </c>
      <c r="AE47" s="631"/>
      <c r="AF47" s="136" t="s">
        <v>166</v>
      </c>
      <c r="AG47" s="136" t="s">
        <v>36</v>
      </c>
      <c r="AH47" s="248">
        <f t="shared" ref="AH47:AM47" si="117">AH37+AH42</f>
        <v>0.24048713697194765</v>
      </c>
      <c r="AI47" s="249">
        <f t="shared" si="117"/>
        <v>0.28360029014188726</v>
      </c>
      <c r="AJ47" s="248">
        <f t="shared" si="117"/>
        <v>0.19347810174485061</v>
      </c>
      <c r="AK47" s="249">
        <f t="shared" si="117"/>
        <v>0.28059050348480041</v>
      </c>
      <c r="AL47" s="250">
        <f t="shared" si="117"/>
        <v>0.23587764306254988</v>
      </c>
      <c r="AM47" s="249">
        <f t="shared" si="117"/>
        <v>0.28059050348480041</v>
      </c>
    </row>
    <row r="48" spans="1:39" ht="15.75" thickBot="1" x14ac:dyDescent="0.3">
      <c r="A48" s="631"/>
      <c r="B48" s="136" t="s">
        <v>167</v>
      </c>
      <c r="C48" s="136" t="s">
        <v>36</v>
      </c>
      <c r="D48" s="248">
        <f t="shared" ref="D48:I48" si="118">D38+D43</f>
        <v>1.9682018403049411</v>
      </c>
      <c r="E48" s="249">
        <f t="shared" si="118"/>
        <v>2.3210497658899261</v>
      </c>
      <c r="F48" s="248">
        <f t="shared" si="118"/>
        <v>1.9682018403049411</v>
      </c>
      <c r="G48" s="249">
        <f t="shared" si="118"/>
        <v>2.3210497658899261</v>
      </c>
      <c r="H48" s="250">
        <f t="shared" si="118"/>
        <v>1.9682018403049411</v>
      </c>
      <c r="I48" s="249">
        <f t="shared" si="118"/>
        <v>2.3210497658899261</v>
      </c>
      <c r="K48" s="631"/>
      <c r="L48" s="136" t="s">
        <v>167</v>
      </c>
      <c r="M48" s="136" t="s">
        <v>36</v>
      </c>
      <c r="N48" s="248">
        <f t="shared" ref="N48:S48" si="119">N38+N43</f>
        <v>1.9682018403049411</v>
      </c>
      <c r="O48" s="249">
        <f t="shared" si="119"/>
        <v>2.3210497658899261</v>
      </c>
      <c r="P48" s="248">
        <f t="shared" si="119"/>
        <v>1.9682018403049411</v>
      </c>
      <c r="Q48" s="249">
        <f t="shared" si="119"/>
        <v>2.3210497658899261</v>
      </c>
      <c r="R48" s="250">
        <f t="shared" si="119"/>
        <v>1.9682018403049411</v>
      </c>
      <c r="S48" s="249">
        <f t="shared" si="119"/>
        <v>2.3210497658899261</v>
      </c>
      <c r="U48" s="631"/>
      <c r="V48" s="136" t="s">
        <v>167</v>
      </c>
      <c r="W48" s="136" t="s">
        <v>36</v>
      </c>
      <c r="X48" s="273">
        <f t="shared" si="86"/>
        <v>1.9682018403049411</v>
      </c>
      <c r="Y48" s="273">
        <f t="shared" si="84"/>
        <v>2.3210497658899261</v>
      </c>
      <c r="Z48" s="273">
        <f t="shared" si="84"/>
        <v>1.5834691231628808</v>
      </c>
      <c r="AA48" s="273">
        <f t="shared" si="84"/>
        <v>2.2964169821494194</v>
      </c>
      <c r="AB48" s="273">
        <f t="shared" si="84"/>
        <v>1.9304766858139988</v>
      </c>
      <c r="AC48" s="273">
        <f t="shared" si="84"/>
        <v>2.2964169821494194</v>
      </c>
      <c r="AE48" s="631"/>
      <c r="AF48" s="136" t="s">
        <v>167</v>
      </c>
      <c r="AG48" s="136" t="s">
        <v>36</v>
      </c>
      <c r="AH48" s="248">
        <f t="shared" ref="AH48:AM48" si="120">AH38+AH43</f>
        <v>1.9682018403049411</v>
      </c>
      <c r="AI48" s="249">
        <f t="shared" si="120"/>
        <v>2.3210497658899261</v>
      </c>
      <c r="AJ48" s="248">
        <f t="shared" si="120"/>
        <v>1.5834691231628808</v>
      </c>
      <c r="AK48" s="249">
        <f t="shared" si="120"/>
        <v>2.2964169821494194</v>
      </c>
      <c r="AL48" s="250">
        <f t="shared" si="120"/>
        <v>1.930476685813999</v>
      </c>
      <c r="AM48" s="249">
        <f t="shared" si="120"/>
        <v>2.2964169821494194</v>
      </c>
    </row>
    <row r="49" spans="1:39" x14ac:dyDescent="0.25">
      <c r="A49" s="631"/>
      <c r="B49" s="136" t="s">
        <v>168</v>
      </c>
      <c r="C49" s="136" t="s">
        <v>36</v>
      </c>
      <c r="D49" s="274">
        <f t="shared" ref="D49:I49" si="121">D39+D44</f>
        <v>3.5477319739661044</v>
      </c>
      <c r="E49" s="275">
        <f t="shared" si="121"/>
        <v>4.1837489931106022</v>
      </c>
      <c r="F49" s="274">
        <f t="shared" si="121"/>
        <v>3.5477319739661044</v>
      </c>
      <c r="G49" s="275">
        <f t="shared" si="121"/>
        <v>4.1837489931106013</v>
      </c>
      <c r="H49" s="276">
        <f t="shared" si="121"/>
        <v>3.547731973966104</v>
      </c>
      <c r="I49" s="275">
        <f t="shared" si="121"/>
        <v>4.1837489931106013</v>
      </c>
      <c r="K49" s="631"/>
      <c r="L49" s="136" t="s">
        <v>168</v>
      </c>
      <c r="M49" s="136" t="s">
        <v>36</v>
      </c>
      <c r="N49" s="274">
        <f t="shared" ref="N49:S49" si="122">N39+N44</f>
        <v>3.5477319739661044</v>
      </c>
      <c r="O49" s="275">
        <f t="shared" si="122"/>
        <v>4.1837489931106022</v>
      </c>
      <c r="P49" s="274">
        <f t="shared" si="122"/>
        <v>3.5477319739661044</v>
      </c>
      <c r="Q49" s="275">
        <f t="shared" si="122"/>
        <v>4.1837489931106013</v>
      </c>
      <c r="R49" s="276">
        <f t="shared" si="122"/>
        <v>3.547731973966104</v>
      </c>
      <c r="S49" s="275">
        <f t="shared" si="122"/>
        <v>4.1837489931106013</v>
      </c>
      <c r="U49" s="631"/>
      <c r="V49" s="136" t="s">
        <v>168</v>
      </c>
      <c r="W49" s="136" t="s">
        <v>36</v>
      </c>
      <c r="X49" s="273">
        <f t="shared" si="86"/>
        <v>3.5477319739661044</v>
      </c>
      <c r="Y49" s="273">
        <f t="shared" si="84"/>
        <v>4.1837489931106022</v>
      </c>
      <c r="Z49" s="273">
        <f t="shared" si="84"/>
        <v>2.8542418379014669</v>
      </c>
      <c r="AA49" s="273">
        <f t="shared" si="84"/>
        <v>4.13934779771773</v>
      </c>
      <c r="AB49" s="273">
        <f t="shared" si="84"/>
        <v>3.4797314599590696</v>
      </c>
      <c r="AC49" s="273">
        <f t="shared" si="84"/>
        <v>4.13934779771773</v>
      </c>
      <c r="AE49" s="631"/>
      <c r="AF49" s="136" t="s">
        <v>168</v>
      </c>
      <c r="AG49" s="136" t="s">
        <v>36</v>
      </c>
      <c r="AH49" s="274">
        <f t="shared" ref="AH49:AM49" si="123">AH39+AH44</f>
        <v>3.5477319739661044</v>
      </c>
      <c r="AI49" s="275">
        <f t="shared" si="123"/>
        <v>4.1837489931106022</v>
      </c>
      <c r="AJ49" s="274">
        <f t="shared" si="123"/>
        <v>2.8542418379014665</v>
      </c>
      <c r="AK49" s="275">
        <f t="shared" si="123"/>
        <v>4.1393477977177309</v>
      </c>
      <c r="AL49" s="276">
        <f t="shared" si="123"/>
        <v>3.4797314599590701</v>
      </c>
      <c r="AM49" s="275">
        <f t="shared" si="123"/>
        <v>4.1393477977177309</v>
      </c>
    </row>
    <row r="50" spans="1:39" ht="15.75" thickBot="1" x14ac:dyDescent="0.3">
      <c r="A50" s="632"/>
      <c r="B50" s="189" t="s">
        <v>169</v>
      </c>
      <c r="C50" s="189" t="s">
        <v>36</v>
      </c>
      <c r="D50" s="208">
        <f>SUM(D46:D49)</f>
        <v>5.9773733906447069</v>
      </c>
      <c r="E50" s="210">
        <f t="shared" ref="E50:I50" si="124">SUM(E46:E49)</f>
        <v>7.0489625732912895</v>
      </c>
      <c r="F50" s="208">
        <f t="shared" si="124"/>
        <v>5.9773733906447069</v>
      </c>
      <c r="G50" s="210">
        <f t="shared" si="124"/>
        <v>7.0489625732912895</v>
      </c>
      <c r="H50" s="211">
        <f t="shared" si="124"/>
        <v>5.977373390644706</v>
      </c>
      <c r="I50" s="210">
        <f t="shared" si="124"/>
        <v>7.0489625732912895</v>
      </c>
      <c r="K50" s="632"/>
      <c r="L50" s="189" t="s">
        <v>169</v>
      </c>
      <c r="M50" s="189" t="s">
        <v>36</v>
      </c>
      <c r="N50" s="208">
        <f>SUM(N46:N49)</f>
        <v>5.9773733906447069</v>
      </c>
      <c r="O50" s="210">
        <f t="shared" ref="O50" si="125">SUM(O46:O49)</f>
        <v>7.0489625732912895</v>
      </c>
      <c r="P50" s="208">
        <f t="shared" ref="P50" si="126">SUM(P46:P49)</f>
        <v>5.9773733906447069</v>
      </c>
      <c r="Q50" s="210">
        <f t="shared" ref="Q50" si="127">SUM(Q46:Q49)</f>
        <v>7.0489625732912895</v>
      </c>
      <c r="R50" s="211">
        <f t="shared" ref="R50" si="128">SUM(R46:R49)</f>
        <v>5.977373390644706</v>
      </c>
      <c r="S50" s="210">
        <f t="shared" ref="S50" si="129">SUM(S46:S49)</f>
        <v>7.0489625732912895</v>
      </c>
      <c r="U50" s="632"/>
      <c r="V50" s="189" t="s">
        <v>169</v>
      </c>
      <c r="W50" s="189" t="s">
        <v>36</v>
      </c>
      <c r="X50" s="208">
        <f>N50*(1+N$68*'Indata - Effektsamband-Faktorer'!$D$9)</f>
        <v>5.9773733906447069</v>
      </c>
      <c r="Y50" s="208">
        <f>O50*(1+O$68*'Indata - Effektsamband-Faktorer'!$D$9)</f>
        <v>7.0489625732912895</v>
      </c>
      <c r="Z50" s="208">
        <f>P50*(1+P$68*'Indata - Effektsamband-Faktorer'!$D$9)</f>
        <v>4.8089509967305304</v>
      </c>
      <c r="AA50" s="208">
        <f>Q50*(1+Q$68*'Indata - Effektsamband-Faktorer'!$D$9)</f>
        <v>6.9741535049057024</v>
      </c>
      <c r="AB50" s="208">
        <f>R50*(1+R$68*'Indata - Effektsamband-Faktorer'!$D$9)</f>
        <v>5.8628031621272987</v>
      </c>
      <c r="AC50" s="208">
        <f>S50*(1+S$68*'Indata - Effektsamband-Faktorer'!$D$9)</f>
        <v>6.9741535049057024</v>
      </c>
      <c r="AE50" s="632"/>
      <c r="AF50" s="189" t="s">
        <v>169</v>
      </c>
      <c r="AG50" s="189" t="s">
        <v>36</v>
      </c>
      <c r="AH50" s="208">
        <f>SUM(AH46:AH49)</f>
        <v>5.9773733906447069</v>
      </c>
      <c r="AI50" s="210">
        <f t="shared" ref="AI50" si="130">SUM(AI46:AI49)</f>
        <v>7.0489625732912895</v>
      </c>
      <c r="AJ50" s="208">
        <f t="shared" ref="AJ50" si="131">SUM(AJ46:AJ49)</f>
        <v>4.8089509967305304</v>
      </c>
      <c r="AK50" s="210">
        <f t="shared" ref="AK50" si="132">SUM(AK46:AK49)</f>
        <v>6.9741535049057024</v>
      </c>
      <c r="AL50" s="211">
        <f t="shared" ref="AL50" si="133">SUM(AL46:AL49)</f>
        <v>5.8628031621272996</v>
      </c>
      <c r="AM50" s="210">
        <f t="shared" ref="AM50" si="134">SUM(AM46:AM49)</f>
        <v>6.9741535049057024</v>
      </c>
    </row>
    <row r="51" spans="1:39" x14ac:dyDescent="0.25">
      <c r="Y51" s="304"/>
      <c r="AE51" s="40"/>
      <c r="AF51" s="40"/>
      <c r="AG51" s="40"/>
      <c r="AH51" s="40"/>
      <c r="AI51" s="40"/>
      <c r="AJ51" s="40"/>
      <c r="AK51" s="40"/>
      <c r="AL51" s="40"/>
      <c r="AM51" s="40"/>
    </row>
    <row r="52" spans="1:39" ht="15" customHeight="1" thickBot="1" x14ac:dyDescent="0.3">
      <c r="A52" s="42" t="s">
        <v>85</v>
      </c>
      <c r="D52" s="76"/>
      <c r="E52" s="76"/>
      <c r="F52" s="76"/>
      <c r="G52" s="76"/>
      <c r="H52" s="76"/>
      <c r="I52" s="76"/>
      <c r="K52" s="42" t="s">
        <v>233</v>
      </c>
      <c r="N52" s="76"/>
      <c r="O52" s="76"/>
      <c r="P52" s="76"/>
      <c r="Q52" s="76"/>
      <c r="R52" s="76"/>
      <c r="S52" s="76"/>
      <c r="U52" s="42" t="s">
        <v>88</v>
      </c>
      <c r="X52" s="76"/>
      <c r="Y52" s="76"/>
      <c r="Z52" s="76"/>
      <c r="AA52" s="76"/>
      <c r="AB52" s="76"/>
      <c r="AC52" s="76"/>
      <c r="AE52" s="42" t="s">
        <v>158</v>
      </c>
      <c r="AF52" s="40"/>
      <c r="AG52" s="40"/>
      <c r="AH52" s="76"/>
      <c r="AI52" s="76"/>
      <c r="AJ52" s="76"/>
      <c r="AK52" s="76"/>
      <c r="AL52" s="76"/>
      <c r="AM52" s="76"/>
    </row>
    <row r="53" spans="1:39" ht="15.75" thickBot="1" x14ac:dyDescent="0.3">
      <c r="A53" s="630" t="s">
        <v>77</v>
      </c>
      <c r="B53" s="135" t="s">
        <v>137</v>
      </c>
      <c r="C53" s="135" t="s">
        <v>74</v>
      </c>
      <c r="D53" s="273">
        <f>D$6*D11+D29</f>
        <v>18.982992083080585</v>
      </c>
      <c r="E53" s="273">
        <f t="shared" ref="E53:I53" si="135">E$6*E11+E29</f>
        <v>17.944960517962748</v>
      </c>
      <c r="F53" s="273">
        <f t="shared" si="135"/>
        <v>52.535708861653418</v>
      </c>
      <c r="G53" s="273">
        <f t="shared" si="135"/>
        <v>21.030625750480873</v>
      </c>
      <c r="H53" s="273">
        <f t="shared" si="135"/>
        <v>21.408684552796917</v>
      </c>
      <c r="I53" s="273">
        <f t="shared" si="135"/>
        <v>21.030625750480873</v>
      </c>
      <c r="K53" s="630" t="s">
        <v>77</v>
      </c>
      <c r="L53" s="135" t="s">
        <v>137</v>
      </c>
      <c r="M53" s="135" t="s">
        <v>74</v>
      </c>
      <c r="N53" s="273">
        <f>N$6*N11+N29</f>
        <v>18.982992083080585</v>
      </c>
      <c r="O53" s="273">
        <f t="shared" ref="O53:S53" si="136">O$6*O11+O29</f>
        <v>17.944960517962748</v>
      </c>
      <c r="P53" s="273">
        <f t="shared" si="136"/>
        <v>52.535708861653418</v>
      </c>
      <c r="Q53" s="273">
        <f t="shared" si="136"/>
        <v>21.030625750480873</v>
      </c>
      <c r="R53" s="273">
        <f t="shared" si="136"/>
        <v>21.408684552796917</v>
      </c>
      <c r="S53" s="273">
        <f t="shared" si="136"/>
        <v>21.030625750480873</v>
      </c>
      <c r="U53" s="630" t="s">
        <v>77</v>
      </c>
      <c r="V53" s="135" t="s">
        <v>137</v>
      </c>
      <c r="W53" s="135" t="s">
        <v>74</v>
      </c>
      <c r="X53" s="273">
        <f>N53</f>
        <v>18.982992083080585</v>
      </c>
      <c r="Y53" s="246">
        <f t="shared" ref="Y53:Y56" si="137">O53</f>
        <v>17.944960517962748</v>
      </c>
      <c r="Z53" s="245">
        <f t="shared" ref="Z53:Z56" si="138">P53</f>
        <v>52.535708861653418</v>
      </c>
      <c r="AA53" s="246">
        <f t="shared" ref="AA53:AA56" si="139">Q53</f>
        <v>21.030625750480873</v>
      </c>
      <c r="AB53" s="247">
        <f t="shared" ref="AB53:AB56" si="140">R53</f>
        <v>21.408684552796917</v>
      </c>
      <c r="AC53" s="246">
        <f t="shared" ref="AC53:AC56" si="141">S53</f>
        <v>21.030625750480873</v>
      </c>
      <c r="AE53" s="630" t="s">
        <v>77</v>
      </c>
      <c r="AF53" s="135" t="s">
        <v>137</v>
      </c>
      <c r="AG53" s="135" t="s">
        <v>74</v>
      </c>
      <c r="AH53" s="273">
        <f>X53</f>
        <v>18.982992083080585</v>
      </c>
      <c r="AI53" s="246">
        <f t="shared" ref="AI53:AI56" si="142">Y53</f>
        <v>17.944960517962748</v>
      </c>
      <c r="AJ53" s="245">
        <f>Z53</f>
        <v>52.535708861653418</v>
      </c>
      <c r="AK53" s="246">
        <f t="shared" ref="AK53:AK56" si="143">AA53</f>
        <v>21.030625750480873</v>
      </c>
      <c r="AL53" s="247">
        <f t="shared" ref="AL53:AL56" si="144">AB53</f>
        <v>21.408684552796917</v>
      </c>
      <c r="AM53" s="246">
        <f t="shared" ref="AM53:AM56" si="145">AC53</f>
        <v>21.030625750480873</v>
      </c>
    </row>
    <row r="54" spans="1:39" ht="15.75" thickBot="1" x14ac:dyDescent="0.3">
      <c r="A54" s="631"/>
      <c r="B54" s="136" t="s">
        <v>138</v>
      </c>
      <c r="C54" s="136" t="s">
        <v>74</v>
      </c>
      <c r="D54" s="273">
        <f t="shared" ref="D54:I54" si="146">D$6*D12+D30</f>
        <v>24.942330002345706</v>
      </c>
      <c r="E54" s="273">
        <f t="shared" si="146"/>
        <v>23.383485532856977</v>
      </c>
      <c r="F54" s="273">
        <f t="shared" si="146"/>
        <v>58.027611878899108</v>
      </c>
      <c r="G54" s="273">
        <f t="shared" si="146"/>
        <v>27.404314012897501</v>
      </c>
      <c r="H54" s="273">
        <f t="shared" si="146"/>
        <v>28.129521030982076</v>
      </c>
      <c r="I54" s="273">
        <f t="shared" si="146"/>
        <v>27.404314012897501</v>
      </c>
      <c r="K54" s="631"/>
      <c r="L54" s="136" t="s">
        <v>138</v>
      </c>
      <c r="M54" s="136" t="s">
        <v>74</v>
      </c>
      <c r="N54" s="273">
        <f t="shared" ref="N54:S56" si="147">N$6*N12+N30</f>
        <v>24.942330002345706</v>
      </c>
      <c r="O54" s="273">
        <f t="shared" si="147"/>
        <v>23.383485532856977</v>
      </c>
      <c r="P54" s="273">
        <f t="shared" si="147"/>
        <v>58.027611878899108</v>
      </c>
      <c r="Q54" s="273">
        <f t="shared" si="147"/>
        <v>27.404314012897501</v>
      </c>
      <c r="R54" s="273">
        <f t="shared" si="147"/>
        <v>28.129521030982076</v>
      </c>
      <c r="S54" s="273">
        <f t="shared" si="147"/>
        <v>27.404314012897501</v>
      </c>
      <c r="U54" s="631"/>
      <c r="V54" s="136" t="s">
        <v>138</v>
      </c>
      <c r="W54" s="136" t="s">
        <v>74</v>
      </c>
      <c r="X54" s="248">
        <f>N54</f>
        <v>24.942330002345706</v>
      </c>
      <c r="Y54" s="249">
        <f t="shared" si="137"/>
        <v>23.383485532856977</v>
      </c>
      <c r="Z54" s="248">
        <f t="shared" si="138"/>
        <v>58.027611878899108</v>
      </c>
      <c r="AA54" s="249">
        <f t="shared" si="139"/>
        <v>27.404314012897501</v>
      </c>
      <c r="AB54" s="250">
        <f t="shared" si="140"/>
        <v>28.129521030982076</v>
      </c>
      <c r="AC54" s="249">
        <f t="shared" si="141"/>
        <v>27.404314012897501</v>
      </c>
      <c r="AE54" s="631"/>
      <c r="AF54" s="136" t="s">
        <v>138</v>
      </c>
      <c r="AG54" s="136" t="s">
        <v>74</v>
      </c>
      <c r="AH54" s="248">
        <f>X54</f>
        <v>24.942330002345706</v>
      </c>
      <c r="AI54" s="249">
        <f t="shared" si="142"/>
        <v>23.383485532856977</v>
      </c>
      <c r="AJ54" s="248">
        <f t="shared" ref="AJ54:AJ56" si="148">Z54</f>
        <v>58.027611878899108</v>
      </c>
      <c r="AK54" s="249">
        <f t="shared" si="143"/>
        <v>27.404314012897501</v>
      </c>
      <c r="AL54" s="250">
        <f t="shared" si="144"/>
        <v>28.129521030982076</v>
      </c>
      <c r="AM54" s="249">
        <f t="shared" si="145"/>
        <v>27.404314012897501</v>
      </c>
    </row>
    <row r="55" spans="1:39" ht="15.75" thickBot="1" x14ac:dyDescent="0.3">
      <c r="A55" s="631"/>
      <c r="B55" s="136" t="s">
        <v>139</v>
      </c>
      <c r="C55" s="136" t="s">
        <v>74</v>
      </c>
      <c r="D55" s="273">
        <f t="shared" ref="D55:I55" si="149">D$6*D13+D31</f>
        <v>30.657540158756873</v>
      </c>
      <c r="E55" s="273">
        <f t="shared" si="149"/>
        <v>29.011713057164339</v>
      </c>
      <c r="F55" s="273">
        <f t="shared" si="149"/>
        <v>63.294535877405686</v>
      </c>
      <c r="G55" s="273">
        <f t="shared" si="149"/>
        <v>34.000324440659725</v>
      </c>
      <c r="H55" s="273">
        <f t="shared" si="149"/>
        <v>34.575034512526543</v>
      </c>
      <c r="I55" s="273">
        <f t="shared" si="149"/>
        <v>34.000324440659725</v>
      </c>
      <c r="K55" s="631"/>
      <c r="L55" s="136" t="s">
        <v>139</v>
      </c>
      <c r="M55" s="136" t="s">
        <v>74</v>
      </c>
      <c r="N55" s="273">
        <f t="shared" si="147"/>
        <v>30.657540158756873</v>
      </c>
      <c r="O55" s="273">
        <f t="shared" si="147"/>
        <v>29.011713057164339</v>
      </c>
      <c r="P55" s="273">
        <f t="shared" si="147"/>
        <v>63.294535877405686</v>
      </c>
      <c r="Q55" s="273">
        <f t="shared" si="147"/>
        <v>34.000324440659725</v>
      </c>
      <c r="R55" s="273">
        <f t="shared" si="147"/>
        <v>34.575034512526543</v>
      </c>
      <c r="S55" s="273">
        <f t="shared" si="147"/>
        <v>34.000324440659725</v>
      </c>
      <c r="U55" s="631"/>
      <c r="V55" s="136" t="s">
        <v>139</v>
      </c>
      <c r="W55" s="136" t="s">
        <v>74</v>
      </c>
      <c r="X55" s="248">
        <f>N55</f>
        <v>30.657540158756873</v>
      </c>
      <c r="Y55" s="249">
        <f t="shared" si="137"/>
        <v>29.011713057164339</v>
      </c>
      <c r="Z55" s="248">
        <f t="shared" si="138"/>
        <v>63.294535877405686</v>
      </c>
      <c r="AA55" s="249">
        <f t="shared" si="139"/>
        <v>34.000324440659725</v>
      </c>
      <c r="AB55" s="250">
        <f t="shared" si="140"/>
        <v>34.575034512526543</v>
      </c>
      <c r="AC55" s="249">
        <f t="shared" si="141"/>
        <v>34.000324440659725</v>
      </c>
      <c r="AE55" s="631"/>
      <c r="AF55" s="136" t="s">
        <v>139</v>
      </c>
      <c r="AG55" s="136" t="s">
        <v>74</v>
      </c>
      <c r="AH55" s="248">
        <f>X55</f>
        <v>30.657540158756873</v>
      </c>
      <c r="AI55" s="249">
        <f t="shared" si="142"/>
        <v>29.011713057164339</v>
      </c>
      <c r="AJ55" s="248">
        <f t="shared" si="148"/>
        <v>63.294535877405686</v>
      </c>
      <c r="AK55" s="249">
        <f t="shared" si="143"/>
        <v>34.000324440659725</v>
      </c>
      <c r="AL55" s="250">
        <f t="shared" si="144"/>
        <v>34.575034512526543</v>
      </c>
      <c r="AM55" s="249">
        <f t="shared" si="145"/>
        <v>34.000324440659725</v>
      </c>
    </row>
    <row r="56" spans="1:39" x14ac:dyDescent="0.25">
      <c r="A56" s="631"/>
      <c r="B56" s="136" t="s">
        <v>140</v>
      </c>
      <c r="C56" s="136" t="s">
        <v>74</v>
      </c>
      <c r="D56" s="273">
        <f t="shared" ref="D56:I56" si="150">D$6*D14+D32</f>
        <v>39.544644941150075</v>
      </c>
      <c r="E56" s="273">
        <f>E$6*E14+E32</f>
        <v>37.618634851733425</v>
      </c>
      <c r="F56" s="273">
        <f t="shared" si="150"/>
        <v>71.484559371663664</v>
      </c>
      <c r="G56" s="273">
        <f t="shared" si="150"/>
        <v>44.087220477240656</v>
      </c>
      <c r="H56" s="273">
        <f t="shared" si="150"/>
        <v>44.597754958345377</v>
      </c>
      <c r="I56" s="273">
        <f t="shared" si="150"/>
        <v>44.087220477240656</v>
      </c>
      <c r="K56" s="631"/>
      <c r="L56" s="136" t="s">
        <v>140</v>
      </c>
      <c r="M56" s="136" t="s">
        <v>74</v>
      </c>
      <c r="N56" s="273">
        <f t="shared" si="147"/>
        <v>39.544644941150075</v>
      </c>
      <c r="O56" s="273">
        <f t="shared" si="147"/>
        <v>37.618634851733425</v>
      </c>
      <c r="P56" s="273">
        <f t="shared" si="147"/>
        <v>71.484559371663664</v>
      </c>
      <c r="Q56" s="273">
        <f t="shared" si="147"/>
        <v>44.087220477240656</v>
      </c>
      <c r="R56" s="273">
        <f t="shared" si="147"/>
        <v>44.597754958345377</v>
      </c>
      <c r="S56" s="273">
        <f t="shared" si="147"/>
        <v>44.087220477240656</v>
      </c>
      <c r="U56" s="631"/>
      <c r="V56" s="136" t="s">
        <v>140</v>
      </c>
      <c r="W56" s="136" t="s">
        <v>74</v>
      </c>
      <c r="X56" s="274">
        <f t="shared" ref="X56" si="151">N56</f>
        <v>39.544644941150075</v>
      </c>
      <c r="Y56" s="275">
        <f t="shared" si="137"/>
        <v>37.618634851733425</v>
      </c>
      <c r="Z56" s="274">
        <f t="shared" si="138"/>
        <v>71.484559371663664</v>
      </c>
      <c r="AA56" s="275">
        <f t="shared" si="139"/>
        <v>44.087220477240656</v>
      </c>
      <c r="AB56" s="276">
        <f t="shared" si="140"/>
        <v>44.597754958345377</v>
      </c>
      <c r="AC56" s="275">
        <f t="shared" si="141"/>
        <v>44.087220477240656</v>
      </c>
      <c r="AE56" s="631"/>
      <c r="AF56" s="136" t="s">
        <v>140</v>
      </c>
      <c r="AG56" s="136" t="s">
        <v>74</v>
      </c>
      <c r="AH56" s="274">
        <f t="shared" ref="AH56" si="152">X56</f>
        <v>39.544644941150075</v>
      </c>
      <c r="AI56" s="275">
        <f t="shared" si="142"/>
        <v>37.618634851733425</v>
      </c>
      <c r="AJ56" s="274">
        <f t="shared" si="148"/>
        <v>71.484559371663664</v>
      </c>
      <c r="AK56" s="275">
        <f t="shared" si="143"/>
        <v>44.087220477240656</v>
      </c>
      <c r="AL56" s="276">
        <f t="shared" si="144"/>
        <v>44.597754958345377</v>
      </c>
      <c r="AM56" s="275">
        <f t="shared" si="145"/>
        <v>44.087220477240656</v>
      </c>
    </row>
    <row r="57" spans="1:39" x14ac:dyDescent="0.25">
      <c r="A57" s="631"/>
      <c r="B57" s="187" t="s">
        <v>188</v>
      </c>
      <c r="C57" s="187" t="s">
        <v>74</v>
      </c>
      <c r="D57" s="270">
        <f>SUMPRODUCT(D53:D56,D36:D39)/D40</f>
        <v>35.490307374660375</v>
      </c>
      <c r="E57" s="271">
        <f t="shared" ref="E57" si="153">SUMPRODUCT(E53:E56,E36:E39)/E40</f>
        <v>34.402706147722959</v>
      </c>
      <c r="F57" s="270">
        <f t="shared" ref="F57" si="154">SUMPRODUCT(F53:F56,F36:F39)/F40</f>
        <v>67.545933608490117</v>
      </c>
      <c r="G57" s="271">
        <f t="shared" ref="G57" si="155">SUMPRODUCT(G53:G56,G36:G39)/G40</f>
        <v>40.766203253780795</v>
      </c>
      <c r="H57" s="272">
        <f t="shared" ref="H57" si="156">SUMPRODUCT(H53:H56,H36:H39)/H40</f>
        <v>40.635778928674441</v>
      </c>
      <c r="I57" s="271">
        <f t="shared" ref="I57" si="157">SUMPRODUCT(I53:I56,I36:I39)/I40</f>
        <v>40.766203253780795</v>
      </c>
      <c r="K57" s="631"/>
      <c r="L57" s="187" t="s">
        <v>188</v>
      </c>
      <c r="M57" s="187" t="s">
        <v>74</v>
      </c>
      <c r="N57" s="270">
        <f>SUMPRODUCT(N53:N56,N36:N39)/N40</f>
        <v>35.490307374660375</v>
      </c>
      <c r="O57" s="271">
        <f t="shared" ref="O57:S57" si="158">SUMPRODUCT(O53:O56,O36:O39)/O40</f>
        <v>34.402706147722959</v>
      </c>
      <c r="P57" s="270">
        <f t="shared" si="158"/>
        <v>67.545933608490117</v>
      </c>
      <c r="Q57" s="271">
        <f t="shared" si="158"/>
        <v>40.766203253780795</v>
      </c>
      <c r="R57" s="272">
        <f t="shared" si="158"/>
        <v>40.635778928674441</v>
      </c>
      <c r="S57" s="271">
        <f t="shared" si="158"/>
        <v>40.766203253780795</v>
      </c>
      <c r="U57" s="631"/>
      <c r="V57" s="187" t="s">
        <v>188</v>
      </c>
      <c r="W57" s="187" t="s">
        <v>74</v>
      </c>
      <c r="X57" s="270">
        <f>SUMPRODUCT(X53:X56,X36:X39)/X40</f>
        <v>35.490307374660375</v>
      </c>
      <c r="Y57" s="271">
        <f t="shared" ref="Y57" si="159">SUMPRODUCT(Y53:Y56,Y36:Y39)/Y40</f>
        <v>34.402706147722959</v>
      </c>
      <c r="Z57" s="270">
        <f t="shared" ref="Z57" si="160">SUMPRODUCT(Z53:Z56,Z36:Z39)/Z40</f>
        <v>67.545933608490131</v>
      </c>
      <c r="AA57" s="271">
        <f t="shared" ref="AA57" si="161">SUMPRODUCT(AA53:AA56,AA36:AA39)/AA40</f>
        <v>40.766203253780787</v>
      </c>
      <c r="AB57" s="272">
        <f t="shared" ref="AB57" si="162">SUMPRODUCT(AB53:AB56,AB36:AB39)/AB40</f>
        <v>40.635778928674441</v>
      </c>
      <c r="AC57" s="271">
        <f t="shared" ref="AC57" si="163">SUMPRODUCT(AC53:AC56,AC36:AC39)/AC40</f>
        <v>40.766203253780787</v>
      </c>
      <c r="AE57" s="631"/>
      <c r="AF57" s="187" t="s">
        <v>188</v>
      </c>
      <c r="AG57" s="187" t="s">
        <v>74</v>
      </c>
      <c r="AH57" s="270">
        <f>SUMPRODUCT(AH53:AH56,AH36:AH39)/AH40</f>
        <v>35.490307374660375</v>
      </c>
      <c r="AI57" s="271">
        <f t="shared" ref="AI57" si="164">SUMPRODUCT(AI53:AI56,AI36:AI39)/AI40</f>
        <v>34.402706147722967</v>
      </c>
      <c r="AJ57" s="270">
        <f>SUMPRODUCT(AJ53:AJ56,AJ36:AJ39)/AJ40</f>
        <v>67.545933608490131</v>
      </c>
      <c r="AK57" s="271">
        <f t="shared" ref="AK57" si="165">SUMPRODUCT(AK53:AK56,AK36:AK39)/AK40</f>
        <v>40.766203253780787</v>
      </c>
      <c r="AL57" s="272">
        <f t="shared" ref="AL57" si="166">SUMPRODUCT(AL53:AL56,AL36:AL39)/AL40</f>
        <v>40.635778928674441</v>
      </c>
      <c r="AM57" s="271">
        <f t="shared" ref="AM57" si="167">SUMPRODUCT(AM53:AM56,AM36:AM39)/AM40</f>
        <v>40.766203253780787</v>
      </c>
    </row>
    <row r="58" spans="1:39" x14ac:dyDescent="0.25">
      <c r="A58" s="631"/>
      <c r="B58" s="136" t="s">
        <v>142</v>
      </c>
      <c r="C58" s="136" t="s">
        <v>74</v>
      </c>
      <c r="D58" s="274">
        <f>D$7*D16+D29</f>
        <v>10.146977504330287</v>
      </c>
      <c r="E58" s="274">
        <f t="shared" ref="E58:I58" si="168">E$7*E16+E29</f>
        <v>11.891362270189154</v>
      </c>
      <c r="F58" s="274">
        <f t="shared" si="168"/>
        <v>45.188670602857236</v>
      </c>
      <c r="G58" s="274">
        <f t="shared" si="168"/>
        <v>11.891362270189154</v>
      </c>
      <c r="H58" s="274">
        <f t="shared" si="168"/>
        <v>10.146977504330287</v>
      </c>
      <c r="I58" s="274">
        <f t="shared" si="168"/>
        <v>11.891362270189154</v>
      </c>
      <c r="K58" s="631"/>
      <c r="L58" s="136" t="s">
        <v>142</v>
      </c>
      <c r="M58" s="136" t="s">
        <v>74</v>
      </c>
      <c r="N58" s="274">
        <f>N$7*N16+N29</f>
        <v>10.146977504330287</v>
      </c>
      <c r="O58" s="274">
        <f t="shared" ref="O58:S58" si="169">O$7*O16+O29</f>
        <v>11.891362270189154</v>
      </c>
      <c r="P58" s="274">
        <f>P$7*P16+P29</f>
        <v>45.188670602857236</v>
      </c>
      <c r="Q58" s="274">
        <f t="shared" si="169"/>
        <v>11.891362270189154</v>
      </c>
      <c r="R58" s="274">
        <f t="shared" si="169"/>
        <v>10.146977504330287</v>
      </c>
      <c r="S58" s="274">
        <f t="shared" si="169"/>
        <v>11.891362270189154</v>
      </c>
      <c r="U58" s="631"/>
      <c r="V58" s="136" t="s">
        <v>142</v>
      </c>
      <c r="W58" s="136" t="s">
        <v>74</v>
      </c>
      <c r="X58" s="274">
        <f>N58</f>
        <v>10.146977504330287</v>
      </c>
      <c r="Y58" s="275">
        <f t="shared" ref="Y58:Y61" si="170">O58</f>
        <v>11.891362270189154</v>
      </c>
      <c r="Z58" s="274">
        <f t="shared" ref="Z58:Z61" si="171">P58</f>
        <v>45.188670602857236</v>
      </c>
      <c r="AA58" s="275">
        <f t="shared" ref="AA58:AA61" si="172">Q58</f>
        <v>11.891362270189154</v>
      </c>
      <c r="AB58" s="276">
        <f t="shared" ref="AB58:AB61" si="173">R58</f>
        <v>10.146977504330287</v>
      </c>
      <c r="AC58" s="275">
        <f t="shared" ref="AC58:AC61" si="174">S58</f>
        <v>11.891362270189154</v>
      </c>
      <c r="AE58" s="631"/>
      <c r="AF58" s="136" t="s">
        <v>142</v>
      </c>
      <c r="AG58" s="136" t="s">
        <v>74</v>
      </c>
      <c r="AH58" s="274">
        <f>X58</f>
        <v>10.146977504330287</v>
      </c>
      <c r="AI58" s="275">
        <f t="shared" ref="AI58:AI61" si="175">Y58</f>
        <v>11.891362270189154</v>
      </c>
      <c r="AJ58" s="274">
        <f>Z58</f>
        <v>45.188670602857236</v>
      </c>
      <c r="AK58" s="275">
        <f t="shared" ref="AK58:AK61" si="176">AA58</f>
        <v>11.891362270189154</v>
      </c>
      <c r="AL58" s="276">
        <f>AB58</f>
        <v>10.146977504330287</v>
      </c>
      <c r="AM58" s="275">
        <f t="shared" ref="AM58:AM61" si="177">AC58</f>
        <v>11.891362270189154</v>
      </c>
    </row>
    <row r="59" spans="1:39" x14ac:dyDescent="0.25">
      <c r="A59" s="631"/>
      <c r="B59" s="136" t="s">
        <v>143</v>
      </c>
      <c r="C59" s="136" t="s">
        <v>74</v>
      </c>
      <c r="D59" s="274">
        <f t="shared" ref="D59:I61" si="178">D$7*D17+D30</f>
        <v>10.146977504330287</v>
      </c>
      <c r="E59" s="274">
        <f t="shared" si="178"/>
        <v>11.891362270189154</v>
      </c>
      <c r="F59" s="274">
        <f t="shared" si="178"/>
        <v>45.188670602857236</v>
      </c>
      <c r="G59" s="274">
        <f t="shared" si="178"/>
        <v>11.891362270189154</v>
      </c>
      <c r="H59" s="274">
        <f t="shared" si="178"/>
        <v>10.146977504330287</v>
      </c>
      <c r="I59" s="274">
        <f t="shared" si="178"/>
        <v>11.891362270189154</v>
      </c>
      <c r="K59" s="631"/>
      <c r="L59" s="136" t="s">
        <v>143</v>
      </c>
      <c r="M59" s="136" t="s">
        <v>74</v>
      </c>
      <c r="N59" s="274">
        <f t="shared" ref="N59:S61" si="179">N$7*N17+N30</f>
        <v>10.146977504330287</v>
      </c>
      <c r="O59" s="274">
        <f t="shared" si="179"/>
        <v>11.891362270189154</v>
      </c>
      <c r="P59" s="274">
        <f t="shared" si="179"/>
        <v>45.188670602857236</v>
      </c>
      <c r="Q59" s="274">
        <f t="shared" si="179"/>
        <v>11.891362270189154</v>
      </c>
      <c r="R59" s="274">
        <f t="shared" si="179"/>
        <v>10.146977504330287</v>
      </c>
      <c r="S59" s="274">
        <f t="shared" si="179"/>
        <v>11.891362270189154</v>
      </c>
      <c r="U59" s="631"/>
      <c r="V59" s="136" t="s">
        <v>143</v>
      </c>
      <c r="W59" s="136" t="s">
        <v>74</v>
      </c>
      <c r="X59" s="274">
        <f>N59</f>
        <v>10.146977504330287</v>
      </c>
      <c r="Y59" s="275">
        <f t="shared" si="170"/>
        <v>11.891362270189154</v>
      </c>
      <c r="Z59" s="274">
        <f t="shared" si="171"/>
        <v>45.188670602857236</v>
      </c>
      <c r="AA59" s="275">
        <f t="shared" si="172"/>
        <v>11.891362270189154</v>
      </c>
      <c r="AB59" s="276">
        <f t="shared" si="173"/>
        <v>10.146977504330287</v>
      </c>
      <c r="AC59" s="275">
        <f t="shared" si="174"/>
        <v>11.891362270189154</v>
      </c>
      <c r="AE59" s="631"/>
      <c r="AF59" s="136" t="s">
        <v>143</v>
      </c>
      <c r="AG59" s="136" t="s">
        <v>74</v>
      </c>
      <c r="AH59" s="274">
        <f>X59</f>
        <v>10.146977504330287</v>
      </c>
      <c r="AI59" s="275">
        <f t="shared" si="175"/>
        <v>11.891362270189154</v>
      </c>
      <c r="AJ59" s="274">
        <f t="shared" ref="AJ59:AJ61" si="180">Z59</f>
        <v>45.188670602857236</v>
      </c>
      <c r="AK59" s="275">
        <f t="shared" si="176"/>
        <v>11.891362270189154</v>
      </c>
      <c r="AL59" s="276">
        <f t="shared" ref="AL59:AL61" si="181">AB59</f>
        <v>10.146977504330287</v>
      </c>
      <c r="AM59" s="275">
        <f t="shared" si="177"/>
        <v>11.891362270189154</v>
      </c>
    </row>
    <row r="60" spans="1:39" x14ac:dyDescent="0.25">
      <c r="A60" s="631"/>
      <c r="B60" s="136" t="s">
        <v>144</v>
      </c>
      <c r="C60" s="136" t="s">
        <v>74</v>
      </c>
      <c r="D60" s="274">
        <f t="shared" si="178"/>
        <v>16.015997243472697</v>
      </c>
      <c r="E60" s="274">
        <f>E$7*E18+E31</f>
        <v>18.769335524712467</v>
      </c>
      <c r="F60" s="274">
        <f t="shared" si="178"/>
        <v>51.057690341999646</v>
      </c>
      <c r="G60" s="274">
        <f t="shared" si="178"/>
        <v>18.769335524712467</v>
      </c>
      <c r="H60" s="274">
        <f t="shared" si="178"/>
        <v>16.015997243472697</v>
      </c>
      <c r="I60" s="274">
        <f t="shared" si="178"/>
        <v>18.769335524712467</v>
      </c>
      <c r="K60" s="631"/>
      <c r="L60" s="136" t="s">
        <v>144</v>
      </c>
      <c r="M60" s="136" t="s">
        <v>74</v>
      </c>
      <c r="N60" s="274">
        <f t="shared" si="179"/>
        <v>16.015997243472697</v>
      </c>
      <c r="O60" s="274">
        <f t="shared" si="179"/>
        <v>18.769335524712467</v>
      </c>
      <c r="P60" s="274">
        <f t="shared" si="179"/>
        <v>51.057690341999646</v>
      </c>
      <c r="Q60" s="274">
        <f t="shared" si="179"/>
        <v>18.769335524712467</v>
      </c>
      <c r="R60" s="274">
        <f t="shared" si="179"/>
        <v>16.015997243472697</v>
      </c>
      <c r="S60" s="274">
        <f t="shared" si="179"/>
        <v>18.769335524712467</v>
      </c>
      <c r="U60" s="631"/>
      <c r="V60" s="136" t="s">
        <v>144</v>
      </c>
      <c r="W60" s="136" t="s">
        <v>74</v>
      </c>
      <c r="X60" s="274">
        <f>N60</f>
        <v>16.015997243472697</v>
      </c>
      <c r="Y60" s="275">
        <f t="shared" si="170"/>
        <v>18.769335524712467</v>
      </c>
      <c r="Z60" s="274">
        <f t="shared" si="171"/>
        <v>51.057690341999646</v>
      </c>
      <c r="AA60" s="275">
        <f t="shared" si="172"/>
        <v>18.769335524712467</v>
      </c>
      <c r="AB60" s="276">
        <f t="shared" si="173"/>
        <v>16.015997243472697</v>
      </c>
      <c r="AC60" s="275">
        <f t="shared" si="174"/>
        <v>18.769335524712467</v>
      </c>
      <c r="AE60" s="631"/>
      <c r="AF60" s="136" t="s">
        <v>144</v>
      </c>
      <c r="AG60" s="136" t="s">
        <v>74</v>
      </c>
      <c r="AH60" s="274">
        <f>X60</f>
        <v>16.015997243472697</v>
      </c>
      <c r="AI60" s="275">
        <f t="shared" si="175"/>
        <v>18.769335524712467</v>
      </c>
      <c r="AJ60" s="274">
        <f t="shared" si="180"/>
        <v>51.057690341999646</v>
      </c>
      <c r="AK60" s="275">
        <f t="shared" si="176"/>
        <v>18.769335524712467</v>
      </c>
      <c r="AL60" s="276">
        <f t="shared" si="181"/>
        <v>16.015997243472697</v>
      </c>
      <c r="AM60" s="275">
        <f t="shared" si="177"/>
        <v>18.769335524712467</v>
      </c>
    </row>
    <row r="61" spans="1:39" x14ac:dyDescent="0.25">
      <c r="A61" s="631"/>
      <c r="B61" s="136" t="s">
        <v>145</v>
      </c>
      <c r="C61" s="136" t="s">
        <v>74</v>
      </c>
      <c r="D61" s="274">
        <f t="shared" si="178"/>
        <v>18.181444333697641</v>
      </c>
      <c r="E61" s="274">
        <f t="shared" si="178"/>
        <v>21.307048436345784</v>
      </c>
      <c r="F61" s="274">
        <f t="shared" si="178"/>
        <v>53.22313743222459</v>
      </c>
      <c r="G61" s="274">
        <f t="shared" si="178"/>
        <v>21.307048436345784</v>
      </c>
      <c r="H61" s="274">
        <f t="shared" si="178"/>
        <v>18.181444333697641</v>
      </c>
      <c r="I61" s="274">
        <f t="shared" si="178"/>
        <v>21.307048436345784</v>
      </c>
      <c r="K61" s="631"/>
      <c r="L61" s="136" t="s">
        <v>145</v>
      </c>
      <c r="M61" s="136" t="s">
        <v>74</v>
      </c>
      <c r="N61" s="274">
        <f t="shared" si="179"/>
        <v>18.181444333697641</v>
      </c>
      <c r="O61" s="274">
        <f t="shared" si="179"/>
        <v>21.307048436345784</v>
      </c>
      <c r="P61" s="274">
        <f t="shared" si="179"/>
        <v>53.22313743222459</v>
      </c>
      <c r="Q61" s="274">
        <f t="shared" si="179"/>
        <v>21.307048436345784</v>
      </c>
      <c r="R61" s="274">
        <f t="shared" si="179"/>
        <v>18.181444333697641</v>
      </c>
      <c r="S61" s="274">
        <f t="shared" si="179"/>
        <v>21.307048436345784</v>
      </c>
      <c r="U61" s="631"/>
      <c r="V61" s="136" t="s">
        <v>145</v>
      </c>
      <c r="W61" s="136" t="s">
        <v>74</v>
      </c>
      <c r="X61" s="274">
        <f t="shared" ref="X61" si="182">N61</f>
        <v>18.181444333697641</v>
      </c>
      <c r="Y61" s="275">
        <f t="shared" si="170"/>
        <v>21.307048436345784</v>
      </c>
      <c r="Z61" s="274">
        <f t="shared" si="171"/>
        <v>53.22313743222459</v>
      </c>
      <c r="AA61" s="275">
        <f t="shared" si="172"/>
        <v>21.307048436345784</v>
      </c>
      <c r="AB61" s="276">
        <f t="shared" si="173"/>
        <v>18.181444333697641</v>
      </c>
      <c r="AC61" s="275">
        <f t="shared" si="174"/>
        <v>21.307048436345784</v>
      </c>
      <c r="AE61" s="631"/>
      <c r="AF61" s="136" t="s">
        <v>145</v>
      </c>
      <c r="AG61" s="136" t="s">
        <v>74</v>
      </c>
      <c r="AH61" s="274">
        <f t="shared" ref="AH61" si="183">X61</f>
        <v>18.181444333697641</v>
      </c>
      <c r="AI61" s="275">
        <f t="shared" si="175"/>
        <v>21.307048436345784</v>
      </c>
      <c r="AJ61" s="274">
        <f t="shared" si="180"/>
        <v>53.22313743222459</v>
      </c>
      <c r="AK61" s="275">
        <f t="shared" si="176"/>
        <v>21.307048436345784</v>
      </c>
      <c r="AL61" s="276">
        <f t="shared" si="181"/>
        <v>18.181444333697641</v>
      </c>
      <c r="AM61" s="275">
        <f t="shared" si="177"/>
        <v>21.307048436345784</v>
      </c>
    </row>
    <row r="62" spans="1:39" x14ac:dyDescent="0.25">
      <c r="A62" s="631"/>
      <c r="B62" s="187" t="s">
        <v>189</v>
      </c>
      <c r="C62" s="187" t="s">
        <v>74</v>
      </c>
      <c r="D62" s="270">
        <f>SUMPRODUCT(D58:D61,D41:D44)/D45</f>
        <v>13.285707796139762</v>
      </c>
      <c r="E62" s="271">
        <f t="shared" ref="E62" si="184">SUMPRODUCT(E58:E61,E41:E44)/E45</f>
        <v>15.569677211992742</v>
      </c>
      <c r="F62" s="270">
        <f>SUMPRODUCT(F58:F61,F41:F44)/F45</f>
        <v>51.889866545940599</v>
      </c>
      <c r="G62" s="271">
        <f t="shared" ref="G62" si="185">SUMPRODUCT(G58:G61,G41:G44)/G45</f>
        <v>18.184705404944555</v>
      </c>
      <c r="H62" s="272">
        <f t="shared" ref="H62" si="186">SUMPRODUCT(H58:H61,H41:H44)/H45</f>
        <v>14.000681315822147</v>
      </c>
      <c r="I62" s="271">
        <f t="shared" ref="I62" si="187">SUMPRODUCT(I58:I61,I41:I44)/I45</f>
        <v>18.184705404944555</v>
      </c>
      <c r="K62" s="631"/>
      <c r="L62" s="187" t="s">
        <v>189</v>
      </c>
      <c r="M62" s="187" t="s">
        <v>74</v>
      </c>
      <c r="N62" s="270">
        <f>SUMPRODUCT(N58:N61,N41:N44)/N45</f>
        <v>13.285707796139762</v>
      </c>
      <c r="O62" s="271">
        <f t="shared" ref="O62:S62" si="188">SUMPRODUCT(O58:O61,O41:O44)/O45</f>
        <v>15.569677211992742</v>
      </c>
      <c r="P62" s="270">
        <f t="shared" si="188"/>
        <v>51.889866545940599</v>
      </c>
      <c r="Q62" s="271">
        <f t="shared" si="188"/>
        <v>18.184705404944555</v>
      </c>
      <c r="R62" s="272">
        <f t="shared" si="188"/>
        <v>14.000681315822147</v>
      </c>
      <c r="S62" s="271">
        <f t="shared" si="188"/>
        <v>18.184705404944555</v>
      </c>
      <c r="U62" s="631"/>
      <c r="V62" s="187" t="s">
        <v>189</v>
      </c>
      <c r="W62" s="187" t="s">
        <v>74</v>
      </c>
      <c r="X62" s="270">
        <f>SUMPRODUCT(X58:X61,X41:X44)/X45</f>
        <v>13.285707796139762</v>
      </c>
      <c r="Y62" s="271">
        <f t="shared" ref="Y62" si="189">SUMPRODUCT(Y58:Y61,Y41:Y44)/Y45</f>
        <v>15.569677211992742</v>
      </c>
      <c r="Z62" s="270">
        <f t="shared" ref="Z62" si="190">SUMPRODUCT(Z58:Z61,Z41:Z44)/Z45</f>
        <v>51.889866545940599</v>
      </c>
      <c r="AA62" s="271">
        <f t="shared" ref="AA62" si="191">SUMPRODUCT(AA58:AA61,AA41:AA44)/AA45</f>
        <v>18.184705404944559</v>
      </c>
      <c r="AB62" s="272">
        <f t="shared" ref="AB62" si="192">SUMPRODUCT(AB58:AB61,AB41:AB44)/AB45</f>
        <v>14.000681315822149</v>
      </c>
      <c r="AC62" s="271">
        <f t="shared" ref="AC62" si="193">SUMPRODUCT(AC58:AC61,AC41:AC44)/AC45</f>
        <v>18.184705404944559</v>
      </c>
      <c r="AE62" s="631"/>
      <c r="AF62" s="187" t="s">
        <v>189</v>
      </c>
      <c r="AG62" s="187" t="s">
        <v>74</v>
      </c>
      <c r="AH62" s="270">
        <f>SUMPRODUCT(AH58:AH61,AH41:AH44)/AH45</f>
        <v>13.285707796139762</v>
      </c>
      <c r="AI62" s="271">
        <f t="shared" ref="AI62" si="194">SUMPRODUCT(AI58:AI61,AI41:AI44)/AI45</f>
        <v>15.569677211992742</v>
      </c>
      <c r="AJ62" s="270">
        <f>SUMPRODUCT(AJ58:AJ61,AJ41:AJ44)/AJ45</f>
        <v>51.889866545940592</v>
      </c>
      <c r="AK62" s="271">
        <f t="shared" ref="AK62" si="195">SUMPRODUCT(AK58:AK61,AK41:AK44)/AK45</f>
        <v>18.184705404944559</v>
      </c>
      <c r="AL62" s="272">
        <f>SUMPRODUCT(AL58:AL61,AL41:AL44)/AL45</f>
        <v>14.000681315822149</v>
      </c>
      <c r="AM62" s="271">
        <f t="shared" ref="AM62" si="196">SUMPRODUCT(AM58:AM61,AM41:AM44)/AM45</f>
        <v>18.184705404944559</v>
      </c>
    </row>
    <row r="63" spans="1:39" x14ac:dyDescent="0.25">
      <c r="A63" s="631"/>
      <c r="B63" s="136" t="s">
        <v>165</v>
      </c>
      <c r="C63" s="136" t="s">
        <v>74</v>
      </c>
      <c r="D63" s="274">
        <f>(1-D23)*D$6*D11+D23*D$7*D16+D29</f>
        <v>17.657589896268043</v>
      </c>
      <c r="E63" s="274">
        <f t="shared" ref="E63:I63" si="197">(1-E23)*E$6*E11+E23*E$7*E16+E29</f>
        <v>14.312801569298593</v>
      </c>
      <c r="F63" s="274">
        <f t="shared" si="197"/>
        <v>51.801005035773798</v>
      </c>
      <c r="G63" s="274">
        <f t="shared" si="197"/>
        <v>13.262251792232911</v>
      </c>
      <c r="H63" s="274">
        <f t="shared" si="197"/>
        <v>15.777831028563602</v>
      </c>
      <c r="I63" s="274">
        <f t="shared" si="197"/>
        <v>13.262251792232911</v>
      </c>
      <c r="K63" s="631"/>
      <c r="L63" s="136" t="s">
        <v>165</v>
      </c>
      <c r="M63" s="136" t="s">
        <v>74</v>
      </c>
      <c r="N63" s="274">
        <f>(1-N23)*N$6*N11+N23*N$7*N16+N29</f>
        <v>17.657589896268043</v>
      </c>
      <c r="O63" s="274">
        <f t="shared" ref="O63:S63" si="198">(1-O23)*O$6*O11+O23*O$7*O16+O29</f>
        <v>14.312801569298593</v>
      </c>
      <c r="P63" s="274">
        <f t="shared" si="198"/>
        <v>51.801005035773798</v>
      </c>
      <c r="Q63" s="274">
        <f t="shared" si="198"/>
        <v>13.262251792232911</v>
      </c>
      <c r="R63" s="274">
        <f>(1-R23)*R$6*R11+R23*R$7*R16+R29</f>
        <v>15.777831028563602</v>
      </c>
      <c r="S63" s="274">
        <f t="shared" si="198"/>
        <v>13.262251792232911</v>
      </c>
      <c r="U63" s="631"/>
      <c r="V63" s="136" t="s">
        <v>165</v>
      </c>
      <c r="W63" s="136" t="s">
        <v>74</v>
      </c>
      <c r="X63" s="274">
        <f>N63</f>
        <v>17.657589896268043</v>
      </c>
      <c r="Y63" s="275">
        <f t="shared" ref="Y63:Y66" si="199">O63</f>
        <v>14.312801569298593</v>
      </c>
      <c r="Z63" s="274">
        <f t="shared" ref="Z63:Z66" si="200">P63</f>
        <v>51.801005035773798</v>
      </c>
      <c r="AA63" s="275">
        <f t="shared" ref="AA63:AA66" si="201">Q63</f>
        <v>13.262251792232911</v>
      </c>
      <c r="AB63" s="276">
        <f>R63</f>
        <v>15.777831028563602</v>
      </c>
      <c r="AC63" s="275">
        <f t="shared" ref="AC63:AC66" si="202">S63</f>
        <v>13.262251792232911</v>
      </c>
      <c r="AE63" s="631"/>
      <c r="AF63" s="136" t="s">
        <v>165</v>
      </c>
      <c r="AG63" s="136" t="s">
        <v>74</v>
      </c>
      <c r="AH63" s="274">
        <f>X63</f>
        <v>17.657589896268043</v>
      </c>
      <c r="AI63" s="275">
        <f t="shared" ref="AI63:AI66" si="203">Y63</f>
        <v>14.312801569298593</v>
      </c>
      <c r="AJ63" s="274">
        <f>Z63</f>
        <v>51.801005035773798</v>
      </c>
      <c r="AK63" s="275">
        <f t="shared" ref="AK63:AK66" si="204">AA63</f>
        <v>13.262251792232911</v>
      </c>
      <c r="AL63" s="276">
        <f>AB63</f>
        <v>15.777831028563602</v>
      </c>
      <c r="AM63" s="275">
        <f t="shared" ref="AM63:AM66" si="205">AC63</f>
        <v>13.262251792232911</v>
      </c>
    </row>
    <row r="64" spans="1:39" x14ac:dyDescent="0.25">
      <c r="A64" s="631"/>
      <c r="B64" s="136" t="s">
        <v>166</v>
      </c>
      <c r="C64" s="136" t="s">
        <v>74</v>
      </c>
      <c r="D64" s="274">
        <f t="shared" ref="D64:I66" si="206">(1-D24)*D$6*D12+D24*D$7*D17+D30</f>
        <v>22.723027127643395</v>
      </c>
      <c r="E64" s="274">
        <f t="shared" si="206"/>
        <v>16.488211575256283</v>
      </c>
      <c r="F64" s="274">
        <f t="shared" si="206"/>
        <v>56.743717751294923</v>
      </c>
      <c r="G64" s="274">
        <f t="shared" si="206"/>
        <v>14.218305031595406</v>
      </c>
      <c r="H64" s="274">
        <f t="shared" si="206"/>
        <v>19.138249267656182</v>
      </c>
      <c r="I64" s="274">
        <f t="shared" si="206"/>
        <v>14.218305031595406</v>
      </c>
      <c r="K64" s="631"/>
      <c r="L64" s="136" t="s">
        <v>166</v>
      </c>
      <c r="M64" s="136" t="s">
        <v>74</v>
      </c>
      <c r="N64" s="274">
        <f t="shared" ref="N64:S66" si="207">(1-N24)*N$6*N12+N24*N$7*N17+N30</f>
        <v>22.723027127643395</v>
      </c>
      <c r="O64" s="274">
        <f t="shared" si="207"/>
        <v>16.488211575256283</v>
      </c>
      <c r="P64" s="274">
        <f t="shared" si="207"/>
        <v>56.743717751294923</v>
      </c>
      <c r="Q64" s="274">
        <f t="shared" si="207"/>
        <v>14.218305031595406</v>
      </c>
      <c r="R64" s="274">
        <f t="shared" si="207"/>
        <v>19.138249267656182</v>
      </c>
      <c r="S64" s="274">
        <f t="shared" si="207"/>
        <v>14.218305031595406</v>
      </c>
      <c r="U64" s="631"/>
      <c r="V64" s="136" t="s">
        <v>166</v>
      </c>
      <c r="W64" s="136" t="s">
        <v>74</v>
      </c>
      <c r="X64" s="248">
        <f>N64</f>
        <v>22.723027127643395</v>
      </c>
      <c r="Y64" s="249">
        <f t="shared" si="199"/>
        <v>16.488211575256283</v>
      </c>
      <c r="Z64" s="248">
        <f t="shared" si="200"/>
        <v>56.743717751294923</v>
      </c>
      <c r="AA64" s="249">
        <f t="shared" si="201"/>
        <v>14.218305031595406</v>
      </c>
      <c r="AB64" s="250">
        <f t="shared" ref="AB64:AB66" si="208">R64</f>
        <v>19.138249267656182</v>
      </c>
      <c r="AC64" s="249">
        <f t="shared" si="202"/>
        <v>14.218305031595406</v>
      </c>
      <c r="AE64" s="631"/>
      <c r="AF64" s="136" t="s">
        <v>166</v>
      </c>
      <c r="AG64" s="136" t="s">
        <v>74</v>
      </c>
      <c r="AH64" s="248">
        <f>X64</f>
        <v>22.723027127643395</v>
      </c>
      <c r="AI64" s="249">
        <f t="shared" si="203"/>
        <v>16.488211575256283</v>
      </c>
      <c r="AJ64" s="248">
        <f t="shared" ref="AJ64:AJ66" si="209">Z64</f>
        <v>56.743717751294923</v>
      </c>
      <c r="AK64" s="249">
        <f t="shared" si="204"/>
        <v>14.218305031595406</v>
      </c>
      <c r="AL64" s="250">
        <f t="shared" ref="AL64:AL66" si="210">AB64</f>
        <v>19.138249267656182</v>
      </c>
      <c r="AM64" s="249">
        <f t="shared" si="205"/>
        <v>14.218305031595406</v>
      </c>
    </row>
    <row r="65" spans="1:39" x14ac:dyDescent="0.25">
      <c r="A65" s="631"/>
      <c r="B65" s="136" t="s">
        <v>167</v>
      </c>
      <c r="C65" s="136" t="s">
        <v>74</v>
      </c>
      <c r="D65" s="274">
        <f t="shared" si="206"/>
        <v>30.065612520452046</v>
      </c>
      <c r="E65" s="274">
        <f t="shared" si="206"/>
        <v>27.355399544718381</v>
      </c>
      <c r="F65" s="274">
        <f t="shared" si="206"/>
        <v>62.070851323865085</v>
      </c>
      <c r="G65" s="274">
        <f t="shared" si="206"/>
        <v>28.452732200695429</v>
      </c>
      <c r="H65" s="274">
        <f t="shared" si="206"/>
        <v>31.802881210972693</v>
      </c>
      <c r="I65" s="274">
        <f t="shared" si="206"/>
        <v>28.452732200695429</v>
      </c>
      <c r="K65" s="631"/>
      <c r="L65" s="136" t="s">
        <v>167</v>
      </c>
      <c r="M65" s="136" t="s">
        <v>74</v>
      </c>
      <c r="N65" s="274">
        <f t="shared" si="207"/>
        <v>30.065612520452046</v>
      </c>
      <c r="O65" s="274">
        <f t="shared" si="207"/>
        <v>27.355399544718381</v>
      </c>
      <c r="P65" s="274">
        <f t="shared" si="207"/>
        <v>62.070851323865085</v>
      </c>
      <c r="Q65" s="274">
        <f t="shared" si="207"/>
        <v>28.452732200695429</v>
      </c>
      <c r="R65" s="274">
        <f t="shared" si="207"/>
        <v>31.802881210972693</v>
      </c>
      <c r="S65" s="274">
        <f t="shared" si="207"/>
        <v>28.452732200695429</v>
      </c>
      <c r="U65" s="631"/>
      <c r="V65" s="136" t="s">
        <v>167</v>
      </c>
      <c r="W65" s="136" t="s">
        <v>74</v>
      </c>
      <c r="X65" s="248">
        <f>N65</f>
        <v>30.065612520452046</v>
      </c>
      <c r="Y65" s="249">
        <f t="shared" si="199"/>
        <v>27.355399544718381</v>
      </c>
      <c r="Z65" s="248">
        <f t="shared" si="200"/>
        <v>62.070851323865085</v>
      </c>
      <c r="AA65" s="249">
        <f t="shared" si="201"/>
        <v>28.452732200695429</v>
      </c>
      <c r="AB65" s="250">
        <f t="shared" si="208"/>
        <v>31.802881210972693</v>
      </c>
      <c r="AC65" s="249">
        <f t="shared" si="202"/>
        <v>28.452732200695429</v>
      </c>
      <c r="AE65" s="631"/>
      <c r="AF65" s="136" t="s">
        <v>167</v>
      </c>
      <c r="AG65" s="136" t="s">
        <v>74</v>
      </c>
      <c r="AH65" s="248">
        <f>X65</f>
        <v>30.065612520452046</v>
      </c>
      <c r="AI65" s="249">
        <f t="shared" si="203"/>
        <v>27.355399544718381</v>
      </c>
      <c r="AJ65" s="248">
        <f t="shared" si="209"/>
        <v>62.070851323865085</v>
      </c>
      <c r="AK65" s="249">
        <f t="shared" si="204"/>
        <v>28.452732200695429</v>
      </c>
      <c r="AL65" s="250">
        <f t="shared" si="210"/>
        <v>31.802881210972693</v>
      </c>
      <c r="AM65" s="249">
        <f t="shared" si="205"/>
        <v>28.452732200695429</v>
      </c>
    </row>
    <row r="66" spans="1:39" x14ac:dyDescent="0.25">
      <c r="A66" s="631"/>
      <c r="B66" s="136" t="s">
        <v>168</v>
      </c>
      <c r="C66" s="136" t="s">
        <v>74</v>
      </c>
      <c r="D66" s="274">
        <f t="shared" si="206"/>
        <v>39.544644941150075</v>
      </c>
      <c r="E66" s="274">
        <f t="shared" si="206"/>
        <v>37.618634851733425</v>
      </c>
      <c r="F66" s="274">
        <f t="shared" si="206"/>
        <v>69.65841717771977</v>
      </c>
      <c r="G66" s="274">
        <f t="shared" si="206"/>
        <v>39.872888649675104</v>
      </c>
      <c r="H66" s="274">
        <f t="shared" si="206"/>
        <v>44.06942874585242</v>
      </c>
      <c r="I66" s="274">
        <f t="shared" si="206"/>
        <v>39.872888649675104</v>
      </c>
      <c r="K66" s="631"/>
      <c r="L66" s="136" t="s">
        <v>168</v>
      </c>
      <c r="M66" s="136" t="s">
        <v>74</v>
      </c>
      <c r="N66" s="274">
        <f t="shared" si="207"/>
        <v>39.544644941150075</v>
      </c>
      <c r="O66" s="274">
        <f t="shared" si="207"/>
        <v>37.618634851733425</v>
      </c>
      <c r="P66" s="274">
        <f t="shared" si="207"/>
        <v>69.65841717771977</v>
      </c>
      <c r="Q66" s="274">
        <f t="shared" si="207"/>
        <v>39.872888649675104</v>
      </c>
      <c r="R66" s="274">
        <f t="shared" si="207"/>
        <v>44.06942874585242</v>
      </c>
      <c r="S66" s="274">
        <f t="shared" si="207"/>
        <v>39.872888649675104</v>
      </c>
      <c r="U66" s="631"/>
      <c r="V66" s="136" t="s">
        <v>168</v>
      </c>
      <c r="W66" s="136" t="s">
        <v>74</v>
      </c>
      <c r="X66" s="274">
        <f t="shared" ref="X66" si="211">N66</f>
        <v>39.544644941150075</v>
      </c>
      <c r="Y66" s="275">
        <f t="shared" si="199"/>
        <v>37.618634851733425</v>
      </c>
      <c r="Z66" s="274">
        <f t="shared" si="200"/>
        <v>69.65841717771977</v>
      </c>
      <c r="AA66" s="275">
        <f t="shared" si="201"/>
        <v>39.872888649675104</v>
      </c>
      <c r="AB66" s="276">
        <f t="shared" si="208"/>
        <v>44.06942874585242</v>
      </c>
      <c r="AC66" s="275">
        <f t="shared" si="202"/>
        <v>39.872888649675104</v>
      </c>
      <c r="AE66" s="631"/>
      <c r="AF66" s="136" t="s">
        <v>168</v>
      </c>
      <c r="AG66" s="136" t="s">
        <v>74</v>
      </c>
      <c r="AH66" s="274">
        <f t="shared" ref="AH66" si="212">X66</f>
        <v>39.544644941150075</v>
      </c>
      <c r="AI66" s="275">
        <f t="shared" si="203"/>
        <v>37.618634851733425</v>
      </c>
      <c r="AJ66" s="274">
        <f t="shared" si="209"/>
        <v>69.65841717771977</v>
      </c>
      <c r="AK66" s="275">
        <f t="shared" si="204"/>
        <v>39.872888649675104</v>
      </c>
      <c r="AL66" s="276">
        <f t="shared" si="210"/>
        <v>44.06942874585242</v>
      </c>
      <c r="AM66" s="275">
        <f t="shared" si="205"/>
        <v>39.872888649675104</v>
      </c>
    </row>
    <row r="67" spans="1:39" x14ac:dyDescent="0.25">
      <c r="A67" s="631"/>
      <c r="B67" s="187" t="s">
        <v>190</v>
      </c>
      <c r="C67" s="187" t="s">
        <v>74</v>
      </c>
      <c r="D67" s="198">
        <f t="shared" ref="D67:I67" si="213">SUMPRODUCT(D63:D66,D46:D49)/D50</f>
        <v>34.937599644545195</v>
      </c>
      <c r="E67" s="199">
        <f t="shared" si="213"/>
        <v>32.527570207990898</v>
      </c>
      <c r="F67" s="198">
        <f t="shared" si="213"/>
        <v>65.980326902235177</v>
      </c>
      <c r="G67" s="199">
        <f t="shared" si="213"/>
        <v>34.096696804993876</v>
      </c>
      <c r="H67" s="200">
        <f t="shared" si="213"/>
        <v>37.981509427721029</v>
      </c>
      <c r="I67" s="199">
        <f t="shared" si="213"/>
        <v>34.096696804993876</v>
      </c>
      <c r="K67" s="631"/>
      <c r="L67" s="187" t="s">
        <v>190</v>
      </c>
      <c r="M67" s="187" t="s">
        <v>74</v>
      </c>
      <c r="N67" s="198">
        <f t="shared" ref="N67:S67" si="214">SUMPRODUCT(N63:N66,N46:N49)/N50</f>
        <v>34.937599644545195</v>
      </c>
      <c r="O67" s="199">
        <f t="shared" si="214"/>
        <v>32.527570207990898</v>
      </c>
      <c r="P67" s="198">
        <f t="shared" si="214"/>
        <v>65.980326902235177</v>
      </c>
      <c r="Q67" s="199">
        <f t="shared" si="214"/>
        <v>34.096696804993876</v>
      </c>
      <c r="R67" s="200">
        <f t="shared" si="214"/>
        <v>37.981509427721029</v>
      </c>
      <c r="S67" s="199">
        <f t="shared" si="214"/>
        <v>34.096696804993876</v>
      </c>
      <c r="U67" s="631"/>
      <c r="V67" s="187" t="s">
        <v>190</v>
      </c>
      <c r="W67" s="187" t="s">
        <v>74</v>
      </c>
      <c r="X67" s="198">
        <f>SUMPRODUCT(X63:X66,X46:X49)/X50</f>
        <v>34.937599644545195</v>
      </c>
      <c r="Y67" s="199">
        <f t="shared" ref="Y67:AC67" si="215">SUMPRODUCT(Y63:Y66,Y46:Y49)/Y50</f>
        <v>32.527570207990898</v>
      </c>
      <c r="Z67" s="198">
        <f t="shared" si="215"/>
        <v>65.980326902235177</v>
      </c>
      <c r="AA67" s="199">
        <f t="shared" si="215"/>
        <v>34.096696804993869</v>
      </c>
      <c r="AB67" s="200">
        <f t="shared" si="215"/>
        <v>37.981509427721029</v>
      </c>
      <c r="AC67" s="199">
        <f t="shared" si="215"/>
        <v>34.096696804993869</v>
      </c>
      <c r="AE67" s="631"/>
      <c r="AF67" s="187" t="s">
        <v>190</v>
      </c>
      <c r="AG67" s="187" t="s">
        <v>74</v>
      </c>
      <c r="AH67" s="198">
        <f t="shared" ref="AH67:AM67" si="216">SUMPRODUCT(AH63:AH66,AH46:AH49)/AH50</f>
        <v>34.937599644545195</v>
      </c>
      <c r="AI67" s="199">
        <f t="shared" si="216"/>
        <v>32.527570207990898</v>
      </c>
      <c r="AJ67" s="198">
        <f>SUMPRODUCT(AJ63:AJ66,AJ46:AJ49)/AJ50</f>
        <v>65.980326902235177</v>
      </c>
      <c r="AK67" s="199">
        <f t="shared" si="216"/>
        <v>34.096696804993876</v>
      </c>
      <c r="AL67" s="200">
        <f>SUMPRODUCT(AL63:AL66,AL46:AL49)/AL50</f>
        <v>37.981509427721036</v>
      </c>
      <c r="AM67" s="199">
        <f t="shared" si="216"/>
        <v>34.096696804993876</v>
      </c>
    </row>
    <row r="68" spans="1:39" ht="15.75" thickBot="1" x14ac:dyDescent="0.3">
      <c r="A68" s="632"/>
      <c r="B68" s="188" t="s">
        <v>234</v>
      </c>
      <c r="C68" s="188" t="s">
        <v>25</v>
      </c>
      <c r="D68" s="224" t="s">
        <v>78</v>
      </c>
      <c r="E68" s="225" t="s">
        <v>78</v>
      </c>
      <c r="F68" s="224" t="s">
        <v>78</v>
      </c>
      <c r="G68" s="225" t="s">
        <v>78</v>
      </c>
      <c r="H68" s="226" t="s">
        <v>78</v>
      </c>
      <c r="I68" s="225" t="s">
        <v>78</v>
      </c>
      <c r="K68" s="632"/>
      <c r="L68" s="188" t="s">
        <v>234</v>
      </c>
      <c r="M68" s="188" t="s">
        <v>25</v>
      </c>
      <c r="N68" s="224">
        <f>N67/D67-1</f>
        <v>0</v>
      </c>
      <c r="O68" s="225">
        <f t="shared" ref="O68" si="217">O67/E67-1</f>
        <v>0</v>
      </c>
      <c r="P68" s="224">
        <f>P67/D67-1</f>
        <v>0.88851917628910959</v>
      </c>
      <c r="Q68" s="225">
        <f>Q67/E67-1</f>
        <v>4.8239895785929132E-2</v>
      </c>
      <c r="R68" s="226">
        <f>R67/D67-1</f>
        <v>8.7124181802543443E-2</v>
      </c>
      <c r="S68" s="225">
        <f>S67/E67-1</f>
        <v>4.8239895785929132E-2</v>
      </c>
      <c r="U68" s="632"/>
      <c r="V68" s="188" t="s">
        <v>234</v>
      </c>
      <c r="W68" s="188" t="s">
        <v>25</v>
      </c>
      <c r="X68" s="224">
        <f>X67/D67-1</f>
        <v>0</v>
      </c>
      <c r="Y68" s="225">
        <f t="shared" ref="Y68" si="218">Y67/E67-1</f>
        <v>0</v>
      </c>
      <c r="Z68" s="224">
        <f>Z67/D67-1</f>
        <v>0.88851917628910959</v>
      </c>
      <c r="AA68" s="225">
        <f>AA67/E67-1</f>
        <v>4.823989578592891E-2</v>
      </c>
      <c r="AB68" s="226">
        <f>AB67/D67-1</f>
        <v>8.7124181802543443E-2</v>
      </c>
      <c r="AC68" s="225">
        <f>AC67/E67-1</f>
        <v>4.823989578592891E-2</v>
      </c>
      <c r="AE68" s="632"/>
      <c r="AF68" s="188" t="s">
        <v>234</v>
      </c>
      <c r="AG68" s="188" t="s">
        <v>25</v>
      </c>
      <c r="AH68" s="224">
        <f>AH67/D67-1</f>
        <v>0</v>
      </c>
      <c r="AI68" s="225">
        <f t="shared" ref="AI68" si="219">AI67/E67-1</f>
        <v>0</v>
      </c>
      <c r="AJ68" s="224">
        <f>AJ67/D67-1</f>
        <v>0.88851917628910959</v>
      </c>
      <c r="AK68" s="225">
        <f>AK67/E67-1</f>
        <v>4.8239895785929132E-2</v>
      </c>
      <c r="AL68" s="226">
        <f>AL67/D67-1</f>
        <v>8.7124181802543665E-2</v>
      </c>
      <c r="AM68" s="225">
        <f>AM67/E67-1</f>
        <v>4.8239895785929132E-2</v>
      </c>
    </row>
    <row r="69" spans="1:39" x14ac:dyDescent="0.25">
      <c r="A69" s="26"/>
      <c r="B69" s="26"/>
      <c r="C69" s="26"/>
      <c r="D69" s="26"/>
      <c r="E69" s="26"/>
      <c r="F69" s="26"/>
      <c r="G69" s="26"/>
      <c r="H69" s="26"/>
      <c r="I69" s="26"/>
      <c r="K69" s="26"/>
      <c r="L69" s="26"/>
      <c r="M69" s="26"/>
      <c r="N69" s="26"/>
      <c r="O69" s="26"/>
      <c r="P69" s="26"/>
      <c r="Q69" s="26"/>
      <c r="R69" s="26"/>
      <c r="S69" s="26"/>
      <c r="U69" s="26"/>
      <c r="V69" s="26"/>
      <c r="W69" s="26"/>
      <c r="X69" s="26"/>
      <c r="Y69" s="26"/>
      <c r="Z69" s="26"/>
      <c r="AA69" s="26"/>
      <c r="AB69" s="26"/>
      <c r="AC69" s="26"/>
    </row>
    <row r="70" spans="1:39" ht="15.75" thickBot="1" x14ac:dyDescent="0.3">
      <c r="AE70" s="402" t="s">
        <v>267</v>
      </c>
      <c r="AF70" s="403"/>
      <c r="AG70" s="403"/>
      <c r="AH70" s="40"/>
      <c r="AI70" s="40"/>
      <c r="AJ70" s="40"/>
      <c r="AK70" s="40"/>
      <c r="AL70" s="40"/>
      <c r="AM70" s="40"/>
    </row>
    <row r="71" spans="1:39" x14ac:dyDescent="0.25">
      <c r="AE71" s="630" t="s">
        <v>265</v>
      </c>
      <c r="AF71" s="135" t="s">
        <v>9</v>
      </c>
      <c r="AG71" s="135" t="s">
        <v>128</v>
      </c>
      <c r="AH71" s="245">
        <f>(1-Indata!D$11-Indata!D$12)*'Indata - Effektsamband-Faktorer'!$D$11*'Modell - Tunga fordon'!AH$15*'Modell - Tunga fordon'!AH$40/10</f>
        <v>2.6531104436628112</v>
      </c>
      <c r="AI71" s="246">
        <f>(1-Indata!E$11-Indata!E$12)*'Indata - Effektsamband-Faktorer'!$E$11*'Modell - Tunga fordon'!AI$15*'Modell - Tunga fordon'!AI$40/10</f>
        <v>2.3066951315773201</v>
      </c>
      <c r="AJ71" s="245">
        <f>(1-Indata!F$11-Indata!F$12)*'Indata - Effektsamband-Faktorer'!$D$11*'Modell - Tunga fordon'!AJ$15*'Modell - Tunga fordon'!AJ$40/10</f>
        <v>2.3820737793163258</v>
      </c>
      <c r="AK71" s="246">
        <f>(1-Indata!G$11-Indata!G$12)*'Indata - Effektsamband-Faktorer'!$E$11*'Modell - Tunga fordon'!AK$15*'Modell - Tunga fordon'!AK$40/10</f>
        <v>0.80199668173721306</v>
      </c>
      <c r="AL71" s="245">
        <f>(1-Indata!H$11-Indata!H$12)*'Indata - Effektsamband-Faktorer'!$D$11*'Modell - Tunga fordon'!AL$15*'Modell - Tunga fordon'!AL$40/10</f>
        <v>1.5784270407993444</v>
      </c>
      <c r="AM71" s="246">
        <f>(1-Indata!I$11-Indata!I$12)*'Indata - Effektsamband-Faktorer'!$E$11*'Modell - Tunga fordon'!AM$15*'Modell - Tunga fordon'!AM$40/10</f>
        <v>0.80199668173721306</v>
      </c>
    </row>
    <row r="72" spans="1:39" x14ac:dyDescent="0.25">
      <c r="AE72" s="631"/>
      <c r="AF72" s="136" t="s">
        <v>7</v>
      </c>
      <c r="AG72" s="136" t="s">
        <v>128</v>
      </c>
      <c r="AH72" s="400">
        <f>'Indata - Effektsamband-Faktorer'!$D$12*'Modell - Tunga fordon'!AH$20*'Modell - Tunga fordon'!AH$45/10</f>
        <v>0</v>
      </c>
      <c r="AI72" s="401">
        <f>'Indata - Effektsamband-Faktorer'!$E$12*'Modell - Tunga fordon'!AI$20*'Modell - Tunga fordon'!AI$45/10</f>
        <v>0</v>
      </c>
      <c r="AJ72" s="400">
        <f>'Indata - Effektsamband-Faktorer'!$D$12*'Modell - Tunga fordon'!AJ$20*'Modell - Tunga fordon'!AJ$45/10</f>
        <v>0</v>
      </c>
      <c r="AK72" s="401">
        <f>'Indata - Effektsamband-Faktorer'!$E$12*'Modell - Tunga fordon'!AK$20*'Modell - Tunga fordon'!AK$45/10</f>
        <v>0</v>
      </c>
      <c r="AL72" s="400">
        <f>'Indata - Effektsamband-Faktorer'!$D$12*'Modell - Tunga fordon'!AL$20*'Modell - Tunga fordon'!AL$45/10</f>
        <v>0</v>
      </c>
      <c r="AM72" s="401">
        <f>'Indata - Effektsamband-Faktorer'!$E$12*'Modell - Tunga fordon'!AM$20*'Modell - Tunga fordon'!AM$45/10</f>
        <v>0</v>
      </c>
    </row>
    <row r="73" spans="1:39" ht="15.75" thickBot="1" x14ac:dyDescent="0.3">
      <c r="AE73" s="632"/>
      <c r="AF73" s="189" t="s">
        <v>16</v>
      </c>
      <c r="AG73" s="189" t="s">
        <v>128</v>
      </c>
      <c r="AH73" s="221">
        <f>SUM(AH71:AH72)</f>
        <v>2.6531104436628112</v>
      </c>
      <c r="AI73" s="222">
        <f t="shared" ref="AI73:AM73" si="220">SUM(AI71:AI72)</f>
        <v>2.3066951315773201</v>
      </c>
      <c r="AJ73" s="221">
        <f t="shared" si="220"/>
        <v>2.3820737793163258</v>
      </c>
      <c r="AK73" s="222">
        <f>SUM(AK71:AK72)</f>
        <v>0.80199668173721306</v>
      </c>
      <c r="AL73" s="221">
        <f t="shared" si="220"/>
        <v>1.5784270407993444</v>
      </c>
      <c r="AM73" s="222">
        <f t="shared" si="220"/>
        <v>0.80199668173721306</v>
      </c>
    </row>
    <row r="74" spans="1:39" x14ac:dyDescent="0.25">
      <c r="AE74" s="630" t="s">
        <v>276</v>
      </c>
      <c r="AF74" s="135" t="s">
        <v>9</v>
      </c>
      <c r="AG74" s="135" t="s">
        <v>325</v>
      </c>
      <c r="AH74" s="245">
        <f>'Indata - Effektsamband-Faktorer'!$D$15*'Modell - Tunga fordon'!AH$40</f>
        <v>1.9535949121051688</v>
      </c>
      <c r="AI74" s="246">
        <f>'Indata - Effektsamband-Faktorer'!$E$15*'Modell - Tunga fordon'!AI$40</f>
        <v>1.8174256876650472</v>
      </c>
      <c r="AJ74" s="245">
        <f>'Indata - Effektsamband-Faktorer'!$D$15*'Modell - Tunga fordon'!AJ$40</f>
        <v>1.450654826905011</v>
      </c>
      <c r="AK74" s="246">
        <f>'Indata - Effektsamband-Faktorer'!$E$15*'Modell - Tunga fordon'!AK$40</f>
        <v>1.4071585457480809</v>
      </c>
      <c r="AL74" s="245">
        <f>'Indata - Effektsamband-Faktorer'!$D$15*'Modell - Tunga fordon'!AL$40</f>
        <v>1.7692386704195922</v>
      </c>
      <c r="AM74" s="246">
        <f>'Indata - Effektsamband-Faktorer'!$E$15*'Modell - Tunga fordon'!AM$40</f>
        <v>1.4071585457480809</v>
      </c>
    </row>
    <row r="75" spans="1:39" x14ac:dyDescent="0.25">
      <c r="AE75" s="631"/>
      <c r="AF75" s="136" t="s">
        <v>7</v>
      </c>
      <c r="AG75" s="136" t="s">
        <v>325</v>
      </c>
      <c r="AH75" s="400">
        <v>0</v>
      </c>
      <c r="AI75" s="401">
        <v>0</v>
      </c>
      <c r="AJ75" s="400">
        <v>0</v>
      </c>
      <c r="AK75" s="401">
        <v>0</v>
      </c>
      <c r="AL75" s="400">
        <v>0</v>
      </c>
      <c r="AM75" s="401">
        <v>0</v>
      </c>
    </row>
    <row r="76" spans="1:39" ht="15.75" thickBot="1" x14ac:dyDescent="0.3">
      <c r="AE76" s="632"/>
      <c r="AF76" s="189" t="s">
        <v>16</v>
      </c>
      <c r="AG76" s="189" t="s">
        <v>325</v>
      </c>
      <c r="AH76" s="221">
        <f t="shared" ref="AH76:AM76" si="221">SUM(AH74:AH75)</f>
        <v>1.9535949121051688</v>
      </c>
      <c r="AI76" s="222">
        <f t="shared" si="221"/>
        <v>1.8174256876650472</v>
      </c>
      <c r="AJ76" s="221">
        <f t="shared" si="221"/>
        <v>1.450654826905011</v>
      </c>
      <c r="AK76" s="222">
        <f t="shared" si="221"/>
        <v>1.4071585457480809</v>
      </c>
      <c r="AL76" s="221">
        <f t="shared" si="221"/>
        <v>1.7692386704195922</v>
      </c>
      <c r="AM76" s="222">
        <f t="shared" si="221"/>
        <v>1.4071585457480809</v>
      </c>
    </row>
    <row r="77" spans="1:39" x14ac:dyDescent="0.25">
      <c r="AE77" s="630" t="s">
        <v>270</v>
      </c>
      <c r="AF77" s="135" t="s">
        <v>9</v>
      </c>
      <c r="AG77" s="135" t="s">
        <v>325</v>
      </c>
      <c r="AH77" s="245">
        <f>'Indata - Effektsamband-Faktorer'!$D$18*'Modell - Tunga fordon'!AH$40</f>
        <v>3.1735896971207704E-2</v>
      </c>
      <c r="AI77" s="246">
        <f>'Indata - Effektsamband-Faktorer'!$E$18*'Modell - Tunga fordon'!AI$40</f>
        <v>2.9309268796168835E-2</v>
      </c>
      <c r="AJ77" s="245">
        <f>'Indata - Effektsamband-Faktorer'!$D$18*'Modell - Tunga fordon'!AJ$40</f>
        <v>2.3565700259647378E-2</v>
      </c>
      <c r="AK77" s="246">
        <f>'Indata - Effektsamband-Faktorer'!$E$18*'Modell - Tunga fordon'!AK$40</f>
        <v>2.269297079714085E-2</v>
      </c>
      <c r="AL77" s="245">
        <f>'Indata - Effektsamband-Faktorer'!$D$18*'Modell - Tunga fordon'!AL$40</f>
        <v>2.8741053641160391E-2</v>
      </c>
      <c r="AM77" s="246">
        <f>'Indata - Effektsamband-Faktorer'!$E$18*'Modell - Tunga fordon'!AM$40</f>
        <v>2.269297079714085E-2</v>
      </c>
    </row>
    <row r="78" spans="1:39" x14ac:dyDescent="0.25">
      <c r="AE78" s="631"/>
      <c r="AF78" s="136" t="s">
        <v>7</v>
      </c>
      <c r="AG78" s="136" t="s">
        <v>325</v>
      </c>
      <c r="AH78" s="400">
        <v>0</v>
      </c>
      <c r="AI78" s="401">
        <v>0</v>
      </c>
      <c r="AJ78" s="400">
        <v>0</v>
      </c>
      <c r="AK78" s="401">
        <v>0</v>
      </c>
      <c r="AL78" s="400">
        <v>0</v>
      </c>
      <c r="AM78" s="401">
        <v>0</v>
      </c>
    </row>
    <row r="79" spans="1:39" ht="15.75" thickBot="1" x14ac:dyDescent="0.3">
      <c r="AE79" s="632"/>
      <c r="AF79" s="189" t="s">
        <v>16</v>
      </c>
      <c r="AG79" s="189" t="s">
        <v>325</v>
      </c>
      <c r="AH79" s="221">
        <f t="shared" ref="AH79:AM79" si="222">SUM(AH77:AH78)</f>
        <v>3.1735896971207704E-2</v>
      </c>
      <c r="AI79" s="222">
        <f t="shared" si="222"/>
        <v>2.9309268796168835E-2</v>
      </c>
      <c r="AJ79" s="221">
        <f t="shared" si="222"/>
        <v>2.3565700259647378E-2</v>
      </c>
      <c r="AK79" s="222">
        <f t="shared" si="222"/>
        <v>2.269297079714085E-2</v>
      </c>
      <c r="AL79" s="221">
        <f t="shared" si="222"/>
        <v>2.8741053641160391E-2</v>
      </c>
      <c r="AM79" s="222">
        <f t="shared" si="222"/>
        <v>2.269297079714085E-2</v>
      </c>
    </row>
    <row r="80" spans="1:39" ht="15" customHeight="1" x14ac:dyDescent="0.25">
      <c r="AE80" s="386" t="s">
        <v>271</v>
      </c>
      <c r="AF80" s="135" t="s">
        <v>16</v>
      </c>
      <c r="AG80" s="135" t="s">
        <v>325</v>
      </c>
      <c r="AH80" s="463">
        <f>'Indata - Effektsamband-Faktorer'!$D$20*'Modell - Tunga fordon'!AH$50</f>
        <v>1.1954746781289414</v>
      </c>
      <c r="AI80" s="464">
        <f>'Indata - Effektsamband-Faktorer'!$E$20*'Modell - Tunga fordon'!AI$50</f>
        <v>1.4097925146582579</v>
      </c>
      <c r="AJ80" s="463">
        <f>'Indata - Effektsamband-Faktorer'!$D$20*'Modell - Tunga fordon'!AJ$50</f>
        <v>0.9617901993461061</v>
      </c>
      <c r="AK80" s="464">
        <f>'Indata - Effektsamband-Faktorer'!$E$20*'Modell - Tunga fordon'!AK$50</f>
        <v>1.3948307009811405</v>
      </c>
      <c r="AL80" s="463">
        <f>'Indata - Effektsamband-Faktorer'!$D$20*'Modell - Tunga fordon'!AL$50</f>
        <v>1.17256063242546</v>
      </c>
      <c r="AM80" s="464">
        <f>'Indata - Effektsamband-Faktorer'!$E$20*'Modell - Tunga fordon'!AM$50</f>
        <v>1.3948307009811405</v>
      </c>
    </row>
    <row r="82" spans="31:39" ht="15.75" thickBot="1" x14ac:dyDescent="0.3">
      <c r="AE82" s="42" t="s">
        <v>268</v>
      </c>
      <c r="AF82" s="40"/>
      <c r="AG82" s="40"/>
      <c r="AH82" s="40"/>
      <c r="AI82" s="40"/>
      <c r="AJ82" s="40"/>
      <c r="AK82" s="40"/>
      <c r="AL82" s="40"/>
      <c r="AM82" s="40"/>
    </row>
    <row r="83" spans="31:39" x14ac:dyDescent="0.25">
      <c r="AE83" s="630" t="s">
        <v>130</v>
      </c>
      <c r="AF83" s="135" t="s">
        <v>97</v>
      </c>
      <c r="AG83" s="190" t="s">
        <v>129</v>
      </c>
      <c r="AH83" s="245">
        <f>(1-Indata!D$11-Indata!D$12)*'Indata - Effektsamband-Faktorer'!$D22*'Modell - Tunga fordon'!AH$15*'Modell - Tunga fordon'!AH$40/10</f>
        <v>10.236410373187224</v>
      </c>
      <c r="AI83" s="246">
        <f>(1-Indata!E$11-Indata!E$12)*'Indata - Effektsamband-Faktorer'!$E22*'Modell - Tunga fordon'!AI$15*'Modell - Tunga fordon'!AI$40/10</f>
        <v>8.8998473580542274</v>
      </c>
      <c r="AJ83" s="245">
        <f>(1-Indata!F$11-Indata!F$12)*'Indata - Effektsamband-Faktorer'!$D22*'Modell - Tunga fordon'!AJ$15*'Modell - Tunga fordon'!AJ$40/10</f>
        <v>9.1906783611417318</v>
      </c>
      <c r="AK83" s="246">
        <f>(1-Indata!G$11-Indata!G$12)*'Indata - Effektsamband-Faktorer'!$E22*'Modell - Tunga fordon'!AK$15*'Modell - Tunga fordon'!AK$40/10</f>
        <v>3.0943179059152319</v>
      </c>
      <c r="AL83" s="247">
        <f>(1-Indata!H$11-Indata!H$12)*'Indata - Effektsamband-Faktorer'!$D22*'Modell - Tunga fordon'!AL$15*'Modell - Tunga fordon'!AL$40/10</f>
        <v>6.0899940944226678</v>
      </c>
      <c r="AM83" s="246">
        <f>(1-Indata!I$11-Indata!I$12)*'Indata - Effektsamband-Faktorer'!$E22*'Modell - Tunga fordon'!AM$15*'Modell - Tunga fordon'!AM$40/10</f>
        <v>3.0943179059152319</v>
      </c>
    </row>
    <row r="84" spans="31:39" x14ac:dyDescent="0.25">
      <c r="AE84" s="631"/>
      <c r="AF84" s="136" t="s">
        <v>100</v>
      </c>
      <c r="AG84" s="191" t="s">
        <v>129</v>
      </c>
      <c r="AH84" s="248">
        <f>(Indata!D$11*'Indata - Effektsamband-Faktorer'!$D$25+Indata!D$12*'Indata - Effektsamband-Faktorer'!$D$26)*'Modell - Tunga fordon'!AH$15*'Modell - Tunga fordon'!AH$40/10</f>
        <v>4.6111465034920069</v>
      </c>
      <c r="AI84" s="249">
        <f>(Indata!E$11*'Indata - Effektsamband-Faktorer'!$E$25+Indata!E$12*'Indata - Effektsamband-Faktorer'!$E$26)*'Modell - Tunga fordon'!AI$15*'Modell - Tunga fordon'!AI$40/10</f>
        <v>4.0090713961799205</v>
      </c>
      <c r="AJ84" s="248">
        <f>(Indata!F$11*'Indata - Effektsamband-Faktorer'!$D$25+Indata!F$12*'Indata - Effektsamband-Faktorer'!$D$26)*'Modell - Tunga fordon'!AJ$15*'Modell - Tunga fordon'!AJ$40/10</f>
        <v>1.8263985705091379</v>
      </c>
      <c r="AK84" s="249">
        <f>(Indata!G$11*'Indata - Effektsamband-Faktorer'!$E$25+Indata!G$12*'Indata - Effektsamband-Faktorer'!$E$26)*'Modell - Tunga fordon'!AK$15*'Modell - Tunga fordon'!AK$40/10</f>
        <v>6.8692895633877473</v>
      </c>
      <c r="AL84" s="250">
        <f>(Indata!H$11*'Indata - Effektsamband-Faktorer'!$D$25+Indata!H$12*'Indata - Effektsamband-Faktorer'!$D$26)*'Modell - Tunga fordon'!AL$15*'Modell - Tunga fordon'!AL$40/10</f>
        <v>7.4394814221640546</v>
      </c>
      <c r="AM84" s="249">
        <f>(Indata!I$11*'Indata - Effektsamband-Faktorer'!$E$25+Indata!I$12*'Indata - Effektsamband-Faktorer'!$E$26)*'Modell - Tunga fordon'!AM$15*'Modell - Tunga fordon'!AM$40/10</f>
        <v>6.8692895633877473</v>
      </c>
    </row>
    <row r="85" spans="31:39" ht="15.75" thickBot="1" x14ac:dyDescent="0.3">
      <c r="AE85" s="632"/>
      <c r="AF85" s="137" t="s">
        <v>7</v>
      </c>
      <c r="AG85" s="193" t="s">
        <v>129</v>
      </c>
      <c r="AH85" s="251">
        <f t="shared" ref="AH85:AM85" si="223">AH20*AH45/10</f>
        <v>0.1650673257837407</v>
      </c>
      <c r="AI85" s="252">
        <f t="shared" si="223"/>
        <v>0.77863859289363913</v>
      </c>
      <c r="AJ85" s="251">
        <f t="shared" si="223"/>
        <v>0.67657604466425869</v>
      </c>
      <c r="AK85" s="252">
        <f t="shared" si="223"/>
        <v>2.669053327110448</v>
      </c>
      <c r="AL85" s="253">
        <f t="shared" si="223"/>
        <v>0.6830596765204785</v>
      </c>
      <c r="AM85" s="252">
        <f t="shared" si="223"/>
        <v>2.669053327110448</v>
      </c>
    </row>
    <row r="87" spans="31:39" ht="15.75" thickBot="1" x14ac:dyDescent="0.3">
      <c r="AE87" s="42" t="s">
        <v>275</v>
      </c>
      <c r="AF87" s="40"/>
      <c r="AG87" s="40"/>
      <c r="AH87" s="40"/>
      <c r="AI87" s="40"/>
      <c r="AJ87" s="40"/>
      <c r="AK87" s="40"/>
      <c r="AL87" s="40"/>
      <c r="AM87" s="40"/>
    </row>
    <row r="88" spans="31:39" ht="14.45" customHeight="1" x14ac:dyDescent="0.25">
      <c r="AE88" s="630" t="s">
        <v>243</v>
      </c>
      <c r="AF88" s="135" t="s">
        <v>97</v>
      </c>
      <c r="AG88" s="135" t="s">
        <v>136</v>
      </c>
      <c r="AH88" s="245">
        <f>(1-Indata!D$11-Indata!D$12)*'Modell - Drivmedelpriser'!E$56*'Modell - Tunga fordon'!AH$15*'Modell - Tunga fordon'!AH$40/10</f>
        <v>5.8833096119358101</v>
      </c>
      <c r="AI88" s="467">
        <f>(1-Indata!E$11-Indata!E$12)*'Modell - Drivmedelpriser'!F$56*'Modell - Tunga fordon'!AI$15*'Modell - Tunga fordon'!AI$40/10</f>
        <v>6.2353134645035979</v>
      </c>
      <c r="AJ88" s="245">
        <f>(1-Indata!F$11-Indata!F$12)*'Modell - Drivmedelpriser'!G$56*'Modell - Tunga fordon'!AJ$15*'Modell - Tunga fordon'!AJ$40/10</f>
        <v>5.2822820081488961</v>
      </c>
      <c r="AK88" s="467">
        <f>(1-Indata!G$11-Indata!G$12)*'Modell - Drivmedelpriser'!H$56*'Modell - Tunga fordon'!AK$15*'Modell - Tunga fordon'!AK$40/10</f>
        <v>2.1679070804227907</v>
      </c>
      <c r="AL88" s="245">
        <f>(1-Indata!H$11-Indata!H$12)*'Modell - Drivmedelpriser'!I$56*'Modell - Tunga fordon'!AL$15*'Modell - Tunga fordon'!AL$40/10</f>
        <v>3.5001840963897721</v>
      </c>
      <c r="AM88" s="246">
        <f>(1-Indata!I$11-Indata!I$12)*'Modell - Drivmedelpriser'!J$56*'Modell - Tunga fordon'!AM$15*'Modell - Tunga fordon'!AM$40/10</f>
        <v>2.1679070804227907</v>
      </c>
    </row>
    <row r="89" spans="31:39" x14ac:dyDescent="0.25">
      <c r="AE89" s="631"/>
      <c r="AF89" s="136" t="s">
        <v>100</v>
      </c>
      <c r="AG89" s="136" t="s">
        <v>136</v>
      </c>
      <c r="AH89" s="248">
        <f>(Indata!D$11+Indata!D$12)*'Modell - Drivmedelpriser'!E$56*'Modell - Tunga fordon'!AH$15*'Modell - Tunga fordon'!AH$40/10</f>
        <v>2.768616287969794</v>
      </c>
      <c r="AI89" s="468">
        <f>(Indata!E$11+Indata!E$12)*'Modell - Drivmedelpriser'!F$56*'Modell - Tunga fordon'!AI$15*'Modell - Tunga fordon'!AI$40/10</f>
        <v>2.9342651597663996</v>
      </c>
      <c r="AJ89" s="248">
        <f>(Indata!F$11+Indata!F$12)*'Modell - Drivmedelpriser'!G$56*'Modell - Tunga fordon'!AJ$15*'Modell - Tunga fordon'!AJ$40/10</f>
        <v>1.102525056448485</v>
      </c>
      <c r="AK89" s="468">
        <f>(Indata!G$11+Indata!G$12)*'Modell - Drivmedelpriser'!H$56*'Modell - Tunga fordon'!AK$15*'Modell - Tunga fordon'!AK$40/10</f>
        <v>5.0105931858778403</v>
      </c>
      <c r="AL89" s="248">
        <f>(Indata!H$11+Indata!H$12)*'Modell - Drivmedelpriser'!I$56*'Modell - Tunga fordon'!AL$15*'Modell - Tunga fordon'!AL$40/10</f>
        <v>4.4547797590415277</v>
      </c>
      <c r="AM89" s="249">
        <f>(Indata!I$11+Indata!I$12)*'Modell - Drivmedelpriser'!J$56*'Modell - Tunga fordon'!AM$15*'Modell - Tunga fordon'!AM$40/10</f>
        <v>5.0105931858778403</v>
      </c>
    </row>
    <row r="90" spans="31:39" x14ac:dyDescent="0.25">
      <c r="AE90" s="631"/>
      <c r="AF90" s="136" t="s">
        <v>7</v>
      </c>
      <c r="AG90" s="136" t="s">
        <v>136</v>
      </c>
      <c r="AH90" s="248">
        <f>'Modell - Drivmedelpriser'!E82*'Modell - Tunga fordon'!AH$20*'Modell - Tunga fordon'!AH$45/10</f>
        <v>5.5561661858807121E-2</v>
      </c>
      <c r="AI90" s="468">
        <f>'Modell - Drivmedelpriser'!F82*'Modell - Tunga fordon'!AI$20*'Modell - Tunga fordon'!AI$45/10</f>
        <v>0.26208975036799892</v>
      </c>
      <c r="AJ90" s="248">
        <f>'Modell - Drivmedelpriser'!G82*'Modell - Tunga fordon'!AJ$20*'Modell - Tunga fordon'!AJ$45/10</f>
        <v>0.22773549663398945</v>
      </c>
      <c r="AK90" s="468">
        <f>'Modell - Drivmedelpriser'!H82*'Modell - Tunga fordon'!AK$20*'Modell - Tunga fordon'!AK$45/10</f>
        <v>0.89840334990537651</v>
      </c>
      <c r="AL90" s="248">
        <f>'Modell - Drivmedelpriser'!I82*'Modell - Tunga fordon'!AL$20*'Modell - Tunga fordon'!AL$45/10</f>
        <v>0.22991788711679301</v>
      </c>
      <c r="AM90" s="249">
        <f>'Modell - Drivmedelpriser'!J82*'Modell - Tunga fordon'!AM$20*'Modell - Tunga fordon'!AM$45/10</f>
        <v>0.89840334990537651</v>
      </c>
    </row>
    <row r="91" spans="31:39" ht="15.75" thickBot="1" x14ac:dyDescent="0.3">
      <c r="AE91" s="631"/>
      <c r="AF91" s="187" t="s">
        <v>16</v>
      </c>
      <c r="AG91" s="187" t="s">
        <v>136</v>
      </c>
      <c r="AH91" s="221">
        <f>SUM(AH88:AH90)</f>
        <v>8.7074875617644114</v>
      </c>
      <c r="AI91" s="469">
        <f t="shared" ref="AI91:AM91" si="224">SUM(AI88:AI90)</f>
        <v>9.4316683746379955</v>
      </c>
      <c r="AJ91" s="221">
        <f t="shared" si="224"/>
        <v>6.6125425612313702</v>
      </c>
      <c r="AK91" s="469">
        <f t="shared" si="224"/>
        <v>8.0769036162060068</v>
      </c>
      <c r="AL91" s="221">
        <f t="shared" si="224"/>
        <v>8.1848817425480931</v>
      </c>
      <c r="AM91" s="222">
        <f t="shared" si="224"/>
        <v>8.0769036162060068</v>
      </c>
    </row>
    <row r="92" spans="31:39" ht="14.45" customHeight="1" x14ac:dyDescent="0.25">
      <c r="AE92" s="630" t="s">
        <v>201</v>
      </c>
      <c r="AF92" s="135" t="s">
        <v>116</v>
      </c>
      <c r="AG92" s="135" t="s">
        <v>136</v>
      </c>
      <c r="AH92" s="465">
        <f t="shared" ref="AH92:AM95" si="225">AH46/10*AH29</f>
        <v>0</v>
      </c>
      <c r="AI92" s="466">
        <f t="shared" si="225"/>
        <v>0</v>
      </c>
      <c r="AJ92" s="465">
        <f t="shared" si="225"/>
        <v>0.62290791330719464</v>
      </c>
      <c r="AK92" s="466">
        <f t="shared" si="225"/>
        <v>0</v>
      </c>
      <c r="AL92" s="470">
        <f t="shared" si="225"/>
        <v>0</v>
      </c>
      <c r="AM92" s="466">
        <f t="shared" si="225"/>
        <v>0</v>
      </c>
    </row>
    <row r="93" spans="31:39" x14ac:dyDescent="0.25">
      <c r="AE93" s="631"/>
      <c r="AF93" s="136" t="s">
        <v>117</v>
      </c>
      <c r="AG93" s="136" t="s">
        <v>136</v>
      </c>
      <c r="AH93" s="205">
        <f t="shared" si="225"/>
        <v>0</v>
      </c>
      <c r="AI93" s="206">
        <f t="shared" si="225"/>
        <v>0</v>
      </c>
      <c r="AJ93" s="205">
        <f t="shared" si="225"/>
        <v>0.67798002626286269</v>
      </c>
      <c r="AK93" s="206">
        <f t="shared" si="225"/>
        <v>0</v>
      </c>
      <c r="AL93" s="207">
        <f t="shared" si="225"/>
        <v>0</v>
      </c>
      <c r="AM93" s="206">
        <f t="shared" si="225"/>
        <v>0</v>
      </c>
    </row>
    <row r="94" spans="31:39" x14ac:dyDescent="0.25">
      <c r="AE94" s="631"/>
      <c r="AF94" s="136" t="s">
        <v>118</v>
      </c>
      <c r="AG94" s="136" t="s">
        <v>136</v>
      </c>
      <c r="AH94" s="205">
        <f t="shared" si="225"/>
        <v>0</v>
      </c>
      <c r="AI94" s="206">
        <f t="shared" si="225"/>
        <v>0</v>
      </c>
      <c r="AJ94" s="205">
        <f t="shared" si="225"/>
        <v>5.5487439044867237</v>
      </c>
      <c r="AK94" s="206">
        <f t="shared" si="225"/>
        <v>0</v>
      </c>
      <c r="AL94" s="207">
        <f t="shared" si="225"/>
        <v>0</v>
      </c>
      <c r="AM94" s="206">
        <f t="shared" si="225"/>
        <v>0</v>
      </c>
    </row>
    <row r="95" spans="31:39" x14ac:dyDescent="0.25">
      <c r="AE95" s="631"/>
      <c r="AF95" s="136" t="s">
        <v>119</v>
      </c>
      <c r="AG95" s="136" t="s">
        <v>136</v>
      </c>
      <c r="AH95" s="205">
        <f t="shared" si="225"/>
        <v>0</v>
      </c>
      <c r="AI95" s="206">
        <f t="shared" si="225"/>
        <v>0</v>
      </c>
      <c r="AJ95" s="205">
        <f t="shared" si="225"/>
        <v>10.001746651271869</v>
      </c>
      <c r="AK95" s="206">
        <f t="shared" si="225"/>
        <v>0</v>
      </c>
      <c r="AL95" s="207">
        <f t="shared" si="225"/>
        <v>0</v>
      </c>
      <c r="AM95" s="206">
        <f t="shared" si="225"/>
        <v>0</v>
      </c>
    </row>
    <row r="96" spans="31:39" ht="15.75" thickBot="1" x14ac:dyDescent="0.3">
      <c r="AE96" s="632"/>
      <c r="AF96" s="189" t="s">
        <v>16</v>
      </c>
      <c r="AG96" s="189" t="s">
        <v>136</v>
      </c>
      <c r="AH96" s="208">
        <f>SUM(AH92:AH95)</f>
        <v>0</v>
      </c>
      <c r="AI96" s="210">
        <f t="shared" ref="AI96:AM96" si="226">SUM(AI92:AI95)</f>
        <v>0</v>
      </c>
      <c r="AJ96" s="208">
        <f t="shared" si="226"/>
        <v>16.85137849532865</v>
      </c>
      <c r="AK96" s="210">
        <f t="shared" si="226"/>
        <v>0</v>
      </c>
      <c r="AL96" s="211">
        <f t="shared" si="226"/>
        <v>0</v>
      </c>
      <c r="AM96" s="210">
        <f t="shared" si="226"/>
        <v>0</v>
      </c>
    </row>
    <row r="99" spans="33:33" x14ac:dyDescent="0.25">
      <c r="AG99" s="27"/>
    </row>
  </sheetData>
  <mergeCells count="50">
    <mergeCell ref="AE92:AE96"/>
    <mergeCell ref="A3:A4"/>
    <mergeCell ref="B3:C4"/>
    <mergeCell ref="K3:K4"/>
    <mergeCell ref="L3:M4"/>
    <mergeCell ref="U3:U4"/>
    <mergeCell ref="V3:W4"/>
    <mergeCell ref="AE3:AE4"/>
    <mergeCell ref="K53:K68"/>
    <mergeCell ref="A53:A68"/>
    <mergeCell ref="U53:U68"/>
    <mergeCell ref="AE53:AE68"/>
    <mergeCell ref="A6:A8"/>
    <mergeCell ref="K6:K8"/>
    <mergeCell ref="A23:A26"/>
    <mergeCell ref="K23:K26"/>
    <mergeCell ref="AH3:AI3"/>
    <mergeCell ref="AJ3:AK3"/>
    <mergeCell ref="AL3:AM3"/>
    <mergeCell ref="D3:E3"/>
    <mergeCell ref="F3:G3"/>
    <mergeCell ref="H3:I3"/>
    <mergeCell ref="N3:O3"/>
    <mergeCell ref="P3:Q3"/>
    <mergeCell ref="R3:S3"/>
    <mergeCell ref="AF3:AG4"/>
    <mergeCell ref="X3:Y3"/>
    <mergeCell ref="Z3:AA3"/>
    <mergeCell ref="AB3:AC3"/>
    <mergeCell ref="AE88:AE91"/>
    <mergeCell ref="AE74:AE76"/>
    <mergeCell ref="AE77:AE79"/>
    <mergeCell ref="A11:A20"/>
    <mergeCell ref="K11:K20"/>
    <mergeCell ref="AE71:AE73"/>
    <mergeCell ref="AE83:AE85"/>
    <mergeCell ref="A36:A50"/>
    <mergeCell ref="K36:K50"/>
    <mergeCell ref="U36:U50"/>
    <mergeCell ref="AE36:AE50"/>
    <mergeCell ref="A29:A32"/>
    <mergeCell ref="K29:K32"/>
    <mergeCell ref="U11:U20"/>
    <mergeCell ref="AE6:AE8"/>
    <mergeCell ref="AE11:AE20"/>
    <mergeCell ref="U29:U32"/>
    <mergeCell ref="AE29:AE32"/>
    <mergeCell ref="U23:U26"/>
    <mergeCell ref="AE23:AE26"/>
    <mergeCell ref="U6:U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S79"/>
  <sheetViews>
    <sheetView tabSelected="1" zoomScale="80" zoomScaleNormal="80" workbookViewId="0">
      <pane xSplit="3" ySplit="7" topLeftCell="D52" activePane="bottomRight" state="frozen"/>
      <selection pane="topRight" activeCell="D1" sqref="D1"/>
      <selection pane="bottomLeft" activeCell="A8" sqref="A8"/>
      <selection pane="bottomRight" activeCell="D78" sqref="D78"/>
    </sheetView>
  </sheetViews>
  <sheetFormatPr defaultColWidth="8.85546875" defaultRowHeight="15" x14ac:dyDescent="0.25"/>
  <cols>
    <col min="1" max="1" width="38.140625" style="40" customWidth="1"/>
    <col min="2" max="2" width="22.42578125" style="40" bestFit="1" customWidth="1"/>
    <col min="3" max="3" width="31.5703125" style="40" customWidth="1"/>
    <col min="4" max="9" width="21.7109375" style="40" customWidth="1"/>
    <col min="10" max="10" width="108.140625" style="40" bestFit="1" customWidth="1"/>
    <col min="11" max="19" width="8.85546875" style="40"/>
    <col min="20" max="16384" width="8.85546875" style="26"/>
  </cols>
  <sheetData>
    <row r="1" spans="1:19" ht="18" x14ac:dyDescent="0.25">
      <c r="A1" s="126" t="s">
        <v>57</v>
      </c>
      <c r="F1" s="426"/>
      <c r="G1" s="426"/>
      <c r="H1" s="426"/>
      <c r="I1" s="426"/>
    </row>
    <row r="2" spans="1:19" x14ac:dyDescent="0.25">
      <c r="A2" s="148" t="s">
        <v>60</v>
      </c>
      <c r="D2" s="425"/>
      <c r="E2" s="425"/>
      <c r="F2" s="425"/>
      <c r="G2" s="425"/>
      <c r="H2" s="425"/>
      <c r="I2" s="425"/>
    </row>
    <row r="3" spans="1:19" x14ac:dyDescent="0.25">
      <c r="A3" s="149" t="s">
        <v>206</v>
      </c>
      <c r="D3" s="424"/>
      <c r="E3" s="424"/>
      <c r="F3" s="424"/>
      <c r="G3" s="424"/>
      <c r="H3" s="424"/>
      <c r="I3" s="424"/>
    </row>
    <row r="4" spans="1:19" ht="15.75" thickBot="1" x14ac:dyDescent="0.3"/>
    <row r="5" spans="1:19" s="128" customFormat="1" ht="16.5" thickBot="1" x14ac:dyDescent="0.3">
      <c r="A5" s="131"/>
      <c r="B5" s="132"/>
      <c r="C5" s="132"/>
      <c r="D5" s="597" t="s">
        <v>64</v>
      </c>
      <c r="E5" s="598"/>
      <c r="F5" s="597" t="s">
        <v>65</v>
      </c>
      <c r="G5" s="598"/>
      <c r="H5" s="597" t="s">
        <v>66</v>
      </c>
      <c r="I5" s="598"/>
      <c r="J5" s="593" t="s">
        <v>15</v>
      </c>
      <c r="K5" s="594"/>
      <c r="L5" s="127"/>
      <c r="M5" s="127"/>
      <c r="N5" s="127"/>
      <c r="O5" s="127"/>
      <c r="P5" s="127"/>
      <c r="Q5" s="127"/>
      <c r="R5" s="127"/>
      <c r="S5" s="127"/>
    </row>
    <row r="6" spans="1:19" s="67" customFormat="1" ht="61.5" customHeight="1" thickBot="1" x14ac:dyDescent="0.3">
      <c r="A6" s="75" t="s">
        <v>207</v>
      </c>
      <c r="B6" s="138"/>
      <c r="C6" s="139"/>
      <c r="D6" s="599" t="s">
        <v>337</v>
      </c>
      <c r="E6" s="600"/>
      <c r="F6" s="601" t="s">
        <v>383</v>
      </c>
      <c r="G6" s="602"/>
      <c r="H6" s="601" t="s">
        <v>383</v>
      </c>
      <c r="I6" s="602"/>
      <c r="J6" s="65"/>
      <c r="K6" s="66"/>
      <c r="L6" s="66"/>
      <c r="M6" s="66"/>
      <c r="N6" s="66"/>
      <c r="O6" s="66"/>
      <c r="P6" s="66"/>
      <c r="Q6" s="66"/>
      <c r="R6" s="66"/>
      <c r="S6" s="66"/>
    </row>
    <row r="7" spans="1:19" s="128" customFormat="1" ht="16.5" thickBot="1" x14ac:dyDescent="0.3">
      <c r="A7" s="131" t="s">
        <v>181</v>
      </c>
      <c r="B7" s="132" t="s">
        <v>18</v>
      </c>
      <c r="C7" s="132" t="s">
        <v>14</v>
      </c>
      <c r="D7" s="133">
        <v>2030</v>
      </c>
      <c r="E7" s="134">
        <v>2040</v>
      </c>
      <c r="F7" s="133">
        <v>2030</v>
      </c>
      <c r="G7" s="134">
        <v>2040</v>
      </c>
      <c r="H7" s="133">
        <v>2030</v>
      </c>
      <c r="I7" s="134">
        <v>2040</v>
      </c>
      <c r="J7" s="593" t="s">
        <v>15</v>
      </c>
      <c r="K7" s="594"/>
      <c r="L7" s="127"/>
      <c r="M7" s="127"/>
      <c r="N7" s="127"/>
      <c r="O7" s="127"/>
      <c r="P7" s="127"/>
      <c r="Q7" s="127"/>
      <c r="R7" s="127"/>
      <c r="S7" s="127"/>
    </row>
    <row r="8" spans="1:19" s="128" customFormat="1" ht="16.5" thickBot="1" x14ac:dyDescent="0.3">
      <c r="A8" s="131" t="s">
        <v>26</v>
      </c>
      <c r="B8" s="132" t="s">
        <v>18</v>
      </c>
      <c r="C8" s="132" t="s">
        <v>14</v>
      </c>
      <c r="D8" s="133">
        <v>2030</v>
      </c>
      <c r="E8" s="134">
        <v>2040</v>
      </c>
      <c r="F8" s="133">
        <v>2030</v>
      </c>
      <c r="G8" s="134">
        <v>2040</v>
      </c>
      <c r="H8" s="133">
        <v>2030</v>
      </c>
      <c r="I8" s="134">
        <v>2040</v>
      </c>
      <c r="J8" s="593" t="s">
        <v>15</v>
      </c>
      <c r="K8" s="594"/>
      <c r="L8" s="127"/>
      <c r="M8" s="127"/>
      <c r="N8" s="127"/>
      <c r="O8" s="127"/>
      <c r="P8" s="127"/>
      <c r="Q8" s="127"/>
      <c r="R8" s="127"/>
      <c r="S8" s="127"/>
    </row>
    <row r="9" spans="1:19" x14ac:dyDescent="0.25">
      <c r="A9" s="590" t="s">
        <v>1</v>
      </c>
      <c r="B9" s="106" t="s">
        <v>11</v>
      </c>
      <c r="C9" s="106" t="s">
        <v>10</v>
      </c>
      <c r="D9" s="45">
        <v>7.4999999999999997E-2</v>
      </c>
      <c r="E9" s="46">
        <v>7.4999999999999997E-2</v>
      </c>
      <c r="F9" s="112">
        <v>0.1</v>
      </c>
      <c r="G9" s="113">
        <v>0.1</v>
      </c>
      <c r="H9" s="112">
        <v>0.1</v>
      </c>
      <c r="I9" s="113">
        <v>0.1</v>
      </c>
      <c r="J9" s="40" t="s">
        <v>364</v>
      </c>
    </row>
    <row r="10" spans="1:19" x14ac:dyDescent="0.25">
      <c r="A10" s="591"/>
      <c r="B10" s="43" t="s">
        <v>12</v>
      </c>
      <c r="C10" s="43" t="s">
        <v>10</v>
      </c>
      <c r="D10" s="48">
        <v>0</v>
      </c>
      <c r="E10" s="49">
        <v>0</v>
      </c>
      <c r="F10" s="114">
        <v>0.38512682720134916</v>
      </c>
      <c r="G10" s="115">
        <v>0.628</v>
      </c>
      <c r="H10" s="114">
        <v>0.49</v>
      </c>
      <c r="I10" s="115">
        <v>0.628</v>
      </c>
      <c r="J10" s="40" t="s">
        <v>364</v>
      </c>
    </row>
    <row r="11" spans="1:19" x14ac:dyDescent="0.25">
      <c r="A11" s="591"/>
      <c r="B11" s="43" t="s">
        <v>13</v>
      </c>
      <c r="C11" s="43" t="s">
        <v>10</v>
      </c>
      <c r="D11" s="48">
        <v>7.0000000000000007E-2</v>
      </c>
      <c r="E11" s="49">
        <v>7.0000000000000007E-2</v>
      </c>
      <c r="F11" s="114">
        <v>7.0000000000000007E-2</v>
      </c>
      <c r="G11" s="115">
        <v>7.0000000000000007E-2</v>
      </c>
      <c r="H11" s="114">
        <v>7.0000000000000007E-2</v>
      </c>
      <c r="I11" s="115">
        <v>7.0000000000000007E-2</v>
      </c>
      <c r="J11" s="40" t="s">
        <v>364</v>
      </c>
    </row>
    <row r="12" spans="1:19" ht="15.75" thickBot="1" x14ac:dyDescent="0.3">
      <c r="A12" s="591"/>
      <c r="B12" s="43" t="s">
        <v>37</v>
      </c>
      <c r="C12" s="43" t="s">
        <v>10</v>
      </c>
      <c r="D12" s="68">
        <v>0.25</v>
      </c>
      <c r="E12" s="69">
        <v>0.25</v>
      </c>
      <c r="F12" s="116">
        <v>0.10267946318406238</v>
      </c>
      <c r="G12" s="117">
        <v>0.628</v>
      </c>
      <c r="H12" s="116">
        <v>0.49</v>
      </c>
      <c r="I12" s="117">
        <v>0.628</v>
      </c>
      <c r="J12" s="40" t="s">
        <v>364</v>
      </c>
    </row>
    <row r="13" spans="1:19" x14ac:dyDescent="0.25">
      <c r="A13" s="590" t="s">
        <v>41</v>
      </c>
      <c r="B13" s="106" t="s">
        <v>8</v>
      </c>
      <c r="C13" s="106" t="s">
        <v>42</v>
      </c>
      <c r="D13" s="45">
        <v>0.02</v>
      </c>
      <c r="E13" s="46">
        <v>0.02</v>
      </c>
      <c r="F13" s="112">
        <v>0.02</v>
      </c>
      <c r="G13" s="113">
        <v>0.02</v>
      </c>
      <c r="H13" s="112">
        <v>0.02</v>
      </c>
      <c r="I13" s="113">
        <v>0.02</v>
      </c>
      <c r="J13" s="40" t="s">
        <v>314</v>
      </c>
    </row>
    <row r="14" spans="1:19" ht="15.75" thickBot="1" x14ac:dyDescent="0.3">
      <c r="A14" s="592"/>
      <c r="B14" s="107" t="s">
        <v>9</v>
      </c>
      <c r="C14" s="107" t="s">
        <v>43</v>
      </c>
      <c r="D14" s="51">
        <v>0.02</v>
      </c>
      <c r="E14" s="52">
        <v>0.02</v>
      </c>
      <c r="F14" s="118">
        <v>0.02</v>
      </c>
      <c r="G14" s="119">
        <v>0.02</v>
      </c>
      <c r="H14" s="118">
        <v>0.02</v>
      </c>
      <c r="I14" s="119">
        <v>0.02</v>
      </c>
      <c r="J14" s="40" t="s">
        <v>314</v>
      </c>
    </row>
    <row r="15" spans="1:19" x14ac:dyDescent="0.25">
      <c r="A15" s="590" t="s">
        <v>21</v>
      </c>
      <c r="B15" s="106" t="s">
        <v>187</v>
      </c>
      <c r="C15" s="106" t="s">
        <v>24</v>
      </c>
      <c r="D15" s="54">
        <v>0</v>
      </c>
      <c r="E15" s="55">
        <v>0</v>
      </c>
      <c r="F15" s="120">
        <v>3.5597506644260331</v>
      </c>
      <c r="G15" s="121">
        <v>0</v>
      </c>
      <c r="H15" s="120">
        <v>0</v>
      </c>
      <c r="I15" s="121">
        <v>0</v>
      </c>
      <c r="J15" s="40" t="s">
        <v>58</v>
      </c>
    </row>
    <row r="16" spans="1:19" ht="15.75" thickBot="1" x14ac:dyDescent="0.3">
      <c r="A16" s="592"/>
      <c r="B16" s="107" t="s">
        <v>324</v>
      </c>
      <c r="C16" s="107" t="s">
        <v>24</v>
      </c>
      <c r="D16" s="58">
        <v>0</v>
      </c>
      <c r="E16" s="59">
        <v>0</v>
      </c>
      <c r="F16" s="122">
        <v>3.5041693098526947</v>
      </c>
      <c r="G16" s="123">
        <v>0</v>
      </c>
      <c r="H16" s="122">
        <v>0</v>
      </c>
      <c r="I16" s="123">
        <v>0</v>
      </c>
      <c r="J16" s="40" t="s">
        <v>58</v>
      </c>
    </row>
    <row r="17" spans="1:19" ht="15.75" thickBot="1" x14ac:dyDescent="0.3">
      <c r="A17" s="140" t="s">
        <v>53</v>
      </c>
      <c r="B17" s="108" t="s">
        <v>380</v>
      </c>
      <c r="C17" s="108" t="s">
        <v>73</v>
      </c>
      <c r="D17" s="70" t="s">
        <v>61</v>
      </c>
      <c r="E17" s="71" t="s">
        <v>61</v>
      </c>
      <c r="F17" s="124" t="s">
        <v>338</v>
      </c>
      <c r="G17" s="125" t="s">
        <v>338</v>
      </c>
      <c r="H17" s="124" t="s">
        <v>338</v>
      </c>
      <c r="I17" s="125" t="s">
        <v>338</v>
      </c>
      <c r="J17" s="403" t="s">
        <v>332</v>
      </c>
    </row>
    <row r="18" spans="1:19" s="128" customFormat="1" ht="16.5" thickBot="1" x14ac:dyDescent="0.3">
      <c r="A18" s="131" t="s">
        <v>59</v>
      </c>
      <c r="B18" s="132" t="s">
        <v>18</v>
      </c>
      <c r="C18" s="132" t="s">
        <v>14</v>
      </c>
      <c r="D18" s="133">
        <v>2030</v>
      </c>
      <c r="E18" s="134">
        <v>2040</v>
      </c>
      <c r="F18" s="133">
        <v>2030</v>
      </c>
      <c r="G18" s="134">
        <v>2040</v>
      </c>
      <c r="H18" s="133">
        <v>2030</v>
      </c>
      <c r="I18" s="134">
        <v>2040</v>
      </c>
      <c r="J18" s="593" t="s">
        <v>15</v>
      </c>
      <c r="K18" s="594"/>
      <c r="L18" s="127"/>
      <c r="M18" s="127"/>
      <c r="N18" s="127"/>
      <c r="O18" s="127"/>
      <c r="P18" s="127"/>
      <c r="Q18" s="127"/>
      <c r="R18" s="127"/>
      <c r="S18" s="127"/>
    </row>
    <row r="19" spans="1:19" x14ac:dyDescent="0.25">
      <c r="A19" s="590" t="s">
        <v>22</v>
      </c>
      <c r="B19" s="106" t="s">
        <v>187</v>
      </c>
      <c r="C19" s="141" t="s">
        <v>25</v>
      </c>
      <c r="D19" s="47">
        <v>0</v>
      </c>
      <c r="E19" s="92">
        <v>0</v>
      </c>
      <c r="F19" s="112">
        <v>0</v>
      </c>
      <c r="G19" s="113">
        <v>0</v>
      </c>
      <c r="H19" s="112">
        <v>0</v>
      </c>
      <c r="I19" s="113">
        <v>0</v>
      </c>
      <c r="J19" s="78" t="s">
        <v>256</v>
      </c>
    </row>
    <row r="20" spans="1:19" ht="15.75" thickBot="1" x14ac:dyDescent="0.3">
      <c r="A20" s="592"/>
      <c r="B20" s="107" t="s">
        <v>324</v>
      </c>
      <c r="C20" s="142" t="s">
        <v>25</v>
      </c>
      <c r="D20" s="53">
        <v>0</v>
      </c>
      <c r="E20" s="93">
        <v>0</v>
      </c>
      <c r="F20" s="118">
        <v>0</v>
      </c>
      <c r="G20" s="119">
        <v>0</v>
      </c>
      <c r="H20" s="118">
        <v>0</v>
      </c>
      <c r="I20" s="119">
        <v>0</v>
      </c>
      <c r="J20" s="78" t="s">
        <v>256</v>
      </c>
    </row>
    <row r="21" spans="1:19" x14ac:dyDescent="0.25">
      <c r="A21" s="591" t="s">
        <v>23</v>
      </c>
      <c r="B21" s="106" t="s">
        <v>187</v>
      </c>
      <c r="C21" s="143" t="s">
        <v>25</v>
      </c>
      <c r="D21" s="94">
        <v>0</v>
      </c>
      <c r="E21" s="95">
        <v>0</v>
      </c>
      <c r="F21" s="129">
        <v>0</v>
      </c>
      <c r="G21" s="130">
        <v>0</v>
      </c>
      <c r="H21" s="112">
        <v>0</v>
      </c>
      <c r="I21" s="113">
        <v>0</v>
      </c>
      <c r="J21" s="78" t="s">
        <v>255</v>
      </c>
    </row>
    <row r="22" spans="1:19" ht="15.75" thickBot="1" x14ac:dyDescent="0.3">
      <c r="A22" s="592"/>
      <c r="B22" s="107" t="s">
        <v>324</v>
      </c>
      <c r="C22" s="144" t="s">
        <v>25</v>
      </c>
      <c r="D22" s="53">
        <v>0</v>
      </c>
      <c r="E22" s="93">
        <v>0</v>
      </c>
      <c r="F22" s="118">
        <v>0</v>
      </c>
      <c r="G22" s="119">
        <v>0</v>
      </c>
      <c r="H22" s="118">
        <v>0</v>
      </c>
      <c r="I22" s="119">
        <v>0</v>
      </c>
      <c r="J22" s="78" t="s">
        <v>255</v>
      </c>
    </row>
    <row r="23" spans="1:19" ht="15.75" thickBot="1" x14ac:dyDescent="0.3">
      <c r="A23" s="365" t="s">
        <v>303</v>
      </c>
      <c r="B23" s="107" t="s">
        <v>304</v>
      </c>
      <c r="C23" s="107" t="s">
        <v>313</v>
      </c>
      <c r="D23" s="70" t="s">
        <v>337</v>
      </c>
      <c r="E23" s="71" t="s">
        <v>337</v>
      </c>
      <c r="F23" s="124" t="s">
        <v>336</v>
      </c>
      <c r="G23" s="125" t="s">
        <v>336</v>
      </c>
      <c r="H23" s="124" t="s">
        <v>336</v>
      </c>
      <c r="I23" s="125" t="s">
        <v>336</v>
      </c>
      <c r="J23" s="403" t="s">
        <v>333</v>
      </c>
    </row>
    <row r="24" spans="1:19" s="128" customFormat="1" ht="16.5" thickBot="1" x14ac:dyDescent="0.3">
      <c r="A24" s="131" t="s">
        <v>111</v>
      </c>
      <c r="B24" s="132" t="s">
        <v>18</v>
      </c>
      <c r="C24" s="132" t="s">
        <v>14</v>
      </c>
      <c r="D24" s="133">
        <v>2030</v>
      </c>
      <c r="E24" s="134">
        <v>2040</v>
      </c>
      <c r="F24" s="133">
        <v>2030</v>
      </c>
      <c r="G24" s="134">
        <v>2040</v>
      </c>
      <c r="H24" s="133">
        <v>2030</v>
      </c>
      <c r="I24" s="134">
        <v>2040</v>
      </c>
      <c r="J24" s="593" t="s">
        <v>15</v>
      </c>
      <c r="K24" s="594"/>
      <c r="L24" s="127"/>
      <c r="M24" s="127"/>
      <c r="N24" s="127"/>
      <c r="O24" s="127"/>
      <c r="P24" s="127"/>
      <c r="Q24" s="127"/>
      <c r="R24" s="127"/>
      <c r="S24" s="127"/>
    </row>
    <row r="25" spans="1:19" ht="14.45" customHeight="1" x14ac:dyDescent="0.25">
      <c r="A25" s="590" t="s">
        <v>150</v>
      </c>
      <c r="B25" s="106" t="s">
        <v>8</v>
      </c>
      <c r="C25" s="106" t="s">
        <v>19</v>
      </c>
      <c r="D25" s="45">
        <f>IF(D$17='Indata - Fordon och Trafik'!$A$3,'Indata - Fordon och Trafik'!C7,'Indata - Fordon och Trafik'!H7)</f>
        <v>0.39627461007293346</v>
      </c>
      <c r="E25" s="46">
        <f>IF(E$17='Indata - Fordon och Trafik'!$A$3,'Indata - Fordon och Trafik'!D7,'Indata - Fordon och Trafik'!I7)</f>
        <v>0.30878176598734658</v>
      </c>
      <c r="F25" s="45">
        <f>IF(F$17='Indata - Fordon och Trafik'!$A$3,'Indata - Fordon och Trafik'!C7,'Indata - Fordon och Trafik'!H7)</f>
        <v>0.35761367250484238</v>
      </c>
      <c r="G25" s="46">
        <f>IF(G$17='Indata - Fordon och Trafik'!$A$3,'Indata - Fordon och Trafik'!D7,'Indata - Fordon och Trafik'!I7)</f>
        <v>0.17452833971320139</v>
      </c>
      <c r="H25" s="47">
        <f>IF(H$17='Indata - Fordon och Trafik'!$A$3,'Indata - Fordon och Trafik'!C7,'Indata - Fordon och Trafik'!H7)</f>
        <v>0.35761367250484238</v>
      </c>
      <c r="I25" s="46">
        <f>IF(I$17='Indata - Fordon och Trafik'!$A$3,'Indata - Fordon och Trafik'!D7,'Indata - Fordon och Trafik'!I7)</f>
        <v>0.17452833971320139</v>
      </c>
      <c r="J25" s="40" t="s">
        <v>174</v>
      </c>
      <c r="K25" s="26"/>
      <c r="L25" s="26"/>
      <c r="M25" s="26"/>
      <c r="N25" s="26"/>
      <c r="O25" s="26"/>
      <c r="P25" s="26"/>
      <c r="Q25" s="26"/>
      <c r="R25" s="26"/>
      <c r="S25" s="26"/>
    </row>
    <row r="26" spans="1:19" x14ac:dyDescent="0.25">
      <c r="A26" s="591"/>
      <c r="B26" s="43" t="s">
        <v>9</v>
      </c>
      <c r="C26" s="43" t="s">
        <v>19</v>
      </c>
      <c r="D26" s="48">
        <f>IF(D$17='Indata - Fordon och Trafik'!$A$3,'Indata - Fordon och Trafik'!C8,'Indata - Fordon och Trafik'!H8)</f>
        <v>0.42372538992706654</v>
      </c>
      <c r="E26" s="49">
        <f>IF(E$17='Indata - Fordon och Trafik'!$A$3,'Indata - Fordon och Trafik'!D8,'Indata - Fordon och Trafik'!I8)</f>
        <v>0.31121823401265342</v>
      </c>
      <c r="F26" s="48">
        <f>IF(F$17='Indata - Fordon och Trafik'!$A$3,'Indata - Fordon och Trafik'!C8,'Indata - Fordon och Trafik'!H8)</f>
        <v>0.38238632749515761</v>
      </c>
      <c r="G26" s="49">
        <f>IF(G$17='Indata - Fordon och Trafik'!$A$3,'Indata - Fordon och Trafik'!D8,'Indata - Fordon och Trafik'!I8)</f>
        <v>0.15547166028679862</v>
      </c>
      <c r="H26" s="50">
        <f>IF(H$17='Indata - Fordon och Trafik'!$A$3,'Indata - Fordon och Trafik'!C8,'Indata - Fordon och Trafik'!H8)</f>
        <v>0.38238632749515761</v>
      </c>
      <c r="I26" s="49">
        <f>IF(I$17='Indata - Fordon och Trafik'!$A$3,'Indata - Fordon och Trafik'!D8,'Indata - Fordon och Trafik'!I8)</f>
        <v>0.15547166028679862</v>
      </c>
      <c r="J26" s="40" t="s">
        <v>174</v>
      </c>
      <c r="K26" s="26"/>
      <c r="L26" s="26"/>
      <c r="M26" s="26"/>
      <c r="N26" s="26"/>
      <c r="O26" s="26"/>
      <c r="P26" s="26"/>
      <c r="Q26" s="26"/>
      <c r="R26" s="26"/>
      <c r="S26" s="26"/>
    </row>
    <row r="27" spans="1:19" ht="15.75" thickBot="1" x14ac:dyDescent="0.3">
      <c r="A27" s="592"/>
      <c r="B27" s="107" t="s">
        <v>7</v>
      </c>
      <c r="C27" s="107" t="s">
        <v>19</v>
      </c>
      <c r="D27" s="51">
        <f>IF(D$17='Indata - Fordon och Trafik'!$A$3,'Indata - Fordon och Trafik'!C9,'Indata - Fordon och Trafik'!H9)</f>
        <v>0.18</v>
      </c>
      <c r="E27" s="52">
        <f>IF(E$17='Indata - Fordon och Trafik'!$A$3,'Indata - Fordon och Trafik'!D9,'Indata - Fordon och Trafik'!I9)</f>
        <v>0.38</v>
      </c>
      <c r="F27" s="51">
        <f>IF(F$17='Indata - Fordon och Trafik'!$A$3,'Indata - Fordon och Trafik'!C9,'Indata - Fordon och Trafik'!H9)</f>
        <v>0.26</v>
      </c>
      <c r="G27" s="52">
        <f>IF(G$17='Indata - Fordon och Trafik'!$A$3,'Indata - Fordon och Trafik'!D9,'Indata - Fordon och Trafik'!I9)</f>
        <v>0.67</v>
      </c>
      <c r="H27" s="53">
        <f>IF(H$17='Indata - Fordon och Trafik'!$A$3,'Indata - Fordon och Trafik'!C9,'Indata - Fordon och Trafik'!H9)</f>
        <v>0.26</v>
      </c>
      <c r="I27" s="52">
        <f>IF(I$17='Indata - Fordon och Trafik'!$A$3,'Indata - Fordon och Trafik'!D9,'Indata - Fordon och Trafik'!I9)</f>
        <v>0.67</v>
      </c>
      <c r="J27" s="40" t="s">
        <v>174</v>
      </c>
      <c r="K27" s="26"/>
      <c r="L27" s="26"/>
      <c r="M27" s="26"/>
      <c r="N27" s="26"/>
      <c r="O27" s="26"/>
      <c r="P27" s="26"/>
      <c r="Q27" s="26"/>
      <c r="R27" s="26"/>
      <c r="S27" s="26"/>
    </row>
    <row r="28" spans="1:19" ht="15.75" thickBot="1" x14ac:dyDescent="0.3">
      <c r="A28" s="145" t="s">
        <v>376</v>
      </c>
      <c r="B28" s="43" t="s">
        <v>7</v>
      </c>
      <c r="C28" s="43" t="s">
        <v>19</v>
      </c>
      <c r="D28" s="72">
        <f t="shared" ref="D28:I28" si="0">D27</f>
        <v>0.18</v>
      </c>
      <c r="E28" s="73">
        <f t="shared" si="0"/>
        <v>0.38</v>
      </c>
      <c r="F28" s="72">
        <f>F27</f>
        <v>0.26</v>
      </c>
      <c r="G28" s="73">
        <f>G27</f>
        <v>0.67</v>
      </c>
      <c r="H28" s="526">
        <f t="shared" si="0"/>
        <v>0.26</v>
      </c>
      <c r="I28" s="527">
        <f t="shared" si="0"/>
        <v>0.67</v>
      </c>
      <c r="J28" s="40" t="s">
        <v>208</v>
      </c>
      <c r="K28" s="26"/>
      <c r="L28" s="26"/>
      <c r="M28" s="26"/>
      <c r="N28" s="26"/>
      <c r="O28" s="26"/>
      <c r="P28" s="26"/>
      <c r="Q28" s="26"/>
      <c r="R28" s="26"/>
      <c r="S28" s="26"/>
    </row>
    <row r="29" spans="1:19" ht="14.45" customHeight="1" x14ac:dyDescent="0.25">
      <c r="A29" s="590" t="s">
        <v>38</v>
      </c>
      <c r="B29" s="106" t="s">
        <v>8</v>
      </c>
      <c r="C29" s="106" t="s">
        <v>39</v>
      </c>
      <c r="D29" s="54">
        <f>IF(D$17='Indata - Fordon och Trafik'!$A$3,'Indata - Fordon och Trafik'!$C16,'Indata - Fordon och Trafik'!$H16)</f>
        <v>0.60765334265455651</v>
      </c>
      <c r="E29" s="55">
        <f>IF(E$17='Indata - Fordon och Trafik'!$A$3,'Indata - Fordon och Trafik'!$D16,'Indata - Fordon och Trafik'!$I16)</f>
        <v>0.49219920755019081</v>
      </c>
      <c r="F29" s="54">
        <f t="shared" ref="F29:G34" si="1">D29</f>
        <v>0.60765334265455651</v>
      </c>
      <c r="G29" s="55">
        <f t="shared" si="1"/>
        <v>0.49219920755019081</v>
      </c>
      <c r="H29" s="54">
        <f t="shared" ref="H29:I34" si="2">D29</f>
        <v>0.60765334265455651</v>
      </c>
      <c r="I29" s="55">
        <f t="shared" si="2"/>
        <v>0.49219920755019081</v>
      </c>
      <c r="J29" s="40" t="s">
        <v>62</v>
      </c>
      <c r="K29" s="26"/>
      <c r="L29" s="26"/>
      <c r="M29" s="26"/>
      <c r="N29" s="26"/>
      <c r="O29" s="26"/>
      <c r="P29" s="26"/>
      <c r="Q29" s="26"/>
      <c r="R29" s="26"/>
      <c r="S29" s="26"/>
    </row>
    <row r="30" spans="1:19" x14ac:dyDescent="0.25">
      <c r="A30" s="591"/>
      <c r="B30" s="43" t="s">
        <v>9</v>
      </c>
      <c r="C30" s="43" t="s">
        <v>39</v>
      </c>
      <c r="D30" s="56">
        <f>IF(D$17='Indata - Fordon och Trafik'!$A$3,'Indata - Fordon och Trafik'!$C17,'Indata - Fordon och Trafik'!$H17)</f>
        <v>0.60691454404542722</v>
      </c>
      <c r="E30" s="57">
        <f>IF(E$17='Indata - Fordon och Trafik'!$A$3,'Indata - Fordon och Trafik'!$D17,'Indata - Fordon och Trafik'!$I17)</f>
        <v>0.49160078067679608</v>
      </c>
      <c r="F30" s="56">
        <f t="shared" si="1"/>
        <v>0.60691454404542722</v>
      </c>
      <c r="G30" s="57">
        <f t="shared" si="1"/>
        <v>0.49160078067679608</v>
      </c>
      <c r="H30" s="56">
        <f t="shared" si="2"/>
        <v>0.60691454404542722</v>
      </c>
      <c r="I30" s="57">
        <f t="shared" si="2"/>
        <v>0.49160078067679608</v>
      </c>
      <c r="J30" s="40" t="s">
        <v>62</v>
      </c>
      <c r="K30" s="26"/>
      <c r="L30" s="26"/>
      <c r="M30" s="26"/>
      <c r="N30" s="26"/>
      <c r="O30" s="26"/>
      <c r="P30" s="26"/>
      <c r="Q30" s="26"/>
      <c r="R30" s="26"/>
      <c r="S30" s="26"/>
    </row>
    <row r="31" spans="1:19" ht="15.75" thickBot="1" x14ac:dyDescent="0.3">
      <c r="A31" s="592"/>
      <c r="B31" s="107" t="s">
        <v>7</v>
      </c>
      <c r="C31" s="107" t="s">
        <v>40</v>
      </c>
      <c r="D31" s="58">
        <f>IF(D$17='Indata - Fordon och Trafik'!$A$3,'Indata - Fordon och Trafik'!$C18,'Indata - Fordon och Trafik'!$H18)</f>
        <v>1.6150000000000002</v>
      </c>
      <c r="E31" s="59">
        <f>IF(E$17='Indata - Fordon och Trafik'!$A$3,'Indata - Fordon och Trafik'!$D18,'Indata - Fordon och Trafik'!$I18)</f>
        <v>1.6150000000000002</v>
      </c>
      <c r="F31" s="58">
        <f t="shared" si="1"/>
        <v>1.6150000000000002</v>
      </c>
      <c r="G31" s="59">
        <f t="shared" si="1"/>
        <v>1.6150000000000002</v>
      </c>
      <c r="H31" s="58">
        <f t="shared" si="2"/>
        <v>1.6150000000000002</v>
      </c>
      <c r="I31" s="59">
        <f t="shared" si="2"/>
        <v>1.6150000000000002</v>
      </c>
      <c r="J31" s="40" t="s">
        <v>62</v>
      </c>
      <c r="K31" s="26"/>
      <c r="L31" s="26"/>
      <c r="M31" s="26"/>
      <c r="N31" s="26"/>
      <c r="O31" s="26"/>
      <c r="P31" s="26"/>
      <c r="Q31" s="26"/>
      <c r="R31" s="26"/>
      <c r="S31" s="26"/>
    </row>
    <row r="32" spans="1:19" s="40" customFormat="1" ht="15" customHeight="1" x14ac:dyDescent="0.2">
      <c r="A32" s="585" t="s">
        <v>0</v>
      </c>
      <c r="B32" s="106" t="s">
        <v>8</v>
      </c>
      <c r="C32" s="106" t="s">
        <v>209</v>
      </c>
      <c r="D32" s="534">
        <f>'Modell - Drivmedelpriser'!E23</f>
        <v>17.911754192557677</v>
      </c>
      <c r="E32" s="535">
        <f>'Modell - Drivmedelpriser'!F23</f>
        <v>21.293751803814949</v>
      </c>
      <c r="F32" s="534">
        <f t="shared" si="1"/>
        <v>17.911754192557677</v>
      </c>
      <c r="G32" s="535">
        <f t="shared" si="1"/>
        <v>21.293751803814949</v>
      </c>
      <c r="H32" s="534">
        <f t="shared" si="2"/>
        <v>17.911754192557677</v>
      </c>
      <c r="I32" s="535">
        <f t="shared" si="2"/>
        <v>21.293751803814949</v>
      </c>
      <c r="J32" s="40" t="s">
        <v>173</v>
      </c>
    </row>
    <row r="33" spans="1:19" s="40" customFormat="1" ht="15" customHeight="1" x14ac:dyDescent="0.2">
      <c r="A33" s="595"/>
      <c r="B33" s="43" t="s">
        <v>9</v>
      </c>
      <c r="C33" s="43" t="s">
        <v>209</v>
      </c>
      <c r="D33" s="536">
        <f>'Modell - Drivmedelpriser'!E42</f>
        <v>19.069168234099362</v>
      </c>
      <c r="E33" s="537">
        <f>'Modell - Drivmedelpriser'!F42</f>
        <v>22.557131724953557</v>
      </c>
      <c r="F33" s="536">
        <f t="shared" si="1"/>
        <v>19.069168234099362</v>
      </c>
      <c r="G33" s="537">
        <f t="shared" si="1"/>
        <v>22.557131724953557</v>
      </c>
      <c r="H33" s="536">
        <f t="shared" si="2"/>
        <v>19.069168234099362</v>
      </c>
      <c r="I33" s="537">
        <f t="shared" si="2"/>
        <v>22.557131724953557</v>
      </c>
      <c r="J33" s="40" t="s">
        <v>173</v>
      </c>
    </row>
    <row r="34" spans="1:19" s="40" customFormat="1" ht="15" customHeight="1" x14ac:dyDescent="0.2">
      <c r="A34" s="595"/>
      <c r="B34" s="43" t="s">
        <v>7</v>
      </c>
      <c r="C34" s="43" t="s">
        <v>186</v>
      </c>
      <c r="D34" s="536">
        <f>'Modell - Drivmedelpriser'!E74</f>
        <v>3.4709076086956521</v>
      </c>
      <c r="E34" s="537">
        <f>'Modell - Drivmedelpriser'!F74</f>
        <v>4.1598749999999995</v>
      </c>
      <c r="F34" s="536">
        <f t="shared" si="1"/>
        <v>3.4709076086956521</v>
      </c>
      <c r="G34" s="537">
        <f t="shared" si="1"/>
        <v>4.1598749999999995</v>
      </c>
      <c r="H34" s="536">
        <f t="shared" si="2"/>
        <v>3.4709076086956521</v>
      </c>
      <c r="I34" s="537">
        <f t="shared" si="2"/>
        <v>4.1598749999999995</v>
      </c>
      <c r="J34" s="40" t="s">
        <v>173</v>
      </c>
    </row>
    <row r="35" spans="1:19" s="40" customFormat="1" ht="15" customHeight="1" thickBot="1" x14ac:dyDescent="0.25">
      <c r="A35" s="586"/>
      <c r="B35" s="107" t="s">
        <v>20</v>
      </c>
      <c r="C35" s="107" t="s">
        <v>209</v>
      </c>
      <c r="D35" s="356">
        <f>SUMPRODUCT(D32:D33,Indata!D25:D26)/SUM(Indata!D25:D26)</f>
        <v>18.509834334093423</v>
      </c>
      <c r="E35" s="357">
        <f>SUMPRODUCT(E32:E33,Indata!E25:E26)/SUM(Indata!E25:E26)</f>
        <v>21.927924171466245</v>
      </c>
      <c r="F35" s="356">
        <f>SUMPRODUCT(F32:F33,F25:F26)/SUM(Indata!F25:F26)</f>
        <v>18.509834334093423</v>
      </c>
      <c r="G35" s="357">
        <f>SUMPRODUCT(G32:G33,Indata!G25:G26)/SUM(Indata!G25:G26)</f>
        <v>21.888963239913203</v>
      </c>
      <c r="H35" s="356">
        <f>SUMPRODUCT(H32:H33,Indata!H25:H26)/SUM(Indata!H25:H26)</f>
        <v>18.509834334093423</v>
      </c>
      <c r="I35" s="357">
        <f>SUMPRODUCT(I32:I33,Indata!I25:I26)/SUM(Indata!I25:I26)</f>
        <v>21.888963239913203</v>
      </c>
      <c r="J35" s="40" t="s">
        <v>101</v>
      </c>
    </row>
    <row r="36" spans="1:19" s="40" customFormat="1" ht="15" customHeight="1" thickBot="1" x14ac:dyDescent="0.25">
      <c r="A36" s="146" t="s">
        <v>75</v>
      </c>
      <c r="B36" s="107" t="s">
        <v>187</v>
      </c>
      <c r="C36" s="107" t="s">
        <v>74</v>
      </c>
      <c r="D36" s="356">
        <f>1.001*10</f>
        <v>10.009999999999998</v>
      </c>
      <c r="E36" s="357">
        <f>D36</f>
        <v>10.009999999999998</v>
      </c>
      <c r="F36" s="356">
        <f>$D$36</f>
        <v>10.009999999999998</v>
      </c>
      <c r="G36" s="357">
        <f>$E$36</f>
        <v>10.009999999999998</v>
      </c>
      <c r="H36" s="356">
        <f>$D$36</f>
        <v>10.009999999999998</v>
      </c>
      <c r="I36" s="357">
        <f>$E$36</f>
        <v>10.009999999999998</v>
      </c>
      <c r="J36" s="40" t="s">
        <v>261</v>
      </c>
    </row>
    <row r="37" spans="1:19" ht="15.75" thickBot="1" x14ac:dyDescent="0.3">
      <c r="A37" s="353" t="s">
        <v>17</v>
      </c>
      <c r="B37" s="107" t="s">
        <v>187</v>
      </c>
      <c r="C37" s="107" t="s">
        <v>36</v>
      </c>
      <c r="D37" s="354">
        <f>IF(D$17='Indata - Fordon och Trafik'!$A$3,'Indata - Fordon och Trafik'!$C13,'Indata - Fordon och Trafik'!$H13)</f>
        <v>88.254148523151741</v>
      </c>
      <c r="E37" s="355">
        <f>IF(E$17='Indata - Fordon och Trafik'!$A$3,'Indata - Fordon och Trafik'!$D13,'Indata - Fordon och Trafik'!$I13)</f>
        <v>100.26315929023444</v>
      </c>
      <c r="F37" s="356">
        <f>D37</f>
        <v>88.254148523151741</v>
      </c>
      <c r="G37" s="357">
        <f>E37</f>
        <v>100.26315929023444</v>
      </c>
      <c r="H37" s="538">
        <f>D37</f>
        <v>88.254148523151741</v>
      </c>
      <c r="I37" s="357">
        <f>E37</f>
        <v>100.26315929023444</v>
      </c>
      <c r="J37" s="403" t="s">
        <v>330</v>
      </c>
      <c r="K37" s="26"/>
      <c r="L37" s="26"/>
      <c r="M37" s="26"/>
      <c r="N37" s="26"/>
      <c r="O37" s="26"/>
      <c r="P37" s="26"/>
      <c r="Q37" s="26"/>
      <c r="R37" s="26"/>
      <c r="S37" s="26"/>
    </row>
    <row r="38" spans="1:19" ht="15.75" thickBot="1" x14ac:dyDescent="0.3">
      <c r="A38" s="145" t="s">
        <v>205</v>
      </c>
      <c r="B38" s="107" t="s">
        <v>187</v>
      </c>
      <c r="C38" s="43" t="s">
        <v>25</v>
      </c>
      <c r="D38" s="81">
        <v>0</v>
      </c>
      <c r="E38" s="385">
        <v>0</v>
      </c>
      <c r="F38" s="526">
        <v>0</v>
      </c>
      <c r="G38" s="527">
        <v>0</v>
      </c>
      <c r="H38" s="532">
        <v>0</v>
      </c>
      <c r="I38" s="533">
        <f>0%</f>
        <v>0</v>
      </c>
      <c r="J38" s="40" t="s">
        <v>72</v>
      </c>
      <c r="K38" s="26"/>
      <c r="L38" s="26"/>
      <c r="M38" s="26"/>
      <c r="N38" s="26"/>
      <c r="O38" s="26"/>
      <c r="P38" s="26"/>
      <c r="Q38" s="26"/>
      <c r="R38" s="26"/>
      <c r="S38" s="26"/>
    </row>
    <row r="39" spans="1:19" x14ac:dyDescent="0.25">
      <c r="A39" s="587" t="s">
        <v>27</v>
      </c>
      <c r="B39" s="106" t="s">
        <v>28</v>
      </c>
      <c r="C39" s="106" t="s">
        <v>31</v>
      </c>
      <c r="D39" s="484">
        <f>10788000*1.025</f>
        <v>11057699.999999998</v>
      </c>
      <c r="E39" s="90">
        <v>11648700</v>
      </c>
      <c r="F39" s="484">
        <f>D39</f>
        <v>11057699.999999998</v>
      </c>
      <c r="G39" s="524">
        <f>E39</f>
        <v>11648700</v>
      </c>
      <c r="H39" s="484">
        <f>D39</f>
        <v>11057699.999999998</v>
      </c>
      <c r="I39" s="90">
        <f>E39</f>
        <v>11648700</v>
      </c>
      <c r="J39" s="416" t="s">
        <v>377</v>
      </c>
      <c r="K39" s="26"/>
      <c r="L39" s="26"/>
      <c r="M39" s="26"/>
      <c r="N39" s="26"/>
      <c r="O39" s="26"/>
      <c r="P39" s="26"/>
      <c r="Q39" s="26"/>
      <c r="R39" s="26"/>
      <c r="S39" s="26"/>
    </row>
    <row r="40" spans="1:19" ht="15.75" thickBot="1" x14ac:dyDescent="0.3">
      <c r="A40" s="596"/>
      <c r="B40" s="107" t="s">
        <v>29</v>
      </c>
      <c r="C40" s="107" t="s">
        <v>30</v>
      </c>
      <c r="D40" s="84">
        <f>5447422/10292000</f>
        <v>0.52928701904391762</v>
      </c>
      <c r="E40" s="91">
        <f>5447422/10292000</f>
        <v>0.52928701904391762</v>
      </c>
      <c r="F40" s="84">
        <f>D40</f>
        <v>0.52928701904391762</v>
      </c>
      <c r="G40" s="89">
        <f>E40</f>
        <v>0.52928701904391762</v>
      </c>
      <c r="H40" s="84">
        <f>D40</f>
        <v>0.52928701904391762</v>
      </c>
      <c r="I40" s="91">
        <f>E40</f>
        <v>0.52928701904391762</v>
      </c>
      <c r="J40" s="416" t="s">
        <v>331</v>
      </c>
      <c r="K40" s="26"/>
      <c r="L40" s="26"/>
      <c r="M40" s="26"/>
      <c r="N40" s="26"/>
      <c r="O40" s="26"/>
      <c r="P40" s="26"/>
      <c r="Q40" s="26"/>
      <c r="R40" s="26"/>
      <c r="S40" s="26"/>
    </row>
    <row r="41" spans="1:19" s="128" customFormat="1" ht="16.5" thickBot="1" x14ac:dyDescent="0.3">
      <c r="A41" s="551" t="s">
        <v>305</v>
      </c>
      <c r="B41" s="552" t="s">
        <v>18</v>
      </c>
      <c r="C41" s="552" t="s">
        <v>14</v>
      </c>
      <c r="D41" s="133">
        <v>2030</v>
      </c>
      <c r="E41" s="134">
        <v>2040</v>
      </c>
      <c r="F41" s="133">
        <v>2030</v>
      </c>
      <c r="G41" s="134">
        <v>2040</v>
      </c>
      <c r="H41" s="133">
        <v>2030</v>
      </c>
      <c r="I41" s="134">
        <v>2040</v>
      </c>
      <c r="J41" s="593" t="s">
        <v>15</v>
      </c>
      <c r="K41" s="594"/>
      <c r="L41" s="127"/>
      <c r="M41" s="127"/>
      <c r="N41" s="127"/>
      <c r="O41" s="127"/>
      <c r="P41" s="127"/>
      <c r="Q41" s="127"/>
      <c r="R41" s="127"/>
      <c r="S41" s="127"/>
    </row>
    <row r="42" spans="1:19" ht="14.45" customHeight="1" thickBot="1" x14ac:dyDescent="0.3">
      <c r="A42" s="585" t="s">
        <v>150</v>
      </c>
      <c r="B42" s="106" t="s">
        <v>116</v>
      </c>
      <c r="C42" s="147" t="s">
        <v>147</v>
      </c>
      <c r="D42" s="547">
        <f>IF(D$17='Indata - Fordon och Trafik'!$A$3,'Indata - Fordon och Trafik'!$C21,'Indata - Fordon och Trafik'!$H21)</f>
        <v>0.15</v>
      </c>
      <c r="E42" s="540">
        <f>IF(E$17='Indata - Fordon och Trafik'!$A$3,'Indata - Fordon och Trafik'!$D21,'Indata - Fordon och Trafik'!$I21)</f>
        <v>0.6</v>
      </c>
      <c r="F42" s="539">
        <f>$D$79</f>
        <v>0.1</v>
      </c>
      <c r="G42" s="540">
        <f>IF(G$17='Indata - Fordon och Trafik'!$A$3,'Indata - Fordon och Trafik'!$D21,'Indata - Fordon och Trafik'!$I21)</f>
        <v>0.85</v>
      </c>
      <c r="H42" s="539">
        <f>IF(H$17='Indata - Fordon och Trafik'!$A$3,'Indata - Fordon och Trafik'!$C21,'Indata - Fordon och Trafik'!$H21)</f>
        <v>0.5</v>
      </c>
      <c r="I42" s="540">
        <f>IF(I$17='Indata - Fordon och Trafik'!$A$3,'Indata - Fordon och Trafik'!$D21,'Indata - Fordon och Trafik'!$I21)</f>
        <v>0.85</v>
      </c>
      <c r="J42" s="78" t="s">
        <v>378</v>
      </c>
      <c r="K42" s="26"/>
      <c r="L42" s="26"/>
      <c r="M42" s="26"/>
      <c r="N42" s="26"/>
      <c r="O42" s="26"/>
      <c r="P42" s="26"/>
      <c r="Q42" s="26"/>
      <c r="R42" s="26"/>
      <c r="S42" s="26"/>
    </row>
    <row r="43" spans="1:19" ht="14.45" customHeight="1" thickBot="1" x14ac:dyDescent="0.3">
      <c r="A43" s="595"/>
      <c r="B43" s="43" t="s">
        <v>117</v>
      </c>
      <c r="C43" s="143" t="s">
        <v>147</v>
      </c>
      <c r="D43" s="548">
        <f>IF(D$17='Indata - Fordon och Trafik'!$A$3,'Indata - Fordon och Trafik'!$C22,'Indata - Fordon och Trafik'!$H22)</f>
        <v>0.15</v>
      </c>
      <c r="E43" s="542">
        <f>IF(E$17='Indata - Fordon och Trafik'!$A$3,'Indata - Fordon och Trafik'!$D22,'Indata - Fordon och Trafik'!$I22)</f>
        <v>0.6</v>
      </c>
      <c r="F43" s="539">
        <f t="shared" ref="F43:F45" si="3">$D$79</f>
        <v>0.1</v>
      </c>
      <c r="G43" s="542">
        <f>IF(G$17='Indata - Fordon och Trafik'!$A$3,'Indata - Fordon och Trafik'!$D22,'Indata - Fordon och Trafik'!$I22)</f>
        <v>0.85</v>
      </c>
      <c r="H43" s="541">
        <f>IF(H$17='Indata - Fordon och Trafik'!$A$3,'Indata - Fordon och Trafik'!$C22,'Indata - Fordon och Trafik'!$H22)</f>
        <v>0.5</v>
      </c>
      <c r="I43" s="542">
        <f>IF(I$17='Indata - Fordon och Trafik'!$A$3,'Indata - Fordon och Trafik'!$D22,'Indata - Fordon och Trafik'!$I22)</f>
        <v>0.85</v>
      </c>
      <c r="J43" s="78" t="s">
        <v>378</v>
      </c>
      <c r="K43" s="26"/>
      <c r="L43" s="26"/>
      <c r="M43" s="26"/>
      <c r="N43" s="26"/>
      <c r="O43" s="26"/>
      <c r="P43" s="26"/>
      <c r="Q43" s="26"/>
      <c r="R43" s="26"/>
      <c r="S43" s="26"/>
    </row>
    <row r="44" spans="1:19" ht="15.75" thickBot="1" x14ac:dyDescent="0.3">
      <c r="A44" s="588"/>
      <c r="B44" s="43" t="s">
        <v>118</v>
      </c>
      <c r="C44" s="143" t="s">
        <v>147</v>
      </c>
      <c r="D44" s="549">
        <f>IF(D$17='Indata - Fordon och Trafik'!$A$3,'Indata - Fordon och Trafik'!$C23,'Indata - Fordon och Trafik'!$H23)</f>
        <v>4.0427955013328291E-2</v>
      </c>
      <c r="E44" s="544">
        <f>IF(E$17='Indata - Fordon och Trafik'!$A$3,'Indata - Fordon och Trafik'!$D23,'Indata - Fordon och Trafik'!$I23)</f>
        <v>0.16171182005331317</v>
      </c>
      <c r="F44" s="539">
        <f t="shared" si="3"/>
        <v>0.1</v>
      </c>
      <c r="G44" s="544">
        <f>IF(G$17='Indata - Fordon och Trafik'!$A$3,'Indata - Fordon och Trafik'!$D23,'Indata - Fordon och Trafik'!$I23)</f>
        <v>0.36423060055908874</v>
      </c>
      <c r="H44" s="543">
        <f>IF(H$17='Indata - Fordon och Trafik'!$A$3,'Indata - Fordon och Trafik'!$C23,'Indata - Fordon och Trafik'!$H23)</f>
        <v>0.14936945604265053</v>
      </c>
      <c r="I44" s="544">
        <f>IF(I$17='Indata - Fordon och Trafik'!$A$3,'Indata - Fordon och Trafik'!$D23,'Indata - Fordon och Trafik'!$I23)</f>
        <v>0.36423060055908874</v>
      </c>
      <c r="J44" s="78" t="s">
        <v>378</v>
      </c>
      <c r="K44" s="26"/>
      <c r="L44" s="26"/>
      <c r="M44" s="26"/>
      <c r="N44" s="26"/>
      <c r="O44" s="26"/>
      <c r="P44" s="26"/>
      <c r="Q44" s="26"/>
      <c r="R44" s="26"/>
      <c r="S44" s="26"/>
    </row>
    <row r="45" spans="1:19" ht="15.75" thickBot="1" x14ac:dyDescent="0.3">
      <c r="A45" s="588"/>
      <c r="B45" s="43" t="s">
        <v>119</v>
      </c>
      <c r="C45" s="143" t="s">
        <v>147</v>
      </c>
      <c r="D45" s="550">
        <f>IF(D$17='Indata - Fordon och Trafik'!$A$3,'Indata - Fordon och Trafik'!$C24,'Indata - Fordon och Trafik'!$H24)</f>
        <v>0</v>
      </c>
      <c r="E45" s="546">
        <f>IF(E$17='Indata - Fordon och Trafik'!$A$3,'Indata - Fordon och Trafik'!$D24,'Indata - Fordon och Trafik'!$I24)</f>
        <v>0</v>
      </c>
      <c r="F45" s="539">
        <f t="shared" si="3"/>
        <v>0.1</v>
      </c>
      <c r="G45" s="546">
        <f>IF(G$17='Indata - Fordon och Trafik'!$A$3,'Indata - Fordon och Trafik'!$D24,'Indata - Fordon och Trafik'!$I24)</f>
        <v>0.185</v>
      </c>
      <c r="H45" s="545">
        <f>IF(H$17='Indata - Fordon och Trafik'!$A$3,'Indata - Fordon och Trafik'!$C24,'Indata - Fordon och Trafik'!$H24)</f>
        <v>0.02</v>
      </c>
      <c r="I45" s="546">
        <f>IF(I$17='Indata - Fordon och Trafik'!$A$3,'Indata - Fordon och Trafik'!$D24,'Indata - Fordon och Trafik'!$I24)</f>
        <v>0.185</v>
      </c>
      <c r="J45" s="78" t="s">
        <v>378</v>
      </c>
      <c r="K45" s="26"/>
      <c r="L45" s="26"/>
      <c r="M45" s="26"/>
      <c r="N45" s="26"/>
      <c r="O45" s="26"/>
      <c r="P45" s="26"/>
      <c r="Q45" s="26"/>
      <c r="R45" s="26"/>
      <c r="S45" s="26"/>
    </row>
    <row r="46" spans="1:19" ht="14.45" customHeight="1" x14ac:dyDescent="0.25">
      <c r="A46" s="585" t="s">
        <v>382</v>
      </c>
      <c r="B46" s="106" t="s">
        <v>116</v>
      </c>
      <c r="C46" s="147" t="s">
        <v>39</v>
      </c>
      <c r="D46" s="554">
        <f>IF(D$17='Indata - Fordon och Trafik'!$A$3,'Indata - Fordon och Trafik'!$C35,'Indata - Fordon och Trafik'!$H35)</f>
        <v>1.409627347092486</v>
      </c>
      <c r="E46" s="535">
        <f>IF(E$17='Indata - Fordon och Trafik'!$A$3,'Indata - Fordon och Trafik'!$D35,'Indata - Fordon och Trafik'!$I35)</f>
        <v>1.0975404858629165</v>
      </c>
      <c r="F46" s="534">
        <f t="shared" ref="F46:G53" si="4">D46</f>
        <v>1.409627347092486</v>
      </c>
      <c r="G46" s="535">
        <f t="shared" si="4"/>
        <v>1.0975404858629165</v>
      </c>
      <c r="H46" s="534">
        <f t="shared" ref="H46:I53" si="5">D46</f>
        <v>1.409627347092486</v>
      </c>
      <c r="I46" s="535">
        <f t="shared" si="5"/>
        <v>1.0975404858629165</v>
      </c>
      <c r="J46" s="40" t="s">
        <v>379</v>
      </c>
      <c r="K46" s="26"/>
      <c r="L46" s="26"/>
      <c r="M46" s="26"/>
      <c r="N46" s="26"/>
      <c r="O46" s="26"/>
      <c r="P46" s="26"/>
      <c r="Q46" s="26"/>
      <c r="R46" s="26"/>
      <c r="S46" s="26"/>
    </row>
    <row r="47" spans="1:19" ht="14.45" customHeight="1" x14ac:dyDescent="0.25">
      <c r="A47" s="595"/>
      <c r="B47" s="43" t="s">
        <v>117</v>
      </c>
      <c r="C47" s="143" t="s">
        <v>39</v>
      </c>
      <c r="D47" s="555">
        <f>IF(D$17='Indata - Fordon och Trafik'!$A$3,'Indata - Fordon och Trafik'!$C36,'Indata - Fordon och Trafik'!$H36)</f>
        <v>1.8521521959043132</v>
      </c>
      <c r="E47" s="556">
        <f>IF(E$17='Indata - Fordon och Trafik'!$A$3,'Indata - Fordon och Trafik'!$D36,'Indata - Fordon och Trafik'!$I36)</f>
        <v>1.4301687678393367</v>
      </c>
      <c r="F47" s="557">
        <f t="shared" si="4"/>
        <v>1.8521521959043132</v>
      </c>
      <c r="G47" s="556">
        <f t="shared" si="4"/>
        <v>1.4301687678393367</v>
      </c>
      <c r="H47" s="557">
        <f t="shared" si="5"/>
        <v>1.8521521959043132</v>
      </c>
      <c r="I47" s="556">
        <f t="shared" si="5"/>
        <v>1.4301687678393367</v>
      </c>
      <c r="J47" s="40" t="s">
        <v>379</v>
      </c>
      <c r="K47" s="26"/>
      <c r="L47" s="26"/>
      <c r="M47" s="26"/>
      <c r="N47" s="26"/>
      <c r="O47" s="26"/>
      <c r="P47" s="26"/>
      <c r="Q47" s="26"/>
      <c r="R47" s="26"/>
      <c r="S47" s="26"/>
    </row>
    <row r="48" spans="1:19" x14ac:dyDescent="0.25">
      <c r="A48" s="588"/>
      <c r="B48" s="43" t="s">
        <v>118</v>
      </c>
      <c r="C48" s="143" t="s">
        <v>39</v>
      </c>
      <c r="D48" s="558">
        <f>IF(D$17='Indata - Fordon och Trafik'!$A$3,'Indata - Fordon och Trafik'!$C37,'Indata - Fordon och Trafik'!$H37)</f>
        <v>2.2765487554982271</v>
      </c>
      <c r="E48" s="537">
        <f>IF(E$17='Indata - Fordon och Trafik'!$A$3,'Indata - Fordon och Trafik'!$D37,'Indata - Fordon och Trafik'!$I37)</f>
        <v>1.7743995375527619</v>
      </c>
      <c r="F48" s="536">
        <f t="shared" si="4"/>
        <v>2.2765487554982271</v>
      </c>
      <c r="G48" s="537">
        <f t="shared" si="4"/>
        <v>1.7743995375527619</v>
      </c>
      <c r="H48" s="536">
        <f t="shared" si="5"/>
        <v>2.2765487554982271</v>
      </c>
      <c r="I48" s="537">
        <f t="shared" si="5"/>
        <v>1.7743995375527619</v>
      </c>
      <c r="J48" s="40" t="s">
        <v>379</v>
      </c>
      <c r="K48" s="26"/>
      <c r="L48" s="26"/>
      <c r="M48" s="26"/>
      <c r="N48" s="26"/>
      <c r="O48" s="26"/>
      <c r="P48" s="26"/>
      <c r="Q48" s="26"/>
      <c r="R48" s="26"/>
      <c r="S48" s="26"/>
    </row>
    <row r="49" spans="1:19" ht="15.75" thickBot="1" x14ac:dyDescent="0.3">
      <c r="A49" s="588"/>
      <c r="B49" s="43" t="s">
        <v>119</v>
      </c>
      <c r="C49" s="143" t="s">
        <v>39</v>
      </c>
      <c r="D49" s="559">
        <f>IF(D$17='Indata - Fordon och Trafik'!$A$3,'Indata - Fordon och Trafik'!$C38,'Indata - Fordon och Trafik'!$H38)</f>
        <v>2.9364819147657566</v>
      </c>
      <c r="E49" s="560">
        <f>IF(E$17='Indata - Fordon och Trafik'!$A$3,'Indata - Fordon och Trafik'!$D38,'Indata - Fordon och Trafik'!$I38)</f>
        <v>2.3008116808806713</v>
      </c>
      <c r="F49" s="561">
        <f t="shared" si="4"/>
        <v>2.9364819147657566</v>
      </c>
      <c r="G49" s="560">
        <f t="shared" si="4"/>
        <v>2.3008116808806713</v>
      </c>
      <c r="H49" s="561">
        <f t="shared" si="5"/>
        <v>2.9364819147657566</v>
      </c>
      <c r="I49" s="560">
        <f t="shared" si="5"/>
        <v>2.3008116808806713</v>
      </c>
      <c r="J49" s="40" t="s">
        <v>379</v>
      </c>
      <c r="K49" s="26"/>
      <c r="L49" s="26"/>
      <c r="M49" s="26"/>
      <c r="N49" s="26"/>
      <c r="O49" s="26"/>
      <c r="P49" s="26"/>
      <c r="Q49" s="26"/>
      <c r="R49" s="26"/>
      <c r="S49" s="26"/>
    </row>
    <row r="50" spans="1:19" ht="14.45" customHeight="1" x14ac:dyDescent="0.25">
      <c r="A50" s="585" t="s">
        <v>381</v>
      </c>
      <c r="B50" s="106" t="s">
        <v>116</v>
      </c>
      <c r="C50" s="147" t="s">
        <v>40</v>
      </c>
      <c r="D50" s="554">
        <f>IF(D$17='Indata - Fordon och Trafik'!$A$3,'Indata - Fordon och Trafik'!$C39,'Indata - Fordon och Trafik'!$H39)</f>
        <v>8.4732522945626005</v>
      </c>
      <c r="E50" s="535">
        <f>IF(E$17='Indata - Fordon och Trafik'!$A$3,'Indata - Fordon och Trafik'!$D39,'Indata - Fordon och Trafik'!$I39)</f>
        <v>8.4732522945626005</v>
      </c>
      <c r="F50" s="534">
        <f t="shared" si="4"/>
        <v>8.4732522945626005</v>
      </c>
      <c r="G50" s="535">
        <f t="shared" si="4"/>
        <v>8.4732522945626005</v>
      </c>
      <c r="H50" s="534">
        <f t="shared" si="5"/>
        <v>8.4732522945626005</v>
      </c>
      <c r="I50" s="535">
        <f t="shared" si="5"/>
        <v>8.4732522945626005</v>
      </c>
      <c r="J50" s="40" t="s">
        <v>378</v>
      </c>
      <c r="K50" s="26"/>
      <c r="L50" s="26"/>
      <c r="M50" s="26"/>
      <c r="N50" s="26"/>
      <c r="O50" s="26"/>
      <c r="P50" s="26"/>
      <c r="Q50" s="26"/>
      <c r="R50" s="26"/>
      <c r="S50" s="26"/>
    </row>
    <row r="51" spans="1:19" ht="14.45" customHeight="1" x14ac:dyDescent="0.25">
      <c r="A51" s="595"/>
      <c r="B51" s="43" t="s">
        <v>117</v>
      </c>
      <c r="C51" s="143" t="s">
        <v>40</v>
      </c>
      <c r="D51" s="555">
        <f>IF(D$17='Indata - Fordon och Trafik'!$A$3,'Indata - Fordon och Trafik'!$C40,'Indata - Fordon och Trafik'!$H40)</f>
        <v>8.4732522945626005</v>
      </c>
      <c r="E51" s="556">
        <f>IF(E$17='Indata - Fordon och Trafik'!$A$3,'Indata - Fordon och Trafik'!$D40,'Indata - Fordon och Trafik'!$I40)</f>
        <v>8.4732522945626005</v>
      </c>
      <c r="F51" s="557">
        <f t="shared" si="4"/>
        <v>8.4732522945626005</v>
      </c>
      <c r="G51" s="556">
        <f t="shared" si="4"/>
        <v>8.4732522945626005</v>
      </c>
      <c r="H51" s="557">
        <f t="shared" si="5"/>
        <v>8.4732522945626005</v>
      </c>
      <c r="I51" s="556">
        <f t="shared" si="5"/>
        <v>8.4732522945626005</v>
      </c>
      <c r="J51" s="40" t="s">
        <v>378</v>
      </c>
      <c r="K51" s="26"/>
      <c r="L51" s="26"/>
      <c r="M51" s="26"/>
      <c r="N51" s="26"/>
      <c r="O51" s="26"/>
      <c r="P51" s="26"/>
      <c r="Q51" s="26"/>
      <c r="R51" s="26"/>
      <c r="S51" s="26"/>
    </row>
    <row r="52" spans="1:19" x14ac:dyDescent="0.25">
      <c r="A52" s="588"/>
      <c r="B52" s="43" t="s">
        <v>118</v>
      </c>
      <c r="C52" s="143" t="s">
        <v>40</v>
      </c>
      <c r="D52" s="558">
        <f>IF(D$17='Indata - Fordon och Trafik'!$A$3,'Indata - Fordon och Trafik'!$C41,'Indata - Fordon och Trafik'!$H41)</f>
        <v>13.374188060932356</v>
      </c>
      <c r="E52" s="537">
        <f>IF(E$17='Indata - Fordon och Trafik'!$A$3,'Indata - Fordon och Trafik'!$D41,'Indata - Fordon och Trafik'!$I41)</f>
        <v>13.374188060932356</v>
      </c>
      <c r="F52" s="536">
        <f t="shared" si="4"/>
        <v>13.374188060932356</v>
      </c>
      <c r="G52" s="537">
        <f t="shared" si="4"/>
        <v>13.374188060932356</v>
      </c>
      <c r="H52" s="536">
        <f t="shared" si="5"/>
        <v>13.374188060932356</v>
      </c>
      <c r="I52" s="537">
        <f t="shared" si="5"/>
        <v>13.374188060932356</v>
      </c>
      <c r="J52" s="40" t="s">
        <v>378</v>
      </c>
      <c r="K52" s="26"/>
      <c r="L52" s="26"/>
      <c r="M52" s="26"/>
      <c r="N52" s="26"/>
      <c r="O52" s="26"/>
      <c r="P52" s="26"/>
      <c r="Q52" s="26"/>
      <c r="R52" s="26"/>
      <c r="S52" s="26"/>
    </row>
    <row r="53" spans="1:19" ht="15.75" thickBot="1" x14ac:dyDescent="0.3">
      <c r="A53" s="589"/>
      <c r="B53" s="107" t="s">
        <v>119</v>
      </c>
      <c r="C53" s="144" t="s">
        <v>40</v>
      </c>
      <c r="D53" s="559">
        <f>IF(D$17='Indata - Fordon och Trafik'!$A$3,'Indata - Fordon och Trafik'!$C42,'Indata - Fordon och Trafik'!$H42)</f>
        <v>15.182448650666799</v>
      </c>
      <c r="E53" s="560">
        <f>IF(E$17='Indata - Fordon och Trafik'!$A$3,'Indata - Fordon och Trafik'!$D42,'Indata - Fordon och Trafik'!$I42)</f>
        <v>15.182448650666799</v>
      </c>
      <c r="F53" s="561">
        <f t="shared" si="4"/>
        <v>15.182448650666799</v>
      </c>
      <c r="G53" s="560">
        <f t="shared" si="4"/>
        <v>15.182448650666799</v>
      </c>
      <c r="H53" s="561">
        <f t="shared" si="5"/>
        <v>15.182448650666799</v>
      </c>
      <c r="I53" s="560">
        <f t="shared" si="5"/>
        <v>15.182448650666799</v>
      </c>
      <c r="J53" s="40" t="s">
        <v>378</v>
      </c>
      <c r="K53" s="26"/>
      <c r="L53" s="26"/>
      <c r="M53" s="26"/>
      <c r="N53" s="26"/>
      <c r="O53" s="26"/>
      <c r="P53" s="26"/>
      <c r="Q53" s="26"/>
      <c r="R53" s="26"/>
      <c r="S53" s="26"/>
    </row>
    <row r="54" spans="1:19" s="40" customFormat="1" ht="15" customHeight="1" x14ac:dyDescent="0.2">
      <c r="A54" s="595" t="s">
        <v>0</v>
      </c>
      <c r="B54" s="43" t="s">
        <v>9</v>
      </c>
      <c r="C54" s="43" t="s">
        <v>262</v>
      </c>
      <c r="D54" s="562">
        <f>'Modell - Drivmedelpriser'!E57</f>
        <v>13.466674098111907</v>
      </c>
      <c r="E54" s="563">
        <f>'Modell - Drivmedelpriser'!F57</f>
        <v>16.350158148247193</v>
      </c>
      <c r="F54" s="534">
        <f>'Modell - Drivmedelpriser'!G57</f>
        <v>12.410383353593298</v>
      </c>
      <c r="G54" s="535">
        <f>'Modell - Drivmedelpriser'!H57</f>
        <v>19.161594511883557</v>
      </c>
      <c r="H54" s="534">
        <f>'Modell - Drivmedelpriser'!I57</f>
        <v>15.187478163611624</v>
      </c>
      <c r="I54" s="535">
        <f>'Modell - Drivmedelpriser'!J57</f>
        <v>19.161594511883557</v>
      </c>
      <c r="J54" s="40" t="s">
        <v>173</v>
      </c>
    </row>
    <row r="55" spans="1:19" s="40" customFormat="1" ht="15" customHeight="1" thickBot="1" x14ac:dyDescent="0.25">
      <c r="A55" s="595"/>
      <c r="B55" s="43" t="s">
        <v>7</v>
      </c>
      <c r="C55" s="293" t="s">
        <v>263</v>
      </c>
      <c r="D55" s="564">
        <f>'Modell - Drivmedelpriser'!E83</f>
        <v>1.1975304347826086</v>
      </c>
      <c r="E55" s="565">
        <f>'Modell - Drivmedelpriser'!F83</f>
        <v>1.4034</v>
      </c>
      <c r="F55" s="561">
        <f>'Modell - Drivmedelpriser'!G83</f>
        <v>1.1975304347826086</v>
      </c>
      <c r="G55" s="560">
        <f>'Modell - Drivmedelpriser'!H83</f>
        <v>1.4034</v>
      </c>
      <c r="H55" s="561">
        <f>'Modell - Drivmedelpriser'!I83</f>
        <v>1.1975304347826086</v>
      </c>
      <c r="I55" s="560">
        <f>'Modell - Drivmedelpriser'!J83</f>
        <v>1.4034</v>
      </c>
      <c r="J55" s="40" t="s">
        <v>173</v>
      </c>
    </row>
    <row r="56" spans="1:19" s="40" customFormat="1" ht="15" customHeight="1" x14ac:dyDescent="0.2">
      <c r="A56" s="587" t="s">
        <v>17</v>
      </c>
      <c r="B56" s="342" t="s">
        <v>120</v>
      </c>
      <c r="C56" s="343" t="s">
        <v>36</v>
      </c>
      <c r="D56" s="525">
        <f t="shared" ref="D56:I56" si="6">SUM(D57:D60)</f>
        <v>5.9773733906447069</v>
      </c>
      <c r="E56" s="420">
        <f t="shared" si="6"/>
        <v>7.0489625732912895</v>
      </c>
      <c r="F56" s="419">
        <f t="shared" si="6"/>
        <v>5.9773733906447069</v>
      </c>
      <c r="G56" s="420">
        <f t="shared" si="6"/>
        <v>7.0489625732912895</v>
      </c>
      <c r="H56" s="419">
        <f t="shared" si="6"/>
        <v>5.9773733906447069</v>
      </c>
      <c r="I56" s="420">
        <f t="shared" si="6"/>
        <v>7.0489625732912895</v>
      </c>
      <c r="J56" s="40" t="s">
        <v>62</v>
      </c>
    </row>
    <row r="57" spans="1:19" x14ac:dyDescent="0.25">
      <c r="A57" s="588"/>
      <c r="B57" s="43" t="s">
        <v>116</v>
      </c>
      <c r="C57" s="143" t="s">
        <v>36</v>
      </c>
      <c r="D57" s="555">
        <f>IF(D$17='Indata - Fordon och Trafik'!$A$3,'Indata - Fordon och Trafik'!$C28,'Indata - Fordon och Trafik'!$H28)</f>
        <v>0.22095243940171372</v>
      </c>
      <c r="E57" s="556">
        <f>IF(E$17='Indata - Fordon och Trafik'!$A$3,'Indata - Fordon och Trafik'!$D28,'Indata - Fordon och Trafik'!$I28)</f>
        <v>0.26056352414887451</v>
      </c>
      <c r="F57" s="557">
        <f t="shared" ref="F57:G60" si="7">D57</f>
        <v>0.22095243940171372</v>
      </c>
      <c r="G57" s="556">
        <f t="shared" si="7"/>
        <v>0.26056352414887451</v>
      </c>
      <c r="H57" s="557">
        <f t="shared" ref="H57:I60" si="8">D57</f>
        <v>0.22095243940171372</v>
      </c>
      <c r="I57" s="556">
        <f t="shared" si="8"/>
        <v>0.26056352414887451</v>
      </c>
      <c r="J57" s="40" t="s">
        <v>62</v>
      </c>
      <c r="K57" s="26"/>
      <c r="L57" s="26"/>
      <c r="M57" s="26"/>
      <c r="N57" s="26"/>
      <c r="O57" s="26"/>
      <c r="P57" s="26"/>
      <c r="Q57" s="26"/>
      <c r="R57" s="26"/>
      <c r="S57" s="26"/>
    </row>
    <row r="58" spans="1:19" x14ac:dyDescent="0.25">
      <c r="A58" s="588"/>
      <c r="B58" s="43" t="s">
        <v>117</v>
      </c>
      <c r="C58" s="143" t="s">
        <v>36</v>
      </c>
      <c r="D58" s="555">
        <f>IF(D$17='Indata - Fordon och Trafik'!$A$3,'Indata - Fordon och Trafik'!$C29,'Indata - Fordon och Trafik'!$H29)</f>
        <v>0.24048713697194765</v>
      </c>
      <c r="E58" s="556">
        <f>IF(E$17='Indata - Fordon och Trafik'!$A$3,'Indata - Fordon och Trafik'!$D29,'Indata - Fordon och Trafik'!$I29)</f>
        <v>0.28360029014188726</v>
      </c>
      <c r="F58" s="557">
        <f t="shared" si="7"/>
        <v>0.24048713697194765</v>
      </c>
      <c r="G58" s="556">
        <f t="shared" si="7"/>
        <v>0.28360029014188726</v>
      </c>
      <c r="H58" s="557">
        <f t="shared" si="8"/>
        <v>0.24048713697194765</v>
      </c>
      <c r="I58" s="556">
        <f t="shared" si="8"/>
        <v>0.28360029014188726</v>
      </c>
      <c r="J58" s="40" t="s">
        <v>62</v>
      </c>
      <c r="K58" s="26"/>
      <c r="L58" s="26"/>
      <c r="M58" s="26"/>
      <c r="N58" s="26"/>
      <c r="O58" s="26"/>
      <c r="P58" s="26"/>
      <c r="Q58" s="26"/>
      <c r="R58" s="26"/>
      <c r="S58" s="26"/>
    </row>
    <row r="59" spans="1:19" x14ac:dyDescent="0.25">
      <c r="A59" s="588"/>
      <c r="B59" s="43" t="s">
        <v>118</v>
      </c>
      <c r="C59" s="143" t="s">
        <v>36</v>
      </c>
      <c r="D59" s="555">
        <f>IF(D$17='Indata - Fordon och Trafik'!$A$3,'Indata - Fordon och Trafik'!$C30,'Indata - Fordon och Trafik'!$H30)</f>
        <v>1.9682018403049411</v>
      </c>
      <c r="E59" s="556">
        <f>IF(E$17='Indata - Fordon och Trafik'!$A$3,'Indata - Fordon och Trafik'!$D30,'Indata - Fordon och Trafik'!$I30)</f>
        <v>2.3210497658899261</v>
      </c>
      <c r="F59" s="557">
        <f t="shared" si="7"/>
        <v>1.9682018403049411</v>
      </c>
      <c r="G59" s="556">
        <f t="shared" si="7"/>
        <v>2.3210497658899261</v>
      </c>
      <c r="H59" s="557">
        <f t="shared" si="8"/>
        <v>1.9682018403049411</v>
      </c>
      <c r="I59" s="556">
        <f t="shared" si="8"/>
        <v>2.3210497658899261</v>
      </c>
      <c r="J59" s="40" t="s">
        <v>62</v>
      </c>
      <c r="K59" s="26"/>
      <c r="L59" s="26"/>
      <c r="M59" s="26"/>
      <c r="N59" s="26"/>
      <c r="O59" s="26"/>
      <c r="P59" s="26"/>
      <c r="Q59" s="26"/>
      <c r="R59" s="26"/>
      <c r="S59" s="26"/>
    </row>
    <row r="60" spans="1:19" ht="15.75" thickBot="1" x14ac:dyDescent="0.3">
      <c r="A60" s="589"/>
      <c r="B60" s="107" t="s">
        <v>119</v>
      </c>
      <c r="C60" s="144" t="s">
        <v>36</v>
      </c>
      <c r="D60" s="555">
        <f>IF(D$17='Indata - Fordon och Trafik'!$A$3,'Indata - Fordon och Trafik'!$C31,'Indata - Fordon och Trafik'!$H31)</f>
        <v>3.5477319739661044</v>
      </c>
      <c r="E60" s="556">
        <f>IF(E$17='Indata - Fordon och Trafik'!$A$3,'Indata - Fordon och Trafik'!$D31,'Indata - Fordon och Trafik'!$I31)</f>
        <v>4.1837489931106022</v>
      </c>
      <c r="F60" s="557">
        <f t="shared" si="7"/>
        <v>3.5477319739661044</v>
      </c>
      <c r="G60" s="556">
        <f t="shared" si="7"/>
        <v>4.1837489931106022</v>
      </c>
      <c r="H60" s="557">
        <f t="shared" si="8"/>
        <v>3.5477319739661044</v>
      </c>
      <c r="I60" s="556">
        <f t="shared" si="8"/>
        <v>4.1837489931106022</v>
      </c>
      <c r="J60" s="40" t="s">
        <v>62</v>
      </c>
      <c r="K60" s="26"/>
      <c r="L60" s="26"/>
      <c r="M60" s="26"/>
      <c r="N60" s="26"/>
      <c r="O60" s="26"/>
      <c r="P60" s="26"/>
      <c r="Q60" s="26"/>
      <c r="R60" s="26"/>
      <c r="S60" s="26"/>
    </row>
    <row r="61" spans="1:19" ht="15.75" thickBot="1" x14ac:dyDescent="0.3">
      <c r="A61" s="432" t="s">
        <v>205</v>
      </c>
      <c r="B61" s="107" t="s">
        <v>121</v>
      </c>
      <c r="C61" s="107" t="s">
        <v>25</v>
      </c>
      <c r="D61" s="81">
        <v>0</v>
      </c>
      <c r="E61" s="82">
        <v>0</v>
      </c>
      <c r="F61" s="526">
        <v>0</v>
      </c>
      <c r="G61" s="527">
        <v>0</v>
      </c>
      <c r="H61" s="528">
        <v>0</v>
      </c>
      <c r="I61" s="527">
        <f>0%</f>
        <v>0</v>
      </c>
      <c r="J61" s="40" t="s">
        <v>72</v>
      </c>
      <c r="K61" s="26"/>
      <c r="L61" s="26"/>
      <c r="M61" s="26"/>
      <c r="N61" s="26"/>
      <c r="O61" s="26"/>
      <c r="P61" s="26"/>
      <c r="Q61" s="26"/>
      <c r="R61" s="26"/>
      <c r="S61" s="26"/>
    </row>
    <row r="62" spans="1:19" ht="16.5" thickBot="1" x14ac:dyDescent="0.3">
      <c r="A62" s="131" t="s">
        <v>306</v>
      </c>
      <c r="B62" s="132" t="s">
        <v>18</v>
      </c>
      <c r="C62" s="132" t="s">
        <v>14</v>
      </c>
      <c r="D62" s="433">
        <v>2030</v>
      </c>
      <c r="E62" s="434">
        <v>2040</v>
      </c>
      <c r="F62" s="433">
        <v>2030</v>
      </c>
      <c r="G62" s="434">
        <v>2040</v>
      </c>
      <c r="H62" s="433">
        <v>2030</v>
      </c>
      <c r="I62" s="434">
        <v>2040</v>
      </c>
      <c r="J62" s="593" t="s">
        <v>15</v>
      </c>
      <c r="K62" s="594"/>
    </row>
    <row r="63" spans="1:19" x14ac:dyDescent="0.25">
      <c r="A63" s="585" t="s">
        <v>312</v>
      </c>
      <c r="B63" s="106" t="s">
        <v>307</v>
      </c>
      <c r="C63" s="106" t="s">
        <v>309</v>
      </c>
      <c r="D63" s="417">
        <f>IF(D$23='Indata - Fordon och Trafik'!$K$9,'Indata - Fordon och Trafik'!O7,IF($D$23='Indata - Fordon och Trafik'!$K$10,'Indata - Fordon och Trafik'!O15,'Indata - Fordon och Trafik'!O23))</f>
        <v>3.04</v>
      </c>
      <c r="E63" s="529">
        <f>IF(E$23='Indata - Fordon och Trafik'!$K$9,'Indata - Fordon och Trafik'!P7,IF($E$23='Indata - Fordon och Trafik'!$K$10,'Indata - Fordon och Trafik'!P15,'Indata - Fordon och Trafik'!P23))</f>
        <v>1.89</v>
      </c>
      <c r="F63" s="417">
        <f>IF(F$23='Indata - Fordon och Trafik'!$K$9,'Indata - Fordon och Trafik'!O7,IF($F$23='Indata - Fordon och Trafik'!$K$10,'Indata - Fordon och Trafik'!O15,'Indata - Fordon och Trafik'!O23))</f>
        <v>1.33</v>
      </c>
      <c r="G63" s="529">
        <f>IF(G$23='Indata - Fordon och Trafik'!$K$9,'Indata - Fordon och Trafik'!P7,IF($G$23='Indata - Fordon och Trafik'!$K$10,'Indata - Fordon och Trafik'!P15,'Indata - Fordon och Trafik'!P23))</f>
        <v>0.97</v>
      </c>
      <c r="H63" s="417">
        <f>IF(H$23='Indata - Fordon och Trafik'!$K$9,'Indata - Fordon och Trafik'!O7,IF($H$23='Indata - Fordon och Trafik'!$K$10,'Indata - Fordon och Trafik'!O15,'Indata - Fordon och Trafik'!O23))</f>
        <v>1.33</v>
      </c>
      <c r="I63" s="390">
        <f>IF(I$23='Indata - Fordon och Trafik'!$K$9,'Indata - Fordon och Trafik'!P7,IF($I$23='Indata - Fordon och Trafik'!$K$10,'Indata - Fordon och Trafik'!P15,'Indata - Fordon och Trafik'!P23))</f>
        <v>0.97</v>
      </c>
      <c r="J63" s="40" t="s">
        <v>316</v>
      </c>
    </row>
    <row r="64" spans="1:19" ht="15.75" thickBot="1" x14ac:dyDescent="0.3">
      <c r="A64" s="586"/>
      <c r="B64" s="107" t="s">
        <v>7</v>
      </c>
      <c r="C64" s="107" t="s">
        <v>309</v>
      </c>
      <c r="D64" s="418">
        <f>IF(D$23='Indata - Fordon och Trafik'!$K$9,'Indata - Fordon och Trafik'!O8,IF($D$23='Indata - Fordon och Trafik'!$K$10,'Indata - Fordon och Trafik'!O16,'Indata - Fordon och Trafik'!O24))</f>
        <v>0.26</v>
      </c>
      <c r="E64" s="530">
        <f>IF(E$23='Indata - Fordon och Trafik'!$K$9,'Indata - Fordon och Trafik'!P8,IF($E$23='Indata - Fordon och Trafik'!$K$10,'Indata - Fordon och Trafik'!P16,'Indata - Fordon och Trafik'!P24))</f>
        <v>0.56000000000000005</v>
      </c>
      <c r="F64" s="418">
        <f>IF(F$23='Indata - Fordon och Trafik'!$K$9,'Indata - Fordon och Trafik'!O8,IF($F$23='Indata - Fordon och Trafik'!$K$10,'Indata - Fordon och Trafik'!O16,'Indata - Fordon och Trafik'!O24))</f>
        <v>0.88</v>
      </c>
      <c r="G64" s="530">
        <f>IF(G$23='Indata - Fordon och Trafik'!$K$9,'Indata - Fordon och Trafik'!P8,IF($G$23='Indata - Fordon och Trafik'!$K$10,'Indata - Fordon och Trafik'!P16,'Indata - Fordon och Trafik'!P24))</f>
        <v>1.1200000000000001</v>
      </c>
      <c r="H64" s="418">
        <f>IF(H$23='Indata - Fordon och Trafik'!$K$9,'Indata - Fordon och Trafik'!O8,IF($H$23='Indata - Fordon och Trafik'!$K$10,'Indata - Fordon och Trafik'!O16,'Indata - Fordon och Trafik'!O24))</f>
        <v>0.88</v>
      </c>
      <c r="I64" s="531">
        <f>IF(I$23='Indata - Fordon och Trafik'!$K$9,'Indata - Fordon och Trafik'!P8,IF($I$23='Indata - Fordon och Trafik'!$K$10,'Indata - Fordon och Trafik'!P16,'Indata - Fordon och Trafik'!P24))</f>
        <v>1.1200000000000001</v>
      </c>
      <c r="J64" s="40" t="s">
        <v>316</v>
      </c>
    </row>
    <row r="65" spans="2:9" x14ac:dyDescent="0.25">
      <c r="D65" s="44"/>
      <c r="E65" s="44"/>
      <c r="F65" s="44"/>
      <c r="G65" s="44"/>
      <c r="H65" s="44"/>
      <c r="I65" s="44"/>
    </row>
    <row r="66" spans="2:9" x14ac:dyDescent="0.25">
      <c r="B66" s="40" t="s">
        <v>387</v>
      </c>
      <c r="C66" s="40" t="s">
        <v>392</v>
      </c>
      <c r="D66" s="424">
        <f>Resultat!F38/'Indata - Utsläpp'!B16-1</f>
        <v>-0.46923489765679016</v>
      </c>
    </row>
    <row r="67" spans="2:9" x14ac:dyDescent="0.25">
      <c r="C67" s="40" t="s">
        <v>390</v>
      </c>
      <c r="D67" s="426">
        <f>Resultat!F41</f>
        <v>-0.68246137204843715</v>
      </c>
      <c r="E67" s="424"/>
    </row>
    <row r="68" spans="2:9" x14ac:dyDescent="0.25">
      <c r="C68" s="40" t="s">
        <v>388</v>
      </c>
      <c r="D68" s="583">
        <f>Resultat!F33</f>
        <v>4.8089509967305304</v>
      </c>
    </row>
    <row r="69" spans="2:9" x14ac:dyDescent="0.25">
      <c r="C69" s="40" t="s">
        <v>391</v>
      </c>
      <c r="D69" s="40">
        <f>Resultat!F34</f>
        <v>53.299630900269264</v>
      </c>
    </row>
    <row r="70" spans="2:9" x14ac:dyDescent="0.25">
      <c r="C70" s="40" t="s">
        <v>389</v>
      </c>
      <c r="D70" s="40">
        <f>Resultat!F63</f>
        <v>35.943432681396565</v>
      </c>
    </row>
    <row r="71" spans="2:9" x14ac:dyDescent="0.25">
      <c r="C71" s="40" t="s">
        <v>393</v>
      </c>
      <c r="D71" s="40">
        <f>Resultat!F61</f>
        <v>9.1781484982047274</v>
      </c>
    </row>
    <row r="72" spans="2:9" x14ac:dyDescent="0.25">
      <c r="C72" s="40" t="s">
        <v>394</v>
      </c>
      <c r="D72" s="40">
        <f>Resultat!F60</f>
        <v>23.147448042304468</v>
      </c>
    </row>
    <row r="73" spans="2:9" x14ac:dyDescent="0.25">
      <c r="C73" s="40" t="s">
        <v>395</v>
      </c>
      <c r="D73" s="40">
        <f>Resultat!F62</f>
        <v>3.6178361408873698</v>
      </c>
    </row>
    <row r="78" spans="2:9" x14ac:dyDescent="0.25">
      <c r="B78" s="40" t="s">
        <v>396</v>
      </c>
      <c r="C78" s="40" t="s">
        <v>397</v>
      </c>
      <c r="D78" s="40">
        <v>-0.22</v>
      </c>
    </row>
    <row r="79" spans="2:9" x14ac:dyDescent="0.25">
      <c r="C79" s="40" t="s">
        <v>398</v>
      </c>
      <c r="D79" s="40">
        <v>0.1</v>
      </c>
    </row>
  </sheetData>
  <protectedRanges>
    <protectedRange algorithmName="SHA-512" hashValue="bhbLMjBtLJkCl6+oRAIq98NZkcBAWzm8GjbRfoftLGnxxPl6tbwDiFe+9aTX2EHNMDT88cd1rnVmqQcow+/x8w==" saltValue="u4cWX+yqQiFBZXUHKrq6Og==" spinCount="100000" sqref="F9:I23" name="Indata"/>
  </protectedRanges>
  <mergeCells count="28">
    <mergeCell ref="D5:E5"/>
    <mergeCell ref="A9:A12"/>
    <mergeCell ref="D6:E6"/>
    <mergeCell ref="F6:G6"/>
    <mergeCell ref="H6:I6"/>
    <mergeCell ref="F5:G5"/>
    <mergeCell ref="H5:I5"/>
    <mergeCell ref="J7:K7"/>
    <mergeCell ref="J41:K41"/>
    <mergeCell ref="J5:K5"/>
    <mergeCell ref="J8:K8"/>
    <mergeCell ref="J18:K18"/>
    <mergeCell ref="J24:K24"/>
    <mergeCell ref="A13:A14"/>
    <mergeCell ref="A19:A20"/>
    <mergeCell ref="A21:A22"/>
    <mergeCell ref="A15:A16"/>
    <mergeCell ref="A25:A27"/>
    <mergeCell ref="A63:A64"/>
    <mergeCell ref="A56:A60"/>
    <mergeCell ref="A29:A31"/>
    <mergeCell ref="J62:K62"/>
    <mergeCell ref="A42:A45"/>
    <mergeCell ref="A46:A49"/>
    <mergeCell ref="A50:A53"/>
    <mergeCell ref="A39:A40"/>
    <mergeCell ref="A54:A55"/>
    <mergeCell ref="A32:A35"/>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'Indata - Fordon och Trafik'!$K$5:$K$6</xm:f>
          </x14:formula1>
          <xm:sqref>D17:I17</xm:sqref>
        </x14:dataValidation>
        <x14:dataValidation type="list" allowBlank="1" showInputMessage="1" showErrorMessage="1">
          <x14:formula1>
            <xm:f>'Indata - Fordon och Trafik'!$K$9:$K$11</xm:f>
          </x14:formula1>
          <xm:sqref>D23:I23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Q81"/>
  <sheetViews>
    <sheetView zoomScale="80" zoomScaleNormal="80" workbookViewId="0">
      <pane xSplit="3" ySplit="6" topLeftCell="D41" activePane="bottomRight" state="frozen"/>
      <selection pane="topRight" activeCell="D1" sqref="D1"/>
      <selection pane="bottomLeft" activeCell="A6" sqref="A6"/>
      <selection pane="bottomRight" activeCell="F41" sqref="F41"/>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26" t="s">
        <v>180</v>
      </c>
      <c r="B1" s="40"/>
      <c r="C1" s="40"/>
      <c r="D1" s="40"/>
      <c r="E1" s="40"/>
      <c r="F1" s="40"/>
      <c r="G1" s="40"/>
      <c r="H1" s="40"/>
      <c r="I1" s="40"/>
      <c r="J1" s="40"/>
      <c r="K1" s="40"/>
      <c r="L1" s="40"/>
      <c r="M1" s="40"/>
      <c r="N1" s="40"/>
      <c r="O1" s="40"/>
      <c r="P1" s="40"/>
      <c r="Q1" s="40"/>
    </row>
    <row r="2" spans="1:17" x14ac:dyDescent="0.25">
      <c r="A2" s="78" t="s">
        <v>280</v>
      </c>
      <c r="B2" s="40"/>
      <c r="C2" s="40"/>
      <c r="D2" s="40"/>
      <c r="E2" s="40"/>
      <c r="F2" s="40"/>
      <c r="G2" s="40"/>
      <c r="H2" s="40"/>
      <c r="I2" s="40"/>
      <c r="J2" s="40"/>
      <c r="K2" s="40"/>
      <c r="L2" s="40"/>
      <c r="M2" s="40"/>
      <c r="N2" s="40"/>
      <c r="O2" s="40"/>
      <c r="P2" s="40"/>
      <c r="Q2" s="40"/>
    </row>
    <row r="3" spans="1:17" ht="16.5" thickBot="1" x14ac:dyDescent="0.3">
      <c r="A3" s="39"/>
      <c r="B3" s="40"/>
      <c r="C3" s="40"/>
      <c r="D3" s="40"/>
      <c r="E3" s="40"/>
      <c r="F3" s="40"/>
      <c r="G3" s="40"/>
      <c r="H3" s="40"/>
      <c r="I3" s="40"/>
      <c r="J3" s="40"/>
      <c r="K3" s="40"/>
      <c r="L3" s="40"/>
      <c r="M3" s="40"/>
      <c r="N3" s="40"/>
      <c r="O3" s="40"/>
      <c r="P3" s="40"/>
      <c r="Q3" s="40"/>
    </row>
    <row r="4" spans="1:17" ht="16.5" thickBot="1" x14ac:dyDescent="0.3">
      <c r="A4" s="131" t="s">
        <v>260</v>
      </c>
      <c r="B4" s="132" t="s">
        <v>18</v>
      </c>
      <c r="C4" s="132" t="s">
        <v>14</v>
      </c>
      <c r="D4" s="597" t="s">
        <v>64</v>
      </c>
      <c r="E4" s="598"/>
      <c r="F4" s="597" t="s">
        <v>65</v>
      </c>
      <c r="G4" s="598"/>
      <c r="H4" s="597" t="s">
        <v>66</v>
      </c>
      <c r="I4" s="598"/>
      <c r="J4" s="40"/>
      <c r="K4" s="40"/>
      <c r="L4" s="40"/>
      <c r="M4" s="40"/>
      <c r="N4" s="40"/>
      <c r="O4" s="40"/>
      <c r="P4" s="40"/>
      <c r="Q4" s="40"/>
    </row>
    <row r="5" spans="1:17" s="67" customFormat="1" ht="61.9" customHeight="1" thickBot="1" x14ac:dyDescent="0.3">
      <c r="A5" s="289" t="s">
        <v>207</v>
      </c>
      <c r="B5" s="290"/>
      <c r="C5" s="291"/>
      <c r="D5" s="603" t="str">
        <f>Indata!D6</f>
        <v>Beslutad politik</v>
      </c>
      <c r="E5" s="604"/>
      <c r="F5" s="603" t="str">
        <f>Indata!F6</f>
        <v>Här kan användaren beskriva sitt scenario, t.ex. "Biodrivmedelsscenario"</v>
      </c>
      <c r="G5" s="604"/>
      <c r="H5" s="603" t="str">
        <f>Indata!H6</f>
        <v>Här kan användaren beskriva sitt scenario, t.ex. "Biodrivmedelsscenario"</v>
      </c>
      <c r="I5" s="604"/>
      <c r="J5" s="66"/>
      <c r="K5" s="66"/>
      <c r="L5" s="66"/>
      <c r="M5" s="66"/>
      <c r="N5" s="66"/>
      <c r="O5" s="66"/>
      <c r="P5" s="66"/>
      <c r="Q5" s="66"/>
    </row>
    <row r="6" spans="1:17" s="128" customFormat="1" ht="16.5" thickBot="1" x14ac:dyDescent="0.3">
      <c r="A6" s="131" t="s">
        <v>182</v>
      </c>
      <c r="B6" s="132" t="s">
        <v>18</v>
      </c>
      <c r="C6" s="132" t="s">
        <v>14</v>
      </c>
      <c r="D6" s="133">
        <v>2030</v>
      </c>
      <c r="E6" s="134">
        <v>2040</v>
      </c>
      <c r="F6" s="133">
        <v>2030</v>
      </c>
      <c r="G6" s="134">
        <v>2040</v>
      </c>
      <c r="H6" s="133">
        <v>2030</v>
      </c>
      <c r="I6" s="134">
        <v>2040</v>
      </c>
      <c r="J6" s="127"/>
      <c r="K6" s="127"/>
      <c r="L6" s="127"/>
      <c r="M6" s="127"/>
      <c r="N6" s="127"/>
      <c r="O6" s="127"/>
      <c r="P6" s="127"/>
      <c r="Q6" s="127"/>
    </row>
    <row r="7" spans="1:17" x14ac:dyDescent="0.25">
      <c r="A7" s="605" t="s">
        <v>0</v>
      </c>
      <c r="B7" s="292" t="s">
        <v>102</v>
      </c>
      <c r="C7" s="292" t="s">
        <v>209</v>
      </c>
      <c r="D7" s="471">
        <f>'Modell - Lätta fordon'!AH6</f>
        <v>17.911754192557677</v>
      </c>
      <c r="E7" s="472">
        <f>'Modell - Lätta fordon'!AI6</f>
        <v>21.293751803814949</v>
      </c>
      <c r="F7" s="471">
        <f>'Modell - Lätta fordon'!AJ6</f>
        <v>21.178999865301471</v>
      </c>
      <c r="G7" s="473">
        <f>'Modell - Lätta fordon'!AK6</f>
        <v>27.329509698551796</v>
      </c>
      <c r="H7" s="474">
        <f>'Modell - Lätta fordon'!AL6</f>
        <v>22.060978448850584</v>
      </c>
      <c r="I7" s="473">
        <f>'Modell - Lätta fordon'!AM6</f>
        <v>27.329509698551796</v>
      </c>
    </row>
    <row r="8" spans="1:17" x14ac:dyDescent="0.25">
      <c r="A8" s="607"/>
      <c r="B8" s="293" t="s">
        <v>103</v>
      </c>
      <c r="C8" s="293" t="s">
        <v>209</v>
      </c>
      <c r="D8" s="475">
        <f>'Modell - Lätta fordon'!AH7</f>
        <v>19.069168234099362</v>
      </c>
      <c r="E8" s="476">
        <f>'Modell - Lätta fordon'!AI7</f>
        <v>22.557131724953557</v>
      </c>
      <c r="F8" s="475">
        <f>'Modell - Lätta fordon'!AJ7</f>
        <v>18.23319161125556</v>
      </c>
      <c r="G8" s="477">
        <f>'Modell - Lätta fordon'!AK7</f>
        <v>24.89327119863777</v>
      </c>
      <c r="H8" s="478">
        <f>'Modell - Lätta fordon'!AL7</f>
        <v>20.431058394282431</v>
      </c>
      <c r="I8" s="477">
        <f>'Modell - Lätta fordon'!AM7</f>
        <v>24.89327119863777</v>
      </c>
    </row>
    <row r="9" spans="1:17" x14ac:dyDescent="0.25">
      <c r="A9" s="607"/>
      <c r="B9" s="293" t="s">
        <v>104</v>
      </c>
      <c r="C9" s="293" t="s">
        <v>186</v>
      </c>
      <c r="D9" s="475">
        <f>'Modell - Lätta fordon'!AH8</f>
        <v>3.4709076086956521</v>
      </c>
      <c r="E9" s="476">
        <f>'Modell - Lätta fordon'!AI8</f>
        <v>4.1598749999999995</v>
      </c>
      <c r="F9" s="475">
        <f>'Modell - Lätta fordon'!AJ8</f>
        <v>3.4709076086956521</v>
      </c>
      <c r="G9" s="477">
        <f>'Modell - Lätta fordon'!AK8</f>
        <v>4.1598749999999995</v>
      </c>
      <c r="H9" s="478">
        <f>'Modell - Lätta fordon'!AL8</f>
        <v>3.4709076086956521</v>
      </c>
      <c r="I9" s="477">
        <f>'Modell - Lätta fordon'!AM8</f>
        <v>4.1598749999999995</v>
      </c>
    </row>
    <row r="10" spans="1:17" x14ac:dyDescent="0.25">
      <c r="A10" s="607"/>
      <c r="B10" s="293" t="s">
        <v>184</v>
      </c>
      <c r="C10" s="293" t="s">
        <v>262</v>
      </c>
      <c r="D10" s="475">
        <f>'Modell - Tunga fordon'!AH6</f>
        <v>13.466674098111907</v>
      </c>
      <c r="E10" s="476">
        <f>'Modell - Tunga fordon'!AI6</f>
        <v>16.350158148247193</v>
      </c>
      <c r="F10" s="475">
        <f>'Modell - Tunga fordon'!AJ6</f>
        <v>12.410383353593298</v>
      </c>
      <c r="G10" s="477">
        <f>'Modell - Tunga fordon'!AK6</f>
        <v>19.161594511883557</v>
      </c>
      <c r="H10" s="478">
        <f>'Modell - Tunga fordon'!AL6</f>
        <v>15.187478163611624</v>
      </c>
      <c r="I10" s="477">
        <f>'Modell - Tunga fordon'!AM6</f>
        <v>19.161594511883557</v>
      </c>
    </row>
    <row r="11" spans="1:17" ht="15.75" thickBot="1" x14ac:dyDescent="0.3">
      <c r="A11" s="606"/>
      <c r="B11" s="294" t="s">
        <v>185</v>
      </c>
      <c r="C11" s="294" t="s">
        <v>263</v>
      </c>
      <c r="D11" s="479">
        <f>'Modell - Tunga fordon'!AH7</f>
        <v>1.1975304347826086</v>
      </c>
      <c r="E11" s="480">
        <f>'Modell - Tunga fordon'!AI7</f>
        <v>1.4034</v>
      </c>
      <c r="F11" s="479">
        <f>'Modell - Tunga fordon'!AJ7</f>
        <v>1.1975304347826086</v>
      </c>
      <c r="G11" s="481">
        <f>'Modell - Tunga fordon'!AK7</f>
        <v>1.4034</v>
      </c>
      <c r="H11" s="482">
        <f>'Modell - Tunga fordon'!AL7</f>
        <v>1.1975304347826086</v>
      </c>
      <c r="I11" s="481">
        <f>'Modell - Tunga fordon'!AM7</f>
        <v>1.4034</v>
      </c>
    </row>
    <row r="12" spans="1:17" x14ac:dyDescent="0.25">
      <c r="A12" s="605" t="s">
        <v>38</v>
      </c>
      <c r="B12" s="292" t="s">
        <v>102</v>
      </c>
      <c r="C12" s="292" t="s">
        <v>39</v>
      </c>
      <c r="D12" s="471">
        <f>'Modell - Lätta fordon'!AH13</f>
        <v>0.60765334265455651</v>
      </c>
      <c r="E12" s="472">
        <f>'Modell - Lätta fordon'!AI13</f>
        <v>0.49219920755019081</v>
      </c>
      <c r="F12" s="471">
        <f>'Modell - Lätta fordon'!AJ13</f>
        <v>0.6057706942191089</v>
      </c>
      <c r="G12" s="473">
        <f>'Modell - Lätta fordon'!AK13</f>
        <v>0.48737280657399518</v>
      </c>
      <c r="H12" s="474">
        <f>'Modell - Lätta fordon'!AL13</f>
        <v>0.60320685938821639</v>
      </c>
      <c r="I12" s="473">
        <f>'Modell - Lätta fordon'!AM13</f>
        <v>0.48737280657399518</v>
      </c>
    </row>
    <row r="13" spans="1:17" x14ac:dyDescent="0.25">
      <c r="A13" s="607"/>
      <c r="B13" s="293" t="s">
        <v>103</v>
      </c>
      <c r="C13" s="293" t="s">
        <v>39</v>
      </c>
      <c r="D13" s="475">
        <f>'Modell - Lätta fordon'!AH14</f>
        <v>0.60691454404542722</v>
      </c>
      <c r="E13" s="476">
        <f>'Modell - Lätta fordon'!AI14</f>
        <v>0.49160078067679608</v>
      </c>
      <c r="F13" s="475">
        <f>'Modell - Lätta fordon'!AJ14</f>
        <v>0.60503418457631608</v>
      </c>
      <c r="G13" s="477">
        <f>'Modell - Lätta fordon'!AK14</f>
        <v>0.4867802477475246</v>
      </c>
      <c r="H13" s="478">
        <f>'Modell - Lätta fordon'!AL14</f>
        <v>0.60247346691350967</v>
      </c>
      <c r="I13" s="477">
        <f>'Modell - Lätta fordon'!AM14</f>
        <v>0.4867802477475246</v>
      </c>
      <c r="J13" s="381"/>
    </row>
    <row r="14" spans="1:17" x14ac:dyDescent="0.25">
      <c r="A14" s="607"/>
      <c r="B14" s="293" t="s">
        <v>104</v>
      </c>
      <c r="C14" s="293" t="s">
        <v>40</v>
      </c>
      <c r="D14" s="475">
        <f>'Modell - Lätta fordon'!AH15</f>
        <v>1.6150000000000002</v>
      </c>
      <c r="E14" s="476">
        <f>'Modell - Lätta fordon'!AI15</f>
        <v>1.6150000000000002</v>
      </c>
      <c r="F14" s="475">
        <f>'Modell - Lätta fordon'!AJ15</f>
        <v>1.6150000000000002</v>
      </c>
      <c r="G14" s="477">
        <f>'Modell - Lätta fordon'!AK15</f>
        <v>1.6150000000000002</v>
      </c>
      <c r="H14" s="478">
        <f>'Modell - Lätta fordon'!AL15</f>
        <v>1.6150000000000002</v>
      </c>
      <c r="I14" s="477">
        <f>'Modell - Lätta fordon'!AM15</f>
        <v>1.6150000000000002</v>
      </c>
    </row>
    <row r="15" spans="1:17" x14ac:dyDescent="0.25">
      <c r="A15" s="607"/>
      <c r="B15" s="293" t="s">
        <v>359</v>
      </c>
      <c r="C15" s="293" t="s">
        <v>39</v>
      </c>
      <c r="D15" s="483">
        <f>'Modell - Tunga fordon'!AH15</f>
        <v>2.635417410126252</v>
      </c>
      <c r="E15" s="476">
        <f>'Modell - Tunga fordon'!AI15</f>
        <v>2.1041206963133314</v>
      </c>
      <c r="F15" s="475">
        <f>'Modell - Tunga fordon'!AJ15</f>
        <v>2.619116556182119</v>
      </c>
      <c r="G15" s="477">
        <f>'Modell - Tunga fordon'!AK15</f>
        <v>2.127495351626326</v>
      </c>
      <c r="H15" s="478">
        <f>'Modell - Tunga fordon'!AL15</f>
        <v>2.6756106899982623</v>
      </c>
      <c r="I15" s="477">
        <f>'Modell - Tunga fordon'!AM15</f>
        <v>2.127495351626326</v>
      </c>
    </row>
    <row r="16" spans="1:17" ht="15.75" thickBot="1" x14ac:dyDescent="0.3">
      <c r="A16" s="606"/>
      <c r="B16" s="294" t="s">
        <v>323</v>
      </c>
      <c r="C16" s="294" t="s">
        <v>40</v>
      </c>
      <c r="D16" s="479">
        <f>'Modell - Tunga fordon'!AH16</f>
        <v>8.4732522945626005</v>
      </c>
      <c r="E16" s="480">
        <f>'Modell - Tunga fordon'!AI16</f>
        <v>8.4732522945626005</v>
      </c>
      <c r="F16" s="479">
        <f>'Modell - Tunga fordon'!AJ16</f>
        <v>8.4732522945626005</v>
      </c>
      <c r="G16" s="481">
        <f>'Modell - Tunga fordon'!AK16</f>
        <v>8.4732522945626005</v>
      </c>
      <c r="H16" s="482">
        <f>'Modell - Tunga fordon'!AL16</f>
        <v>8.4732522945626005</v>
      </c>
      <c r="I16" s="481">
        <f>'Modell - Tunga fordon'!AM16</f>
        <v>8.4732522945626005</v>
      </c>
    </row>
    <row r="17" spans="1:11" x14ac:dyDescent="0.25">
      <c r="A17" s="605" t="s">
        <v>21</v>
      </c>
      <c r="B17" s="292" t="s">
        <v>187</v>
      </c>
      <c r="C17" s="292" t="s">
        <v>74</v>
      </c>
      <c r="D17" s="471">
        <f>'Modell - Lätta fordon'!AH24</f>
        <v>0</v>
      </c>
      <c r="E17" s="472">
        <f>'Modell - Lätta fordon'!AI24</f>
        <v>0</v>
      </c>
      <c r="F17" s="471">
        <f>'Modell - Lätta fordon'!AJ24</f>
        <v>35.597506644260328</v>
      </c>
      <c r="G17" s="473">
        <f>'Modell - Lätta fordon'!AK24</f>
        <v>0</v>
      </c>
      <c r="H17" s="474">
        <f>'Modell - Lätta fordon'!AL24</f>
        <v>0</v>
      </c>
      <c r="I17" s="473">
        <f>'Modell - Lätta fordon'!AM24</f>
        <v>0</v>
      </c>
    </row>
    <row r="18" spans="1:11" ht="15.75" thickBot="1" x14ac:dyDescent="0.3">
      <c r="A18" s="606"/>
      <c r="B18" s="294" t="s">
        <v>324</v>
      </c>
      <c r="C18" s="294" t="s">
        <v>74</v>
      </c>
      <c r="D18" s="479">
        <f>'Modell - Tunga fordon'!AH29</f>
        <v>0</v>
      </c>
      <c r="E18" s="480">
        <f>'Modell - Tunga fordon'!AI29</f>
        <v>0</v>
      </c>
      <c r="F18" s="479">
        <f>'Modell - Tunga fordon'!AJ29</f>
        <v>35.041693098526949</v>
      </c>
      <c r="G18" s="481">
        <f>'Modell - Tunga fordon'!AK29</f>
        <v>0</v>
      </c>
      <c r="H18" s="482">
        <f>'Modell - Tunga fordon'!AL29</f>
        <v>0</v>
      </c>
      <c r="I18" s="481">
        <f>'Modell - Tunga fordon'!AM29</f>
        <v>0</v>
      </c>
    </row>
    <row r="19" spans="1:11" ht="15.75" thickBot="1" x14ac:dyDescent="0.3">
      <c r="A19" s="384" t="s">
        <v>75</v>
      </c>
      <c r="B19" s="292" t="s">
        <v>187</v>
      </c>
      <c r="C19" s="292" t="s">
        <v>74</v>
      </c>
      <c r="D19" s="471">
        <f>'Modell - Lätta fordon'!AH29</f>
        <v>10.009999999999998</v>
      </c>
      <c r="E19" s="472">
        <f>'Modell - Lätta fordon'!AI29</f>
        <v>10.009999999999998</v>
      </c>
      <c r="F19" s="471">
        <f>'Modell - Lätta fordon'!AJ29</f>
        <v>10.009999999999998</v>
      </c>
      <c r="G19" s="473">
        <f>'Modell - Lätta fordon'!AK29</f>
        <v>10.009999999999998</v>
      </c>
      <c r="H19" s="474">
        <f>'Modell - Lätta fordon'!AL29</f>
        <v>10.009999999999998</v>
      </c>
      <c r="I19" s="473">
        <f>'Modell - Lätta fordon'!AM29</f>
        <v>10.009999999999998</v>
      </c>
    </row>
    <row r="20" spans="1:11" x14ac:dyDescent="0.25">
      <c r="A20" s="605" t="s">
        <v>77</v>
      </c>
      <c r="B20" s="292" t="s">
        <v>102</v>
      </c>
      <c r="C20" s="292" t="s">
        <v>74</v>
      </c>
      <c r="D20" s="484">
        <f>'Modell - Lätta fordon'!AH40</f>
        <v>20.894137307914438</v>
      </c>
      <c r="E20" s="485">
        <f>'Modell - Lätta fordon'!AI40</f>
        <v>20.490767763608162</v>
      </c>
      <c r="F20" s="471">
        <f>'Modell - Lätta fordon'!AJ40</f>
        <v>58.437124095530415</v>
      </c>
      <c r="G20" s="473">
        <f>'Modell - Lätta fordon'!AK40</f>
        <v>23.329659844074406</v>
      </c>
      <c r="H20" s="474">
        <f>'Modell - Lätta fordon'!AL40</f>
        <v>23.317333525162283</v>
      </c>
      <c r="I20" s="473">
        <f>'Modell - Lätta fordon'!AM40</f>
        <v>23.329659844074406</v>
      </c>
      <c r="J20" s="395"/>
      <c r="K20" s="428">
        <f>AVERAGE(I20:I21)</f>
        <v>22.728606282696809</v>
      </c>
    </row>
    <row r="21" spans="1:11" x14ac:dyDescent="0.25">
      <c r="A21" s="607"/>
      <c r="B21" s="293" t="s">
        <v>103</v>
      </c>
      <c r="C21" s="293" t="s">
        <v>74</v>
      </c>
      <c r="D21" s="483">
        <f>'Modell - Lätta fordon'!AH41</f>
        <v>21.583355544123954</v>
      </c>
      <c r="E21" s="486">
        <f>'Modell - Lätta fordon'!AI41</f>
        <v>21.099103565816492</v>
      </c>
      <c r="F21" s="475">
        <f>'Modell - Lätta fordon'!AJ41</f>
        <v>56.639210863000059</v>
      </c>
      <c r="G21" s="477">
        <f>'Modell - Lätta fordon'!AK41</f>
        <v>22.127552721319212</v>
      </c>
      <c r="H21" s="478">
        <f>'Modell - Lätta fordon'!AL41</f>
        <v>22.319170583515699</v>
      </c>
      <c r="I21" s="477">
        <f>'Modell - Lätta fordon'!AM41</f>
        <v>22.127552721319212</v>
      </c>
    </row>
    <row r="22" spans="1:11" x14ac:dyDescent="0.25">
      <c r="A22" s="607"/>
      <c r="B22" s="293" t="s">
        <v>104</v>
      </c>
      <c r="C22" s="293" t="s">
        <v>74</v>
      </c>
      <c r="D22" s="483">
        <f>'Modell - Lätta fordon'!AH42</f>
        <v>15.615515788043478</v>
      </c>
      <c r="E22" s="486">
        <f>'Modell - Lätta fordon'!AI42</f>
        <v>16.728198124999999</v>
      </c>
      <c r="F22" s="475">
        <f>'Modell - Lätta fordon'!AJ42</f>
        <v>51.213022432303802</v>
      </c>
      <c r="G22" s="477">
        <f>'Modell - Lätta fordon'!AK42</f>
        <v>16.728198124999999</v>
      </c>
      <c r="H22" s="478">
        <f>'Modell - Lätta fordon'!AL42</f>
        <v>15.615515788043478</v>
      </c>
      <c r="I22" s="477">
        <f>'Modell - Lätta fordon'!AM42</f>
        <v>16.728198124999999</v>
      </c>
    </row>
    <row r="23" spans="1:11" x14ac:dyDescent="0.25">
      <c r="A23" s="607"/>
      <c r="B23" s="391" t="s">
        <v>183</v>
      </c>
      <c r="C23" s="391" t="s">
        <v>74</v>
      </c>
      <c r="D23" s="487">
        <f>'Modell - Lätta fordon'!AH43</f>
        <v>20.74</v>
      </c>
      <c r="E23" s="488">
        <f>'Modell - Lätta fordon'!AI43</f>
        <v>19.655019213344737</v>
      </c>
      <c r="F23" s="487">
        <f>'Modell - Lätta fordon'!AJ43</f>
        <v>55.851154597105086</v>
      </c>
      <c r="G23" s="489">
        <f>'Modell - Lätta fordon'!AK43</f>
        <v>18.645576333860962</v>
      </c>
      <c r="H23" s="490">
        <f>'Modell - Lätta fordon'!AL43</f>
        <v>20.878700517066314</v>
      </c>
      <c r="I23" s="489">
        <f>'Modell - Lätta fordon'!AM43</f>
        <v>18.645576333860962</v>
      </c>
    </row>
    <row r="24" spans="1:11" x14ac:dyDescent="0.25">
      <c r="A24" s="607"/>
      <c r="B24" s="293" t="s">
        <v>359</v>
      </c>
      <c r="C24" s="293" t="s">
        <v>74</v>
      </c>
      <c r="D24" s="475">
        <f>'Modell - Tunga fordon'!AH57</f>
        <v>35.490307374660375</v>
      </c>
      <c r="E24" s="476">
        <f>'Modell - Tunga fordon'!AI57</f>
        <v>34.402706147722967</v>
      </c>
      <c r="F24" s="475">
        <f>'Modell - Tunga fordon'!AJ57</f>
        <v>67.545933608490131</v>
      </c>
      <c r="G24" s="477">
        <f>'Modell - Tunga fordon'!AK57</f>
        <v>40.766203253780787</v>
      </c>
      <c r="H24" s="478">
        <f>'Modell - Tunga fordon'!AL57</f>
        <v>40.635778928674441</v>
      </c>
      <c r="I24" s="477">
        <f>'Modell - Tunga fordon'!AM57</f>
        <v>40.766203253780787</v>
      </c>
    </row>
    <row r="25" spans="1:11" x14ac:dyDescent="0.25">
      <c r="A25" s="607"/>
      <c r="B25" s="293" t="s">
        <v>323</v>
      </c>
      <c r="C25" s="293" t="s">
        <v>74</v>
      </c>
      <c r="D25" s="491">
        <f>'Modell - Tunga fordon'!AH62</f>
        <v>13.285707796139762</v>
      </c>
      <c r="E25" s="492">
        <f>'Modell - Tunga fordon'!AI62</f>
        <v>15.569677211992742</v>
      </c>
      <c r="F25" s="491">
        <f>'Modell - Tunga fordon'!AJ62</f>
        <v>51.889866545940592</v>
      </c>
      <c r="G25" s="493">
        <f>'Modell - Tunga fordon'!AK62</f>
        <v>18.184705404944559</v>
      </c>
      <c r="H25" s="494">
        <f>'Modell - Tunga fordon'!AL62</f>
        <v>14.000681315822149</v>
      </c>
      <c r="I25" s="493">
        <f>'Modell - Tunga fordon'!AM62</f>
        <v>18.184705404944559</v>
      </c>
    </row>
    <row r="26" spans="1:11" ht="15.75" thickBot="1" x14ac:dyDescent="0.3">
      <c r="A26" s="606"/>
      <c r="B26" s="392" t="s">
        <v>360</v>
      </c>
      <c r="C26" s="392" t="s">
        <v>74</v>
      </c>
      <c r="D26" s="495">
        <f>'Modell - Tunga fordon'!AH67</f>
        <v>34.937599644545195</v>
      </c>
      <c r="E26" s="496">
        <f>'Modell - Tunga fordon'!AI67</f>
        <v>32.527570207990898</v>
      </c>
      <c r="F26" s="495">
        <f>'Modell - Tunga fordon'!AJ67</f>
        <v>65.980326902235177</v>
      </c>
      <c r="G26" s="429">
        <f>'Modell - Tunga fordon'!AK67</f>
        <v>34.096696804993876</v>
      </c>
      <c r="H26" s="427">
        <f>'Modell - Tunga fordon'!AL67</f>
        <v>37.981509427721036</v>
      </c>
      <c r="I26" s="429">
        <f>'Modell - Tunga fordon'!AM67</f>
        <v>34.096696804993876</v>
      </c>
    </row>
    <row r="27" spans="1:11" x14ac:dyDescent="0.25">
      <c r="A27" s="605" t="s">
        <v>17</v>
      </c>
      <c r="B27" s="292" t="s">
        <v>102</v>
      </c>
      <c r="C27" s="292" t="s">
        <v>36</v>
      </c>
      <c r="D27" s="471">
        <f>'Modell - Lätta fordon'!AH34</f>
        <v>34.972878293330716</v>
      </c>
      <c r="E27" s="472">
        <f>'Modell - Lätta fordon'!AI34</f>
        <v>30.959435389109224</v>
      </c>
      <c r="F27" s="471">
        <f>'Modell - Lätta fordon'!AJ34</f>
        <v>17.265713511803273</v>
      </c>
      <c r="G27" s="473">
        <f>'Modell - Lätta fordon'!AK34</f>
        <v>17.107176973052372</v>
      </c>
      <c r="H27" s="474">
        <f>'Modell - Lätta fordon'!AL34</f>
        <v>31.174922862957221</v>
      </c>
      <c r="I27" s="473">
        <f>'Modell - Lätta fordon'!AM34</f>
        <v>17.107176973052372</v>
      </c>
      <c r="J27" s="381"/>
    </row>
    <row r="28" spans="1:11" x14ac:dyDescent="0.25">
      <c r="A28" s="607"/>
      <c r="B28" s="293" t="s">
        <v>103</v>
      </c>
      <c r="C28" s="293" t="s">
        <v>36</v>
      </c>
      <c r="D28" s="567">
        <f>'Modell - Lätta fordon'!AH35</f>
        <v>37.395523495653713</v>
      </c>
      <c r="E28" s="568">
        <f>'Modell - Lätta fordon'!AI35</f>
        <v>31.203723370836126</v>
      </c>
      <c r="F28" s="567">
        <f>'Modell - Lätta fordon'!AJ35</f>
        <v>18.46174598168524</v>
      </c>
      <c r="G28" s="569">
        <f>'Modell - Lätta fordon'!AK35</f>
        <v>15.23925117944248</v>
      </c>
      <c r="H28" s="570">
        <f>'Modell - Lätta fordon'!AL35</f>
        <v>33.334475664796116</v>
      </c>
      <c r="I28" s="569">
        <f>'Modell - Lätta fordon'!AM35</f>
        <v>15.23925117944248</v>
      </c>
      <c r="J28" s="381"/>
    </row>
    <row r="29" spans="1:11" x14ac:dyDescent="0.25">
      <c r="A29" s="607"/>
      <c r="B29" s="293" t="s">
        <v>104</v>
      </c>
      <c r="C29" s="293" t="s">
        <v>36</v>
      </c>
      <c r="D29" s="567">
        <f>'Modell - Lätta fordon'!AH36</f>
        <v>15.885746734167313</v>
      </c>
      <c r="E29" s="568">
        <f>'Modell - Lätta fordon'!AI36</f>
        <v>38.100000530289087</v>
      </c>
      <c r="F29" s="567">
        <f>'Modell - Lätta fordon'!AJ36</f>
        <v>12.76322041005022</v>
      </c>
      <c r="G29" s="569">
        <f>'Modell - Lätta fordon'!AK36</f>
        <v>69.466815529455232</v>
      </c>
      <c r="H29" s="570">
        <f>'Modell - Lätta fordon'!AL36</f>
        <v>23.567766795334769</v>
      </c>
      <c r="I29" s="569">
        <f>'Modell - Lätta fordon'!AM36</f>
        <v>69.466815529455232</v>
      </c>
      <c r="J29" s="381"/>
    </row>
    <row r="30" spans="1:11" x14ac:dyDescent="0.25">
      <c r="A30" s="607"/>
      <c r="B30" s="391" t="s">
        <v>105</v>
      </c>
      <c r="C30" s="391" t="s">
        <v>36</v>
      </c>
      <c r="D30" s="566">
        <f>'Modell - Lätta fordon'!AH37</f>
        <v>88.254148523151741</v>
      </c>
      <c r="E30" s="571">
        <f>'Modell - Lätta fordon'!AI37</f>
        <v>100.26315929023443</v>
      </c>
      <c r="F30" s="572">
        <f>'Modell - Lätta fordon'!AJ37</f>
        <v>48.490679903538734</v>
      </c>
      <c r="G30" s="573">
        <f>'Modell - Lätta fordon'!AK37</f>
        <v>101.81324368195008</v>
      </c>
      <c r="H30" s="574">
        <f>'Modell - Lätta fordon'!AL37</f>
        <v>88.07716532308811</v>
      </c>
      <c r="I30" s="573">
        <f>'Modell - Lätta fordon'!AM37</f>
        <v>101.81324368195008</v>
      </c>
    </row>
    <row r="31" spans="1:11" x14ac:dyDescent="0.25">
      <c r="A31" s="607"/>
      <c r="B31" s="293" t="s">
        <v>361</v>
      </c>
      <c r="C31" s="293" t="s">
        <v>36</v>
      </c>
      <c r="D31" s="567">
        <f>'Modell - Tunga fordon'!AH40</f>
        <v>5.82858707873166</v>
      </c>
      <c r="E31" s="568">
        <f>'Modell - Tunga fordon'!AI40</f>
        <v>6.347123102640456</v>
      </c>
      <c r="F31" s="567">
        <f>'Modell - Tunga fordon'!AJ40</f>
        <v>4.3280558970574772</v>
      </c>
      <c r="G31" s="569">
        <f>'Modell - Tunga fordon'!AK40</f>
        <v>4.9143184095027799</v>
      </c>
      <c r="H31" s="570">
        <f>'Modell - Tunga fordon'!AL40</f>
        <v>5.2785567722879474</v>
      </c>
      <c r="I31" s="569">
        <f>'Modell - Tunga fordon'!AM40</f>
        <v>4.9143184095027799</v>
      </c>
      <c r="J31" s="381"/>
    </row>
    <row r="32" spans="1:11" x14ac:dyDescent="0.25">
      <c r="A32" s="607"/>
      <c r="B32" s="293" t="s">
        <v>323</v>
      </c>
      <c r="C32" s="293" t="s">
        <v>36</v>
      </c>
      <c r="D32" s="575">
        <f>'Modell - Tunga fordon'!AH45</f>
        <v>0.14878631191304731</v>
      </c>
      <c r="E32" s="576">
        <f>'Modell - Tunga fordon'!AI45</f>
        <v>0.70183947065083352</v>
      </c>
      <c r="F32" s="575">
        <f>'Modell - Tunga fordon'!AJ45</f>
        <v>0.48089509967305311</v>
      </c>
      <c r="G32" s="577">
        <f>'Modell - Tunga fordon'!AK45</f>
        <v>2.059835095402923</v>
      </c>
      <c r="H32" s="578">
        <f>'Modell - Tunga fordon'!AL45</f>
        <v>0.5842463898393524</v>
      </c>
      <c r="I32" s="577">
        <f>'Modell - Tunga fordon'!AM45</f>
        <v>2.059835095402923</v>
      </c>
      <c r="J32" s="381"/>
    </row>
    <row r="33" spans="1:10" x14ac:dyDescent="0.25">
      <c r="A33" s="607"/>
      <c r="B33" s="391" t="s">
        <v>362</v>
      </c>
      <c r="C33" s="391" t="s">
        <v>36</v>
      </c>
      <c r="D33" s="566">
        <f>'Modell - Tunga fordon'!AH50</f>
        <v>5.9773733906447069</v>
      </c>
      <c r="E33" s="571">
        <f>'Modell - Tunga fordon'!AI50</f>
        <v>7.0489625732912895</v>
      </c>
      <c r="F33" s="566">
        <f>'Modell - Tunga fordon'!AJ50</f>
        <v>4.8089509967305304</v>
      </c>
      <c r="G33" s="573">
        <f>'Modell - Tunga fordon'!AK50</f>
        <v>6.9741535049057024</v>
      </c>
      <c r="H33" s="574">
        <f>'Modell - Tunga fordon'!AL50</f>
        <v>5.8628031621272996</v>
      </c>
      <c r="I33" s="573">
        <f>'Modell - Tunga fordon'!AM50</f>
        <v>6.9741535049057024</v>
      </c>
      <c r="J33" s="381"/>
    </row>
    <row r="34" spans="1:10" ht="15.75" thickBot="1" x14ac:dyDescent="0.3">
      <c r="A34" s="606"/>
      <c r="B34" s="392" t="s">
        <v>339</v>
      </c>
      <c r="C34" s="392" t="s">
        <v>36</v>
      </c>
      <c r="D34" s="579">
        <f>D30+D33</f>
        <v>94.231521913796442</v>
      </c>
      <c r="E34" s="580">
        <f t="shared" ref="E34:I34" si="0">E30+E33</f>
        <v>107.31212186352572</v>
      </c>
      <c r="F34" s="579">
        <f t="shared" si="0"/>
        <v>53.299630900269264</v>
      </c>
      <c r="G34" s="581">
        <f>G30+G33</f>
        <v>108.78739718685578</v>
      </c>
      <c r="H34" s="582">
        <f t="shared" si="0"/>
        <v>93.939968485215417</v>
      </c>
      <c r="I34" s="581">
        <f t="shared" si="0"/>
        <v>108.78739718685578</v>
      </c>
      <c r="J34" s="381"/>
    </row>
    <row r="35" spans="1:10" x14ac:dyDescent="0.25">
      <c r="A35" s="607" t="s">
        <v>290</v>
      </c>
      <c r="B35" s="293" t="s">
        <v>187</v>
      </c>
      <c r="C35" s="293" t="s">
        <v>19</v>
      </c>
      <c r="D35" s="101">
        <f>D29/D30</f>
        <v>0.18</v>
      </c>
      <c r="E35" s="102">
        <f t="shared" ref="E35:I35" si="1">E29/E30</f>
        <v>0.38000000000000006</v>
      </c>
      <c r="F35" s="101">
        <f t="shared" si="1"/>
        <v>0.2632097639265889</v>
      </c>
      <c r="G35" s="103">
        <f t="shared" si="1"/>
        <v>0.68229645787987625</v>
      </c>
      <c r="H35" s="104">
        <f t="shared" si="1"/>
        <v>0.26758089578476513</v>
      </c>
      <c r="I35" s="103">
        <f t="shared" si="1"/>
        <v>0.68229645787987625</v>
      </c>
    </row>
    <row r="36" spans="1:10" ht="15.75" thickBot="1" x14ac:dyDescent="0.3">
      <c r="A36" s="606"/>
      <c r="B36" s="294" t="s">
        <v>324</v>
      </c>
      <c r="C36" s="294" t="s">
        <v>19</v>
      </c>
      <c r="D36" s="512">
        <f t="shared" ref="D36:I36" si="2">D32/D33</f>
        <v>2.4891587356064355E-2</v>
      </c>
      <c r="E36" s="513">
        <f>E32/E33</f>
        <v>9.9566349424257447E-2</v>
      </c>
      <c r="F36" s="98">
        <f t="shared" si="2"/>
        <v>0.10000000000000002</v>
      </c>
      <c r="G36" s="99">
        <f t="shared" si="2"/>
        <v>0.29535270394521868</v>
      </c>
      <c r="H36" s="100">
        <f t="shared" si="2"/>
        <v>9.9653079539405928E-2</v>
      </c>
      <c r="I36" s="99">
        <f t="shared" si="2"/>
        <v>0.29535270394521868</v>
      </c>
    </row>
    <row r="37" spans="1:10" x14ac:dyDescent="0.25">
      <c r="A37" s="611" t="s">
        <v>279</v>
      </c>
      <c r="B37" s="292" t="s">
        <v>187</v>
      </c>
      <c r="C37" s="292" t="s">
        <v>191</v>
      </c>
      <c r="D37" s="498">
        <f>'Modell - Lätta fordon'!AH56</f>
        <v>8.5592112689865587</v>
      </c>
      <c r="E37" s="499">
        <f>'Modell - Lätta fordon'!AI56</f>
        <v>5.9759870461019826</v>
      </c>
      <c r="F37" s="498">
        <f>'Modell - Lätta fordon'!AJ56</f>
        <v>3.6181361344564054</v>
      </c>
      <c r="G37" s="499">
        <f>'Modell - Lätta fordon'!AK56</f>
        <v>1.1042381898062295</v>
      </c>
      <c r="H37" s="498">
        <f>'Modell - Lätta fordon'!AL56</f>
        <v>4.0640561713934646</v>
      </c>
      <c r="I37" s="499">
        <f>'Modell - Lätta fordon'!AM56</f>
        <v>1.1042381898062295</v>
      </c>
    </row>
    <row r="38" spans="1:10" x14ac:dyDescent="0.25">
      <c r="A38" s="612"/>
      <c r="B38" s="293" t="s">
        <v>324</v>
      </c>
      <c r="C38" s="293" t="s">
        <v>191</v>
      </c>
      <c r="D38" s="500">
        <f>'Modell - Tunga fordon'!AH73</f>
        <v>2.6531104436628112</v>
      </c>
      <c r="E38" s="501">
        <f>'Modell - Tunga fordon'!AI73</f>
        <v>2.3066951315773201</v>
      </c>
      <c r="F38" s="500">
        <f>'Modell - Tunga fordon'!AJ73</f>
        <v>2.3820737793163258</v>
      </c>
      <c r="G38" s="501">
        <f>'Modell - Tunga fordon'!AK73</f>
        <v>0.80199668173721306</v>
      </c>
      <c r="H38" s="500">
        <f>'Modell - Tunga fordon'!AL73</f>
        <v>1.5784270407993444</v>
      </c>
      <c r="I38" s="501">
        <f>'Modell - Tunga fordon'!AM73</f>
        <v>0.80199668173721306</v>
      </c>
    </row>
    <row r="39" spans="1:10" x14ac:dyDescent="0.25">
      <c r="A39" s="612"/>
      <c r="B39" s="293" t="s">
        <v>315</v>
      </c>
      <c r="C39" s="293" t="s">
        <v>191</v>
      </c>
      <c r="D39" s="514">
        <v>0</v>
      </c>
      <c r="E39" s="515">
        <v>0</v>
      </c>
      <c r="F39" s="514">
        <v>0</v>
      </c>
      <c r="G39" s="515">
        <v>0</v>
      </c>
      <c r="H39" s="514">
        <v>0</v>
      </c>
      <c r="I39" s="515">
        <v>0</v>
      </c>
    </row>
    <row r="40" spans="1:10" x14ac:dyDescent="0.25">
      <c r="A40" s="612"/>
      <c r="B40" s="391" t="s">
        <v>16</v>
      </c>
      <c r="C40" s="391" t="s">
        <v>191</v>
      </c>
      <c r="D40" s="502">
        <f>SUM(D37:D39)</f>
        <v>11.21232171264937</v>
      </c>
      <c r="E40" s="503">
        <f t="shared" ref="E40:I40" si="3">SUM(E37:E39)</f>
        <v>8.2826821776793018</v>
      </c>
      <c r="F40" s="502">
        <f t="shared" si="3"/>
        <v>6.0002099137727312</v>
      </c>
      <c r="G40" s="503">
        <f>SUM(G37:G39)</f>
        <v>1.9062348715434425</v>
      </c>
      <c r="H40" s="502">
        <f t="shared" si="3"/>
        <v>5.6424832121928095</v>
      </c>
      <c r="I40" s="503">
        <f t="shared" si="3"/>
        <v>1.9062348715434425</v>
      </c>
    </row>
    <row r="41" spans="1:10" ht="15.75" thickBot="1" x14ac:dyDescent="0.3">
      <c r="A41" s="612"/>
      <c r="B41" s="518" t="s">
        <v>363</v>
      </c>
      <c r="C41" s="518" t="s">
        <v>25</v>
      </c>
      <c r="D41" s="519">
        <f>D40/SUM('Indata - Utsläpp'!$B$15:$B$17)-1</f>
        <v>-0.40662988396224764</v>
      </c>
      <c r="E41" s="520">
        <f>E40/SUM('Indata - Utsläpp'!$B$15:$B$17)-1</f>
        <v>-0.56167007950469405</v>
      </c>
      <c r="F41" s="516">
        <f>F40/SUM('Indata - Utsläpp'!$B$15:$B$17)-1</f>
        <v>-0.68246137204843715</v>
      </c>
      <c r="G41" s="517">
        <f>G40/SUM('Indata - Utsläpp'!$B$15:$B$17)-1</f>
        <v>-0.89911966175151126</v>
      </c>
      <c r="H41" s="516">
        <f>H40/SUM('Indata - Utsläpp'!$B$15:$B$17)-1</f>
        <v>-0.70139271739030429</v>
      </c>
      <c r="I41" s="517">
        <f>I40/SUM('Indata - Utsläpp'!$B$15:$B$17)-1</f>
        <v>-0.89911966175151126</v>
      </c>
    </row>
    <row r="42" spans="1:10" x14ac:dyDescent="0.25">
      <c r="A42" s="605" t="s">
        <v>276</v>
      </c>
      <c r="B42" s="292" t="s">
        <v>187</v>
      </c>
      <c r="C42" s="292" t="s">
        <v>325</v>
      </c>
      <c r="D42" s="498">
        <f>'Modell - Lätta fordon'!AH60</f>
        <v>7.8686899346495895</v>
      </c>
      <c r="E42" s="499">
        <f>'Modell - Lätta fordon'!AI60</f>
        <v>4.5136452357014782</v>
      </c>
      <c r="F42" s="498">
        <f>'Modell - Lätta fordon'!AJ60</f>
        <v>3.884683010227898</v>
      </c>
      <c r="G42" s="499">
        <f>'Modell - Lätta fordon'!AK60</f>
        <v>2.2899378725328496</v>
      </c>
      <c r="H42" s="498">
        <f>'Modell - Lätta fordon'!AL60</f>
        <v>7.0141725164213433</v>
      </c>
      <c r="I42" s="499">
        <f>'Modell - Lätta fordon'!AM60</f>
        <v>2.2899378725328496</v>
      </c>
    </row>
    <row r="43" spans="1:10" x14ac:dyDescent="0.25">
      <c r="A43" s="607"/>
      <c r="B43" s="293" t="s">
        <v>324</v>
      </c>
      <c r="C43" s="293" t="s">
        <v>325</v>
      </c>
      <c r="D43" s="500">
        <f>'Modell - Tunga fordon'!AH76</f>
        <v>1.9535949121051688</v>
      </c>
      <c r="E43" s="501">
        <f>'Modell - Tunga fordon'!AI76</f>
        <v>1.8174256876650472</v>
      </c>
      <c r="F43" s="500">
        <f>'Modell - Tunga fordon'!AJ76</f>
        <v>1.450654826905011</v>
      </c>
      <c r="G43" s="501">
        <f>'Modell - Tunga fordon'!AK76</f>
        <v>1.4071585457480809</v>
      </c>
      <c r="H43" s="500">
        <f>'Modell - Tunga fordon'!AL76</f>
        <v>1.7692386704195922</v>
      </c>
      <c r="I43" s="501">
        <f>'Modell - Tunga fordon'!AM76</f>
        <v>1.4071585457480809</v>
      </c>
      <c r="J43" s="381"/>
    </row>
    <row r="44" spans="1:10" x14ac:dyDescent="0.25">
      <c r="A44" s="607"/>
      <c r="B44" s="391" t="s">
        <v>16</v>
      </c>
      <c r="C44" s="391" t="s">
        <v>325</v>
      </c>
      <c r="D44" s="502">
        <f t="shared" ref="D44:I44" si="4">SUM(D42:D43)</f>
        <v>9.8222848467547585</v>
      </c>
      <c r="E44" s="503">
        <f t="shared" si="4"/>
        <v>6.331070923366525</v>
      </c>
      <c r="F44" s="502">
        <f t="shared" si="4"/>
        <v>5.3353378371329088</v>
      </c>
      <c r="G44" s="503">
        <f t="shared" si="4"/>
        <v>3.6970964182809305</v>
      </c>
      <c r="H44" s="502">
        <f t="shared" si="4"/>
        <v>8.7834111868409348</v>
      </c>
      <c r="I44" s="503">
        <f t="shared" si="4"/>
        <v>3.6970964182809305</v>
      </c>
      <c r="J44" s="381"/>
    </row>
    <row r="45" spans="1:10" s="381" customFormat="1" ht="15.75" thickBot="1" x14ac:dyDescent="0.3">
      <c r="A45" s="430"/>
      <c r="B45" s="388" t="s">
        <v>363</v>
      </c>
      <c r="C45" s="388" t="s">
        <v>25</v>
      </c>
      <c r="D45" s="516">
        <f>D44/'Indata - Utsläpp'!$B$26-1</f>
        <v>-0.83589785185198895</v>
      </c>
      <c r="E45" s="517">
        <f>E44/'Indata - Utsläpp'!$B$26-1</f>
        <v>-0.89422600191185442</v>
      </c>
      <c r="F45" s="516">
        <f>F44/'Indata - Utsläpp'!$B$26-1</f>
        <v>-0.91086183980317492</v>
      </c>
      <c r="G45" s="517">
        <f>G44/'Indata - Utsläpp'!$B$26-1</f>
        <v>-0.93823214520696063</v>
      </c>
      <c r="H45" s="516">
        <f>H44/'Indata - Utsläpp'!$B$26-1</f>
        <v>-0.8532544447329794</v>
      </c>
      <c r="I45" s="517">
        <f>I44/'Indata - Utsläpp'!$B$26-1</f>
        <v>-0.93823214520696063</v>
      </c>
    </row>
    <row r="46" spans="1:10" x14ac:dyDescent="0.25">
      <c r="A46" s="607" t="s">
        <v>270</v>
      </c>
      <c r="B46" s="293" t="s">
        <v>187</v>
      </c>
      <c r="C46" s="296" t="s">
        <v>325</v>
      </c>
      <c r="D46" s="498">
        <f>'Modell - Lätta fordon'!AH64</f>
        <v>0.12869512966322685</v>
      </c>
      <c r="E46" s="499">
        <f>'Modell - Lätta fordon'!AI64</f>
        <v>0.10441146007308007</v>
      </c>
      <c r="F46" s="498">
        <f>'Modell - Lätta fordon'!AJ64</f>
        <v>6.3535326446190338E-2</v>
      </c>
      <c r="G46" s="499">
        <f>'Modell - Lätta fordon'!AK64</f>
        <v>5.364141237064967E-2</v>
      </c>
      <c r="H46" s="498">
        <f>'Modell - Lätta fordon'!AL64</f>
        <v>0.11471920344784634</v>
      </c>
      <c r="I46" s="499">
        <f>'Modell - Lätta fordon'!AM64</f>
        <v>5.364141237064967E-2</v>
      </c>
      <c r="J46" s="381"/>
    </row>
    <row r="47" spans="1:10" x14ac:dyDescent="0.25">
      <c r="A47" s="607"/>
      <c r="B47" s="293" t="s">
        <v>324</v>
      </c>
      <c r="C47" s="296" t="s">
        <v>325</v>
      </c>
      <c r="D47" s="500">
        <f>'Modell - Tunga fordon'!AH79</f>
        <v>3.1735896971207704E-2</v>
      </c>
      <c r="E47" s="501">
        <f>'Modell - Tunga fordon'!AI79</f>
        <v>2.9309268796168835E-2</v>
      </c>
      <c r="F47" s="500">
        <f>'Modell - Tunga fordon'!AJ79</f>
        <v>2.3565700259647378E-2</v>
      </c>
      <c r="G47" s="501">
        <f>'Modell - Tunga fordon'!AK79</f>
        <v>2.269297079714085E-2</v>
      </c>
      <c r="H47" s="500">
        <f>'Modell - Tunga fordon'!AL79</f>
        <v>2.8741053641160391E-2</v>
      </c>
      <c r="I47" s="501">
        <f>'Modell - Tunga fordon'!AM79</f>
        <v>2.269297079714085E-2</v>
      </c>
      <c r="J47" s="381"/>
    </row>
    <row r="48" spans="1:10" x14ac:dyDescent="0.25">
      <c r="A48" s="607"/>
      <c r="B48" s="391" t="s">
        <v>16</v>
      </c>
      <c r="C48" s="393" t="s">
        <v>325</v>
      </c>
      <c r="D48" s="502">
        <f t="shared" ref="D48:I48" si="5">SUM(D46:D47)</f>
        <v>0.16043102663443456</v>
      </c>
      <c r="E48" s="503">
        <f t="shared" si="5"/>
        <v>0.13372072886924891</v>
      </c>
      <c r="F48" s="502">
        <f t="shared" si="5"/>
        <v>8.710102670583772E-2</v>
      </c>
      <c r="G48" s="503">
        <f t="shared" si="5"/>
        <v>7.6334383167790523E-2</v>
      </c>
      <c r="H48" s="502">
        <f t="shared" si="5"/>
        <v>0.14346025708900673</v>
      </c>
      <c r="I48" s="503">
        <f t="shared" si="5"/>
        <v>7.6334383167790523E-2</v>
      </c>
      <c r="J48" s="381"/>
    </row>
    <row r="49" spans="1:15" s="381" customFormat="1" ht="15.75" thickBot="1" x14ac:dyDescent="0.3">
      <c r="A49" s="431"/>
      <c r="B49" s="388" t="s">
        <v>363</v>
      </c>
      <c r="C49" s="393"/>
      <c r="D49" s="516">
        <f>D48/'Indata - Utsläpp'!$B$24-1</f>
        <v>-0.88501216554297979</v>
      </c>
      <c r="E49" s="517">
        <f>E48/'Indata - Utsläpp'!$B$24-1</f>
        <v>-0.90415658767972418</v>
      </c>
      <c r="F49" s="516">
        <f>F48/'Indata - Utsläpp'!$B$24-1</f>
        <v>-0.93757093842758188</v>
      </c>
      <c r="G49" s="517">
        <f>G48/'Indata - Utsläpp'!$B$24-1</f>
        <v>-0.94528785610106758</v>
      </c>
      <c r="H49" s="516">
        <f>H48/'Indata - Utsläpp'!$B$24-1</f>
        <v>-0.89717584784331517</v>
      </c>
      <c r="I49" s="517">
        <f>I48/'Indata - Utsläpp'!$B$24-1</f>
        <v>-0.94528785610106758</v>
      </c>
    </row>
    <row r="50" spans="1:15" x14ac:dyDescent="0.25">
      <c r="A50" s="605" t="s">
        <v>271</v>
      </c>
      <c r="B50" s="292" t="s">
        <v>187</v>
      </c>
      <c r="C50" s="295" t="s">
        <v>325</v>
      </c>
      <c r="D50" s="498">
        <f>'Modell - Lätta fordon'!AH65</f>
        <v>17.65082970463035</v>
      </c>
      <c r="E50" s="499">
        <f>'Modell - Lätta fordon'!AI65</f>
        <v>20.052631858046887</v>
      </c>
      <c r="F50" s="498">
        <f>'Modell - Lätta fordon'!AJ65</f>
        <v>9.6981359807077467</v>
      </c>
      <c r="G50" s="499">
        <f>'Modell - Lätta fordon'!AK65</f>
        <v>20.362648736390017</v>
      </c>
      <c r="H50" s="498">
        <f>'Modell - Lätta fordon'!AL65</f>
        <v>17.615433064617623</v>
      </c>
      <c r="I50" s="499">
        <f>'Modell - Lätta fordon'!AM65</f>
        <v>20.362648736390017</v>
      </c>
      <c r="J50" s="381"/>
    </row>
    <row r="51" spans="1:15" x14ac:dyDescent="0.25">
      <c r="A51" s="607"/>
      <c r="B51" s="293" t="s">
        <v>324</v>
      </c>
      <c r="C51" s="296" t="s">
        <v>325</v>
      </c>
      <c r="D51" s="500">
        <f>'Modell - Tunga fordon'!AH80</f>
        <v>1.1954746781289414</v>
      </c>
      <c r="E51" s="501">
        <f>'Modell - Tunga fordon'!AI80</f>
        <v>1.4097925146582579</v>
      </c>
      <c r="F51" s="500">
        <f>'Modell - Tunga fordon'!AJ80</f>
        <v>0.9617901993461061</v>
      </c>
      <c r="G51" s="501">
        <f>'Modell - Tunga fordon'!AK80</f>
        <v>1.3948307009811405</v>
      </c>
      <c r="H51" s="500">
        <f>'Modell - Tunga fordon'!AL80</f>
        <v>1.17256063242546</v>
      </c>
      <c r="I51" s="501">
        <f>'Modell - Tunga fordon'!AM80</f>
        <v>1.3948307009811405</v>
      </c>
      <c r="J51" s="381"/>
    </row>
    <row r="52" spans="1:15" x14ac:dyDescent="0.25">
      <c r="A52" s="607"/>
      <c r="B52" s="391" t="s">
        <v>16</v>
      </c>
      <c r="C52" s="393" t="s">
        <v>325</v>
      </c>
      <c r="D52" s="502">
        <f t="shared" ref="D52:I52" si="6">SUM(D50:D51)</f>
        <v>18.846304382759293</v>
      </c>
      <c r="E52" s="503">
        <f t="shared" si="6"/>
        <v>21.462424372705144</v>
      </c>
      <c r="F52" s="502">
        <f t="shared" si="6"/>
        <v>10.659926180053853</v>
      </c>
      <c r="G52" s="503">
        <f t="shared" si="6"/>
        <v>21.75747943737116</v>
      </c>
      <c r="H52" s="502">
        <f>SUM(H50:H51)</f>
        <v>18.787993697043081</v>
      </c>
      <c r="I52" s="503">
        <f t="shared" si="6"/>
        <v>21.75747943737116</v>
      </c>
    </row>
    <row r="53" spans="1:15" s="381" customFormat="1" ht="15.75" thickBot="1" x14ac:dyDescent="0.3">
      <c r="A53" s="431"/>
      <c r="B53" s="518" t="s">
        <v>363</v>
      </c>
      <c r="C53" s="391"/>
      <c r="D53" s="519">
        <f>D52/'Indata - Utsläpp'!$B$25-1</f>
        <v>0.35023459160894221</v>
      </c>
      <c r="E53" s="520">
        <f>E52/'Indata - Utsläpp'!$B$25-1</f>
        <v>0.53766527480728654</v>
      </c>
      <c r="F53" s="519">
        <f>F52/'Indata - Utsläpp'!$B$25-1</f>
        <v>-0.23627461490680091</v>
      </c>
      <c r="G53" s="520">
        <f>G52/'Indata - Utsläpp'!$B$25-1</f>
        <v>0.55880435579899146</v>
      </c>
      <c r="H53" s="519">
        <f>H52/'Indata - Utsläpp'!$B$25-1</f>
        <v>0.3460569500238635</v>
      </c>
      <c r="I53" s="520">
        <f>I52/'Indata - Utsläpp'!$B$25-1</f>
        <v>0.55880435579899146</v>
      </c>
    </row>
    <row r="54" spans="1:15" x14ac:dyDescent="0.25">
      <c r="A54" s="608" t="s">
        <v>130</v>
      </c>
      <c r="B54" s="292" t="s">
        <v>196</v>
      </c>
      <c r="C54" s="292" t="s">
        <v>129</v>
      </c>
      <c r="D54" s="498">
        <f>'Modell - Lätta fordon'!AH73</f>
        <v>33.012893657749572</v>
      </c>
      <c r="E54" s="499">
        <f>'Modell - Lätta fordon'!AI73</f>
        <v>23.049188807249266</v>
      </c>
      <c r="F54" s="498">
        <f>'Modell - Lätta fordon'!AJ73</f>
        <v>13.956769681162738</v>
      </c>
      <c r="G54" s="499">
        <f>'Modell - Lätta fordon'!AK73</f>
        <v>4.2591965796686129</v>
      </c>
      <c r="H54" s="498">
        <f>'Modell - Lätta fordon'!AL73</f>
        <v>15.675967106842108</v>
      </c>
      <c r="I54" s="499">
        <f>'Modell - Lätta fordon'!AM73</f>
        <v>4.2591965796686129</v>
      </c>
      <c r="J54" s="381"/>
    </row>
    <row r="55" spans="1:15" x14ac:dyDescent="0.25">
      <c r="A55" s="609"/>
      <c r="B55" s="293" t="s">
        <v>320</v>
      </c>
      <c r="C55" s="293" t="s">
        <v>129</v>
      </c>
      <c r="D55" s="500">
        <f>'Modell - Lätta fordon'!AH74</f>
        <v>7.7470767782154928</v>
      </c>
      <c r="E55" s="501">
        <f>'Modell - Lätta fordon'!AI74</f>
        <v>5.2745662983133652</v>
      </c>
      <c r="F55" s="500">
        <f>'Modell - Lätta fordon'!AJ74</f>
        <v>6.0217499276955886</v>
      </c>
      <c r="G55" s="501">
        <f>'Modell - Lätta fordon'!AK74</f>
        <v>10.053932530177649</v>
      </c>
      <c r="H55" s="500">
        <f>'Modell - Lätta fordon'!AL74</f>
        <v>19.936876506218596</v>
      </c>
      <c r="I55" s="501">
        <f>'Modell - Lätta fordon'!AM74</f>
        <v>10.053932530177649</v>
      </c>
      <c r="J55" s="381"/>
      <c r="K55" s="381"/>
    </row>
    <row r="56" spans="1:15" x14ac:dyDescent="0.25">
      <c r="A56" s="609"/>
      <c r="B56" s="293" t="s">
        <v>104</v>
      </c>
      <c r="C56" s="293" t="s">
        <v>129</v>
      </c>
      <c r="D56" s="500">
        <f>'Modell - Lätta fordon'!AH75</f>
        <v>2.5655480975680214</v>
      </c>
      <c r="E56" s="501">
        <f>'Modell - Lätta fordon'!AI75</f>
        <v>6.1531500856416885</v>
      </c>
      <c r="F56" s="500">
        <f>'Modell - Lätta fordon'!AJ75</f>
        <v>2.0612600962231111</v>
      </c>
      <c r="G56" s="501">
        <f>'Modell - Lätta fordon'!AK75</f>
        <v>11.21889070800702</v>
      </c>
      <c r="H56" s="500">
        <f>'Modell - Lätta fordon'!AL75</f>
        <v>3.8061943374465654</v>
      </c>
      <c r="I56" s="501">
        <f>'Modell - Lätta fordon'!AM75</f>
        <v>11.21889070800702</v>
      </c>
      <c r="J56" s="381"/>
      <c r="K56" s="381"/>
    </row>
    <row r="57" spans="1:15" x14ac:dyDescent="0.25">
      <c r="A57" s="609"/>
      <c r="B57" s="293" t="s">
        <v>317</v>
      </c>
      <c r="C57" s="293" t="s">
        <v>129</v>
      </c>
      <c r="D57" s="500">
        <f>'Modell - Tunga fordon'!AH83</f>
        <v>10.236410373187224</v>
      </c>
      <c r="E57" s="501">
        <f>'Modell - Tunga fordon'!AI83</f>
        <v>8.8998473580542274</v>
      </c>
      <c r="F57" s="500">
        <f>'Modell - Tunga fordon'!AJ83</f>
        <v>9.1906783611417318</v>
      </c>
      <c r="G57" s="501">
        <f>'Modell - Tunga fordon'!AK83</f>
        <v>3.0943179059152319</v>
      </c>
      <c r="H57" s="500">
        <f>'Modell - Tunga fordon'!AL83</f>
        <v>6.0899940944226678</v>
      </c>
      <c r="I57" s="501">
        <f>'Modell - Tunga fordon'!AM83</f>
        <v>3.0943179059152319</v>
      </c>
      <c r="J57" s="381"/>
      <c r="K57" s="381"/>
      <c r="L57" s="521"/>
      <c r="M57" s="521"/>
      <c r="N57" s="521"/>
      <c r="O57" s="521"/>
    </row>
    <row r="58" spans="1:15" x14ac:dyDescent="0.25">
      <c r="A58" s="609"/>
      <c r="B58" s="293" t="s">
        <v>318</v>
      </c>
      <c r="C58" s="293" t="s">
        <v>129</v>
      </c>
      <c r="D58" s="500">
        <f>'Modell - Tunga fordon'!AH84+Indata!D63</f>
        <v>7.651146503492007</v>
      </c>
      <c r="E58" s="501">
        <f>'Modell - Tunga fordon'!AI84+Indata!E63</f>
        <v>5.8990713961799202</v>
      </c>
      <c r="F58" s="500">
        <f>'Modell - Tunga fordon'!AJ84+Indata!F63</f>
        <v>3.156398570509138</v>
      </c>
      <c r="G58" s="501">
        <f>'Modell - Tunga fordon'!AK84+Indata!G63</f>
        <v>7.8392895633877471</v>
      </c>
      <c r="H58" s="500">
        <f>'Modell - Tunga fordon'!AL84+Indata!H63</f>
        <v>8.7694814221640556</v>
      </c>
      <c r="I58" s="501">
        <f>'Modell - Tunga fordon'!AM84+Indata!I63</f>
        <v>7.8392895633877471</v>
      </c>
      <c r="J58" s="381"/>
      <c r="K58" s="381"/>
    </row>
    <row r="59" spans="1:15" x14ac:dyDescent="0.25">
      <c r="A59" s="609"/>
      <c r="B59" s="293" t="s">
        <v>319</v>
      </c>
      <c r="C59" s="293" t="s">
        <v>129</v>
      </c>
      <c r="D59" s="500">
        <f>'Modell - Tunga fordon'!AH85+Indata!D64</f>
        <v>0.42506732578374073</v>
      </c>
      <c r="E59" s="501">
        <f>'Modell - Tunga fordon'!AI85+Indata!E64</f>
        <v>1.3386385928936391</v>
      </c>
      <c r="F59" s="500">
        <f>'Modell - Tunga fordon'!AJ85+Indata!F64</f>
        <v>1.5565760446642587</v>
      </c>
      <c r="G59" s="501">
        <f>'Modell - Tunga fordon'!AK85+Indata!G64</f>
        <v>3.7890533271104481</v>
      </c>
      <c r="H59" s="500">
        <f>'Modell - Tunga fordon'!AL85+Indata!H64</f>
        <v>1.5630596765204785</v>
      </c>
      <c r="I59" s="501">
        <f>'Modell - Tunga fordon'!AM85+Indata!I64</f>
        <v>3.7890533271104481</v>
      </c>
      <c r="J59" s="381"/>
      <c r="K59" s="381"/>
      <c r="O59" s="381"/>
    </row>
    <row r="60" spans="1:15" x14ac:dyDescent="0.25">
      <c r="A60" s="609"/>
      <c r="B60" s="391" t="s">
        <v>198</v>
      </c>
      <c r="C60" s="391" t="s">
        <v>129</v>
      </c>
      <c r="D60" s="502">
        <f>D54+D57</f>
        <v>43.249304030936798</v>
      </c>
      <c r="E60" s="503">
        <f t="shared" ref="E60:I60" si="7">E54+E57</f>
        <v>31.949036165303493</v>
      </c>
      <c r="F60" s="502">
        <f t="shared" si="7"/>
        <v>23.147448042304468</v>
      </c>
      <c r="G60" s="503">
        <f>G54+G57</f>
        <v>7.3535144855838448</v>
      </c>
      <c r="H60" s="502">
        <f t="shared" si="7"/>
        <v>21.765961201264776</v>
      </c>
      <c r="I60" s="503">
        <f t="shared" si="7"/>
        <v>7.3535144855838448</v>
      </c>
      <c r="J60" s="381"/>
      <c r="K60" s="381"/>
      <c r="L60" s="521"/>
      <c r="M60" s="521"/>
      <c r="N60" s="521"/>
      <c r="O60" s="521"/>
    </row>
    <row r="61" spans="1:15" x14ac:dyDescent="0.25">
      <c r="A61" s="609"/>
      <c r="B61" s="391" t="s">
        <v>199</v>
      </c>
      <c r="C61" s="391" t="s">
        <v>129</v>
      </c>
      <c r="D61" s="502">
        <f>D55+D58</f>
        <v>15.3982232817075</v>
      </c>
      <c r="E61" s="503">
        <f t="shared" ref="E61:I61" si="8">E55+E58</f>
        <v>11.173637694493285</v>
      </c>
      <c r="F61" s="502">
        <f>F55+F58</f>
        <v>9.1781484982047274</v>
      </c>
      <c r="G61" s="503">
        <f>G55+G58</f>
        <v>17.893222093565395</v>
      </c>
      <c r="H61" s="502">
        <f t="shared" si="8"/>
        <v>28.706357928382651</v>
      </c>
      <c r="I61" s="503">
        <f t="shared" si="8"/>
        <v>17.893222093565395</v>
      </c>
      <c r="J61" s="381"/>
      <c r="K61" s="381"/>
    </row>
    <row r="62" spans="1:15" s="381" customFormat="1" x14ac:dyDescent="0.25">
      <c r="A62" s="609"/>
      <c r="B62" s="391" t="s">
        <v>200</v>
      </c>
      <c r="C62" s="391" t="s">
        <v>129</v>
      </c>
      <c r="D62" s="502">
        <f>D56+D59</f>
        <v>2.9906154233517621</v>
      </c>
      <c r="E62" s="503">
        <f>E56+E59</f>
        <v>7.4917886785353272</v>
      </c>
      <c r="F62" s="502">
        <f>F56+F59</f>
        <v>3.6178361408873698</v>
      </c>
      <c r="G62" s="503">
        <f>G56+G59</f>
        <v>15.007944035117468</v>
      </c>
      <c r="H62" s="502">
        <f>H56+H59</f>
        <v>5.3692540139670442</v>
      </c>
      <c r="I62" s="503">
        <f>I56+I59</f>
        <v>15.007944035117468</v>
      </c>
    </row>
    <row r="63" spans="1:15" ht="15.75" thickBot="1" x14ac:dyDescent="0.3">
      <c r="A63" s="610"/>
      <c r="B63" s="392" t="s">
        <v>365</v>
      </c>
      <c r="C63" s="392" t="s">
        <v>129</v>
      </c>
      <c r="D63" s="504">
        <f>SUM(D60:D62)</f>
        <v>61.638142735996063</v>
      </c>
      <c r="E63" s="505">
        <f t="shared" ref="E63:I63" si="9">SUM(E60:E62)</f>
        <v>50.614462538332106</v>
      </c>
      <c r="F63" s="504">
        <f t="shared" si="9"/>
        <v>35.943432681396565</v>
      </c>
      <c r="G63" s="505">
        <f t="shared" si="9"/>
        <v>40.254680614266704</v>
      </c>
      <c r="H63" s="504">
        <f t="shared" si="9"/>
        <v>55.841573143614475</v>
      </c>
      <c r="I63" s="505">
        <f t="shared" si="9"/>
        <v>40.254680614266704</v>
      </c>
      <c r="J63" s="381"/>
      <c r="K63" s="381"/>
    </row>
    <row r="64" spans="1:15" x14ac:dyDescent="0.25">
      <c r="A64" s="609" t="s">
        <v>245</v>
      </c>
      <c r="B64" s="293" t="s">
        <v>196</v>
      </c>
      <c r="C64" s="296" t="s">
        <v>136</v>
      </c>
      <c r="D64" s="506">
        <f>'Modell - Lätta fordon'!AH83</f>
        <v>24.335398812970908</v>
      </c>
      <c r="E64" s="507">
        <f>'Modell - Lätta fordon'!AI83</f>
        <v>20.834780440177909</v>
      </c>
      <c r="F64" s="506">
        <f>'Modell - Lätta fordon'!AJ83</f>
        <v>9.4903077732010743</v>
      </c>
      <c r="G64" s="522">
        <f>'Modell - Lätta fordon'!AK83</f>
        <v>3.7380187346540401</v>
      </c>
      <c r="H64" s="523">
        <f>'Modell - Lätta fordon'!AL83</f>
        <v>11.112513423172198</v>
      </c>
      <c r="I64" s="522">
        <f>'Modell - Lätta fordon'!AM83</f>
        <v>3.7380187346540401</v>
      </c>
    </row>
    <row r="65" spans="1:9" x14ac:dyDescent="0.25">
      <c r="A65" s="609"/>
      <c r="B65" s="293" t="s">
        <v>197</v>
      </c>
      <c r="C65" s="296" t="s">
        <v>136</v>
      </c>
      <c r="D65" s="475">
        <f>'Modell - Lätta fordon'!AH84</f>
        <v>5.3590207809846397</v>
      </c>
      <c r="E65" s="476">
        <f>'Modell - Lätta fordon'!AI84</f>
        <v>4.4789271363329846</v>
      </c>
      <c r="F65" s="475">
        <f>'Modell - Lätta fordon'!AJ84</f>
        <v>5.1240711291612531</v>
      </c>
      <c r="G65" s="477">
        <f>'Modell - Lätta fordon'!AK84</f>
        <v>9.4429373020743181</v>
      </c>
      <c r="H65" s="478">
        <f>'Modell - Lätta fordon'!AL84</f>
        <v>15.163485309088848</v>
      </c>
      <c r="I65" s="477">
        <f>'Modell - Lätta fordon'!AM84</f>
        <v>9.4429373020743181</v>
      </c>
    </row>
    <row r="66" spans="1:9" x14ac:dyDescent="0.25">
      <c r="A66" s="609"/>
      <c r="B66" s="293" t="s">
        <v>104</v>
      </c>
      <c r="C66" s="296" t="s">
        <v>136</v>
      </c>
      <c r="D66" s="475">
        <f>'Modell - Lätta fordon'!AH85</f>
        <v>0.86356348964139595</v>
      </c>
      <c r="E66" s="476">
        <f>'Modell - Lätta fordon'!AI85</f>
        <v>2.0711503188269917</v>
      </c>
      <c r="F66" s="475">
        <f>'Modell - Lätta fordon'!AJ85</f>
        <v>0.69382014838869899</v>
      </c>
      <c r="G66" s="477">
        <f>'Modell - Lätta fordon'!AK85</f>
        <v>3.7762786123151626</v>
      </c>
      <c r="H66" s="478">
        <f>'Modell - Lätta fordon'!AL85</f>
        <v>1.2811650139845139</v>
      </c>
      <c r="I66" s="477">
        <f>'Modell - Lätta fordon'!AM85</f>
        <v>3.7762786123151626</v>
      </c>
    </row>
    <row r="67" spans="1:9" x14ac:dyDescent="0.25">
      <c r="A67" s="609"/>
      <c r="B67" s="293" t="s">
        <v>322</v>
      </c>
      <c r="C67" s="296" t="s">
        <v>136</v>
      </c>
      <c r="D67" s="475">
        <f>'Modell - Tunga fordon'!AH88</f>
        <v>5.8833096119358101</v>
      </c>
      <c r="E67" s="476">
        <f>'Modell - Tunga fordon'!AI88</f>
        <v>6.2353134645035979</v>
      </c>
      <c r="F67" s="475">
        <f>'Modell - Tunga fordon'!AJ88</f>
        <v>5.2822820081488961</v>
      </c>
      <c r="G67" s="477">
        <f>'Modell - Tunga fordon'!AK88</f>
        <v>2.1679070804227907</v>
      </c>
      <c r="H67" s="478">
        <f>'Modell - Tunga fordon'!AL88</f>
        <v>3.5001840963897721</v>
      </c>
      <c r="I67" s="477">
        <f>'Modell - Tunga fordon'!AM88</f>
        <v>2.1679070804227907</v>
      </c>
    </row>
    <row r="68" spans="1:9" x14ac:dyDescent="0.25">
      <c r="A68" s="609"/>
      <c r="B68" s="293" t="s">
        <v>321</v>
      </c>
      <c r="C68" s="296" t="s">
        <v>136</v>
      </c>
      <c r="D68" s="475">
        <f>'Modell - Tunga fordon'!AH89</f>
        <v>2.768616287969794</v>
      </c>
      <c r="E68" s="476">
        <f>'Modell - Tunga fordon'!AI89</f>
        <v>2.9342651597663996</v>
      </c>
      <c r="F68" s="475">
        <f>'Modell - Tunga fordon'!AJ89</f>
        <v>1.102525056448485</v>
      </c>
      <c r="G68" s="477">
        <f>'Modell - Tunga fordon'!AK89</f>
        <v>5.0105931858778403</v>
      </c>
      <c r="H68" s="478">
        <f>'Modell - Tunga fordon'!AL89</f>
        <v>4.4547797590415277</v>
      </c>
      <c r="I68" s="477">
        <f>'Modell - Tunga fordon'!AM89</f>
        <v>5.0105931858778403</v>
      </c>
    </row>
    <row r="69" spans="1:9" x14ac:dyDescent="0.25">
      <c r="A69" s="609"/>
      <c r="B69" s="293" t="s">
        <v>323</v>
      </c>
      <c r="C69" s="296" t="s">
        <v>136</v>
      </c>
      <c r="D69" s="475">
        <f>'Modell - Tunga fordon'!AH90</f>
        <v>5.5561661858807121E-2</v>
      </c>
      <c r="E69" s="476">
        <f>'Modell - Tunga fordon'!AI90</f>
        <v>0.26208975036799892</v>
      </c>
      <c r="F69" s="475">
        <f>'Modell - Tunga fordon'!AJ90</f>
        <v>0.22773549663398945</v>
      </c>
      <c r="G69" s="477">
        <f>'Modell - Tunga fordon'!AK90</f>
        <v>0.89840334990537651</v>
      </c>
      <c r="H69" s="478">
        <f>'Modell - Tunga fordon'!AL90</f>
        <v>0.22991788711679301</v>
      </c>
      <c r="I69" s="477">
        <f>'Modell - Tunga fordon'!AM90</f>
        <v>0.89840334990537651</v>
      </c>
    </row>
    <row r="70" spans="1:9" x14ac:dyDescent="0.25">
      <c r="A70" s="609"/>
      <c r="B70" s="391" t="s">
        <v>198</v>
      </c>
      <c r="C70" s="393" t="s">
        <v>136</v>
      </c>
      <c r="D70" s="487">
        <f>D64+D67</f>
        <v>30.218708424906719</v>
      </c>
      <c r="E70" s="497">
        <f t="shared" ref="E70:I70" si="10">E64+E67</f>
        <v>27.070093904681507</v>
      </c>
      <c r="F70" s="487">
        <f t="shared" si="10"/>
        <v>14.772589781349971</v>
      </c>
      <c r="G70" s="489">
        <f t="shared" si="10"/>
        <v>5.9059258150768308</v>
      </c>
      <c r="H70" s="490">
        <f t="shared" si="10"/>
        <v>14.612697519561969</v>
      </c>
      <c r="I70" s="489">
        <f t="shared" si="10"/>
        <v>5.9059258150768308</v>
      </c>
    </row>
    <row r="71" spans="1:9" x14ac:dyDescent="0.25">
      <c r="A71" s="609"/>
      <c r="B71" s="391" t="s">
        <v>199</v>
      </c>
      <c r="C71" s="393" t="s">
        <v>136</v>
      </c>
      <c r="D71" s="487">
        <f>D65+D68</f>
        <v>8.1276370689544333</v>
      </c>
      <c r="E71" s="497">
        <f t="shared" ref="E71:I71" si="11">E65+E68</f>
        <v>7.4131922960993837</v>
      </c>
      <c r="F71" s="487">
        <f t="shared" si="11"/>
        <v>6.226596185609738</v>
      </c>
      <c r="G71" s="489">
        <f t="shared" si="11"/>
        <v>14.453530487952158</v>
      </c>
      <c r="H71" s="490">
        <f t="shared" si="11"/>
        <v>19.618265068130377</v>
      </c>
      <c r="I71" s="489">
        <f t="shared" si="11"/>
        <v>14.453530487952158</v>
      </c>
    </row>
    <row r="72" spans="1:9" ht="15.75" thickBot="1" x14ac:dyDescent="0.3">
      <c r="A72" s="610"/>
      <c r="B72" s="392" t="s">
        <v>200</v>
      </c>
      <c r="C72" s="394" t="s">
        <v>136</v>
      </c>
      <c r="D72" s="508">
        <f>D66+D69</f>
        <v>0.91912515150020302</v>
      </c>
      <c r="E72" s="509">
        <f t="shared" ref="E72:I72" si="12">E66+E69</f>
        <v>2.3332400691949906</v>
      </c>
      <c r="F72" s="508">
        <f>F66+F69</f>
        <v>0.9215556450226885</v>
      </c>
      <c r="G72" s="510">
        <f t="shared" si="12"/>
        <v>4.6746819622205393</v>
      </c>
      <c r="H72" s="511">
        <f t="shared" si="12"/>
        <v>1.5110829011013069</v>
      </c>
      <c r="I72" s="510">
        <f t="shared" si="12"/>
        <v>4.6746819622205393</v>
      </c>
    </row>
    <row r="73" spans="1:9" x14ac:dyDescent="0.25">
      <c r="A73" s="608" t="s">
        <v>203</v>
      </c>
      <c r="B73" s="292" t="s">
        <v>187</v>
      </c>
      <c r="C73" s="292" t="s">
        <v>136</v>
      </c>
      <c r="D73" s="471">
        <f>'Modell - Lätta fordon'!AH89</f>
        <v>0</v>
      </c>
      <c r="E73" s="472">
        <f>'Modell - Lätta fordon'!AI89</f>
        <v>0</v>
      </c>
      <c r="F73" s="471">
        <f>'Modell - Lätta fordon'!AJ89</f>
        <v>172.6147300050921</v>
      </c>
      <c r="G73" s="473">
        <f>'Modell - Lätta fordon'!AK89</f>
        <v>0</v>
      </c>
      <c r="H73" s="474">
        <f>'Modell - Lätta fordon'!AL89</f>
        <v>0</v>
      </c>
      <c r="I73" s="473">
        <f>'Modell - Lätta fordon'!AM89</f>
        <v>0</v>
      </c>
    </row>
    <row r="74" spans="1:9" x14ac:dyDescent="0.25">
      <c r="A74" s="609"/>
      <c r="B74" s="293" t="s">
        <v>324</v>
      </c>
      <c r="C74" s="296" t="s">
        <v>136</v>
      </c>
      <c r="D74" s="475">
        <f>'Modell - Tunga fordon'!AH96</f>
        <v>0</v>
      </c>
      <c r="E74" s="476">
        <f>'Modell - Tunga fordon'!AI96</f>
        <v>0</v>
      </c>
      <c r="F74" s="475">
        <f>'Modell - Tunga fordon'!AJ96</f>
        <v>16.85137849532865</v>
      </c>
      <c r="G74" s="477">
        <f>'Modell - Tunga fordon'!AK96</f>
        <v>0</v>
      </c>
      <c r="H74" s="478">
        <f>'Modell - Tunga fordon'!AL96</f>
        <v>0</v>
      </c>
      <c r="I74" s="477">
        <f>'Modell - Tunga fordon'!AM96</f>
        <v>0</v>
      </c>
    </row>
    <row r="75" spans="1:9" ht="15.75" thickBot="1" x14ac:dyDescent="0.3">
      <c r="A75" s="610"/>
      <c r="B75" s="392" t="s">
        <v>278</v>
      </c>
      <c r="C75" s="392" t="s">
        <v>136</v>
      </c>
      <c r="D75" s="495">
        <f>SUM(D73:D74)</f>
        <v>0</v>
      </c>
      <c r="E75" s="496">
        <f t="shared" ref="E75:I75" si="13">SUM(E73:E74)</f>
        <v>0</v>
      </c>
      <c r="F75" s="495">
        <f t="shared" si="13"/>
        <v>189.46610850042075</v>
      </c>
      <c r="G75" s="429">
        <f t="shared" si="13"/>
        <v>0</v>
      </c>
      <c r="H75" s="427">
        <f t="shared" si="13"/>
        <v>0</v>
      </c>
      <c r="I75" s="429">
        <f t="shared" si="13"/>
        <v>0</v>
      </c>
    </row>
    <row r="76" spans="1:9" x14ac:dyDescent="0.25">
      <c r="A76" s="608" t="s">
        <v>204</v>
      </c>
      <c r="B76" s="292" t="s">
        <v>187</v>
      </c>
      <c r="C76" s="292" t="s">
        <v>136</v>
      </c>
      <c r="D76" s="471">
        <f>SUM(D64:D66,D73)</f>
        <v>30.557983083596945</v>
      </c>
      <c r="E76" s="472">
        <f t="shared" ref="E76:I76" si="14">SUM(E64:E66,E73)</f>
        <v>27.384857895337884</v>
      </c>
      <c r="F76" s="471">
        <f t="shared" si="14"/>
        <v>187.92292905584313</v>
      </c>
      <c r="G76" s="473">
        <f t="shared" si="14"/>
        <v>16.957234649043521</v>
      </c>
      <c r="H76" s="474">
        <f t="shared" si="14"/>
        <v>27.557163746245557</v>
      </c>
      <c r="I76" s="473">
        <f t="shared" si="14"/>
        <v>16.957234649043521</v>
      </c>
    </row>
    <row r="77" spans="1:9" x14ac:dyDescent="0.25">
      <c r="A77" s="609"/>
      <c r="B77" s="293" t="s">
        <v>324</v>
      </c>
      <c r="C77" s="296" t="s">
        <v>136</v>
      </c>
      <c r="D77" s="475">
        <f>SUM(D67:D69,D74)</f>
        <v>8.7074875617644114</v>
      </c>
      <c r="E77" s="476">
        <f t="shared" ref="E77:I77" si="15">SUM(E67:E69,E74)</f>
        <v>9.4316683746379955</v>
      </c>
      <c r="F77" s="475">
        <f t="shared" si="15"/>
        <v>23.463921056560018</v>
      </c>
      <c r="G77" s="477">
        <f t="shared" si="15"/>
        <v>8.0769036162060068</v>
      </c>
      <c r="H77" s="478">
        <f t="shared" si="15"/>
        <v>8.1848817425480931</v>
      </c>
      <c r="I77" s="477">
        <f t="shared" si="15"/>
        <v>8.0769036162060068</v>
      </c>
    </row>
    <row r="78" spans="1:9" ht="15.75" thickBot="1" x14ac:dyDescent="0.3">
      <c r="A78" s="610"/>
      <c r="B78" s="392" t="s">
        <v>278</v>
      </c>
      <c r="C78" s="392" t="s">
        <v>136</v>
      </c>
      <c r="D78" s="495">
        <f>SUM(D76:D77)</f>
        <v>39.265470645361354</v>
      </c>
      <c r="E78" s="496">
        <f t="shared" ref="E78" si="16">SUM(E76:E77)</f>
        <v>36.816526269975881</v>
      </c>
      <c r="F78" s="495">
        <f t="shared" ref="F78" si="17">SUM(F76:F77)</f>
        <v>211.38685011240315</v>
      </c>
      <c r="G78" s="429">
        <f t="shared" ref="G78" si="18">SUM(G76:G77)</f>
        <v>25.034138265249528</v>
      </c>
      <c r="H78" s="427">
        <f t="shared" ref="H78" si="19">SUM(H76:H77)</f>
        <v>35.74204548879365</v>
      </c>
      <c r="I78" s="429">
        <f t="shared" ref="I78" si="20">SUM(I76:I77)</f>
        <v>25.034138265249528</v>
      </c>
    </row>
    <row r="80" spans="1:9" x14ac:dyDescent="0.25">
      <c r="E80" s="395"/>
      <c r="F80" s="395"/>
    </row>
    <row r="81" spans="4:4" x14ac:dyDescent="0.25">
      <c r="D81" s="395"/>
    </row>
  </sheetData>
  <mergeCells count="20">
    <mergeCell ref="A73:A75"/>
    <mergeCell ref="A76:A78"/>
    <mergeCell ref="A27:A34"/>
    <mergeCell ref="A37:A41"/>
    <mergeCell ref="A54:A63"/>
    <mergeCell ref="A64:A72"/>
    <mergeCell ref="A42:A44"/>
    <mergeCell ref="A46:A48"/>
    <mergeCell ref="A50:A52"/>
    <mergeCell ref="A17:A18"/>
    <mergeCell ref="A20:A26"/>
    <mergeCell ref="A35:A36"/>
    <mergeCell ref="A7:A11"/>
    <mergeCell ref="A12:A16"/>
    <mergeCell ref="D4:E4"/>
    <mergeCell ref="F4:G4"/>
    <mergeCell ref="H4:I4"/>
    <mergeCell ref="D5:E5"/>
    <mergeCell ref="F5:G5"/>
    <mergeCell ref="H5:I5"/>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1"/>
  <sheetViews>
    <sheetView topLeftCell="A8"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J33"/>
  <sheetViews>
    <sheetView workbookViewId="0">
      <selection activeCell="B16" sqref="B16"/>
    </sheetView>
  </sheetViews>
  <sheetFormatPr defaultColWidth="8.85546875" defaultRowHeight="15" x14ac:dyDescent="0.25"/>
  <cols>
    <col min="1" max="1" width="18.28515625" style="26" customWidth="1"/>
    <col min="2" max="16384" width="8.85546875" style="26"/>
  </cols>
  <sheetData>
    <row r="1" spans="1:10" ht="18" x14ac:dyDescent="0.25">
      <c r="A1" s="126" t="s">
        <v>385</v>
      </c>
    </row>
    <row r="2" spans="1:10" x14ac:dyDescent="0.25">
      <c r="A2" s="40" t="s">
        <v>343</v>
      </c>
      <c r="B2" s="40"/>
    </row>
    <row r="3" spans="1:10" x14ac:dyDescent="0.25">
      <c r="A3" s="40" t="s">
        <v>342</v>
      </c>
      <c r="B3" s="40"/>
    </row>
    <row r="5" spans="1:10" s="40" customFormat="1" ht="12" x14ac:dyDescent="0.2">
      <c r="A5" s="305" t="s">
        <v>369</v>
      </c>
      <c r="B5" s="305">
        <v>2010</v>
      </c>
      <c r="C5" s="305">
        <v>2011</v>
      </c>
      <c r="D5" s="305">
        <v>2012</v>
      </c>
      <c r="E5" s="305">
        <v>2013</v>
      </c>
      <c r="F5" s="305">
        <v>2014</v>
      </c>
      <c r="G5" s="305">
        <v>2015</v>
      </c>
      <c r="H5" s="305">
        <v>2016</v>
      </c>
      <c r="I5" s="305">
        <v>2017</v>
      </c>
      <c r="J5" s="305">
        <v>2018</v>
      </c>
    </row>
    <row r="6" spans="1:10" s="40" customFormat="1" ht="12" x14ac:dyDescent="0.2">
      <c r="A6" s="40" t="s">
        <v>340</v>
      </c>
      <c r="B6" s="436">
        <v>11892</v>
      </c>
      <c r="C6" s="436">
        <v>11545</v>
      </c>
      <c r="D6" s="436">
        <v>10994</v>
      </c>
      <c r="E6" s="436">
        <v>10775</v>
      </c>
      <c r="F6" s="436">
        <v>10646</v>
      </c>
      <c r="G6" s="436">
        <v>10764</v>
      </c>
      <c r="H6" s="436">
        <v>10508</v>
      </c>
      <c r="I6" s="436">
        <v>10252</v>
      </c>
      <c r="J6" s="436">
        <v>10007</v>
      </c>
    </row>
    <row r="7" spans="1:10" s="40" customFormat="1" ht="12" x14ac:dyDescent="0.2">
      <c r="A7" s="40" t="s">
        <v>341</v>
      </c>
      <c r="B7" s="436">
        <v>1656</v>
      </c>
      <c r="C7" s="436">
        <v>1701</v>
      </c>
      <c r="D7" s="436">
        <v>1653</v>
      </c>
      <c r="E7" s="436">
        <v>1630</v>
      </c>
      <c r="F7" s="436">
        <v>1587</v>
      </c>
      <c r="G7" s="436">
        <v>1600</v>
      </c>
      <c r="H7" s="436">
        <v>1526</v>
      </c>
      <c r="I7" s="436">
        <v>1536</v>
      </c>
      <c r="J7" s="436">
        <v>1471</v>
      </c>
    </row>
    <row r="8" spans="1:10" s="40" customFormat="1" ht="12" x14ac:dyDescent="0.2">
      <c r="A8" s="40" t="s">
        <v>192</v>
      </c>
      <c r="B8" s="436">
        <v>764</v>
      </c>
      <c r="C8" s="436">
        <v>757</v>
      </c>
      <c r="D8" s="436">
        <v>593</v>
      </c>
      <c r="E8" s="436">
        <v>512</v>
      </c>
      <c r="F8" s="436">
        <v>458</v>
      </c>
      <c r="G8" s="436">
        <v>381</v>
      </c>
      <c r="H8" s="436">
        <v>256</v>
      </c>
      <c r="I8" s="436">
        <v>188</v>
      </c>
      <c r="J8" s="436">
        <v>213</v>
      </c>
    </row>
    <row r="9" spans="1:10" s="40" customFormat="1" ht="12" x14ac:dyDescent="0.2">
      <c r="A9" s="40" t="s">
        <v>193</v>
      </c>
      <c r="B9" s="436">
        <v>4488</v>
      </c>
      <c r="C9" s="436">
        <v>4365</v>
      </c>
      <c r="D9" s="436">
        <v>4065</v>
      </c>
      <c r="E9" s="436">
        <v>3928</v>
      </c>
      <c r="F9" s="436">
        <v>3793</v>
      </c>
      <c r="G9" s="436">
        <v>3707</v>
      </c>
      <c r="H9" s="436">
        <v>3448</v>
      </c>
      <c r="I9" s="436">
        <v>3338</v>
      </c>
      <c r="J9" s="436">
        <v>3211</v>
      </c>
    </row>
    <row r="10" spans="1:10" s="40" customFormat="1" ht="12" x14ac:dyDescent="0.2">
      <c r="A10" s="40" t="s">
        <v>194</v>
      </c>
      <c r="B10" s="436">
        <v>96</v>
      </c>
      <c r="C10" s="436">
        <v>91</v>
      </c>
      <c r="D10" s="436">
        <v>79</v>
      </c>
      <c r="E10" s="436">
        <v>85</v>
      </c>
      <c r="F10" s="436">
        <v>83</v>
      </c>
      <c r="G10" s="436">
        <v>85</v>
      </c>
      <c r="H10" s="436">
        <v>80</v>
      </c>
      <c r="I10" s="436">
        <v>77</v>
      </c>
      <c r="J10" s="436">
        <v>79</v>
      </c>
    </row>
    <row r="11" spans="1:10" s="40" customFormat="1" ht="12" x14ac:dyDescent="0.2">
      <c r="A11" s="40" t="s">
        <v>345</v>
      </c>
      <c r="B11" s="436">
        <f>SUM(B6:B10)</f>
        <v>18896</v>
      </c>
      <c r="C11" s="436">
        <f t="shared" ref="C11:J11" si="0">SUM(C6:C10)</f>
        <v>18459</v>
      </c>
      <c r="D11" s="436">
        <f t="shared" si="0"/>
        <v>17384</v>
      </c>
      <c r="E11" s="436">
        <f t="shared" si="0"/>
        <v>16930</v>
      </c>
      <c r="F11" s="436">
        <f t="shared" si="0"/>
        <v>16567</v>
      </c>
      <c r="G11" s="436">
        <f t="shared" si="0"/>
        <v>16537</v>
      </c>
      <c r="H11" s="436">
        <f t="shared" si="0"/>
        <v>15818</v>
      </c>
      <c r="I11" s="436">
        <f t="shared" si="0"/>
        <v>15391</v>
      </c>
      <c r="J11" s="436">
        <f t="shared" si="0"/>
        <v>14981</v>
      </c>
    </row>
    <row r="12" spans="1:10" s="40" customFormat="1" ht="12" x14ac:dyDescent="0.2">
      <c r="A12" s="42" t="s">
        <v>344</v>
      </c>
      <c r="B12" s="435">
        <f>B11/1000</f>
        <v>18.896000000000001</v>
      </c>
      <c r="C12" s="435">
        <f t="shared" ref="C12:J12" si="1">C11/1000</f>
        <v>18.459</v>
      </c>
      <c r="D12" s="435">
        <f t="shared" si="1"/>
        <v>17.384</v>
      </c>
      <c r="E12" s="435">
        <f t="shared" si="1"/>
        <v>16.93</v>
      </c>
      <c r="F12" s="435">
        <f t="shared" si="1"/>
        <v>16.567</v>
      </c>
      <c r="G12" s="435">
        <f t="shared" si="1"/>
        <v>16.536999999999999</v>
      </c>
      <c r="H12" s="435">
        <f t="shared" si="1"/>
        <v>15.818</v>
      </c>
      <c r="I12" s="435">
        <f t="shared" si="1"/>
        <v>15.391</v>
      </c>
      <c r="J12" s="435">
        <f t="shared" si="1"/>
        <v>14.981</v>
      </c>
    </row>
    <row r="13" spans="1:10" s="40" customFormat="1" ht="12" x14ac:dyDescent="0.2">
      <c r="B13" s="304"/>
      <c r="C13" s="304"/>
      <c r="D13" s="304"/>
      <c r="E13" s="304"/>
      <c r="F13" s="304"/>
      <c r="G13" s="304"/>
      <c r="H13" s="304"/>
      <c r="I13" s="304"/>
      <c r="J13" s="304"/>
    </row>
    <row r="14" spans="1:10" s="40" customFormat="1" ht="12" x14ac:dyDescent="0.2">
      <c r="A14" s="305" t="s">
        <v>369</v>
      </c>
      <c r="B14" s="305">
        <v>2010</v>
      </c>
      <c r="C14" s="305">
        <v>2011</v>
      </c>
      <c r="D14" s="305">
        <v>2012</v>
      </c>
      <c r="E14" s="305">
        <v>2013</v>
      </c>
      <c r="F14" s="305">
        <v>2014</v>
      </c>
      <c r="G14" s="305">
        <v>2015</v>
      </c>
      <c r="H14" s="305">
        <v>2016</v>
      </c>
      <c r="I14" s="305">
        <v>2017</v>
      </c>
      <c r="J14" s="305">
        <v>2018</v>
      </c>
    </row>
    <row r="15" spans="1:10" s="40" customFormat="1" ht="12" x14ac:dyDescent="0.2">
      <c r="A15" s="40" t="s">
        <v>187</v>
      </c>
      <c r="B15" s="304">
        <f>(B6+B7+B10)/1000</f>
        <v>13.644</v>
      </c>
      <c r="C15" s="304">
        <f t="shared" ref="C15:J15" si="2">(C6+C7+C10)/1000</f>
        <v>13.337</v>
      </c>
      <c r="D15" s="304">
        <f t="shared" si="2"/>
        <v>12.726000000000001</v>
      </c>
      <c r="E15" s="304">
        <f t="shared" si="2"/>
        <v>12.49</v>
      </c>
      <c r="F15" s="304">
        <f t="shared" si="2"/>
        <v>12.316000000000001</v>
      </c>
      <c r="G15" s="304">
        <f t="shared" si="2"/>
        <v>12.449</v>
      </c>
      <c r="H15" s="304">
        <f t="shared" si="2"/>
        <v>12.114000000000001</v>
      </c>
      <c r="I15" s="304">
        <f t="shared" si="2"/>
        <v>11.865</v>
      </c>
      <c r="J15" s="304">
        <f t="shared" si="2"/>
        <v>11.557</v>
      </c>
    </row>
    <row r="16" spans="1:10" s="40" customFormat="1" ht="12" x14ac:dyDescent="0.2">
      <c r="A16" s="40" t="s">
        <v>257</v>
      </c>
      <c r="B16" s="304">
        <f>B9/1000</f>
        <v>4.4880000000000004</v>
      </c>
      <c r="C16" s="304">
        <f t="shared" ref="C16:J16" si="3">C9/1000</f>
        <v>4.3650000000000002</v>
      </c>
      <c r="D16" s="304">
        <f t="shared" si="3"/>
        <v>4.0650000000000004</v>
      </c>
      <c r="E16" s="304">
        <f t="shared" si="3"/>
        <v>3.9279999999999999</v>
      </c>
      <c r="F16" s="304">
        <f t="shared" si="3"/>
        <v>3.7930000000000001</v>
      </c>
      <c r="G16" s="304">
        <f t="shared" si="3"/>
        <v>3.7069999999999999</v>
      </c>
      <c r="H16" s="304">
        <f t="shared" si="3"/>
        <v>3.448</v>
      </c>
      <c r="I16" s="304">
        <f t="shared" si="3"/>
        <v>3.3380000000000001</v>
      </c>
      <c r="J16" s="304">
        <f t="shared" si="3"/>
        <v>3.2109999999999999</v>
      </c>
    </row>
    <row r="17" spans="1:10" s="40" customFormat="1" ht="12" x14ac:dyDescent="0.2">
      <c r="A17" s="40" t="s">
        <v>195</v>
      </c>
      <c r="B17" s="304">
        <f>B8/1000</f>
        <v>0.76400000000000001</v>
      </c>
      <c r="C17" s="304">
        <f t="shared" ref="C17:J17" si="4">C8/1000</f>
        <v>0.75700000000000001</v>
      </c>
      <c r="D17" s="304">
        <f t="shared" si="4"/>
        <v>0.59299999999999997</v>
      </c>
      <c r="E17" s="304">
        <f t="shared" si="4"/>
        <v>0.51200000000000001</v>
      </c>
      <c r="F17" s="304">
        <f t="shared" si="4"/>
        <v>0.45800000000000002</v>
      </c>
      <c r="G17" s="304">
        <f t="shared" si="4"/>
        <v>0.38100000000000001</v>
      </c>
      <c r="H17" s="304">
        <f t="shared" si="4"/>
        <v>0.25600000000000001</v>
      </c>
      <c r="I17" s="304">
        <f t="shared" si="4"/>
        <v>0.188</v>
      </c>
      <c r="J17" s="304">
        <f t="shared" si="4"/>
        <v>0.21299999999999999</v>
      </c>
    </row>
    <row r="18" spans="1:10" s="40" customFormat="1" ht="12" x14ac:dyDescent="0.2">
      <c r="A18" s="42" t="s">
        <v>16</v>
      </c>
      <c r="B18" s="306">
        <f>SUM(B15:B17)</f>
        <v>18.896000000000001</v>
      </c>
      <c r="C18" s="306">
        <f t="shared" ref="C18:J18" si="5">SUM(C15:C17)</f>
        <v>18.459</v>
      </c>
      <c r="D18" s="306">
        <f t="shared" si="5"/>
        <v>17.384</v>
      </c>
      <c r="E18" s="306">
        <f t="shared" si="5"/>
        <v>16.93</v>
      </c>
      <c r="F18" s="306">
        <f t="shared" si="5"/>
        <v>16.567</v>
      </c>
      <c r="G18" s="306">
        <f t="shared" si="5"/>
        <v>16.536999999999999</v>
      </c>
      <c r="H18" s="306">
        <f t="shared" si="5"/>
        <v>15.818000000000001</v>
      </c>
      <c r="I18" s="306">
        <f t="shared" si="5"/>
        <v>15.391</v>
      </c>
      <c r="J18" s="306">
        <f t="shared" si="5"/>
        <v>14.981</v>
      </c>
    </row>
    <row r="19" spans="1:10" ht="12" customHeight="1" x14ac:dyDescent="0.25"/>
    <row r="20" spans="1:10" s="381" customFormat="1" ht="12" customHeight="1" x14ac:dyDescent="0.25">
      <c r="A20" s="40" t="s">
        <v>372</v>
      </c>
    </row>
    <row r="21" spans="1:10" s="381" customFormat="1" ht="12" customHeight="1" x14ac:dyDescent="0.25">
      <c r="A21" s="40" t="s">
        <v>373</v>
      </c>
    </row>
    <row r="22" spans="1:10" s="381" customFormat="1" ht="12" customHeight="1" x14ac:dyDescent="0.25"/>
    <row r="23" spans="1:10" ht="12" customHeight="1" x14ac:dyDescent="0.25">
      <c r="A23" s="305" t="s">
        <v>370</v>
      </c>
      <c r="B23" s="305">
        <v>2010</v>
      </c>
      <c r="C23" s="305">
        <v>2011</v>
      </c>
      <c r="D23" s="305">
        <v>2012</v>
      </c>
      <c r="E23" s="305">
        <v>2013</v>
      </c>
      <c r="F23" s="305">
        <v>2014</v>
      </c>
      <c r="G23" s="305">
        <v>2015</v>
      </c>
      <c r="H23" s="305">
        <v>2016</v>
      </c>
      <c r="I23" s="305">
        <v>2017</v>
      </c>
      <c r="J23" s="305">
        <v>2018</v>
      </c>
    </row>
    <row r="24" spans="1:10" ht="12" customHeight="1" x14ac:dyDescent="0.25">
      <c r="A24" s="40" t="s">
        <v>357</v>
      </c>
      <c r="B24" s="304">
        <f>B31/1000</f>
        <v>1.3952000000000002</v>
      </c>
      <c r="C24" s="304">
        <f t="shared" ref="C24:J24" si="6">C31/1000</f>
        <v>1.2692000000000019</v>
      </c>
      <c r="D24" s="304">
        <f t="shared" si="6"/>
        <v>1.0711999999999995</v>
      </c>
      <c r="E24" s="304">
        <f t="shared" si="6"/>
        <v>0.96049999999999935</v>
      </c>
      <c r="F24" s="304">
        <f t="shared" si="6"/>
        <v>0.87380000000000113</v>
      </c>
      <c r="G24" s="304">
        <f t="shared" si="6"/>
        <v>0.74280000000000079</v>
      </c>
      <c r="H24" s="304">
        <f t="shared" si="6"/>
        <v>0.65099999999999969</v>
      </c>
      <c r="I24" s="304">
        <f t="shared" si="6"/>
        <v>0.57449999999999934</v>
      </c>
      <c r="J24" s="304">
        <f t="shared" si="6"/>
        <v>0.50379999999999991</v>
      </c>
    </row>
    <row r="25" spans="1:10" ht="12" customHeight="1" x14ac:dyDescent="0.25">
      <c r="A25" s="40" t="s">
        <v>371</v>
      </c>
      <c r="B25" s="304">
        <f>B28/1000-B24</f>
        <v>13.957799999999999</v>
      </c>
      <c r="C25" s="304">
        <f t="shared" ref="C25:J25" si="7">C28/1000-C24</f>
        <v>16.1812</v>
      </c>
      <c r="D25" s="304">
        <f t="shared" si="7"/>
        <v>14.269300000000001</v>
      </c>
      <c r="E25" s="304">
        <f t="shared" si="7"/>
        <v>16.5778</v>
      </c>
      <c r="F25" s="304">
        <f t="shared" si="7"/>
        <v>15.182399999999999</v>
      </c>
      <c r="G25" s="304">
        <f t="shared" si="7"/>
        <v>15.541400000000001</v>
      </c>
      <c r="H25" s="304">
        <f t="shared" si="7"/>
        <v>16.030799999999999</v>
      </c>
      <c r="I25" s="304">
        <f t="shared" si="7"/>
        <v>16.3413</v>
      </c>
      <c r="J25" s="304">
        <f t="shared" si="7"/>
        <v>16.589200000000002</v>
      </c>
    </row>
    <row r="26" spans="1:10" ht="12" customHeight="1" x14ac:dyDescent="0.25">
      <c r="A26" s="40" t="s">
        <v>358</v>
      </c>
      <c r="B26" s="304">
        <v>59.854699999999994</v>
      </c>
      <c r="C26" s="304">
        <v>55.862499999999997</v>
      </c>
      <c r="D26" s="304">
        <v>53.195500000000003</v>
      </c>
      <c r="E26" s="304">
        <v>51.203099999999999</v>
      </c>
      <c r="F26" s="304">
        <v>50.199599999999997</v>
      </c>
      <c r="G26" s="304">
        <v>47.358699999999999</v>
      </c>
      <c r="H26" s="304">
        <v>44.657699999999998</v>
      </c>
      <c r="I26" s="304">
        <v>41.268900000000002</v>
      </c>
      <c r="J26" s="304">
        <v>38.866199999999999</v>
      </c>
    </row>
    <row r="27" spans="1:10" ht="12" customHeight="1" x14ac:dyDescent="0.25">
      <c r="A27" s="40"/>
      <c r="B27" s="304"/>
      <c r="C27" s="304"/>
      <c r="D27" s="304"/>
      <c r="E27" s="304"/>
      <c r="F27" s="304"/>
      <c r="G27" s="304"/>
      <c r="H27" s="304"/>
      <c r="I27" s="304"/>
      <c r="J27" s="304"/>
    </row>
    <row r="28" spans="1:10" ht="12" customHeight="1" x14ac:dyDescent="0.25">
      <c r="A28" s="40" t="s">
        <v>368</v>
      </c>
      <c r="B28" s="436">
        <v>15353</v>
      </c>
      <c r="C28" s="436">
        <v>17450.400000000001</v>
      </c>
      <c r="D28" s="436">
        <v>15340.5</v>
      </c>
      <c r="E28" s="436">
        <v>17538.3</v>
      </c>
      <c r="F28" s="436">
        <v>16056.2</v>
      </c>
      <c r="G28" s="436">
        <v>16284.2</v>
      </c>
      <c r="H28" s="436">
        <v>16681.8</v>
      </c>
      <c r="I28" s="436">
        <v>16915.8</v>
      </c>
      <c r="J28" s="436">
        <v>17093</v>
      </c>
    </row>
    <row r="29" spans="1:10" ht="12" customHeight="1" x14ac:dyDescent="0.25">
      <c r="A29" s="40" t="s">
        <v>366</v>
      </c>
      <c r="B29" s="436">
        <v>13189.4</v>
      </c>
      <c r="C29" s="436">
        <v>15403.4</v>
      </c>
      <c r="D29" s="436">
        <v>13497.1</v>
      </c>
      <c r="E29" s="436">
        <v>15805</v>
      </c>
      <c r="F29" s="436">
        <v>14397.4</v>
      </c>
      <c r="G29" s="436">
        <v>14740</v>
      </c>
      <c r="H29" s="436">
        <v>15207.9</v>
      </c>
      <c r="I29" s="436">
        <v>15507</v>
      </c>
      <c r="J29" s="436">
        <v>15751</v>
      </c>
    </row>
    <row r="30" spans="1:10" ht="12" customHeight="1" x14ac:dyDescent="0.25">
      <c r="A30" s="40" t="s">
        <v>367</v>
      </c>
      <c r="B30" s="436">
        <v>768.4</v>
      </c>
      <c r="C30" s="436">
        <v>777.8</v>
      </c>
      <c r="D30" s="436">
        <v>772.2</v>
      </c>
      <c r="E30" s="436">
        <v>772.8</v>
      </c>
      <c r="F30" s="436">
        <v>785</v>
      </c>
      <c r="G30" s="436">
        <v>801.4</v>
      </c>
      <c r="H30" s="436">
        <v>822.9</v>
      </c>
      <c r="I30" s="436">
        <v>834.3</v>
      </c>
      <c r="J30" s="436">
        <v>838.2</v>
      </c>
    </row>
    <row r="31" spans="1:10" ht="12" customHeight="1" x14ac:dyDescent="0.25">
      <c r="A31" s="40" t="s">
        <v>357</v>
      </c>
      <c r="B31" s="436">
        <f>B28-B29-B30</f>
        <v>1395.2000000000003</v>
      </c>
      <c r="C31" s="436">
        <f t="shared" ref="C31:J31" si="8">C28-C29-C30</f>
        <v>1269.2000000000019</v>
      </c>
      <c r="D31" s="436">
        <f t="shared" si="8"/>
        <v>1071.1999999999996</v>
      </c>
      <c r="E31" s="436">
        <f t="shared" si="8"/>
        <v>960.49999999999932</v>
      </c>
      <c r="F31" s="436">
        <f t="shared" si="8"/>
        <v>873.80000000000109</v>
      </c>
      <c r="G31" s="436">
        <f t="shared" si="8"/>
        <v>742.80000000000075</v>
      </c>
      <c r="H31" s="436">
        <f t="shared" si="8"/>
        <v>650.99999999999966</v>
      </c>
      <c r="I31" s="436">
        <f t="shared" si="8"/>
        <v>574.49999999999932</v>
      </c>
      <c r="J31" s="436">
        <f t="shared" si="8"/>
        <v>503.79999999999995</v>
      </c>
    </row>
    <row r="32" spans="1:10" x14ac:dyDescent="0.25">
      <c r="A32" s="40"/>
    </row>
    <row r="33" spans="7:9" x14ac:dyDescent="0.25">
      <c r="G33" s="381"/>
      <c r="H33" s="381"/>
      <c r="I33" s="38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2D2D2"/>
  </sheetPr>
  <dimension ref="A1:T42"/>
  <sheetViews>
    <sheetView zoomScale="90" zoomScaleNormal="90" workbookViewId="0">
      <selection activeCell="F32" sqref="F32"/>
    </sheetView>
  </sheetViews>
  <sheetFormatPr defaultColWidth="8.85546875" defaultRowHeight="15" x14ac:dyDescent="0.25"/>
  <cols>
    <col min="1" max="1" width="37.85546875" style="26" customWidth="1"/>
    <col min="2" max="4" width="8.7109375" style="26" customWidth="1"/>
    <col min="5" max="5" width="11.7109375" style="96"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26" t="s">
        <v>297</v>
      </c>
      <c r="B1" s="438"/>
      <c r="C1" s="438"/>
      <c r="D1" s="438"/>
      <c r="E1" s="439"/>
      <c r="F1" s="438"/>
      <c r="G1" s="36"/>
      <c r="H1" s="36"/>
      <c r="I1" s="36"/>
    </row>
    <row r="2" spans="1:16" x14ac:dyDescent="0.25">
      <c r="A2" s="437" t="s">
        <v>354</v>
      </c>
      <c r="B2" s="36"/>
      <c r="C2" s="36"/>
      <c r="D2" s="36"/>
      <c r="E2" s="182"/>
      <c r="F2" s="36"/>
      <c r="G2" s="36"/>
      <c r="H2" s="36"/>
      <c r="I2" s="36"/>
    </row>
    <row r="3" spans="1:16" ht="15.75" thickBot="1" x14ac:dyDescent="0.3">
      <c r="A3" s="613" t="s">
        <v>61</v>
      </c>
      <c r="B3" s="613"/>
      <c r="C3" s="613"/>
      <c r="D3" s="613"/>
      <c r="E3" s="83"/>
      <c r="F3" s="613" t="s">
        <v>258</v>
      </c>
      <c r="G3" s="613"/>
      <c r="H3" s="613"/>
      <c r="I3" s="613"/>
      <c r="M3" s="613" t="s">
        <v>310</v>
      </c>
      <c r="N3" s="614"/>
      <c r="O3" s="614"/>
      <c r="P3" s="614"/>
    </row>
    <row r="4" spans="1:16" s="41" customFormat="1" ht="13.5" thickBot="1" x14ac:dyDescent="0.25">
      <c r="A4" s="615" t="s">
        <v>54</v>
      </c>
      <c r="B4" s="615"/>
      <c r="C4" s="615"/>
      <c r="D4" s="615"/>
      <c r="E4" s="183"/>
      <c r="F4" s="615" t="s">
        <v>259</v>
      </c>
      <c r="G4" s="615"/>
      <c r="H4" s="615"/>
      <c r="I4" s="615"/>
      <c r="K4" s="64" t="s">
        <v>63</v>
      </c>
      <c r="M4" s="378" t="s">
        <v>311</v>
      </c>
      <c r="N4" s="366"/>
      <c r="O4" s="366"/>
      <c r="P4" s="366"/>
    </row>
    <row r="5" spans="1:16" ht="15.75" thickBot="1" x14ac:dyDescent="0.3">
      <c r="A5" s="616" t="s">
        <v>55</v>
      </c>
      <c r="B5" s="616"/>
      <c r="C5" s="616"/>
      <c r="D5" s="616"/>
      <c r="E5" s="44"/>
      <c r="F5" s="616" t="s">
        <v>56</v>
      </c>
      <c r="G5" s="616"/>
      <c r="H5" s="616"/>
      <c r="I5" s="616"/>
      <c r="K5" s="62" t="s">
        <v>61</v>
      </c>
      <c r="M5" s="367"/>
      <c r="N5" s="367"/>
      <c r="O5" s="367"/>
      <c r="P5" s="367"/>
    </row>
    <row r="6" spans="1:16" ht="15.75" thickBot="1" x14ac:dyDescent="0.3">
      <c r="A6" s="33" t="s">
        <v>127</v>
      </c>
      <c r="B6" s="33">
        <v>2017</v>
      </c>
      <c r="C6" s="37">
        <v>2030</v>
      </c>
      <c r="D6" s="38">
        <v>2040</v>
      </c>
      <c r="E6" s="97"/>
      <c r="F6" s="33" t="s">
        <v>127</v>
      </c>
      <c r="G6" s="33">
        <v>2017</v>
      </c>
      <c r="H6" s="37">
        <v>2030</v>
      </c>
      <c r="I6" s="38">
        <v>2040</v>
      </c>
      <c r="K6" s="63" t="s">
        <v>338</v>
      </c>
      <c r="M6" s="33" t="s">
        <v>309</v>
      </c>
      <c r="N6" s="33">
        <v>2017</v>
      </c>
      <c r="O6" s="37">
        <v>2030</v>
      </c>
      <c r="P6" s="38">
        <v>2040</v>
      </c>
    </row>
    <row r="7" spans="1:16" ht="15.75" thickBot="1" x14ac:dyDescent="0.3">
      <c r="A7" s="32" t="s">
        <v>102</v>
      </c>
      <c r="B7" s="161">
        <v>0.51897550619022437</v>
      </c>
      <c r="C7" s="162">
        <v>0.39627461007293346</v>
      </c>
      <c r="D7" s="163">
        <v>0.30878176598734658</v>
      </c>
      <c r="E7" s="44"/>
      <c r="F7" s="32" t="s">
        <v>8</v>
      </c>
      <c r="G7" s="161">
        <v>0.51897550619022437</v>
      </c>
      <c r="H7" s="162">
        <v>0.35761367250484238</v>
      </c>
      <c r="I7" s="163">
        <v>0.17452833971320139</v>
      </c>
      <c r="M7" s="32" t="s">
        <v>307</v>
      </c>
      <c r="N7" s="175"/>
      <c r="O7" s="176">
        <v>3.04</v>
      </c>
      <c r="P7" s="177">
        <v>1.89</v>
      </c>
    </row>
    <row r="8" spans="1:16" ht="15.75" thickBot="1" x14ac:dyDescent="0.3">
      <c r="A8" s="32" t="s">
        <v>103</v>
      </c>
      <c r="B8" s="161">
        <v>0.47713411257965044</v>
      </c>
      <c r="C8" s="162">
        <v>0.42372538992706654</v>
      </c>
      <c r="D8" s="163">
        <v>0.31121823401265342</v>
      </c>
      <c r="E8" s="44"/>
      <c r="F8" s="32" t="s">
        <v>9</v>
      </c>
      <c r="G8" s="161">
        <v>0.47713411257965044</v>
      </c>
      <c r="H8" s="162">
        <v>0.38238632749515761</v>
      </c>
      <c r="I8" s="163">
        <v>0.15547166028679862</v>
      </c>
      <c r="K8" s="380" t="s">
        <v>63</v>
      </c>
      <c r="M8" s="32" t="s">
        <v>7</v>
      </c>
      <c r="N8" s="175"/>
      <c r="O8" s="176">
        <v>0.26</v>
      </c>
      <c r="P8" s="177">
        <v>0.56000000000000005</v>
      </c>
    </row>
    <row r="9" spans="1:16" ht="15.75" thickBot="1" x14ac:dyDescent="0.3">
      <c r="A9" s="32" t="s">
        <v>104</v>
      </c>
      <c r="B9" s="161">
        <v>3.8903812301252496E-3</v>
      </c>
      <c r="C9" s="162">
        <v>0.18</v>
      </c>
      <c r="D9" s="389">
        <v>0.38</v>
      </c>
      <c r="E9" s="44"/>
      <c r="F9" s="32" t="s">
        <v>7</v>
      </c>
      <c r="G9" s="161">
        <v>3.8903812301252496E-3</v>
      </c>
      <c r="H9" s="162">
        <v>0.26</v>
      </c>
      <c r="I9" s="163">
        <v>0.67</v>
      </c>
      <c r="K9" s="379" t="s">
        <v>337</v>
      </c>
      <c r="M9" s="33" t="s">
        <v>16</v>
      </c>
      <c r="N9" s="169"/>
      <c r="O9" s="170">
        <f t="shared" ref="O9" si="0">SUM(O7:O8)</f>
        <v>3.3</v>
      </c>
      <c r="P9" s="171">
        <f t="shared" ref="P9" si="1">SUM(P7:P8)</f>
        <v>2.4500000000000002</v>
      </c>
    </row>
    <row r="10" spans="1:16" ht="15.75" thickBot="1" x14ac:dyDescent="0.3">
      <c r="A10" s="33" t="s">
        <v>16</v>
      </c>
      <c r="B10" s="164">
        <f t="shared" ref="B10:D10" si="2">SUM(B7:B9)</f>
        <v>1</v>
      </c>
      <c r="C10" s="165">
        <f>SUM(C7:C9)</f>
        <v>1</v>
      </c>
      <c r="D10" s="166">
        <f t="shared" si="2"/>
        <v>1</v>
      </c>
      <c r="F10" s="33" t="s">
        <v>16</v>
      </c>
      <c r="G10" s="164">
        <f>SUM(G7:G9)</f>
        <v>1</v>
      </c>
      <c r="H10" s="165">
        <f t="shared" ref="H10" si="3">SUM(H7:H9)</f>
        <v>1</v>
      </c>
      <c r="I10" s="166">
        <f t="shared" ref="I10" si="4">SUM(I7:I9)</f>
        <v>1</v>
      </c>
      <c r="K10" s="62" t="s">
        <v>336</v>
      </c>
    </row>
    <row r="11" spans="1:16" ht="15.75" thickBot="1" x14ac:dyDescent="0.3">
      <c r="A11" s="167"/>
      <c r="B11" s="168"/>
      <c r="C11" s="168"/>
      <c r="D11" s="168"/>
      <c r="F11" s="167"/>
      <c r="G11" s="168"/>
      <c r="H11" s="168"/>
      <c r="I11" s="168"/>
      <c r="K11" s="63" t="s">
        <v>334</v>
      </c>
      <c r="M11" s="613" t="s">
        <v>335</v>
      </c>
      <c r="N11" s="614"/>
      <c r="O11" s="614"/>
      <c r="P11" s="614"/>
    </row>
    <row r="12" spans="1:16" ht="15.75" thickBot="1" x14ac:dyDescent="0.3">
      <c r="A12" s="33" t="s">
        <v>213</v>
      </c>
      <c r="B12" s="33">
        <v>2017</v>
      </c>
      <c r="C12" s="37">
        <v>2030</v>
      </c>
      <c r="D12" s="38">
        <v>2040</v>
      </c>
      <c r="F12" s="33" t="s">
        <v>213</v>
      </c>
      <c r="G12" s="33">
        <v>2017</v>
      </c>
      <c r="H12" s="37">
        <v>2030</v>
      </c>
      <c r="I12" s="38">
        <v>2040</v>
      </c>
      <c r="M12" s="378" t="s">
        <v>308</v>
      </c>
      <c r="N12" s="366"/>
      <c r="O12" s="366"/>
      <c r="P12" s="366"/>
    </row>
    <row r="13" spans="1:16" ht="15.75" thickBot="1" x14ac:dyDescent="0.3">
      <c r="A13" s="33" t="s">
        <v>105</v>
      </c>
      <c r="B13" s="338">
        <v>77.971587143204999</v>
      </c>
      <c r="C13" s="339">
        <f>86.10160831527*1.025</f>
        <v>88.254148523151741</v>
      </c>
      <c r="D13" s="340">
        <f>95.4887231335566*1.05</f>
        <v>100.26315929023444</v>
      </c>
      <c r="E13" s="44"/>
      <c r="F13" s="33" t="s">
        <v>105</v>
      </c>
      <c r="G13" s="338">
        <f>B13</f>
        <v>77.971587143204999</v>
      </c>
      <c r="H13" s="339">
        <f>C13</f>
        <v>88.254148523151741</v>
      </c>
      <c r="I13" s="340">
        <f>D13</f>
        <v>100.26315929023444</v>
      </c>
      <c r="M13" s="367"/>
      <c r="N13" s="367"/>
      <c r="O13" s="367"/>
      <c r="P13" s="367"/>
    </row>
    <row r="14" spans="1:16" ht="15.75" thickBot="1" x14ac:dyDescent="0.3">
      <c r="A14" s="37"/>
      <c r="B14" s="170"/>
      <c r="C14" s="170"/>
      <c r="D14" s="170"/>
      <c r="F14" s="40"/>
      <c r="G14" s="40"/>
      <c r="H14" s="40"/>
      <c r="I14" s="40"/>
      <c r="M14" s="33" t="s">
        <v>309</v>
      </c>
      <c r="N14" s="33">
        <v>2017</v>
      </c>
      <c r="O14" s="37">
        <v>2030</v>
      </c>
      <c r="P14" s="38">
        <v>2040</v>
      </c>
    </row>
    <row r="15" spans="1:16" ht="15.75" thickBot="1" x14ac:dyDescent="0.3">
      <c r="A15" s="33" t="s">
        <v>126</v>
      </c>
      <c r="B15" s="33">
        <v>2017</v>
      </c>
      <c r="C15" s="37">
        <v>2030</v>
      </c>
      <c r="D15" s="38">
        <v>2040</v>
      </c>
      <c r="F15" s="33" t="s">
        <v>126</v>
      </c>
      <c r="G15" s="33">
        <v>2017</v>
      </c>
      <c r="H15" s="37">
        <v>2030</v>
      </c>
      <c r="I15" s="38">
        <v>2040</v>
      </c>
      <c r="M15" s="32" t="s">
        <v>307</v>
      </c>
      <c r="N15" s="175"/>
      <c r="O15" s="176">
        <v>1.33</v>
      </c>
      <c r="P15" s="177">
        <v>0.97</v>
      </c>
    </row>
    <row r="16" spans="1:16" ht="15.75" thickBot="1" x14ac:dyDescent="0.3">
      <c r="A16" s="29" t="s">
        <v>102</v>
      </c>
      <c r="B16" s="172">
        <f>0.716252875334414</f>
        <v>0.71625287533441395</v>
      </c>
      <c r="C16" s="173">
        <v>0.60765334265455651</v>
      </c>
      <c r="D16" s="174">
        <v>0.49219920755019081</v>
      </c>
      <c r="E16" s="44"/>
      <c r="F16" s="29" t="s">
        <v>102</v>
      </c>
      <c r="G16" s="172">
        <f t="shared" ref="G16:H18" si="5">B16</f>
        <v>0.71625287533441395</v>
      </c>
      <c r="H16" s="173">
        <f t="shared" si="5"/>
        <v>0.60765334265455651</v>
      </c>
      <c r="I16" s="174">
        <f t="shared" ref="I16" si="6">D16</f>
        <v>0.49219920755019081</v>
      </c>
      <c r="L16" s="381"/>
      <c r="M16" s="32" t="s">
        <v>7</v>
      </c>
      <c r="N16" s="175"/>
      <c r="O16" s="176">
        <v>0.88</v>
      </c>
      <c r="P16" s="177">
        <v>1.1200000000000001</v>
      </c>
    </row>
    <row r="17" spans="1:20" ht="15.75" thickBot="1" x14ac:dyDescent="0.3">
      <c r="A17" s="32" t="s">
        <v>103</v>
      </c>
      <c r="B17" s="175">
        <v>0.723548191862601</v>
      </c>
      <c r="C17" s="176">
        <v>0.60691454404542722</v>
      </c>
      <c r="D17" s="177">
        <v>0.49160078067679608</v>
      </c>
      <c r="E17" s="44"/>
      <c r="F17" s="32" t="s">
        <v>103</v>
      </c>
      <c r="G17" s="175">
        <f t="shared" si="5"/>
        <v>0.723548191862601</v>
      </c>
      <c r="H17" s="176">
        <f t="shared" si="5"/>
        <v>0.60691454404542722</v>
      </c>
      <c r="I17" s="177">
        <f>D17</f>
        <v>0.49160078067679608</v>
      </c>
      <c r="M17" s="33" t="s">
        <v>16</v>
      </c>
      <c r="N17" s="169"/>
      <c r="O17" s="170">
        <f t="shared" ref="O17:P17" si="7">SUM(O15:O16)</f>
        <v>2.21</v>
      </c>
      <c r="P17" s="171">
        <f t="shared" si="7"/>
        <v>2.09</v>
      </c>
    </row>
    <row r="18" spans="1:20" ht="15.75" thickBot="1" x14ac:dyDescent="0.3">
      <c r="A18" s="30" t="s">
        <v>104</v>
      </c>
      <c r="B18" s="178">
        <v>1.615</v>
      </c>
      <c r="C18" s="179">
        <v>1.6150000000000002</v>
      </c>
      <c r="D18" s="180">
        <v>1.6150000000000002</v>
      </c>
      <c r="E18" s="44"/>
      <c r="F18" s="30" t="s">
        <v>104</v>
      </c>
      <c r="G18" s="178">
        <f t="shared" si="5"/>
        <v>1.615</v>
      </c>
      <c r="H18" s="179">
        <f t="shared" si="5"/>
        <v>1.6150000000000002</v>
      </c>
      <c r="I18" s="180">
        <f>D18</f>
        <v>1.6150000000000002</v>
      </c>
    </row>
    <row r="19" spans="1:20" ht="15.75" thickBot="1" x14ac:dyDescent="0.3">
      <c r="E19" s="105"/>
      <c r="F19" s="186"/>
      <c r="G19" s="186"/>
      <c r="H19" s="186"/>
      <c r="I19" s="186"/>
      <c r="M19" s="613" t="s">
        <v>334</v>
      </c>
      <c r="N19" s="614"/>
      <c r="O19" s="614"/>
      <c r="P19" s="614"/>
    </row>
    <row r="20" spans="1:20" ht="15.75" thickBot="1" x14ac:dyDescent="0.3">
      <c r="A20" s="33" t="s">
        <v>277</v>
      </c>
      <c r="B20" s="33">
        <v>2017</v>
      </c>
      <c r="C20" s="37">
        <v>2030</v>
      </c>
      <c r="D20" s="38">
        <v>2040</v>
      </c>
      <c r="E20" s="184"/>
      <c r="F20" s="33" t="s">
        <v>277</v>
      </c>
      <c r="G20" s="33">
        <v>2017</v>
      </c>
      <c r="H20" s="37">
        <v>2030</v>
      </c>
      <c r="I20" s="38">
        <v>2040</v>
      </c>
      <c r="M20" s="378" t="s">
        <v>308</v>
      </c>
      <c r="N20" s="366"/>
      <c r="O20" s="366"/>
      <c r="P20" s="366"/>
    </row>
    <row r="21" spans="1:20" ht="15.75" thickBot="1" x14ac:dyDescent="0.3">
      <c r="A21" s="29" t="s">
        <v>107</v>
      </c>
      <c r="B21" s="172"/>
      <c r="C21" s="311">
        <v>0.15</v>
      </c>
      <c r="D21" s="312">
        <v>0.6</v>
      </c>
      <c r="E21" s="185"/>
      <c r="F21" s="29" t="s">
        <v>107</v>
      </c>
      <c r="G21" s="172"/>
      <c r="H21" s="311">
        <v>0.5</v>
      </c>
      <c r="I21" s="312">
        <v>0.85</v>
      </c>
      <c r="M21" s="367"/>
      <c r="N21" s="367"/>
      <c r="O21" s="367"/>
      <c r="P21" s="367"/>
    </row>
    <row r="22" spans="1:20" ht="15.75" thickBot="1" x14ac:dyDescent="0.3">
      <c r="A22" s="32" t="s">
        <v>108</v>
      </c>
      <c r="B22" s="175"/>
      <c r="C22" s="313">
        <v>0.15</v>
      </c>
      <c r="D22" s="314">
        <v>0.6</v>
      </c>
      <c r="E22" s="185"/>
      <c r="F22" s="32" t="s">
        <v>108</v>
      </c>
      <c r="G22" s="175"/>
      <c r="H22" s="313">
        <v>0.5</v>
      </c>
      <c r="I22" s="314">
        <v>0.85</v>
      </c>
      <c r="M22" s="33" t="s">
        <v>309</v>
      </c>
      <c r="N22" s="33">
        <v>2017</v>
      </c>
      <c r="O22" s="37">
        <v>2030</v>
      </c>
      <c r="P22" s="38">
        <v>2040</v>
      </c>
    </row>
    <row r="23" spans="1:20" x14ac:dyDescent="0.25">
      <c r="A23" s="32" t="s">
        <v>109</v>
      </c>
      <c r="B23" s="175"/>
      <c r="C23" s="313">
        <v>4.0427955013328291E-2</v>
      </c>
      <c r="D23" s="314">
        <v>0.16171182005331317</v>
      </c>
      <c r="E23" s="185"/>
      <c r="F23" s="32" t="s">
        <v>109</v>
      </c>
      <c r="G23" s="175"/>
      <c r="H23" s="313">
        <v>0.14936945604265053</v>
      </c>
      <c r="I23" s="314">
        <v>0.36423060055908874</v>
      </c>
      <c r="M23" s="32" t="s">
        <v>307</v>
      </c>
      <c r="N23" s="175"/>
      <c r="O23" s="176">
        <v>2.0649999999999999</v>
      </c>
      <c r="P23" s="177">
        <v>1.6099999999999999</v>
      </c>
    </row>
    <row r="24" spans="1:20" ht="15.75" thickBot="1" x14ac:dyDescent="0.3">
      <c r="A24" s="181" t="s">
        <v>110</v>
      </c>
      <c r="B24" s="175"/>
      <c r="C24" s="313">
        <v>0</v>
      </c>
      <c r="D24" s="315">
        <v>0</v>
      </c>
      <c r="E24" s="185"/>
      <c r="F24" s="181" t="s">
        <v>110</v>
      </c>
      <c r="G24" s="175"/>
      <c r="H24" s="313">
        <v>0.02</v>
      </c>
      <c r="I24" s="315">
        <v>0.185</v>
      </c>
      <c r="M24" s="32" t="s">
        <v>7</v>
      </c>
      <c r="N24" s="175"/>
      <c r="O24" s="176">
        <v>1.365</v>
      </c>
      <c r="P24" s="177">
        <v>2.17</v>
      </c>
    </row>
    <row r="25" spans="1:20" ht="15.75" thickBot="1" x14ac:dyDescent="0.3">
      <c r="A25" s="33" t="s">
        <v>106</v>
      </c>
      <c r="B25" s="169"/>
      <c r="C25" s="316">
        <v>2.4891587356064358E-2</v>
      </c>
      <c r="D25" s="317">
        <v>9.9566349424257433E-2</v>
      </c>
      <c r="E25" s="185"/>
      <c r="F25" s="33" t="s">
        <v>106</v>
      </c>
      <c r="G25" s="169"/>
      <c r="H25" s="316">
        <v>9.9653079539405942E-2</v>
      </c>
      <c r="I25" s="317">
        <v>0.29535270394521862</v>
      </c>
      <c r="K25" s="381"/>
      <c r="L25" s="382"/>
      <c r="M25" s="33" t="s">
        <v>16</v>
      </c>
      <c r="N25" s="169"/>
      <c r="O25" s="170">
        <f t="shared" ref="O25" si="8">SUM(O23:O24)</f>
        <v>3.4299999999999997</v>
      </c>
      <c r="P25" s="171">
        <f t="shared" ref="P25" si="9">SUM(P23:P24)</f>
        <v>3.78</v>
      </c>
    </row>
    <row r="26" spans="1:20" ht="15.75" thickBot="1" x14ac:dyDescent="0.3">
      <c r="E26" s="105"/>
      <c r="F26" s="186"/>
      <c r="G26" s="186"/>
      <c r="H26" s="186"/>
      <c r="I26" s="186"/>
      <c r="K26" s="381"/>
      <c r="L26" s="382"/>
      <c r="M26" s="382"/>
      <c r="N26" s="382"/>
      <c r="O26" s="382"/>
      <c r="P26" s="382"/>
      <c r="Q26" s="382"/>
      <c r="R26" s="382"/>
      <c r="S26" s="382"/>
      <c r="T26" s="382"/>
    </row>
    <row r="27" spans="1:20" ht="15.75" thickBot="1" x14ac:dyDescent="0.3">
      <c r="A27" s="33" t="s">
        <v>213</v>
      </c>
      <c r="B27" s="33">
        <v>2017</v>
      </c>
      <c r="C27" s="37">
        <v>2030</v>
      </c>
      <c r="D27" s="38">
        <v>2040</v>
      </c>
      <c r="E27" s="184"/>
      <c r="F27" s="33" t="s">
        <v>213</v>
      </c>
      <c r="G27" s="341">
        <v>2017</v>
      </c>
      <c r="H27" s="342">
        <v>2030</v>
      </c>
      <c r="I27" s="343">
        <v>2040</v>
      </c>
      <c r="K27" s="381"/>
      <c r="L27" s="383"/>
      <c r="M27" s="383"/>
      <c r="N27" s="381"/>
    </row>
    <row r="28" spans="1:20" x14ac:dyDescent="0.25">
      <c r="A28" s="29" t="s">
        <v>107</v>
      </c>
      <c r="B28" s="172"/>
      <c r="C28" s="347">
        <v>0.22095243940171372</v>
      </c>
      <c r="D28" s="350">
        <v>0.26056352414887451</v>
      </c>
      <c r="E28" s="44"/>
      <c r="F28" s="29" t="s">
        <v>107</v>
      </c>
      <c r="G28" s="172"/>
      <c r="H28" s="347">
        <f>C28</f>
        <v>0.22095243940171372</v>
      </c>
      <c r="I28" s="350">
        <f>D28</f>
        <v>0.26056352414887451</v>
      </c>
      <c r="K28" s="381"/>
      <c r="L28" s="383"/>
      <c r="M28" s="383"/>
      <c r="N28" s="381"/>
    </row>
    <row r="29" spans="1:20" x14ac:dyDescent="0.25">
      <c r="A29" s="32" t="s">
        <v>108</v>
      </c>
      <c r="B29" s="175"/>
      <c r="C29" s="348">
        <v>0.24048713697194765</v>
      </c>
      <c r="D29" s="351">
        <v>0.28360029014188726</v>
      </c>
      <c r="E29" s="44"/>
      <c r="F29" s="32" t="s">
        <v>108</v>
      </c>
      <c r="G29" s="175"/>
      <c r="H29" s="348">
        <f t="shared" ref="H29:I31" si="10">C29</f>
        <v>0.24048713697194765</v>
      </c>
      <c r="I29" s="351">
        <f t="shared" si="10"/>
        <v>0.28360029014188726</v>
      </c>
      <c r="K29" s="381"/>
      <c r="L29" s="381"/>
      <c r="M29" s="381"/>
      <c r="N29" s="381"/>
    </row>
    <row r="30" spans="1:20" x14ac:dyDescent="0.25">
      <c r="A30" s="32" t="s">
        <v>109</v>
      </c>
      <c r="B30" s="175"/>
      <c r="C30" s="348">
        <v>1.9682018403049411</v>
      </c>
      <c r="D30" s="351">
        <v>2.3210497658899261</v>
      </c>
      <c r="E30" s="44"/>
      <c r="F30" s="32" t="s">
        <v>109</v>
      </c>
      <c r="G30" s="175"/>
      <c r="H30" s="348">
        <f t="shared" si="10"/>
        <v>1.9682018403049411</v>
      </c>
      <c r="I30" s="351">
        <f t="shared" si="10"/>
        <v>2.3210497658899261</v>
      </c>
      <c r="K30" s="381"/>
      <c r="L30" s="381"/>
      <c r="M30" s="381"/>
      <c r="N30" s="381"/>
      <c r="O30" s="381"/>
    </row>
    <row r="31" spans="1:20" ht="15.75" thickBot="1" x14ac:dyDescent="0.3">
      <c r="A31" s="181" t="s">
        <v>110</v>
      </c>
      <c r="B31" s="175"/>
      <c r="C31" s="348">
        <v>3.5477319739661044</v>
      </c>
      <c r="D31" s="352">
        <v>4.1837489931106022</v>
      </c>
      <c r="E31" s="44"/>
      <c r="F31" s="30" t="s">
        <v>110</v>
      </c>
      <c r="G31" s="178"/>
      <c r="H31" s="349">
        <f t="shared" si="10"/>
        <v>3.5477319739661044</v>
      </c>
      <c r="I31" s="352">
        <f t="shared" si="10"/>
        <v>4.1837489931106022</v>
      </c>
      <c r="K31" s="381"/>
      <c r="L31" s="381"/>
      <c r="M31" s="381"/>
      <c r="N31" s="381"/>
      <c r="O31" s="381"/>
    </row>
    <row r="32" spans="1:20" ht="15.75" thickBot="1" x14ac:dyDescent="0.3">
      <c r="A32" s="33" t="s">
        <v>106</v>
      </c>
      <c r="B32" s="169"/>
      <c r="C32" s="339">
        <f t="shared" ref="C32" si="11">SUM(C28:C31)</f>
        <v>5.9773733906447069</v>
      </c>
      <c r="D32" s="340">
        <f>SUM(D28:D31)</f>
        <v>7.0489625732912895</v>
      </c>
      <c r="E32" s="185"/>
      <c r="F32" s="33" t="s">
        <v>106</v>
      </c>
      <c r="G32" s="344"/>
      <c r="H32" s="345">
        <f t="shared" ref="H32" si="12">SUM(H28:H31)</f>
        <v>5.9773733906447069</v>
      </c>
      <c r="I32" s="346">
        <f>SUM(I28:I31)</f>
        <v>7.0489625732912895</v>
      </c>
      <c r="K32" s="381"/>
      <c r="L32" s="381"/>
      <c r="M32" s="381"/>
      <c r="N32" s="381"/>
      <c r="O32" s="381"/>
    </row>
    <row r="33" spans="1:15" ht="15.75" thickBot="1" x14ac:dyDescent="0.3">
      <c r="C33" s="553"/>
      <c r="D33" s="553"/>
      <c r="K33" s="381"/>
      <c r="L33" s="381"/>
      <c r="M33" s="381"/>
      <c r="N33" s="381"/>
      <c r="O33" s="381"/>
    </row>
    <row r="34" spans="1:15" ht="15.75" thickBot="1" x14ac:dyDescent="0.3">
      <c r="A34" s="33" t="s">
        <v>126</v>
      </c>
      <c r="B34" s="33">
        <v>2017</v>
      </c>
      <c r="C34" s="339">
        <v>2030</v>
      </c>
      <c r="D34" s="340">
        <v>2040</v>
      </c>
      <c r="F34" s="33" t="s">
        <v>126</v>
      </c>
      <c r="G34" s="341">
        <v>2017</v>
      </c>
      <c r="H34" s="342">
        <v>2030</v>
      </c>
      <c r="I34" s="343">
        <v>2040</v>
      </c>
    </row>
    <row r="35" spans="1:15" x14ac:dyDescent="0.25">
      <c r="A35" s="29" t="s">
        <v>112</v>
      </c>
      <c r="B35" s="172"/>
      <c r="C35" s="347">
        <v>1.409627347092486</v>
      </c>
      <c r="D35" s="350">
        <v>1.0975404858629165</v>
      </c>
      <c r="E35" s="184"/>
      <c r="F35" s="29" t="s">
        <v>112</v>
      </c>
      <c r="G35" s="172"/>
      <c r="H35" s="347">
        <f>C35</f>
        <v>1.409627347092486</v>
      </c>
      <c r="I35" s="350">
        <f>D35</f>
        <v>1.0975404858629165</v>
      </c>
    </row>
    <row r="36" spans="1:15" x14ac:dyDescent="0.25">
      <c r="A36" s="32" t="s">
        <v>113</v>
      </c>
      <c r="B36" s="175"/>
      <c r="C36" s="348">
        <v>1.8521521959043132</v>
      </c>
      <c r="D36" s="351">
        <v>1.4301687678393367</v>
      </c>
      <c r="E36" s="184"/>
      <c r="F36" s="32" t="s">
        <v>113</v>
      </c>
      <c r="G36" s="175"/>
      <c r="H36" s="348">
        <f t="shared" ref="H36:I38" si="13">C36</f>
        <v>1.8521521959043132</v>
      </c>
      <c r="I36" s="351">
        <f t="shared" si="13"/>
        <v>1.4301687678393367</v>
      </c>
    </row>
    <row r="37" spans="1:15" x14ac:dyDescent="0.25">
      <c r="A37" s="32" t="s">
        <v>114</v>
      </c>
      <c r="B37" s="175"/>
      <c r="C37" s="348">
        <v>2.2765487554982271</v>
      </c>
      <c r="D37" s="351">
        <v>1.7743995375527619</v>
      </c>
      <c r="E37" s="184"/>
      <c r="F37" s="32" t="s">
        <v>114</v>
      </c>
      <c r="G37" s="175"/>
      <c r="H37" s="348">
        <f t="shared" si="13"/>
        <v>2.2765487554982271</v>
      </c>
      <c r="I37" s="351">
        <f t="shared" si="13"/>
        <v>1.7743995375527619</v>
      </c>
    </row>
    <row r="38" spans="1:15" ht="15.75" thickBot="1" x14ac:dyDescent="0.3">
      <c r="A38" s="181" t="s">
        <v>115</v>
      </c>
      <c r="B38" s="178"/>
      <c r="C38" s="349">
        <v>2.9364819147657566</v>
      </c>
      <c r="D38" s="352">
        <v>2.3008116808806713</v>
      </c>
      <c r="E38" s="184"/>
      <c r="F38" s="30" t="s">
        <v>115</v>
      </c>
      <c r="G38" s="178"/>
      <c r="H38" s="349">
        <f t="shared" si="13"/>
        <v>2.9364819147657566</v>
      </c>
      <c r="I38" s="352">
        <f t="shared" si="13"/>
        <v>2.3008116808806713</v>
      </c>
    </row>
    <row r="39" spans="1:15" x14ac:dyDescent="0.25">
      <c r="A39" s="29" t="s">
        <v>122</v>
      </c>
      <c r="B39" s="172"/>
      <c r="C39" s="347">
        <v>8.4732522945626005</v>
      </c>
      <c r="D39" s="350">
        <v>8.4732522945626005</v>
      </c>
      <c r="E39" s="184"/>
      <c r="F39" s="29" t="s">
        <v>122</v>
      </c>
      <c r="G39" s="175"/>
      <c r="H39" s="348">
        <v>8.4732522945626005</v>
      </c>
      <c r="I39" s="351">
        <v>8.4732522945626005</v>
      </c>
    </row>
    <row r="40" spans="1:15" x14ac:dyDescent="0.25">
      <c r="A40" s="32" t="s">
        <v>123</v>
      </c>
      <c r="B40" s="175"/>
      <c r="C40" s="348">
        <v>8.4732522945626005</v>
      </c>
      <c r="D40" s="351">
        <v>8.4732522945626005</v>
      </c>
      <c r="E40" s="184"/>
      <c r="F40" s="32" t="s">
        <v>123</v>
      </c>
      <c r="G40" s="175"/>
      <c r="H40" s="348">
        <v>8.4732522945626005</v>
      </c>
      <c r="I40" s="351">
        <v>8.4732522945626005</v>
      </c>
    </row>
    <row r="41" spans="1:15" x14ac:dyDescent="0.25">
      <c r="A41" s="32" t="s">
        <v>124</v>
      </c>
      <c r="B41" s="175"/>
      <c r="C41" s="348">
        <v>13.374188060932356</v>
      </c>
      <c r="D41" s="351">
        <v>13.374188060932356</v>
      </c>
      <c r="E41" s="184"/>
      <c r="F41" s="32" t="s">
        <v>124</v>
      </c>
      <c r="G41" s="175"/>
      <c r="H41" s="348">
        <v>13.374188060932356</v>
      </c>
      <c r="I41" s="351">
        <v>13.374188060932356</v>
      </c>
    </row>
    <row r="42" spans="1:15" ht="15.75" thickBot="1" x14ac:dyDescent="0.3">
      <c r="A42" s="181" t="s">
        <v>125</v>
      </c>
      <c r="B42" s="178"/>
      <c r="C42" s="349">
        <v>15.182448650666799</v>
      </c>
      <c r="D42" s="352">
        <v>15.182448650666799</v>
      </c>
      <c r="E42" s="184"/>
      <c r="F42" s="181" t="s">
        <v>125</v>
      </c>
      <c r="G42" s="178"/>
      <c r="H42" s="349">
        <v>15.182448650666799</v>
      </c>
      <c r="I42" s="352">
        <v>15.182448650666799</v>
      </c>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O26"/>
  <sheetViews>
    <sheetView zoomScale="130" zoomScaleNormal="130" workbookViewId="0">
      <selection activeCell="D9" sqref="D9"/>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26" t="s">
        <v>264</v>
      </c>
      <c r="C1" s="381"/>
      <c r="D1" s="217"/>
      <c r="E1" s="217"/>
      <c r="F1" s="330"/>
    </row>
    <row r="2" spans="1:15" ht="15.75" thickBot="1" x14ac:dyDescent="0.3">
      <c r="A2" s="437" t="s">
        <v>355</v>
      </c>
    </row>
    <row r="3" spans="1:15" s="128" customFormat="1" ht="16.5" thickBot="1" x14ac:dyDescent="0.3">
      <c r="A3" s="320" t="s">
        <v>264</v>
      </c>
      <c r="B3" s="321" t="s">
        <v>18</v>
      </c>
      <c r="C3" s="322" t="s">
        <v>14</v>
      </c>
      <c r="D3" s="133">
        <v>2030</v>
      </c>
      <c r="E3" s="134">
        <v>2040</v>
      </c>
      <c r="F3" s="336" t="s">
        <v>15</v>
      </c>
      <c r="G3" s="27"/>
      <c r="H3" s="127"/>
      <c r="I3" s="127"/>
      <c r="J3" s="127"/>
      <c r="K3" s="127"/>
      <c r="L3" s="127"/>
      <c r="M3" s="127"/>
      <c r="N3" s="127"/>
      <c r="O3" s="127"/>
    </row>
    <row r="4" spans="1:15" ht="15" customHeight="1" x14ac:dyDescent="0.25">
      <c r="A4" s="587" t="s">
        <v>294</v>
      </c>
      <c r="B4" s="620" t="s">
        <v>210</v>
      </c>
      <c r="C4" s="621"/>
      <c r="D4" s="326">
        <v>7.0000000000000007E-2</v>
      </c>
      <c r="E4" s="327">
        <v>0.19</v>
      </c>
      <c r="F4" s="29" t="s">
        <v>329</v>
      </c>
      <c r="G4" s="43"/>
      <c r="H4" s="40"/>
      <c r="I4" s="40"/>
      <c r="J4" s="40"/>
      <c r="K4" s="40"/>
      <c r="L4" s="40"/>
      <c r="M4" s="40"/>
      <c r="N4" s="40"/>
      <c r="O4" s="40"/>
    </row>
    <row r="5" spans="1:15" ht="15" customHeight="1" x14ac:dyDescent="0.25">
      <c r="A5" s="617"/>
      <c r="B5" s="622" t="s">
        <v>175</v>
      </c>
      <c r="C5" s="623"/>
      <c r="D5" s="326">
        <v>-0.05</v>
      </c>
      <c r="E5" s="327">
        <v>-0.05</v>
      </c>
      <c r="F5" s="32" t="s">
        <v>70</v>
      </c>
      <c r="G5" s="43"/>
      <c r="H5" s="40"/>
      <c r="I5" s="40"/>
      <c r="J5" s="40"/>
      <c r="K5" s="40"/>
      <c r="L5" s="40"/>
      <c r="M5" s="40"/>
      <c r="N5" s="40"/>
      <c r="O5" s="40"/>
    </row>
    <row r="6" spans="1:15" ht="15" customHeight="1" x14ac:dyDescent="0.25">
      <c r="A6" s="617"/>
      <c r="B6" s="622" t="s">
        <v>176</v>
      </c>
      <c r="C6" s="623"/>
      <c r="D6" s="326">
        <v>0</v>
      </c>
      <c r="E6" s="327">
        <v>0</v>
      </c>
      <c r="F6" s="32" t="s">
        <v>71</v>
      </c>
      <c r="G6" s="43"/>
      <c r="H6" s="40"/>
      <c r="I6" s="40"/>
      <c r="J6" s="40"/>
      <c r="K6" s="40"/>
      <c r="L6" s="40"/>
      <c r="M6" s="40"/>
      <c r="N6" s="40"/>
      <c r="O6" s="40"/>
    </row>
    <row r="7" spans="1:15" ht="15" customHeight="1" x14ac:dyDescent="0.25">
      <c r="A7" s="617"/>
      <c r="B7" s="622" t="s">
        <v>177</v>
      </c>
      <c r="C7" s="623"/>
      <c r="D7" s="326">
        <v>-0.1</v>
      </c>
      <c r="E7" s="327">
        <v>-0.1</v>
      </c>
      <c r="F7" s="32" t="s">
        <v>69</v>
      </c>
      <c r="G7" s="43"/>
      <c r="H7" s="40"/>
      <c r="I7" s="40"/>
      <c r="J7" s="40"/>
      <c r="K7" s="40"/>
      <c r="L7" s="40"/>
      <c r="M7" s="40"/>
      <c r="N7" s="40"/>
      <c r="O7" s="40"/>
    </row>
    <row r="8" spans="1:15" ht="15" customHeight="1" x14ac:dyDescent="0.25">
      <c r="A8" s="617"/>
      <c r="B8" s="622" t="s">
        <v>178</v>
      </c>
      <c r="C8" s="623"/>
      <c r="D8" s="326">
        <v>-0.2</v>
      </c>
      <c r="E8" s="327">
        <v>-0.2</v>
      </c>
      <c r="F8" s="32" t="s">
        <v>211</v>
      </c>
      <c r="G8" s="43"/>
      <c r="H8" s="40"/>
      <c r="I8" s="40"/>
      <c r="J8" s="40"/>
      <c r="K8" s="40"/>
      <c r="L8" s="40"/>
      <c r="M8" s="40"/>
      <c r="N8" s="40"/>
      <c r="O8" s="40"/>
    </row>
    <row r="9" spans="1:15" ht="15" customHeight="1" thickBot="1" x14ac:dyDescent="0.3">
      <c r="A9" s="596"/>
      <c r="B9" s="618" t="s">
        <v>179</v>
      </c>
      <c r="C9" s="619"/>
      <c r="D9" s="328">
        <f>Indata!D78</f>
        <v>-0.22</v>
      </c>
      <c r="E9" s="329">
        <v>-0.22</v>
      </c>
      <c r="F9" s="32" t="s">
        <v>328</v>
      </c>
      <c r="G9" s="43"/>
      <c r="H9" s="40"/>
      <c r="I9" s="40"/>
      <c r="J9" s="40"/>
      <c r="K9" s="40"/>
      <c r="L9" s="40"/>
      <c r="M9" s="40"/>
      <c r="N9" s="40"/>
      <c r="O9" s="40"/>
    </row>
    <row r="10" spans="1:15" ht="15" customHeight="1" x14ac:dyDescent="0.25">
      <c r="A10" s="590" t="s">
        <v>265</v>
      </c>
      <c r="B10" s="106" t="s">
        <v>8</v>
      </c>
      <c r="C10" s="147" t="s">
        <v>94</v>
      </c>
      <c r="D10" s="54">
        <v>2.36</v>
      </c>
      <c r="E10" s="55">
        <v>2.36</v>
      </c>
      <c r="F10" s="337" t="s">
        <v>291</v>
      </c>
      <c r="G10" s="43"/>
      <c r="H10" s="40"/>
      <c r="I10" s="40"/>
      <c r="J10" s="40"/>
      <c r="K10" s="40"/>
      <c r="L10" s="40"/>
      <c r="M10" s="40"/>
      <c r="N10" s="40"/>
      <c r="O10" s="40"/>
    </row>
    <row r="11" spans="1:15" ht="15" customHeight="1" x14ac:dyDescent="0.25">
      <c r="A11" s="591"/>
      <c r="B11" s="43" t="s">
        <v>9</v>
      </c>
      <c r="C11" s="143" t="s">
        <v>94</v>
      </c>
      <c r="D11" s="323">
        <v>2.54</v>
      </c>
      <c r="E11" s="324">
        <v>2.54</v>
      </c>
      <c r="F11" s="411" t="s">
        <v>292</v>
      </c>
      <c r="G11" s="43"/>
      <c r="H11" s="40"/>
      <c r="I11" s="40"/>
      <c r="J11" s="40"/>
      <c r="K11" s="40"/>
      <c r="L11" s="40"/>
      <c r="M11" s="40"/>
      <c r="N11" s="40"/>
      <c r="O11" s="40"/>
    </row>
    <row r="12" spans="1:15" ht="15" customHeight="1" thickBot="1" x14ac:dyDescent="0.3">
      <c r="A12" s="591" t="s">
        <v>68</v>
      </c>
      <c r="B12" s="43" t="s">
        <v>7</v>
      </c>
      <c r="C12" s="331" t="s">
        <v>274</v>
      </c>
      <c r="D12" s="58">
        <v>0</v>
      </c>
      <c r="E12" s="59">
        <v>0</v>
      </c>
      <c r="F12" s="411" t="s">
        <v>293</v>
      </c>
      <c r="G12" s="43"/>
      <c r="H12" s="40"/>
      <c r="I12" s="40"/>
      <c r="J12" s="40"/>
      <c r="K12" s="40"/>
      <c r="L12" s="40"/>
      <c r="M12" s="40"/>
      <c r="N12" s="40"/>
      <c r="O12" s="40"/>
    </row>
    <row r="13" spans="1:15" ht="15" customHeight="1" x14ac:dyDescent="0.25">
      <c r="A13" s="590" t="s">
        <v>266</v>
      </c>
      <c r="B13" s="106" t="s">
        <v>285</v>
      </c>
      <c r="C13" s="147" t="s">
        <v>284</v>
      </c>
      <c r="D13" s="404">
        <v>4.5343745220062293E-2</v>
      </c>
      <c r="E13" s="407">
        <v>4.305849450376794E-2</v>
      </c>
      <c r="F13" s="411" t="s">
        <v>327</v>
      </c>
      <c r="G13" s="43"/>
      <c r="H13" s="40"/>
      <c r="I13" s="40"/>
      <c r="J13" s="40"/>
      <c r="K13" s="40"/>
      <c r="L13" s="40"/>
      <c r="M13" s="40"/>
      <c r="N13" s="40"/>
      <c r="O13" s="40"/>
    </row>
    <row r="14" spans="1:15" ht="15" customHeight="1" x14ac:dyDescent="0.25">
      <c r="A14" s="591"/>
      <c r="B14" s="43" t="s">
        <v>286</v>
      </c>
      <c r="C14" s="143" t="s">
        <v>284</v>
      </c>
      <c r="D14" s="405">
        <v>0.16801178495160743</v>
      </c>
      <c r="E14" s="410">
        <v>0.10192945628188775</v>
      </c>
      <c r="F14" s="411" t="s">
        <v>327</v>
      </c>
      <c r="G14" s="43"/>
      <c r="H14" s="40"/>
      <c r="I14" s="40"/>
      <c r="J14" s="40"/>
      <c r="K14" s="40"/>
      <c r="L14" s="40"/>
      <c r="M14" s="40"/>
      <c r="N14" s="40"/>
      <c r="O14" s="40"/>
    </row>
    <row r="15" spans="1:15" ht="15" customHeight="1" thickBot="1" x14ac:dyDescent="0.3">
      <c r="A15" s="591" t="s">
        <v>68</v>
      </c>
      <c r="B15" s="43" t="s">
        <v>287</v>
      </c>
      <c r="C15" s="331" t="s">
        <v>284</v>
      </c>
      <c r="D15" s="328">
        <v>0.33517469769539487</v>
      </c>
      <c r="E15" s="85">
        <v>0.28633849671341383</v>
      </c>
      <c r="F15" s="411" t="s">
        <v>327</v>
      </c>
      <c r="G15" s="43"/>
      <c r="H15" s="40"/>
      <c r="I15" s="40"/>
      <c r="J15" s="40"/>
      <c r="K15" s="40"/>
      <c r="L15" s="40"/>
      <c r="M15" s="40"/>
      <c r="N15" s="40"/>
      <c r="O15" s="40"/>
    </row>
    <row r="16" spans="1:15" ht="15" customHeight="1" x14ac:dyDescent="0.25">
      <c r="A16" s="590" t="s">
        <v>272</v>
      </c>
      <c r="B16" s="106" t="s">
        <v>285</v>
      </c>
      <c r="C16" s="147" t="s">
        <v>284</v>
      </c>
      <c r="D16" s="412">
        <v>1.3642232621532513E-3</v>
      </c>
      <c r="E16" s="408">
        <v>1.3330213232088282E-3</v>
      </c>
      <c r="F16" s="411" t="s">
        <v>327</v>
      </c>
      <c r="G16" s="43"/>
      <c r="H16" s="40"/>
      <c r="I16" s="40"/>
      <c r="J16" s="40"/>
      <c r="K16" s="40"/>
      <c r="L16" s="40"/>
      <c r="M16" s="40"/>
      <c r="N16" s="40"/>
      <c r="O16" s="40"/>
    </row>
    <row r="17" spans="1:15" ht="15" customHeight="1" x14ac:dyDescent="0.25">
      <c r="A17" s="591"/>
      <c r="B17" s="43" t="s">
        <v>286</v>
      </c>
      <c r="C17" s="143" t="s">
        <v>284</v>
      </c>
      <c r="D17" s="413">
        <v>2.1656152389582938E-3</v>
      </c>
      <c r="E17" s="409">
        <v>2.0235364797492605E-3</v>
      </c>
      <c r="F17" s="411" t="s">
        <v>327</v>
      </c>
      <c r="G17" s="43"/>
      <c r="H17" s="40"/>
      <c r="I17" s="40"/>
      <c r="J17" s="40"/>
      <c r="K17" s="40"/>
      <c r="L17" s="40"/>
      <c r="M17" s="40"/>
      <c r="N17" s="40"/>
      <c r="O17" s="40"/>
    </row>
    <row r="18" spans="1:15" ht="15" customHeight="1" thickBot="1" x14ac:dyDescent="0.3">
      <c r="A18" s="592" t="s">
        <v>68</v>
      </c>
      <c r="B18" s="107" t="s">
        <v>287</v>
      </c>
      <c r="C18" s="415" t="s">
        <v>284</v>
      </c>
      <c r="D18" s="414">
        <v>5.4448696643841941E-3</v>
      </c>
      <c r="E18" s="406">
        <v>4.6177249632949353E-3</v>
      </c>
      <c r="F18" s="411" t="s">
        <v>327</v>
      </c>
      <c r="G18" s="43"/>
      <c r="H18" s="40"/>
      <c r="I18" s="40"/>
      <c r="J18" s="40"/>
      <c r="K18" s="40"/>
      <c r="L18" s="40"/>
      <c r="M18" s="40"/>
      <c r="N18" s="40"/>
      <c r="O18" s="40"/>
    </row>
    <row r="19" spans="1:15" ht="15" customHeight="1" x14ac:dyDescent="0.25">
      <c r="A19" s="609" t="s">
        <v>273</v>
      </c>
      <c r="B19" s="293" t="s">
        <v>295</v>
      </c>
      <c r="C19" s="293" t="s">
        <v>284</v>
      </c>
      <c r="D19" s="332">
        <v>0.2</v>
      </c>
      <c r="E19" s="333">
        <v>0.2</v>
      </c>
      <c r="F19" s="293" t="s">
        <v>326</v>
      </c>
      <c r="G19" s="43"/>
      <c r="H19" s="40"/>
      <c r="I19" s="40"/>
      <c r="J19" s="40"/>
      <c r="K19" s="40"/>
      <c r="L19" s="40"/>
      <c r="M19" s="40"/>
      <c r="N19" s="40"/>
      <c r="O19" s="40"/>
    </row>
    <row r="20" spans="1:15" ht="15" customHeight="1" thickBot="1" x14ac:dyDescent="0.3">
      <c r="A20" s="609"/>
      <c r="B20" s="293" t="s">
        <v>296</v>
      </c>
      <c r="C20" s="293" t="s">
        <v>284</v>
      </c>
      <c r="D20" s="334">
        <v>0.2</v>
      </c>
      <c r="E20" s="335">
        <v>0.2</v>
      </c>
      <c r="F20" s="293" t="s">
        <v>326</v>
      </c>
      <c r="G20" s="43"/>
      <c r="H20" s="40"/>
      <c r="I20" s="40"/>
      <c r="J20" s="40"/>
      <c r="K20" s="40"/>
      <c r="L20" s="40"/>
      <c r="M20" s="40"/>
      <c r="N20" s="40"/>
      <c r="O20" s="40"/>
    </row>
    <row r="21" spans="1:15" x14ac:dyDescent="0.25">
      <c r="A21" s="585" t="s">
        <v>95</v>
      </c>
      <c r="B21" s="106" t="s">
        <v>96</v>
      </c>
      <c r="C21" s="147" t="s">
        <v>99</v>
      </c>
      <c r="D21" s="79">
        <v>9.1</v>
      </c>
      <c r="E21" s="80">
        <v>9.1</v>
      </c>
      <c r="F21" s="411" t="s">
        <v>288</v>
      </c>
      <c r="G21" s="43"/>
      <c r="H21" s="40"/>
      <c r="I21" s="40"/>
      <c r="J21" s="40"/>
      <c r="K21" s="40"/>
      <c r="L21" s="40"/>
      <c r="M21" s="40"/>
      <c r="N21" s="40"/>
      <c r="O21" s="40"/>
    </row>
    <row r="22" spans="1:15" ht="15" customHeight="1" x14ac:dyDescent="0.25">
      <c r="A22" s="595"/>
      <c r="B22" s="43" t="s">
        <v>97</v>
      </c>
      <c r="C22" s="143" t="s">
        <v>99</v>
      </c>
      <c r="D22" s="56">
        <v>9.8000000000000007</v>
      </c>
      <c r="E22" s="57">
        <v>9.8000000000000007</v>
      </c>
      <c r="F22" s="411" t="s">
        <v>288</v>
      </c>
      <c r="G22" s="43"/>
      <c r="H22" s="40"/>
      <c r="I22" s="40"/>
      <c r="J22" s="40"/>
      <c r="K22" s="40"/>
      <c r="L22" s="40"/>
      <c r="M22" s="40"/>
      <c r="N22" s="40"/>
      <c r="O22" s="40"/>
    </row>
    <row r="23" spans="1:15" ht="15" customHeight="1" x14ac:dyDescent="0.25">
      <c r="A23" s="595"/>
      <c r="B23" s="43" t="s">
        <v>134</v>
      </c>
      <c r="C23" s="143" t="s">
        <v>99</v>
      </c>
      <c r="D23" s="56">
        <v>5.86</v>
      </c>
      <c r="E23" s="57">
        <v>5.86</v>
      </c>
      <c r="F23" s="411" t="s">
        <v>288</v>
      </c>
      <c r="G23" s="43"/>
      <c r="H23" s="40"/>
      <c r="I23" s="40"/>
      <c r="J23" s="40"/>
      <c r="K23" s="40"/>
      <c r="L23" s="40"/>
      <c r="M23" s="40"/>
      <c r="N23" s="40"/>
      <c r="O23" s="40"/>
    </row>
    <row r="24" spans="1:15" x14ac:dyDescent="0.25">
      <c r="A24" s="595"/>
      <c r="B24" s="43" t="s">
        <v>98</v>
      </c>
      <c r="C24" s="143" t="s">
        <v>99</v>
      </c>
      <c r="D24" s="56">
        <v>8.9600000000000009</v>
      </c>
      <c r="E24" s="57">
        <v>8.9600000000000009</v>
      </c>
      <c r="F24" s="411" t="s">
        <v>288</v>
      </c>
      <c r="G24" s="43"/>
      <c r="H24" s="40"/>
      <c r="I24" s="40"/>
      <c r="J24" s="40"/>
      <c r="K24" s="40"/>
      <c r="L24" s="40"/>
      <c r="M24" s="40"/>
      <c r="N24" s="40"/>
      <c r="O24" s="40"/>
    </row>
    <row r="25" spans="1:15" x14ac:dyDescent="0.25">
      <c r="A25" s="595"/>
      <c r="B25" s="43" t="s">
        <v>135</v>
      </c>
      <c r="C25" s="143" t="s">
        <v>99</v>
      </c>
      <c r="D25" s="56">
        <v>9.17</v>
      </c>
      <c r="E25" s="57">
        <v>9.17</v>
      </c>
      <c r="F25" s="411" t="s">
        <v>288</v>
      </c>
      <c r="G25" s="43"/>
      <c r="H25" s="40"/>
      <c r="I25" s="40"/>
      <c r="J25" s="40"/>
      <c r="K25" s="40"/>
      <c r="L25" s="40"/>
      <c r="M25" s="40"/>
      <c r="N25" s="40"/>
      <c r="O25" s="40"/>
    </row>
    <row r="26" spans="1:15" ht="15.75" thickBot="1" x14ac:dyDescent="0.3">
      <c r="A26" s="586"/>
      <c r="B26" s="107" t="s">
        <v>100</v>
      </c>
      <c r="C26" s="144" t="s">
        <v>99</v>
      </c>
      <c r="D26" s="60">
        <v>9.44</v>
      </c>
      <c r="E26" s="61">
        <v>9.44</v>
      </c>
      <c r="F26" s="337" t="s">
        <v>288</v>
      </c>
      <c r="G26" s="43"/>
      <c r="H26" s="40"/>
      <c r="I26" s="40"/>
      <c r="J26" s="40"/>
      <c r="K26" s="40"/>
      <c r="L26" s="40"/>
      <c r="M26" s="40"/>
      <c r="N26" s="40"/>
      <c r="O26" s="40"/>
    </row>
  </sheetData>
  <mergeCells count="12">
    <mergeCell ref="B9:C9"/>
    <mergeCell ref="A10:A12"/>
    <mergeCell ref="B4:C4"/>
    <mergeCell ref="B5:C5"/>
    <mergeCell ref="B6:C6"/>
    <mergeCell ref="B7:C7"/>
    <mergeCell ref="B8:C8"/>
    <mergeCell ref="A13:A15"/>
    <mergeCell ref="A19:A20"/>
    <mergeCell ref="A16:A18"/>
    <mergeCell ref="A21:A26"/>
    <mergeCell ref="A4:A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N87"/>
  <sheetViews>
    <sheetView topLeftCell="A61" zoomScale="90" zoomScaleNormal="90" workbookViewId="0">
      <selection activeCell="G21" sqref="G21"/>
    </sheetView>
  </sheetViews>
  <sheetFormatPr defaultColWidth="8.85546875" defaultRowHeight="15" x14ac:dyDescent="0.25"/>
  <cols>
    <col min="1" max="1" width="63.42578125" style="36" bestFit="1" customWidth="1"/>
    <col min="2" max="10" width="8.85546875" style="36"/>
    <col min="11" max="16384" width="8.85546875" style="26"/>
  </cols>
  <sheetData>
    <row r="1" spans="1:14" ht="18" x14ac:dyDescent="0.25">
      <c r="A1" s="126" t="s">
        <v>212</v>
      </c>
      <c r="B1" s="40"/>
      <c r="C1" s="40"/>
      <c r="D1" s="40"/>
      <c r="E1" s="40"/>
      <c r="F1" s="40"/>
      <c r="G1" s="40"/>
      <c r="H1" s="40"/>
      <c r="I1" s="40"/>
      <c r="J1" s="40"/>
      <c r="K1" s="40"/>
      <c r="L1" s="40"/>
      <c r="M1" s="40"/>
      <c r="N1" s="40"/>
    </row>
    <row r="2" spans="1:14" x14ac:dyDescent="0.25">
      <c r="A2" s="627" t="s">
        <v>44</v>
      </c>
      <c r="B2" s="627"/>
      <c r="C2" s="627"/>
      <c r="D2" s="627"/>
      <c r="E2" s="627"/>
      <c r="F2" s="627"/>
      <c r="G2" s="627"/>
      <c r="H2" s="627"/>
      <c r="I2" s="627"/>
      <c r="J2" s="627"/>
    </row>
    <row r="3" spans="1:14" x14ac:dyDescent="0.25">
      <c r="A3" s="628" t="s">
        <v>356</v>
      </c>
      <c r="B3" s="629"/>
      <c r="C3" s="629"/>
      <c r="D3" s="197"/>
      <c r="E3" s="197"/>
      <c r="F3" s="197"/>
      <c r="G3" s="197"/>
      <c r="H3" s="197"/>
      <c r="I3" s="197"/>
      <c r="J3" s="197"/>
    </row>
    <row r="4" spans="1:14" ht="18" x14ac:dyDescent="0.25">
      <c r="A4" s="126"/>
      <c r="B4" s="40"/>
      <c r="C4" s="40"/>
      <c r="D4" s="40"/>
      <c r="E4" s="40"/>
      <c r="F4" s="40"/>
      <c r="G4" s="40"/>
      <c r="H4" s="40"/>
      <c r="I4" s="40"/>
      <c r="J4" s="40"/>
      <c r="K4" s="40"/>
      <c r="L4" s="40"/>
      <c r="M4" s="40"/>
      <c r="N4" s="40"/>
    </row>
    <row r="5" spans="1:14" ht="18.75" thickBot="1" x14ac:dyDescent="0.3">
      <c r="A5" s="126"/>
      <c r="B5" s="40"/>
      <c r="C5" s="40"/>
      <c r="D5" s="40"/>
      <c r="E5" s="40"/>
      <c r="F5" s="40"/>
      <c r="G5" s="40"/>
      <c r="H5" s="40"/>
      <c r="I5" s="40"/>
      <c r="J5" s="40"/>
      <c r="K5" s="40"/>
      <c r="L5" s="40"/>
      <c r="M5" s="40"/>
      <c r="N5" s="40"/>
    </row>
    <row r="6" spans="1:14" ht="15.75" thickBot="1" x14ac:dyDescent="0.3">
      <c r="B6" s="194"/>
      <c r="C6" s="194"/>
      <c r="D6" s="194"/>
      <c r="E6" s="624" t="s">
        <v>64</v>
      </c>
      <c r="F6" s="625"/>
      <c r="G6" s="624" t="s">
        <v>65</v>
      </c>
      <c r="H6" s="625"/>
      <c r="I6" s="626" t="s">
        <v>66</v>
      </c>
      <c r="J6" s="625"/>
    </row>
    <row r="7" spans="1:14" ht="15.75" thickBot="1" x14ac:dyDescent="0.3">
      <c r="A7" s="196" t="s">
        <v>45</v>
      </c>
      <c r="B7" s="110">
        <v>2017</v>
      </c>
      <c r="C7" s="111">
        <v>2019</v>
      </c>
      <c r="D7" s="111">
        <v>2020</v>
      </c>
      <c r="E7" s="372">
        <v>2030</v>
      </c>
      <c r="F7" s="373">
        <v>2040</v>
      </c>
      <c r="G7" s="110">
        <v>2030</v>
      </c>
      <c r="H7" s="195">
        <v>2040</v>
      </c>
      <c r="I7" s="111">
        <v>2030</v>
      </c>
      <c r="J7" s="195">
        <v>2040</v>
      </c>
    </row>
    <row r="8" spans="1:14" x14ac:dyDescent="0.25">
      <c r="A8" s="358" t="s">
        <v>298</v>
      </c>
      <c r="B8" s="87">
        <v>0.05</v>
      </c>
      <c r="C8" s="1"/>
      <c r="D8" s="1"/>
      <c r="E8" s="374">
        <f>Indata!D9</f>
        <v>7.4999999999999997E-2</v>
      </c>
      <c r="F8" s="375">
        <f>Indata!E9</f>
        <v>7.4999999999999997E-2</v>
      </c>
      <c r="G8" s="5">
        <f>Indata!F9</f>
        <v>0.1</v>
      </c>
      <c r="H8" s="4">
        <f>Indata!G9</f>
        <v>0.1</v>
      </c>
      <c r="I8" s="5">
        <f>Indata!H9</f>
        <v>0.1</v>
      </c>
      <c r="J8" s="4">
        <f>Indata!I9</f>
        <v>0.1</v>
      </c>
    </row>
    <row r="9" spans="1:14" ht="15.75" thickBot="1" x14ac:dyDescent="0.3">
      <c r="A9" s="30" t="s">
        <v>299</v>
      </c>
      <c r="B9" s="88">
        <v>0</v>
      </c>
      <c r="C9" s="6"/>
      <c r="D9" s="6"/>
      <c r="E9" s="376">
        <f>Indata!D10</f>
        <v>0</v>
      </c>
      <c r="F9" s="377">
        <f>Indata!E10</f>
        <v>0</v>
      </c>
      <c r="G9" s="5">
        <f>Indata!F10</f>
        <v>0.38512682720134916</v>
      </c>
      <c r="H9" s="4">
        <f>Indata!G10</f>
        <v>0.628</v>
      </c>
      <c r="I9" s="5">
        <f>Indata!H10</f>
        <v>0.49</v>
      </c>
      <c r="J9" s="4">
        <f>Indata!I10</f>
        <v>0.628</v>
      </c>
    </row>
    <row r="10" spans="1:14" ht="15.75" thickBot="1" x14ac:dyDescent="0.3">
      <c r="A10" s="31" t="s">
        <v>172</v>
      </c>
      <c r="B10" s="8"/>
      <c r="C10" s="9">
        <v>1</v>
      </c>
      <c r="D10" s="86">
        <v>1.02</v>
      </c>
      <c r="E10" s="178">
        <f>$D$10*(1+Indata!D13)^(E7-$D$7)</f>
        <v>1.2433743083946522</v>
      </c>
      <c r="F10" s="180">
        <f>$D$10*(1+Indata!E13)^(F7-$D$7)</f>
        <v>1.5156663438979214</v>
      </c>
      <c r="G10" s="10">
        <f>$D$10*(1+Indata!F13)^(G7-$D$7)</f>
        <v>1.2433743083946522</v>
      </c>
      <c r="H10" s="11">
        <f>$D$10*(1+Indata!G13)^(H7-$D$7)</f>
        <v>1.5156663438979214</v>
      </c>
      <c r="I10" s="12">
        <f>$D$10*(1+Indata!H13)^(I7-$D$7)</f>
        <v>1.2433743083946522</v>
      </c>
      <c r="J10" s="11">
        <f>$D$10*(1+Indata!I13)^(J7-$D$7)</f>
        <v>1.5156663438979214</v>
      </c>
    </row>
    <row r="11" spans="1:14" x14ac:dyDescent="0.25">
      <c r="A11" s="32" t="s">
        <v>219</v>
      </c>
      <c r="B11" s="150">
        <v>5.0999999999999996</v>
      </c>
      <c r="C11" s="21"/>
      <c r="D11" s="25"/>
      <c r="E11" s="23">
        <f>$B11+(F11-$B11)/(F$7-$B$7)*(E$7-$B$7)</f>
        <v>6.3491304347826087</v>
      </c>
      <c r="F11" s="153">
        <v>7.31</v>
      </c>
      <c r="G11" s="23">
        <f>$B11+(H11-$B11)/(H$7-$B$7)*(G$7-$B$7)</f>
        <v>6.3491304347826087</v>
      </c>
      <c r="H11" s="153">
        <v>7.31</v>
      </c>
      <c r="I11" s="23">
        <f>$B11+(J11-$B11)/(J$7-$B$7)*(I$7-$B$7)</f>
        <v>6.3491304347826087</v>
      </c>
      <c r="J11" s="153">
        <v>7.31</v>
      </c>
      <c r="L11" s="364"/>
    </row>
    <row r="12" spans="1:14" x14ac:dyDescent="0.25">
      <c r="A12" s="32" t="s">
        <v>220</v>
      </c>
      <c r="B12" s="359">
        <f>(B11-0.05*B13)/(1-0.05)</f>
        <v>5.0599999999999996</v>
      </c>
      <c r="C12" s="25"/>
      <c r="D12" s="25"/>
      <c r="E12" s="17">
        <f>(E11-0.05*E13)/(1-0.05)</f>
        <v>6.303775743707094</v>
      </c>
      <c r="F12" s="20">
        <f>(F11-0.05*F13)/(1-0.05)</f>
        <v>7.2605263157894742</v>
      </c>
      <c r="G12" s="17">
        <f t="shared" ref="G12" si="0">(G11-0.05*G13)/(1-0.05)</f>
        <v>6.303775743707094</v>
      </c>
      <c r="H12" s="20">
        <f>(H11-0.05*H13)/(1-0.05)</f>
        <v>7.2605263157894742</v>
      </c>
      <c r="I12" s="17">
        <f>(I11-0.05*I13)/(1-0.05)</f>
        <v>6.303775743707094</v>
      </c>
      <c r="J12" s="20">
        <f>(J11-0.05*J13)/(1-0.05)</f>
        <v>7.2605263157894742</v>
      </c>
      <c r="L12" s="364"/>
    </row>
    <row r="13" spans="1:14" x14ac:dyDescent="0.25">
      <c r="A13" s="32" t="s">
        <v>221</v>
      </c>
      <c r="B13" s="17">
        <v>5.86</v>
      </c>
      <c r="C13" s="25"/>
      <c r="D13" s="25"/>
      <c r="E13" s="17">
        <f>$B13+(F13-$B13)/(F$7-$B$7)*(E$7-$B$7)</f>
        <v>7.2108695652173918</v>
      </c>
      <c r="F13" s="154">
        <v>8.25</v>
      </c>
      <c r="G13" s="17">
        <f>$B13+(H13-$B13)/(H$7-$B$7)*(G$7-$B$7)</f>
        <v>7.2108695652173918</v>
      </c>
      <c r="H13" s="154">
        <v>8.25</v>
      </c>
      <c r="I13" s="17">
        <f>$B13+(J13-$B13)/(J$7-$B$7)*(I$7-$B$7)</f>
        <v>7.2108695652173918</v>
      </c>
      <c r="J13" s="154">
        <v>8.25</v>
      </c>
      <c r="L13" s="364"/>
    </row>
    <row r="14" spans="1:14" ht="15.75" thickBot="1" x14ac:dyDescent="0.3">
      <c r="A14" s="32" t="s">
        <v>222</v>
      </c>
      <c r="B14" s="24">
        <v>10.59</v>
      </c>
      <c r="C14" s="22"/>
      <c r="D14" s="25"/>
      <c r="E14" s="24">
        <f>$B14+(F14-$B14)/(F$7-$B$7)*(E$7-$B$7)</f>
        <v>13.031739130434783</v>
      </c>
      <c r="F14" s="154">
        <v>14.91</v>
      </c>
      <c r="G14" s="24">
        <f>$B14+(H14-$B14)/(H$7-$B$7)*(G$7-$B$7)</f>
        <v>13.031739130434783</v>
      </c>
      <c r="H14" s="154">
        <v>14.91</v>
      </c>
      <c r="I14" s="24">
        <f>$B14+(J14-$B14)/(J$7-$B$7)*(I$7-$B$7)</f>
        <v>13.031739130434783</v>
      </c>
      <c r="J14" s="154">
        <v>14.91</v>
      </c>
      <c r="L14" s="364"/>
    </row>
    <row r="15" spans="1:14" ht="15.75" thickBot="1" x14ac:dyDescent="0.3">
      <c r="A15" s="33" t="s">
        <v>2</v>
      </c>
      <c r="B15" s="13">
        <f>B12*(1-B8-B9)+B13*B8+B14*B9</f>
        <v>5.0999999999999996</v>
      </c>
      <c r="C15" s="14"/>
      <c r="D15" s="15"/>
      <c r="E15" s="13">
        <f t="shared" ref="E15:J15" si="1">E12*(1-E8-E9)+E13*E8+E14*E9</f>
        <v>6.371807780320367</v>
      </c>
      <c r="F15" s="16">
        <f>F12*(1-F8-F9)+F13*F8+F14*F9</f>
        <v>7.3347368421052641</v>
      </c>
      <c r="G15" s="13">
        <f>G12*(1-G8-G9)+G13*G8+G14*G9</f>
        <v>8.9856043185154029</v>
      </c>
      <c r="H15" s="16">
        <f t="shared" si="1"/>
        <v>12.163343157894738</v>
      </c>
      <c r="I15" s="13">
        <f>I12*(1-I8-I9)+I13*I8+I14*I9</f>
        <v>9.6911871853546927</v>
      </c>
      <c r="J15" s="16">
        <f t="shared" si="1"/>
        <v>12.163343157894738</v>
      </c>
    </row>
    <row r="16" spans="1:14" x14ac:dyDescent="0.25">
      <c r="A16" s="32" t="s">
        <v>170</v>
      </c>
      <c r="B16" s="151">
        <v>3.71</v>
      </c>
      <c r="C16" s="318">
        <v>3.86</v>
      </c>
      <c r="D16" s="19"/>
      <c r="E16" s="17">
        <f>PRODUCT($C16,E$10)</f>
        <v>4.7994248304033578</v>
      </c>
      <c r="F16" s="154">
        <f>PRODUCT($C16,F$10)</f>
        <v>5.8504720874459766</v>
      </c>
      <c r="G16" s="17">
        <f t="shared" ref="E16:J17" si="2">PRODUCT($C16,G$10)</f>
        <v>4.7994248304033578</v>
      </c>
      <c r="H16" s="154">
        <f t="shared" si="2"/>
        <v>5.8504720874459766</v>
      </c>
      <c r="I16" s="23">
        <f t="shared" si="2"/>
        <v>4.7994248304033578</v>
      </c>
      <c r="J16" s="154">
        <f t="shared" si="2"/>
        <v>5.8504720874459766</v>
      </c>
      <c r="K16" s="74"/>
    </row>
    <row r="17" spans="1:11" ht="15.75" thickBot="1" x14ac:dyDescent="0.3">
      <c r="A17" s="32" t="s">
        <v>171</v>
      </c>
      <c r="B17" s="151">
        <v>2.4900000000000002</v>
      </c>
      <c r="C17" s="319">
        <v>2.54</v>
      </c>
      <c r="D17" s="19"/>
      <c r="E17" s="17">
        <f t="shared" si="2"/>
        <v>3.1581707433224167</v>
      </c>
      <c r="F17" s="154">
        <f>PRODUCT($C17,F$10)</f>
        <v>3.8497925135007205</v>
      </c>
      <c r="G17" s="17">
        <f t="shared" si="2"/>
        <v>3.1581707433224167</v>
      </c>
      <c r="H17" s="154">
        <f t="shared" si="2"/>
        <v>3.8497925135007205</v>
      </c>
      <c r="I17" s="24">
        <f t="shared" si="2"/>
        <v>3.1581707433224167</v>
      </c>
      <c r="J17" s="154">
        <f t="shared" si="2"/>
        <v>3.8497925135007205</v>
      </c>
      <c r="K17" s="74"/>
    </row>
    <row r="18" spans="1:11" ht="15.75" thickBot="1" x14ac:dyDescent="0.3">
      <c r="A18" s="33" t="s">
        <v>3</v>
      </c>
      <c r="B18" s="13">
        <f>SUM(B16,B17)</f>
        <v>6.2</v>
      </c>
      <c r="C18" s="28">
        <f>SUM(C16,C17)</f>
        <v>6.4</v>
      </c>
      <c r="D18" s="15"/>
      <c r="E18" s="13">
        <f>SUM(E16,E17)</f>
        <v>7.957595573725774</v>
      </c>
      <c r="F18" s="16">
        <f>SUM(F16,F17)</f>
        <v>9.7002646009466975</v>
      </c>
      <c r="G18" s="13">
        <f>SUM(G16,G17)</f>
        <v>7.957595573725774</v>
      </c>
      <c r="H18" s="16">
        <f t="shared" ref="H18:J18" si="3">SUM(H16,H17)</f>
        <v>9.7002646009466975</v>
      </c>
      <c r="I18" s="13">
        <f t="shared" si="3"/>
        <v>7.957595573725774</v>
      </c>
      <c r="J18" s="16">
        <f t="shared" si="3"/>
        <v>9.7002646009466975</v>
      </c>
    </row>
    <row r="19" spans="1:11" ht="15.75" thickBot="1" x14ac:dyDescent="0.3">
      <c r="A19" s="33" t="s">
        <v>214</v>
      </c>
      <c r="B19" s="13">
        <f xml:space="preserve"> B15+B18</f>
        <v>11.3</v>
      </c>
      <c r="C19" s="14"/>
      <c r="D19" s="15"/>
      <c r="E19" s="13">
        <f xml:space="preserve"> E15+E18</f>
        <v>14.329403354046141</v>
      </c>
      <c r="F19" s="16">
        <f xml:space="preserve"> F15+F18</f>
        <v>17.035001443051961</v>
      </c>
      <c r="G19" s="13">
        <f xml:space="preserve"> G15+G18</f>
        <v>16.943199892241175</v>
      </c>
      <c r="H19" s="16">
        <f t="shared" ref="H19:J19" si="4" xml:space="preserve"> H15+H18</f>
        <v>21.863607758841436</v>
      </c>
      <c r="I19" s="13">
        <f t="shared" si="4"/>
        <v>17.648782759080468</v>
      </c>
      <c r="J19" s="16">
        <f t="shared" si="4"/>
        <v>21.863607758841436</v>
      </c>
    </row>
    <row r="20" spans="1:11" x14ac:dyDescent="0.25">
      <c r="A20" s="32" t="s">
        <v>4</v>
      </c>
      <c r="B20" s="151">
        <f>PRODUCT(B15,0.25)</f>
        <v>1.2749999999999999</v>
      </c>
      <c r="C20" s="18"/>
      <c r="D20" s="19"/>
      <c r="E20" s="17">
        <f>PRODUCT(E15,0.25)</f>
        <v>1.5929519450800917</v>
      </c>
      <c r="F20" s="154">
        <f>PRODUCT(F15,0.25)</f>
        <v>1.833684210526316</v>
      </c>
      <c r="G20" s="17">
        <f>PRODUCT(G15,0.25)</f>
        <v>2.2464010796288507</v>
      </c>
      <c r="H20" s="154">
        <f t="shared" ref="H20:J20" si="5">PRODUCT(H15,0.25)</f>
        <v>3.0408357894736846</v>
      </c>
      <c r="I20" s="17">
        <f t="shared" si="5"/>
        <v>2.4227967963386732</v>
      </c>
      <c r="J20" s="154">
        <f t="shared" si="5"/>
        <v>3.0408357894736846</v>
      </c>
    </row>
    <row r="21" spans="1:11" ht="15.75" thickBot="1" x14ac:dyDescent="0.3">
      <c r="A21" s="32" t="s">
        <v>5</v>
      </c>
      <c r="B21" s="151">
        <f t="shared" ref="B21" si="6">PRODUCT(B18,0.25)</f>
        <v>1.55</v>
      </c>
      <c r="C21" s="18"/>
      <c r="D21" s="19"/>
      <c r="E21" s="17">
        <f t="shared" ref="E21:F21" si="7">PRODUCT(E18,0.25)</f>
        <v>1.9893988934314435</v>
      </c>
      <c r="F21" s="154">
        <f t="shared" si="7"/>
        <v>2.4250661502366744</v>
      </c>
      <c r="G21" s="17">
        <f t="shared" ref="G21:J21" si="8">PRODUCT(G18,0.25)</f>
        <v>1.9893988934314435</v>
      </c>
      <c r="H21" s="154">
        <f t="shared" si="8"/>
        <v>2.4250661502366744</v>
      </c>
      <c r="I21" s="17">
        <f t="shared" si="8"/>
        <v>1.9893988934314435</v>
      </c>
      <c r="J21" s="154">
        <f t="shared" si="8"/>
        <v>2.4250661502366744</v>
      </c>
    </row>
    <row r="22" spans="1:11" ht="15.75" thickBot="1" x14ac:dyDescent="0.3">
      <c r="A22" s="33" t="s">
        <v>6</v>
      </c>
      <c r="B22" s="13">
        <f t="shared" ref="B22" si="9">SUM(B20,B21)</f>
        <v>2.8250000000000002</v>
      </c>
      <c r="C22" s="14"/>
      <c r="D22" s="15"/>
      <c r="E22" s="13">
        <f>SUM(E20,E21)</f>
        <v>3.5823508385115352</v>
      </c>
      <c r="F22" s="16">
        <f t="shared" ref="F22" si="10">SUM(F20,F21)</f>
        <v>4.2587503607629902</v>
      </c>
      <c r="G22" s="13">
        <f t="shared" ref="G22:J22" si="11">SUM(G20,G21)</f>
        <v>4.2357999730602938</v>
      </c>
      <c r="H22" s="16">
        <f t="shared" si="11"/>
        <v>5.465901939710359</v>
      </c>
      <c r="I22" s="13">
        <f t="shared" si="11"/>
        <v>4.4121956897701171</v>
      </c>
      <c r="J22" s="16">
        <f t="shared" si="11"/>
        <v>5.465901939710359</v>
      </c>
    </row>
    <row r="23" spans="1:11" ht="15.75" thickBot="1" x14ac:dyDescent="0.3">
      <c r="A23" s="34" t="s">
        <v>215</v>
      </c>
      <c r="B23" s="155">
        <f>SUM(B19,B22)</f>
        <v>14.125</v>
      </c>
      <c r="C23" s="156"/>
      <c r="D23" s="156"/>
      <c r="E23" s="155">
        <f>SUM(E19,E22)</f>
        <v>17.911754192557677</v>
      </c>
      <c r="F23" s="157">
        <f>SUM(F19,F22)</f>
        <v>21.293751803814949</v>
      </c>
      <c r="G23" s="155">
        <f>SUM(G19,G22)</f>
        <v>21.178999865301471</v>
      </c>
      <c r="H23" s="157">
        <f t="shared" ref="H23:J23" si="12">SUM(H19,H22)</f>
        <v>27.329509698551796</v>
      </c>
      <c r="I23" s="155">
        <f t="shared" si="12"/>
        <v>22.060978448850584</v>
      </c>
      <c r="J23" s="157">
        <f t="shared" si="12"/>
        <v>27.329509698551796</v>
      </c>
    </row>
    <row r="24" spans="1:11" ht="15.75" thickBot="1" x14ac:dyDescent="0.3">
      <c r="B24" s="362"/>
      <c r="C24" s="363"/>
      <c r="D24" s="363"/>
      <c r="E24" s="363"/>
      <c r="F24" s="363"/>
      <c r="G24" s="363"/>
      <c r="H24" s="363"/>
    </row>
    <row r="25" spans="1:11" ht="15.75" thickBot="1" x14ac:dyDescent="0.3">
      <c r="B25" s="194"/>
      <c r="C25" s="194"/>
      <c r="D25" s="194"/>
      <c r="E25" s="624" t="s">
        <v>64</v>
      </c>
      <c r="F25" s="625"/>
      <c r="G25" s="624" t="s">
        <v>65</v>
      </c>
      <c r="H25" s="625"/>
      <c r="I25" s="626" t="s">
        <v>66</v>
      </c>
      <c r="J25" s="625"/>
    </row>
    <row r="26" spans="1:11" ht="15.75" thickBot="1" x14ac:dyDescent="0.3">
      <c r="A26" s="196" t="s">
        <v>46</v>
      </c>
      <c r="B26" s="110">
        <v>2017</v>
      </c>
      <c r="C26" s="111">
        <v>2019</v>
      </c>
      <c r="D26" s="111">
        <v>2020</v>
      </c>
      <c r="E26" s="110">
        <v>2030</v>
      </c>
      <c r="F26" s="195">
        <v>2040</v>
      </c>
      <c r="G26" s="110">
        <v>2030</v>
      </c>
      <c r="H26" s="195">
        <v>2040</v>
      </c>
      <c r="I26" s="111">
        <v>2030</v>
      </c>
      <c r="J26" s="195">
        <v>2040</v>
      </c>
    </row>
    <row r="27" spans="1:11" x14ac:dyDescent="0.25">
      <c r="A27" s="29" t="s">
        <v>301</v>
      </c>
      <c r="B27" s="87">
        <v>0.05</v>
      </c>
      <c r="C27" s="1"/>
      <c r="D27" s="2"/>
      <c r="E27" s="3">
        <f>Indata!D11</f>
        <v>7.0000000000000007E-2</v>
      </c>
      <c r="F27" s="4">
        <f>Indata!E11</f>
        <v>7.0000000000000007E-2</v>
      </c>
      <c r="G27" s="3">
        <f>Indata!F11</f>
        <v>7.0000000000000007E-2</v>
      </c>
      <c r="H27" s="4">
        <f>Indata!G11</f>
        <v>7.0000000000000007E-2</v>
      </c>
      <c r="I27" s="5">
        <f>Indata!H11</f>
        <v>7.0000000000000007E-2</v>
      </c>
      <c r="J27" s="4">
        <f>Indata!I11</f>
        <v>7.0000000000000007E-2</v>
      </c>
    </row>
    <row r="28" spans="1:11" ht="15.75" thickBot="1" x14ac:dyDescent="0.3">
      <c r="A28" s="30" t="s">
        <v>302</v>
      </c>
      <c r="B28" s="88">
        <v>0.18</v>
      </c>
      <c r="C28" s="6"/>
      <c r="D28" s="7"/>
      <c r="E28" s="3">
        <f>Indata!D12</f>
        <v>0.25</v>
      </c>
      <c r="F28" s="4">
        <f>Indata!E12</f>
        <v>0.25</v>
      </c>
      <c r="G28" s="3">
        <f>Indata!F12</f>
        <v>0.10267946318406238</v>
      </c>
      <c r="H28" s="4">
        <f>Indata!G12</f>
        <v>0.628</v>
      </c>
      <c r="I28" s="5">
        <f>Indata!H12</f>
        <v>0.49</v>
      </c>
      <c r="J28" s="4">
        <f>Indata!I12</f>
        <v>0.628</v>
      </c>
    </row>
    <row r="29" spans="1:11" ht="15.75" thickBot="1" x14ac:dyDescent="0.3">
      <c r="A29" s="31" t="s">
        <v>172</v>
      </c>
      <c r="B29" s="8"/>
      <c r="C29" s="9">
        <v>1</v>
      </c>
      <c r="D29" s="86">
        <v>1.02</v>
      </c>
      <c r="E29" s="172">
        <f>$D$10*(1+Indata!D13)^(E26-$D$7)</f>
        <v>1.2433743083946522</v>
      </c>
      <c r="F29" s="174">
        <f>$D$10*(1+Indata!E13)^(F26-$D$7)</f>
        <v>1.5156663438979214</v>
      </c>
      <c r="G29" s="172">
        <f>$D$10*(1+Indata!F13)^(G26-$D$7)</f>
        <v>1.2433743083946522</v>
      </c>
      <c r="H29" s="174">
        <f>$D$10*(1+Indata!G13)^(H26-$D$7)</f>
        <v>1.5156663438979214</v>
      </c>
      <c r="I29" s="173">
        <f>$D$10*(1+Indata!H13)^(I26-$D$7)</f>
        <v>1.2433743083946522</v>
      </c>
      <c r="J29" s="174">
        <f>$D$10*(1+Indata!I13)^(J26-$D$7)</f>
        <v>1.5156663438979214</v>
      </c>
    </row>
    <row r="30" spans="1:11" x14ac:dyDescent="0.25">
      <c r="A30" s="32" t="s">
        <v>223</v>
      </c>
      <c r="B30" s="150">
        <v>6.59</v>
      </c>
      <c r="C30" s="21"/>
      <c r="D30" s="25"/>
      <c r="E30" s="23">
        <f>$B30+(F30-$B30)/(F$7-$B$7)*(E$7-$B$7)</f>
        <v>8.4891304347826093</v>
      </c>
      <c r="F30" s="370">
        <v>9.9499999999999993</v>
      </c>
      <c r="G30" s="23">
        <f>$B30+(H30-$B30)/(H$7-$B$7)*(G$7-$B$7)</f>
        <v>8.4891304347826093</v>
      </c>
      <c r="H30" s="370">
        <v>9.9499999999999993</v>
      </c>
      <c r="I30" s="23">
        <f>$B30+(J30-$B30)/(J$7-$B$7)*(I$7-$B$7)</f>
        <v>8.4891304347826093</v>
      </c>
      <c r="J30" s="153">
        <v>9.9499999999999993</v>
      </c>
    </row>
    <row r="31" spans="1:11" x14ac:dyDescent="0.25">
      <c r="A31" s="32" t="s">
        <v>224</v>
      </c>
      <c r="B31" s="359">
        <f>(B30-0.05*B32-0.18*B33)/(1-0.05-0.18)</f>
        <v>5.6380519480519471</v>
      </c>
      <c r="C31" s="25"/>
      <c r="D31" s="361"/>
      <c r="E31" s="17">
        <f>(E30-0.05*E32)/(1-0.05)</f>
        <v>8.4921052631578959</v>
      </c>
      <c r="F31" s="25">
        <f>(F30-0.05*F32)/(1-0.05)</f>
        <v>9.965789473684211</v>
      </c>
      <c r="G31" s="359">
        <f t="shared" ref="G31:J31" si="13">(G30-0.05*G32)/(1-0.05)</f>
        <v>8.4921052631578959</v>
      </c>
      <c r="H31" s="361">
        <f t="shared" si="13"/>
        <v>9.965789473684211</v>
      </c>
      <c r="I31" s="359">
        <f t="shared" si="13"/>
        <v>8.4921052631578959</v>
      </c>
      <c r="J31" s="360">
        <f t="shared" si="13"/>
        <v>9.965789473684211</v>
      </c>
    </row>
    <row r="32" spans="1:11" x14ac:dyDescent="0.25">
      <c r="A32" s="32" t="s">
        <v>225</v>
      </c>
      <c r="B32" s="17">
        <v>6.85</v>
      </c>
      <c r="C32" s="25"/>
      <c r="D32" s="25"/>
      <c r="E32" s="17">
        <f>$B32+(F32-$B32)/(F$7-$B$7)*(E$7-$B$7)</f>
        <v>8.4326086956521742</v>
      </c>
      <c r="F32" s="159">
        <v>9.65</v>
      </c>
      <c r="G32" s="17">
        <f>$B32+(H32-$B32)/(H$7-$B$7)*(G$7-$B$7)</f>
        <v>8.4326086956521742</v>
      </c>
      <c r="H32" s="159">
        <v>9.65</v>
      </c>
      <c r="I32" s="17">
        <f>$B32+(J32-$B32)/(J$7-$B$7)*(I$7-$B$7)</f>
        <v>8.4326086956521742</v>
      </c>
      <c r="J32" s="154">
        <v>9.65</v>
      </c>
    </row>
    <row r="33" spans="1:11" ht="15.75" thickBot="1" x14ac:dyDescent="0.3">
      <c r="A33" s="32" t="s">
        <v>300</v>
      </c>
      <c r="B33" s="24">
        <v>10.59</v>
      </c>
      <c r="C33" s="22"/>
      <c r="D33" s="25"/>
      <c r="E33" s="24">
        <f>$B33+(F33-$B33)/(F$7-$B$7)*(E$7-$B$7)</f>
        <v>13.031739130434783</v>
      </c>
      <c r="F33" s="371">
        <v>14.91</v>
      </c>
      <c r="G33" s="24">
        <f>$B33+(H33-$B33)/(H$7-$B$7)*(G$7-$B$7)</f>
        <v>13.031739130434783</v>
      </c>
      <c r="H33" s="371">
        <v>14.91</v>
      </c>
      <c r="I33" s="24">
        <f>$B33+(J33-$B33)/(J$7-$B$7)*(I$7-$B$7)</f>
        <v>13.031739130434783</v>
      </c>
      <c r="J33" s="160">
        <v>14.91</v>
      </c>
    </row>
    <row r="34" spans="1:11" ht="15.75" thickBot="1" x14ac:dyDescent="0.3">
      <c r="A34" s="33" t="s">
        <v>2</v>
      </c>
      <c r="B34" s="13">
        <f>B31*(1-B27-B28)+B32*B27+B33*B28</f>
        <v>6.59</v>
      </c>
      <c r="C34" s="14"/>
      <c r="D34" s="15"/>
      <c r="E34" s="368">
        <f>E31*(1-E27-E28)+E32*E27+E33*E28</f>
        <v>9.6228489702517166</v>
      </c>
      <c r="F34" s="369">
        <f>F31*(1-F27-F28)+F32*F27+F33*F28</f>
        <v>11.179736842105264</v>
      </c>
      <c r="G34" s="368">
        <f>G31*(1-G27-G28)+G32*G27+G33*G28</f>
        <v>8.9540676719766736</v>
      </c>
      <c r="H34" s="369">
        <f t="shared" ref="H34" si="14">H31*(1-H27-H28)+H32*H27+H33*H28</f>
        <v>13.048648421052633</v>
      </c>
      <c r="I34" s="368">
        <f>I31*(1-I27-I28)+I32*I27+I33*I28</f>
        <v>10.712361098398169</v>
      </c>
      <c r="J34" s="369">
        <f>J31*(1-J27-J28)+J32*J27+J33*J28</f>
        <v>13.048648421052633</v>
      </c>
    </row>
    <row r="35" spans="1:11" x14ac:dyDescent="0.25">
      <c r="A35" s="32" t="s">
        <v>170</v>
      </c>
      <c r="B35" s="151">
        <v>2</v>
      </c>
      <c r="C35" s="21">
        <v>2.36</v>
      </c>
      <c r="D35" s="19"/>
      <c r="E35" s="17">
        <f>PRODUCT($C35,E$29)</f>
        <v>2.934363367811379</v>
      </c>
      <c r="F35" s="154">
        <f t="shared" ref="F35:J36" si="15">PRODUCT($C35,F$29)</f>
        <v>3.5769725715990943</v>
      </c>
      <c r="G35" s="17">
        <f t="shared" si="15"/>
        <v>2.934363367811379</v>
      </c>
      <c r="H35" s="154">
        <f t="shared" si="15"/>
        <v>3.5769725715990943</v>
      </c>
      <c r="I35" s="23">
        <f t="shared" si="15"/>
        <v>2.934363367811379</v>
      </c>
      <c r="J35" s="154">
        <f t="shared" si="15"/>
        <v>3.5769725715990943</v>
      </c>
      <c r="K35" s="74"/>
    </row>
    <row r="36" spans="1:11" ht="15.75" thickBot="1" x14ac:dyDescent="0.3">
      <c r="A36" s="32" t="s">
        <v>171</v>
      </c>
      <c r="B36" s="151">
        <v>2.4900000000000002</v>
      </c>
      <c r="C36" s="22">
        <v>2.17</v>
      </c>
      <c r="D36" s="19"/>
      <c r="E36" s="17">
        <f t="shared" ref="E36" si="16">PRODUCT($C36,E$29)</f>
        <v>2.6981222492163952</v>
      </c>
      <c r="F36" s="154">
        <f t="shared" si="15"/>
        <v>3.2889959662584896</v>
      </c>
      <c r="G36" s="17">
        <f t="shared" si="15"/>
        <v>2.6981222492163952</v>
      </c>
      <c r="H36" s="154">
        <f t="shared" si="15"/>
        <v>3.2889959662584896</v>
      </c>
      <c r="I36" s="24">
        <f t="shared" si="15"/>
        <v>2.6981222492163952</v>
      </c>
      <c r="J36" s="154">
        <f t="shared" si="15"/>
        <v>3.2889959662584896</v>
      </c>
      <c r="K36" s="74"/>
    </row>
    <row r="37" spans="1:11" ht="15.75" thickBot="1" x14ac:dyDescent="0.3">
      <c r="A37" s="33" t="s">
        <v>3</v>
      </c>
      <c r="B37" s="13">
        <f>SUM(B35,B36)</f>
        <v>4.49</v>
      </c>
      <c r="C37" s="28">
        <f>SUM(C35,C36)</f>
        <v>4.5299999999999994</v>
      </c>
      <c r="D37" s="15"/>
      <c r="E37" s="13">
        <f>SUM(E35,E36)</f>
        <v>5.6324856170277737</v>
      </c>
      <c r="F37" s="16">
        <f t="shared" ref="F37" si="17">SUM(F35,F36)</f>
        <v>6.8659685378575839</v>
      </c>
      <c r="G37" s="13">
        <f>SUM(G35,G36)</f>
        <v>5.6324856170277737</v>
      </c>
      <c r="H37" s="16">
        <f t="shared" ref="H37" si="18">SUM(H35,H36)</f>
        <v>6.8659685378575839</v>
      </c>
      <c r="I37" s="13">
        <f t="shared" ref="I37" si="19">SUM(I35,I36)</f>
        <v>5.6324856170277737</v>
      </c>
      <c r="J37" s="16">
        <f t="shared" ref="J37" si="20">SUM(J35,J36)</f>
        <v>6.8659685378575839</v>
      </c>
    </row>
    <row r="38" spans="1:11" ht="15.75" thickBot="1" x14ac:dyDescent="0.3">
      <c r="A38" s="33" t="s">
        <v>214</v>
      </c>
      <c r="B38" s="13">
        <f xml:space="preserve"> B34+B37</f>
        <v>11.08</v>
      </c>
      <c r="C38" s="14"/>
      <c r="D38" s="15"/>
      <c r="E38" s="13">
        <f xml:space="preserve"> E34+E37</f>
        <v>15.25533458727949</v>
      </c>
      <c r="F38" s="16">
        <f t="shared" ref="F38" si="21" xml:space="preserve"> F34+F37</f>
        <v>18.045705379962847</v>
      </c>
      <c r="G38" s="13">
        <f xml:space="preserve"> G34+G37</f>
        <v>14.586553289004447</v>
      </c>
      <c r="H38" s="16">
        <f t="shared" ref="H38" si="22" xml:space="preserve"> H34+H37</f>
        <v>19.914616958910216</v>
      </c>
      <c r="I38" s="13">
        <f t="shared" ref="I38" si="23" xml:space="preserve"> I34+I37</f>
        <v>16.344846715425945</v>
      </c>
      <c r="J38" s="16">
        <f t="shared" ref="J38" si="24" xml:space="preserve"> J34+J37</f>
        <v>19.914616958910216</v>
      </c>
    </row>
    <row r="39" spans="1:11" x14ac:dyDescent="0.25">
      <c r="A39" s="32" t="s">
        <v>4</v>
      </c>
      <c r="B39" s="151">
        <f>PRODUCT(B34,0.25)</f>
        <v>1.6475</v>
      </c>
      <c r="C39" s="18"/>
      <c r="D39" s="19"/>
      <c r="E39" s="17">
        <f>PRODUCT(E34,0.25)</f>
        <v>2.4057122425629291</v>
      </c>
      <c r="F39" s="154">
        <f t="shared" ref="F39" si="25">PRODUCT(F34,0.25)</f>
        <v>2.794934210526316</v>
      </c>
      <c r="G39" s="17">
        <f>PRODUCT(G34,0.25)</f>
        <v>2.2385169179941684</v>
      </c>
      <c r="H39" s="154">
        <f t="shared" ref="H39:J39" si="26">PRODUCT(H34,0.25)</f>
        <v>3.2621621052631582</v>
      </c>
      <c r="I39" s="17">
        <f t="shared" si="26"/>
        <v>2.6780902745995423</v>
      </c>
      <c r="J39" s="154">
        <f t="shared" si="26"/>
        <v>3.2621621052631582</v>
      </c>
    </row>
    <row r="40" spans="1:11" ht="15.75" thickBot="1" x14ac:dyDescent="0.3">
      <c r="A40" s="32" t="s">
        <v>5</v>
      </c>
      <c r="B40" s="151">
        <f>PRODUCT(B37,0.25)</f>
        <v>1.1225000000000001</v>
      </c>
      <c r="C40" s="18"/>
      <c r="D40" s="19"/>
      <c r="E40" s="17">
        <f t="shared" ref="E40:F40" si="27">PRODUCT(E37,0.25)</f>
        <v>1.4081214042569434</v>
      </c>
      <c r="F40" s="154">
        <f t="shared" si="27"/>
        <v>1.716492134464396</v>
      </c>
      <c r="G40" s="17">
        <f t="shared" ref="G40:J40" si="28">PRODUCT(G37,0.25)</f>
        <v>1.4081214042569434</v>
      </c>
      <c r="H40" s="154">
        <f t="shared" si="28"/>
        <v>1.716492134464396</v>
      </c>
      <c r="I40" s="17">
        <f t="shared" si="28"/>
        <v>1.4081214042569434</v>
      </c>
      <c r="J40" s="154">
        <f t="shared" si="28"/>
        <v>1.716492134464396</v>
      </c>
    </row>
    <row r="41" spans="1:11" ht="15.75" thickBot="1" x14ac:dyDescent="0.3">
      <c r="A41" s="33" t="s">
        <v>6</v>
      </c>
      <c r="B41" s="13">
        <f t="shared" ref="B41" si="29">SUM(B39,B40)</f>
        <v>2.77</v>
      </c>
      <c r="C41" s="14"/>
      <c r="D41" s="15"/>
      <c r="E41" s="13">
        <f t="shared" ref="E41:F41" si="30">SUM(E39,E40)</f>
        <v>3.8138336468198726</v>
      </c>
      <c r="F41" s="16">
        <f t="shared" si="30"/>
        <v>4.5114263449907117</v>
      </c>
      <c r="G41" s="13">
        <f t="shared" ref="G41:J41" si="31">SUM(G39,G40)</f>
        <v>3.6466383222511118</v>
      </c>
      <c r="H41" s="16">
        <f t="shared" si="31"/>
        <v>4.9786542397275539</v>
      </c>
      <c r="I41" s="13">
        <f t="shared" si="31"/>
        <v>4.0862116788564862</v>
      </c>
      <c r="J41" s="16">
        <f t="shared" si="31"/>
        <v>4.9786542397275539</v>
      </c>
    </row>
    <row r="42" spans="1:11" ht="15.75" thickBot="1" x14ac:dyDescent="0.3">
      <c r="A42" s="34" t="s">
        <v>216</v>
      </c>
      <c r="B42" s="155">
        <f>SUM(B38,B41)</f>
        <v>13.85</v>
      </c>
      <c r="C42" s="156"/>
      <c r="D42" s="156"/>
      <c r="E42" s="155">
        <f>SUM(E38,E41)</f>
        <v>19.069168234099362</v>
      </c>
      <c r="F42" s="157">
        <f t="shared" ref="F42" si="32">SUM(F38,F41)</f>
        <v>22.557131724953557</v>
      </c>
      <c r="G42" s="155">
        <f>SUM(G38,G41)</f>
        <v>18.23319161125556</v>
      </c>
      <c r="H42" s="157">
        <f t="shared" ref="H42" si="33">SUM(H38,H41)</f>
        <v>24.89327119863777</v>
      </c>
      <c r="I42" s="155">
        <f t="shared" ref="I42" si="34">SUM(I38,I41)</f>
        <v>20.431058394282431</v>
      </c>
      <c r="J42" s="157">
        <f t="shared" ref="J42" si="35">SUM(J38,J41)</f>
        <v>24.89327119863777</v>
      </c>
    </row>
    <row r="43" spans="1:11" ht="15.75" thickBot="1" x14ac:dyDescent="0.3">
      <c r="B43" s="18"/>
      <c r="F43" s="363">
        <f>F37+F41</f>
        <v>11.377394882848296</v>
      </c>
    </row>
    <row r="44" spans="1:11" ht="15.75" thickBot="1" x14ac:dyDescent="0.3">
      <c r="B44" s="194"/>
      <c r="C44" s="194"/>
      <c r="D44" s="194"/>
      <c r="E44" s="624" t="s">
        <v>64</v>
      </c>
      <c r="F44" s="625"/>
      <c r="G44" s="624" t="s">
        <v>65</v>
      </c>
      <c r="H44" s="625"/>
      <c r="I44" s="626" t="s">
        <v>66</v>
      </c>
      <c r="J44" s="625"/>
    </row>
    <row r="45" spans="1:11" ht="15.75" thickBot="1" x14ac:dyDescent="0.3">
      <c r="A45" s="196" t="s">
        <v>49</v>
      </c>
      <c r="B45" s="110">
        <v>2017</v>
      </c>
      <c r="C45" s="111">
        <v>2019</v>
      </c>
      <c r="D45" s="111">
        <v>2020</v>
      </c>
      <c r="E45" s="110">
        <v>2030</v>
      </c>
      <c r="F45" s="195">
        <v>2040</v>
      </c>
      <c r="G45" s="110">
        <v>2030</v>
      </c>
      <c r="H45" s="195">
        <v>2040</v>
      </c>
      <c r="I45" s="111">
        <v>2030</v>
      </c>
      <c r="J45" s="195">
        <v>2040</v>
      </c>
    </row>
    <row r="46" spans="1:11" x14ac:dyDescent="0.25">
      <c r="A46" s="29" t="s">
        <v>47</v>
      </c>
      <c r="B46" s="87">
        <v>0.05</v>
      </c>
      <c r="C46" s="1"/>
      <c r="D46" s="2"/>
      <c r="E46" s="3">
        <f>Indata!D11</f>
        <v>7.0000000000000007E-2</v>
      </c>
      <c r="F46" s="4">
        <f>Indata!E11</f>
        <v>7.0000000000000007E-2</v>
      </c>
      <c r="G46" s="3">
        <f>Indata!F11</f>
        <v>7.0000000000000007E-2</v>
      </c>
      <c r="H46" s="4">
        <f>Indata!G11</f>
        <v>7.0000000000000007E-2</v>
      </c>
      <c r="I46" s="5">
        <f>Indata!H11</f>
        <v>7.0000000000000007E-2</v>
      </c>
      <c r="J46" s="4">
        <f>Indata!I11</f>
        <v>7.0000000000000007E-2</v>
      </c>
    </row>
    <row r="47" spans="1:11" ht="15.75" thickBot="1" x14ac:dyDescent="0.3">
      <c r="A47" s="30" t="s">
        <v>48</v>
      </c>
      <c r="B47" s="88">
        <v>0.18</v>
      </c>
      <c r="C47" s="6"/>
      <c r="D47" s="7"/>
      <c r="E47" s="3">
        <f>Indata!D12</f>
        <v>0.25</v>
      </c>
      <c r="F47" s="4">
        <f>Indata!E12</f>
        <v>0.25</v>
      </c>
      <c r="G47" s="3">
        <f>Indata!F12</f>
        <v>0.10267946318406238</v>
      </c>
      <c r="H47" s="4">
        <f>Indata!G12</f>
        <v>0.628</v>
      </c>
      <c r="I47" s="5">
        <f>Indata!H12</f>
        <v>0.49</v>
      </c>
      <c r="J47" s="4">
        <f>Indata!I12</f>
        <v>0.628</v>
      </c>
    </row>
    <row r="48" spans="1:11" ht="15.75" thickBot="1" x14ac:dyDescent="0.3">
      <c r="A48" s="31" t="s">
        <v>172</v>
      </c>
      <c r="B48" s="8"/>
      <c r="C48" s="9"/>
      <c r="D48" s="86">
        <v>1.02</v>
      </c>
      <c r="E48" s="10">
        <f>$D$10*(1+Indata!D13)^(E45-$D$7)</f>
        <v>1.2433743083946522</v>
      </c>
      <c r="F48" s="11">
        <f>$D$10*(1+Indata!E13)^(F45-$D$7)</f>
        <v>1.5156663438979214</v>
      </c>
      <c r="G48" s="10">
        <f>$D$10*(1+Indata!F13)^(G45-$D$7)</f>
        <v>1.2433743083946522</v>
      </c>
      <c r="H48" s="11">
        <f>$D$10*(1+Indata!G13)^(H45-$D$7)</f>
        <v>1.5156663438979214</v>
      </c>
      <c r="I48" s="12">
        <f>$D$10*(1+Indata!H13)^(I45-$D$7)</f>
        <v>1.2433743083946522</v>
      </c>
      <c r="J48" s="11">
        <f>$D$10*(1+Indata!I13)^(J45-$D$7)</f>
        <v>1.5156663438979214</v>
      </c>
    </row>
    <row r="49" spans="1:10" x14ac:dyDescent="0.25">
      <c r="A49" s="32" t="s">
        <v>223</v>
      </c>
      <c r="B49" s="150">
        <v>5.15</v>
      </c>
      <c r="C49" s="21"/>
      <c r="D49" s="25"/>
      <c r="E49" s="23">
        <f>$B49+(F49-$B49)/(F$7-$B$7)*(E$7-$B$7)</f>
        <v>7.280869565217392</v>
      </c>
      <c r="F49" s="153">
        <v>8.92</v>
      </c>
      <c r="G49" s="23">
        <f>$B49+(H49-$B49)/(H$7-$B$7)*(G$7-$B$7)</f>
        <v>7.280869565217392</v>
      </c>
      <c r="H49" s="153">
        <v>8.92</v>
      </c>
      <c r="I49" s="23">
        <f>$B49+(J49-$B49)/(J$7-$B$7)*(I$7-$B$7)</f>
        <v>7.280869565217392</v>
      </c>
      <c r="J49" s="153">
        <v>8.92</v>
      </c>
    </row>
    <row r="50" spans="1:10" x14ac:dyDescent="0.25">
      <c r="A50" s="32" t="s">
        <v>224</v>
      </c>
      <c r="B50" s="359">
        <f>(B49-0.05*B51-0.18*B52)/(1-0.05-0.18)</f>
        <v>3.7679220779220777</v>
      </c>
      <c r="C50" s="25"/>
      <c r="D50" s="361"/>
      <c r="E50" s="359">
        <f>(E49-0.05*E51-0.18*E52)/(1-0.05-0.18)</f>
        <v>5.8617221908526265</v>
      </c>
      <c r="F50" s="360">
        <f t="shared" ref="F50:J50" si="36">(F49-0.05*F51-0.18*F52)/(1-0.05-0.18)</f>
        <v>7.4723376623376625</v>
      </c>
      <c r="G50" s="359">
        <f t="shared" si="36"/>
        <v>5.8617221908526265</v>
      </c>
      <c r="H50" s="360">
        <f t="shared" si="36"/>
        <v>7.4723376623376625</v>
      </c>
      <c r="I50" s="359">
        <f t="shared" si="36"/>
        <v>5.8617221908526265</v>
      </c>
      <c r="J50" s="360">
        <f t="shared" si="36"/>
        <v>7.4723376623376625</v>
      </c>
    </row>
    <row r="51" spans="1:10" x14ac:dyDescent="0.25">
      <c r="A51" s="32" t="s">
        <v>225</v>
      </c>
      <c r="B51" s="17">
        <v>6.85</v>
      </c>
      <c r="C51" s="25"/>
      <c r="D51" s="25"/>
      <c r="E51" s="17">
        <f>$B51+(F51-$B51)/(F$7-$B$7)*(E$7-$B$7)</f>
        <v>8.4326086956521742</v>
      </c>
      <c r="F51" s="154">
        <v>9.65</v>
      </c>
      <c r="G51" s="17">
        <f>$B51+(H51-$B51)/(H$7-$B$7)*(G$7-$B$7)</f>
        <v>8.4326086956521742</v>
      </c>
      <c r="H51" s="154">
        <v>9.65</v>
      </c>
      <c r="I51" s="17">
        <f>$B51+(J51-$B51)/(J$7-$B$7)*(I$7-$B$7)</f>
        <v>8.4326086956521742</v>
      </c>
      <c r="J51" s="154">
        <v>9.65</v>
      </c>
    </row>
    <row r="52" spans="1:10" ht="15.75" thickBot="1" x14ac:dyDescent="0.3">
      <c r="A52" s="32" t="s">
        <v>222</v>
      </c>
      <c r="B52" s="24">
        <v>10.59</v>
      </c>
      <c r="C52" s="22"/>
      <c r="D52" s="25"/>
      <c r="E52" s="24">
        <f>$B52+(F52-$B52)/(F$7-$B$7)*(E$7-$B$7)</f>
        <v>13.031739130434783</v>
      </c>
      <c r="F52" s="154">
        <v>14.91</v>
      </c>
      <c r="G52" s="24">
        <f>$B52+(H52-$B52)/(H$7-$B$7)*(G$7-$B$7)</f>
        <v>13.031739130434783</v>
      </c>
      <c r="H52" s="154">
        <v>14.91</v>
      </c>
      <c r="I52" s="24">
        <f>$B52+(J52-$B52)/(J$7-$B$7)*(I$7-$B$7)</f>
        <v>13.031739130434783</v>
      </c>
      <c r="J52" s="154">
        <v>14.91</v>
      </c>
    </row>
    <row r="53" spans="1:10" ht="15.75" thickBot="1" x14ac:dyDescent="0.3">
      <c r="A53" s="33" t="s">
        <v>2</v>
      </c>
      <c r="B53" s="396">
        <f>B50*(1-B46-B47)+B51*B46+B52*B47</f>
        <v>5.15</v>
      </c>
      <c r="C53" s="1"/>
      <c r="D53" s="2"/>
      <c r="E53" s="13">
        <f>E50*(1-E46-E47)+E51*E46+E52*E47</f>
        <v>7.8341884810841336</v>
      </c>
      <c r="F53" s="16">
        <f t="shared" ref="F53" si="37">F50*(1-F46-F47)+F51*F46+F52*F47</f>
        <v>9.4841896103896097</v>
      </c>
      <c r="G53" s="13">
        <f>G50*(1-G46-G47)+G51*G46+G52*G47</f>
        <v>6.7778977365655244</v>
      </c>
      <c r="H53" s="16">
        <f t="shared" ref="H53" si="38">H50*(1-H46-H47)+H51*H46+H52*H47</f>
        <v>12.295625974025974</v>
      </c>
      <c r="I53" s="13">
        <f t="shared" ref="I53" si="39">I50*(1-I46-I47)+I51*I46+I52*I47</f>
        <v>9.5549925465838506</v>
      </c>
      <c r="J53" s="16">
        <f t="shared" ref="J53" si="40">J50*(1-J46-J47)+J51*J46+J52*J47</f>
        <v>12.295625974025974</v>
      </c>
    </row>
    <row r="54" spans="1:10" x14ac:dyDescent="0.25">
      <c r="A54" s="32" t="s">
        <v>170</v>
      </c>
      <c r="B54" s="150">
        <v>2</v>
      </c>
      <c r="C54" s="21">
        <f>C35</f>
        <v>2.36</v>
      </c>
      <c r="D54" s="398"/>
      <c r="E54" s="25">
        <f t="shared" ref="E54:J54" si="41">E35</f>
        <v>2.934363367811379</v>
      </c>
      <c r="F54" s="154">
        <f t="shared" si="41"/>
        <v>3.5769725715990943</v>
      </c>
      <c r="G54" s="17">
        <f t="shared" si="41"/>
        <v>2.934363367811379</v>
      </c>
      <c r="H54" s="154">
        <f t="shared" si="41"/>
        <v>3.5769725715990943</v>
      </c>
      <c r="I54" s="17">
        <f>I35</f>
        <v>2.934363367811379</v>
      </c>
      <c r="J54" s="154">
        <f t="shared" si="41"/>
        <v>3.5769725715990943</v>
      </c>
    </row>
    <row r="55" spans="1:10" ht="15.75" thickBot="1" x14ac:dyDescent="0.3">
      <c r="A55" s="32" t="s">
        <v>171</v>
      </c>
      <c r="B55" s="152">
        <v>2.4900000000000002</v>
      </c>
      <c r="C55" s="22">
        <f>C36</f>
        <v>2.17</v>
      </c>
      <c r="D55" s="399"/>
      <c r="E55" s="22">
        <f t="shared" ref="E55:J55" si="42">E36</f>
        <v>2.6981222492163952</v>
      </c>
      <c r="F55" s="154">
        <f t="shared" si="42"/>
        <v>3.2889959662584896</v>
      </c>
      <c r="G55" s="24">
        <f t="shared" si="42"/>
        <v>2.6981222492163952</v>
      </c>
      <c r="H55" s="154">
        <f t="shared" si="42"/>
        <v>3.2889959662584896</v>
      </c>
      <c r="I55" s="24">
        <f t="shared" si="42"/>
        <v>2.6981222492163952</v>
      </c>
      <c r="J55" s="154">
        <f t="shared" si="42"/>
        <v>3.2889959662584896</v>
      </c>
    </row>
    <row r="56" spans="1:10" ht="15.75" thickBot="1" x14ac:dyDescent="0.3">
      <c r="A56" s="33" t="s">
        <v>3</v>
      </c>
      <c r="B56" s="368">
        <f>SUM(B54,B55)</f>
        <v>4.49</v>
      </c>
      <c r="C56" s="397">
        <f>SUM(C54,C55)</f>
        <v>4.5299999999999994</v>
      </c>
      <c r="D56" s="7"/>
      <c r="E56" s="13">
        <f>SUM(E54,E55)</f>
        <v>5.6324856170277737</v>
      </c>
      <c r="F56" s="16">
        <f t="shared" ref="F56" si="43">SUM(F54,F55)</f>
        <v>6.8659685378575839</v>
      </c>
      <c r="G56" s="13">
        <f>SUM(G54,G55)</f>
        <v>5.6324856170277737</v>
      </c>
      <c r="H56" s="16">
        <f t="shared" ref="H56" si="44">SUM(H54,H55)</f>
        <v>6.8659685378575839</v>
      </c>
      <c r="I56" s="13">
        <f t="shared" ref="I56" si="45">SUM(I54,I55)</f>
        <v>5.6324856170277737</v>
      </c>
      <c r="J56" s="16">
        <f t="shared" ref="J56" si="46">SUM(J54,J55)</f>
        <v>6.8659685378575839</v>
      </c>
    </row>
    <row r="57" spans="1:10" ht="15.75" thickBot="1" x14ac:dyDescent="0.3">
      <c r="A57" s="33" t="s">
        <v>214</v>
      </c>
      <c r="B57" s="13">
        <f xml:space="preserve"> B53+B56</f>
        <v>9.64</v>
      </c>
      <c r="C57" s="14"/>
      <c r="D57" s="15"/>
      <c r="E57" s="13">
        <f xml:space="preserve"> E53+E56</f>
        <v>13.466674098111907</v>
      </c>
      <c r="F57" s="16">
        <f t="shared" ref="F57" si="47" xml:space="preserve"> F53+F56</f>
        <v>16.350158148247193</v>
      </c>
      <c r="G57" s="13">
        <f xml:space="preserve"> G53+G56</f>
        <v>12.410383353593298</v>
      </c>
      <c r="H57" s="16">
        <f t="shared" ref="H57" si="48" xml:space="preserve"> H53+H56</f>
        <v>19.161594511883557</v>
      </c>
      <c r="I57" s="13">
        <f t="shared" ref="I57" si="49" xml:space="preserve"> I53+I56</f>
        <v>15.187478163611624</v>
      </c>
      <c r="J57" s="16">
        <f xml:space="preserve"> J53+J56</f>
        <v>19.161594511883557</v>
      </c>
    </row>
    <row r="58" spans="1:10" x14ac:dyDescent="0.25">
      <c r="A58" s="32" t="s">
        <v>4</v>
      </c>
      <c r="B58" s="151">
        <f>PRODUCT(B53,0.25)</f>
        <v>1.2875000000000001</v>
      </c>
      <c r="C58" s="18"/>
      <c r="D58" s="19"/>
      <c r="E58" s="17">
        <f>PRODUCT(E53,0.25)</f>
        <v>1.9585471202710334</v>
      </c>
      <c r="F58" s="154">
        <f t="shared" ref="F58" si="50">PRODUCT(F53,0.25)</f>
        <v>2.3710474025974024</v>
      </c>
      <c r="G58" s="17">
        <f>PRODUCT(G53,0.25)</f>
        <v>1.6944744341413811</v>
      </c>
      <c r="H58" s="154">
        <f t="shared" ref="H58:J58" si="51">PRODUCT(H53,0.25)</f>
        <v>3.0739064935064935</v>
      </c>
      <c r="I58" s="17">
        <f t="shared" si="51"/>
        <v>2.3887481366459626</v>
      </c>
      <c r="J58" s="154">
        <f t="shared" si="51"/>
        <v>3.0739064935064935</v>
      </c>
    </row>
    <row r="59" spans="1:10" ht="15.75" thickBot="1" x14ac:dyDescent="0.3">
      <c r="A59" s="32" t="s">
        <v>5</v>
      </c>
      <c r="B59" s="151">
        <f>PRODUCT(B56,0.25)</f>
        <v>1.1225000000000001</v>
      </c>
      <c r="C59" s="18"/>
      <c r="D59" s="19"/>
      <c r="E59" s="17">
        <f>PRODUCT(E56,0.25)</f>
        <v>1.4081214042569434</v>
      </c>
      <c r="F59" s="154">
        <f t="shared" ref="F59" si="52">PRODUCT(F56,0.25)</f>
        <v>1.716492134464396</v>
      </c>
      <c r="G59" s="17">
        <f t="shared" ref="G59:J59" si="53">PRODUCT(G56,0.25)</f>
        <v>1.4081214042569434</v>
      </c>
      <c r="H59" s="154">
        <f t="shared" si="53"/>
        <v>1.716492134464396</v>
      </c>
      <c r="I59" s="17">
        <f t="shared" si="53"/>
        <v>1.4081214042569434</v>
      </c>
      <c r="J59" s="154">
        <f t="shared" si="53"/>
        <v>1.716492134464396</v>
      </c>
    </row>
    <row r="60" spans="1:10" ht="15.75" thickBot="1" x14ac:dyDescent="0.3">
      <c r="A60" s="33" t="s">
        <v>6</v>
      </c>
      <c r="B60" s="13">
        <f t="shared" ref="B60" si="54">SUM(B58,B59)</f>
        <v>2.41</v>
      </c>
      <c r="C60" s="14"/>
      <c r="D60" s="15"/>
      <c r="E60" s="13">
        <f t="shared" ref="E60:F60" si="55">SUM(E58,E59)</f>
        <v>3.3666685245279768</v>
      </c>
      <c r="F60" s="16">
        <f t="shared" si="55"/>
        <v>4.0875395370617982</v>
      </c>
      <c r="G60" s="13">
        <f t="shared" ref="G60:J60" si="56">SUM(G58,G59)</f>
        <v>3.1025958383983245</v>
      </c>
      <c r="H60" s="16">
        <f t="shared" si="56"/>
        <v>4.7903986279708892</v>
      </c>
      <c r="I60" s="13">
        <f t="shared" si="56"/>
        <v>3.7968695409029061</v>
      </c>
      <c r="J60" s="16">
        <f t="shared" si="56"/>
        <v>4.7903986279708892</v>
      </c>
    </row>
    <row r="61" spans="1:10" ht="15.75" thickBot="1" x14ac:dyDescent="0.3">
      <c r="A61" s="34" t="s">
        <v>216</v>
      </c>
      <c r="B61" s="155">
        <f>SUM(B57,B60)</f>
        <v>12.05</v>
      </c>
      <c r="C61" s="156"/>
      <c r="D61" s="156"/>
      <c r="E61" s="155">
        <f>SUM(E57,E60)</f>
        <v>16.833342622639883</v>
      </c>
      <c r="F61" s="157">
        <f t="shared" ref="F61" si="57">SUM(F57,F60)</f>
        <v>20.43769768530899</v>
      </c>
      <c r="G61" s="155">
        <f>SUM(G57,G60)</f>
        <v>15.512979191991622</v>
      </c>
      <c r="H61" s="157">
        <f t="shared" ref="H61" si="58">SUM(H57,H60)</f>
        <v>23.951993139854444</v>
      </c>
      <c r="I61" s="155">
        <f t="shared" ref="I61" si="59">SUM(I57,I60)</f>
        <v>18.98434770451453</v>
      </c>
      <c r="J61" s="157">
        <f t="shared" ref="J61" si="60">SUM(J57,J60)</f>
        <v>23.951993139854444</v>
      </c>
    </row>
    <row r="62" spans="1:10" ht="15.75" thickBot="1" x14ac:dyDescent="0.3"/>
    <row r="63" spans="1:10" ht="15.75" thickBot="1" x14ac:dyDescent="0.3">
      <c r="B63" s="194"/>
      <c r="C63" s="194"/>
      <c r="D63" s="194"/>
      <c r="E63" s="624" t="s">
        <v>64</v>
      </c>
      <c r="F63" s="625"/>
      <c r="G63" s="624" t="s">
        <v>65</v>
      </c>
      <c r="H63" s="625"/>
      <c r="I63" s="626" t="s">
        <v>66</v>
      </c>
      <c r="J63" s="625"/>
    </row>
    <row r="64" spans="1:10" ht="15.75" thickBot="1" x14ac:dyDescent="0.3">
      <c r="A64" s="196" t="s">
        <v>50</v>
      </c>
      <c r="B64" s="110">
        <v>2017</v>
      </c>
      <c r="C64" s="111">
        <v>2018</v>
      </c>
      <c r="D64" s="111">
        <v>2020</v>
      </c>
      <c r="E64" s="110">
        <v>2030</v>
      </c>
      <c r="F64" s="195">
        <v>2040</v>
      </c>
      <c r="G64" s="110">
        <v>2030</v>
      </c>
      <c r="H64" s="195">
        <v>2040</v>
      </c>
      <c r="I64" s="111">
        <v>2030</v>
      </c>
      <c r="J64" s="195">
        <v>2040</v>
      </c>
    </row>
    <row r="65" spans="1:10" ht="15.75" thickBot="1" x14ac:dyDescent="0.3">
      <c r="A65" s="35" t="s">
        <v>217</v>
      </c>
      <c r="B65" s="150">
        <f>172.36/100</f>
        <v>1.7236000000000002</v>
      </c>
      <c r="C65" s="21"/>
      <c r="D65" s="25"/>
      <c r="E65" s="23">
        <f>$B65+(F65-$B65)/(F$7-$B$7)*(E$7-$B$7)</f>
        <v>2.4401260869565218</v>
      </c>
      <c r="F65" s="153">
        <f>299.13/100</f>
        <v>2.9912999999999998</v>
      </c>
      <c r="G65" s="23">
        <f>$B65+(H65-$B65)/(H$7-$B$7)*(G$7-$B$7)</f>
        <v>2.4401260869565218</v>
      </c>
      <c r="H65" s="153">
        <f>299.13/100</f>
        <v>2.9912999999999998</v>
      </c>
      <c r="I65" s="23">
        <f>$B65+(J65-$B65)/(J$7-$B$7)*(I$7-$B$7)</f>
        <v>2.4401260869565218</v>
      </c>
      <c r="J65" s="153">
        <f>299.13/100</f>
        <v>2.9912999999999998</v>
      </c>
    </row>
    <row r="66" spans="1:10" ht="15.75" thickBot="1" x14ac:dyDescent="0.3">
      <c r="A66" s="33" t="s">
        <v>2</v>
      </c>
      <c r="B66" s="13">
        <f>B65</f>
        <v>1.7236000000000002</v>
      </c>
      <c r="C66" s="14"/>
      <c r="D66" s="15"/>
      <c r="E66" s="13">
        <f t="shared" ref="E66:J66" si="61">E65</f>
        <v>2.4401260869565218</v>
      </c>
      <c r="F66" s="16">
        <f>F65</f>
        <v>2.9912999999999998</v>
      </c>
      <c r="G66" s="13">
        <f t="shared" si="61"/>
        <v>2.4401260869565218</v>
      </c>
      <c r="H66" s="16">
        <f t="shared" si="61"/>
        <v>2.9912999999999998</v>
      </c>
      <c r="I66" s="13">
        <f t="shared" si="61"/>
        <v>2.4401260869565218</v>
      </c>
      <c r="J66" s="16">
        <f t="shared" si="61"/>
        <v>2.9912999999999998</v>
      </c>
    </row>
    <row r="67" spans="1:10" x14ac:dyDescent="0.25">
      <c r="A67" s="32" t="s">
        <v>170</v>
      </c>
      <c r="B67" s="151">
        <v>0.31</v>
      </c>
      <c r="C67" s="21"/>
      <c r="D67" s="19"/>
      <c r="E67" s="23">
        <f>F67</f>
        <v>0.33659999999999995</v>
      </c>
      <c r="F67" s="159">
        <f>33.66/100</f>
        <v>0.33659999999999995</v>
      </c>
      <c r="G67" s="23">
        <f>H67</f>
        <v>0.33659999999999995</v>
      </c>
      <c r="H67" s="159">
        <f>33.66/100</f>
        <v>0.33659999999999995</v>
      </c>
      <c r="I67" s="23">
        <f>J67</f>
        <v>0.33659999999999995</v>
      </c>
      <c r="J67" s="153">
        <f>33.66/100</f>
        <v>0.33659999999999995</v>
      </c>
    </row>
    <row r="68" spans="1:10" ht="15.75" thickBot="1" x14ac:dyDescent="0.3">
      <c r="A68" s="32" t="s">
        <v>171</v>
      </c>
      <c r="B68" s="151">
        <f>0/100</f>
        <v>0</v>
      </c>
      <c r="C68" s="22"/>
      <c r="D68" s="19"/>
      <c r="E68" s="24">
        <f>F68</f>
        <v>0</v>
      </c>
      <c r="F68" s="159">
        <f>0/100</f>
        <v>0</v>
      </c>
      <c r="G68" s="24">
        <f>H68</f>
        <v>0</v>
      </c>
      <c r="H68" s="159">
        <f>0/100</f>
        <v>0</v>
      </c>
      <c r="I68" s="24">
        <f>J68</f>
        <v>0</v>
      </c>
      <c r="J68" s="160">
        <f>0/100</f>
        <v>0</v>
      </c>
    </row>
    <row r="69" spans="1:10" ht="15.75" thickBot="1" x14ac:dyDescent="0.3">
      <c r="A69" s="33" t="s">
        <v>3</v>
      </c>
      <c r="B69" s="13">
        <f>SUM(B67,B68)</f>
        <v>0.31</v>
      </c>
      <c r="C69" s="28"/>
      <c r="D69" s="15"/>
      <c r="E69" s="13">
        <f>SUM(E67,E68)</f>
        <v>0.33659999999999995</v>
      </c>
      <c r="F69" s="16">
        <f t="shared" ref="F69" si="62">SUM(F67,F68)</f>
        <v>0.33659999999999995</v>
      </c>
      <c r="G69" s="13">
        <f>SUM(G67,G68)</f>
        <v>0.33659999999999995</v>
      </c>
      <c r="H69" s="16">
        <f t="shared" ref="H69" si="63">SUM(H67,H68)</f>
        <v>0.33659999999999995</v>
      </c>
      <c r="I69" s="13">
        <f t="shared" ref="I69" si="64">SUM(I67,I68)</f>
        <v>0.33659999999999995</v>
      </c>
      <c r="J69" s="16">
        <f t="shared" ref="J69" si="65">SUM(J67,J68)</f>
        <v>0.33659999999999995</v>
      </c>
    </row>
    <row r="70" spans="1:10" ht="15.75" thickBot="1" x14ac:dyDescent="0.3">
      <c r="A70" s="33" t="s">
        <v>218</v>
      </c>
      <c r="B70" s="13">
        <f xml:space="preserve"> B66+B69</f>
        <v>2.0336000000000003</v>
      </c>
      <c r="C70" s="14"/>
      <c r="D70" s="15"/>
      <c r="E70" s="13">
        <f xml:space="preserve"> E66+E69</f>
        <v>2.7767260869565216</v>
      </c>
      <c r="F70" s="16">
        <f t="shared" ref="F70" si="66" xml:space="preserve"> F66+F69</f>
        <v>3.3278999999999996</v>
      </c>
      <c r="G70" s="13">
        <f xml:space="preserve"> G66+G69</f>
        <v>2.7767260869565216</v>
      </c>
      <c r="H70" s="16">
        <f t="shared" ref="H70" si="67" xml:space="preserve"> H66+H69</f>
        <v>3.3278999999999996</v>
      </c>
      <c r="I70" s="13">
        <f t="shared" ref="I70" si="68" xml:space="preserve"> I66+I69</f>
        <v>2.7767260869565216</v>
      </c>
      <c r="J70" s="16">
        <f xml:space="preserve"> J66+J69</f>
        <v>3.3278999999999996</v>
      </c>
    </row>
    <row r="71" spans="1:10" x14ac:dyDescent="0.25">
      <c r="A71" s="32" t="s">
        <v>4</v>
      </c>
      <c r="B71" s="17">
        <f>PRODUCT(B66,0.25)</f>
        <v>0.43090000000000006</v>
      </c>
      <c r="C71" s="18"/>
      <c r="D71" s="19"/>
      <c r="E71" s="17">
        <f>PRODUCT(E66,0.25)</f>
        <v>0.61003152173913044</v>
      </c>
      <c r="F71" s="20">
        <f t="shared" ref="F71" si="69">PRODUCT(F66,0.25)</f>
        <v>0.74782499999999996</v>
      </c>
      <c r="G71" s="17">
        <f>PRODUCT(G66,0.25)</f>
        <v>0.61003152173913044</v>
      </c>
      <c r="H71" s="20">
        <f t="shared" ref="H71:J71" si="70">PRODUCT(H66,0.25)</f>
        <v>0.74782499999999996</v>
      </c>
      <c r="I71" s="17">
        <f t="shared" si="70"/>
        <v>0.61003152173913044</v>
      </c>
      <c r="J71" s="20">
        <f t="shared" si="70"/>
        <v>0.74782499999999996</v>
      </c>
    </row>
    <row r="72" spans="1:10" ht="15.75" thickBot="1" x14ac:dyDescent="0.3">
      <c r="A72" s="32" t="s">
        <v>5</v>
      </c>
      <c r="B72" s="17">
        <f>PRODUCT(B69,0.25)</f>
        <v>7.7499999999999999E-2</v>
      </c>
      <c r="C72" s="18"/>
      <c r="D72" s="19"/>
      <c r="E72" s="17">
        <f t="shared" ref="E72:F72" si="71">PRODUCT(E69,0.25)</f>
        <v>8.4149999999999989E-2</v>
      </c>
      <c r="F72" s="20">
        <f t="shared" si="71"/>
        <v>8.4149999999999989E-2</v>
      </c>
      <c r="G72" s="17">
        <f t="shared" ref="G72:J72" si="72">PRODUCT(G69,0.25)</f>
        <v>8.4149999999999989E-2</v>
      </c>
      <c r="H72" s="20">
        <f t="shared" si="72"/>
        <v>8.4149999999999989E-2</v>
      </c>
      <c r="I72" s="17">
        <f t="shared" si="72"/>
        <v>8.4149999999999989E-2</v>
      </c>
      <c r="J72" s="20">
        <f t="shared" si="72"/>
        <v>8.4149999999999989E-2</v>
      </c>
    </row>
    <row r="73" spans="1:10" ht="15.75" thickBot="1" x14ac:dyDescent="0.3">
      <c r="A73" s="33" t="s">
        <v>6</v>
      </c>
      <c r="B73" s="13">
        <f t="shared" ref="B73" si="73">SUM(B71,B72)</f>
        <v>0.50840000000000007</v>
      </c>
      <c r="C73" s="14"/>
      <c r="D73" s="15"/>
      <c r="E73" s="13">
        <f>SUM(E71,E72)</f>
        <v>0.69418152173913039</v>
      </c>
      <c r="F73" s="16">
        <f t="shared" ref="F73" si="74">SUM(F71,F72)</f>
        <v>0.83197499999999991</v>
      </c>
      <c r="G73" s="13">
        <f t="shared" ref="G73:J73" si="75">SUM(G71,G72)</f>
        <v>0.69418152173913039</v>
      </c>
      <c r="H73" s="16">
        <f t="shared" si="75"/>
        <v>0.83197499999999991</v>
      </c>
      <c r="I73" s="13">
        <f t="shared" si="75"/>
        <v>0.69418152173913039</v>
      </c>
      <c r="J73" s="16">
        <f t="shared" si="75"/>
        <v>0.83197499999999991</v>
      </c>
    </row>
    <row r="74" spans="1:10" ht="15.75" thickBot="1" x14ac:dyDescent="0.3">
      <c r="A74" s="34" t="s">
        <v>51</v>
      </c>
      <c r="B74" s="155">
        <f>SUM(B70,B73)</f>
        <v>2.5420000000000003</v>
      </c>
      <c r="C74" s="156"/>
      <c r="D74" s="156"/>
      <c r="E74" s="155">
        <f>SUM(E70,E73)</f>
        <v>3.4709076086956521</v>
      </c>
      <c r="F74" s="157">
        <f t="shared" ref="F74" si="76">SUM(F70,F73)</f>
        <v>4.1598749999999995</v>
      </c>
      <c r="G74" s="155">
        <f>SUM(G70,G73)</f>
        <v>3.4709076086956521</v>
      </c>
      <c r="H74" s="157">
        <f t="shared" ref="H74" si="77">SUM(H70,H73)</f>
        <v>4.1598749999999995</v>
      </c>
      <c r="I74" s="155">
        <f t="shared" ref="I74" si="78">SUM(I70,I73)</f>
        <v>3.4709076086956521</v>
      </c>
      <c r="J74" s="157">
        <f t="shared" ref="J74" si="79">SUM(J70,J73)</f>
        <v>4.1598749999999995</v>
      </c>
    </row>
    <row r="75" spans="1:10" ht="15.75" thickBot="1" x14ac:dyDescent="0.3">
      <c r="F75" s="363"/>
    </row>
    <row r="76" spans="1:10" ht="15.75" thickBot="1" x14ac:dyDescent="0.3">
      <c r="B76" s="194"/>
      <c r="C76" s="194"/>
      <c r="D76" s="194"/>
      <c r="E76" s="624" t="s">
        <v>64</v>
      </c>
      <c r="F76" s="625"/>
      <c r="G76" s="624" t="s">
        <v>65</v>
      </c>
      <c r="H76" s="625"/>
      <c r="I76" s="626" t="s">
        <v>66</v>
      </c>
      <c r="J76" s="625"/>
    </row>
    <row r="77" spans="1:10" ht="15.75" thickBot="1" x14ac:dyDescent="0.3">
      <c r="A77" s="196" t="s">
        <v>52</v>
      </c>
      <c r="B77" s="110">
        <v>2017</v>
      </c>
      <c r="C77" s="111">
        <v>2018</v>
      </c>
      <c r="D77" s="111">
        <v>2020</v>
      </c>
      <c r="E77" s="110">
        <v>2030</v>
      </c>
      <c r="F77" s="195">
        <v>2040</v>
      </c>
      <c r="G77" s="110">
        <v>2030</v>
      </c>
      <c r="H77" s="195">
        <v>2040</v>
      </c>
      <c r="I77" s="111">
        <v>2030</v>
      </c>
      <c r="J77" s="195">
        <v>2040</v>
      </c>
    </row>
    <row r="78" spans="1:10" ht="15.75" thickBot="1" x14ac:dyDescent="0.3">
      <c r="A78" s="35" t="s">
        <v>217</v>
      </c>
      <c r="B78" s="150">
        <f>59.33/100</f>
        <v>0.59329999999999994</v>
      </c>
      <c r="C78" s="21"/>
      <c r="D78" s="25"/>
      <c r="E78" s="23">
        <f>$B78+(F78-$B78)/(F$7-$B$7)*(E$7-$B$7)</f>
        <v>0.86093043478260867</v>
      </c>
      <c r="F78" s="153">
        <f>106.68/100</f>
        <v>1.0668</v>
      </c>
      <c r="G78" s="23">
        <f>$B78+(H78-$B78)/(H$7-$B$7)*(G$7-$B$7)</f>
        <v>0.86093043478260867</v>
      </c>
      <c r="H78" s="153">
        <f>106.68/100</f>
        <v>1.0668</v>
      </c>
      <c r="I78" s="23">
        <f>$B78+(J78-$B78)/(J$7-$B$7)*(I$7-$B$7)</f>
        <v>0.86093043478260867</v>
      </c>
      <c r="J78" s="153">
        <f>106.68/100</f>
        <v>1.0668</v>
      </c>
    </row>
    <row r="79" spans="1:10" ht="15.75" thickBot="1" x14ac:dyDescent="0.3">
      <c r="A79" s="33" t="s">
        <v>2</v>
      </c>
      <c r="B79" s="13">
        <f>B78</f>
        <v>0.59329999999999994</v>
      </c>
      <c r="C79" s="14"/>
      <c r="D79" s="15"/>
      <c r="E79" s="13">
        <f>E78</f>
        <v>0.86093043478260867</v>
      </c>
      <c r="F79" s="16">
        <f t="shared" ref="F79:J79" si="80">F78</f>
        <v>1.0668</v>
      </c>
      <c r="G79" s="13">
        <f t="shared" si="80"/>
        <v>0.86093043478260867</v>
      </c>
      <c r="H79" s="16">
        <f t="shared" si="80"/>
        <v>1.0668</v>
      </c>
      <c r="I79" s="13">
        <f t="shared" si="80"/>
        <v>0.86093043478260867</v>
      </c>
      <c r="J79" s="16">
        <f t="shared" si="80"/>
        <v>1.0668</v>
      </c>
    </row>
    <row r="80" spans="1:10" x14ac:dyDescent="0.25">
      <c r="A80" s="32" t="s">
        <v>170</v>
      </c>
      <c r="B80" s="151">
        <v>0.31</v>
      </c>
      <c r="C80" s="21"/>
      <c r="D80" s="19"/>
      <c r="E80" s="23">
        <f>F80</f>
        <v>0.33659999999999995</v>
      </c>
      <c r="F80" s="159">
        <f>33.66/100</f>
        <v>0.33659999999999995</v>
      </c>
      <c r="G80" s="23">
        <f>H80</f>
        <v>0.33659999999999995</v>
      </c>
      <c r="H80" s="159">
        <f>33.66/100</f>
        <v>0.33659999999999995</v>
      </c>
      <c r="I80" s="23">
        <f>J80</f>
        <v>0.33659999999999995</v>
      </c>
      <c r="J80" s="153">
        <f>33.66/100</f>
        <v>0.33659999999999995</v>
      </c>
    </row>
    <row r="81" spans="1:10" ht="15.75" thickBot="1" x14ac:dyDescent="0.3">
      <c r="A81" s="32" t="s">
        <v>171</v>
      </c>
      <c r="B81" s="151">
        <f>0/100</f>
        <v>0</v>
      </c>
      <c r="C81" s="22"/>
      <c r="D81" s="19"/>
      <c r="E81" s="24">
        <f>F81</f>
        <v>0</v>
      </c>
      <c r="F81" s="159">
        <f>0/100</f>
        <v>0</v>
      </c>
      <c r="G81" s="24">
        <f>H81</f>
        <v>0</v>
      </c>
      <c r="H81" s="159">
        <f>0/100</f>
        <v>0</v>
      </c>
      <c r="I81" s="24">
        <f>J81</f>
        <v>0</v>
      </c>
      <c r="J81" s="160">
        <f>0/100</f>
        <v>0</v>
      </c>
    </row>
    <row r="82" spans="1:10" ht="15.75" thickBot="1" x14ac:dyDescent="0.3">
      <c r="A82" s="33" t="s">
        <v>3</v>
      </c>
      <c r="B82" s="13">
        <f>SUM(B80,B81)</f>
        <v>0.31</v>
      </c>
      <c r="C82" s="28"/>
      <c r="D82" s="15"/>
      <c r="E82" s="13">
        <f>SUM(E80,E81)</f>
        <v>0.33659999999999995</v>
      </c>
      <c r="F82" s="16">
        <f t="shared" ref="F82" si="81">SUM(F80,F81)</f>
        <v>0.33659999999999995</v>
      </c>
      <c r="G82" s="13">
        <f>SUM(G80,G81)</f>
        <v>0.33659999999999995</v>
      </c>
      <c r="H82" s="16">
        <f t="shared" ref="H82" si="82">SUM(H80,H81)</f>
        <v>0.33659999999999995</v>
      </c>
      <c r="I82" s="13">
        <f t="shared" ref="I82" si="83">SUM(I80,I81)</f>
        <v>0.33659999999999995</v>
      </c>
      <c r="J82" s="16">
        <f t="shared" ref="J82" si="84">SUM(J80,J81)</f>
        <v>0.33659999999999995</v>
      </c>
    </row>
    <row r="83" spans="1:10" ht="15.75" thickBot="1" x14ac:dyDescent="0.3">
      <c r="A83" s="33" t="s">
        <v>218</v>
      </c>
      <c r="B83" s="13">
        <f xml:space="preserve"> B79+B82</f>
        <v>0.90329999999999999</v>
      </c>
      <c r="C83" s="14"/>
      <c r="D83" s="15"/>
      <c r="E83" s="13">
        <f xml:space="preserve"> E79+E82</f>
        <v>1.1975304347826086</v>
      </c>
      <c r="F83" s="16">
        <f t="shared" ref="F83" si="85" xml:space="preserve"> F79+F82</f>
        <v>1.4034</v>
      </c>
      <c r="G83" s="13">
        <f xml:space="preserve"> G79+G82</f>
        <v>1.1975304347826086</v>
      </c>
      <c r="H83" s="16">
        <f t="shared" ref="H83" si="86" xml:space="preserve"> H79+H82</f>
        <v>1.4034</v>
      </c>
      <c r="I83" s="13">
        <f t="shared" ref="I83" si="87" xml:space="preserve"> I79+I82</f>
        <v>1.1975304347826086</v>
      </c>
      <c r="J83" s="16">
        <f xml:space="preserve"> J79+J82</f>
        <v>1.4034</v>
      </c>
    </row>
    <row r="84" spans="1:10" x14ac:dyDescent="0.25">
      <c r="A84" s="32" t="s">
        <v>4</v>
      </c>
      <c r="B84" s="17">
        <f>PRODUCT(B79,0.25)</f>
        <v>0.14832499999999998</v>
      </c>
      <c r="C84" s="18"/>
      <c r="D84" s="19"/>
      <c r="E84" s="17">
        <f>PRODUCT(E79,0.25)</f>
        <v>0.21523260869565217</v>
      </c>
      <c r="F84" s="20">
        <f>PRODUCT(F79,0.25)</f>
        <v>0.26669999999999999</v>
      </c>
      <c r="G84" s="17">
        <f>PRODUCT(G79,0.25)</f>
        <v>0.21523260869565217</v>
      </c>
      <c r="H84" s="20">
        <f t="shared" ref="H84:J84" si="88">PRODUCT(H79,0.25)</f>
        <v>0.26669999999999999</v>
      </c>
      <c r="I84" s="17">
        <f t="shared" si="88"/>
        <v>0.21523260869565217</v>
      </c>
      <c r="J84" s="20">
        <f t="shared" si="88"/>
        <v>0.26669999999999999</v>
      </c>
    </row>
    <row r="85" spans="1:10" ht="15.75" thickBot="1" x14ac:dyDescent="0.3">
      <c r="A85" s="32" t="s">
        <v>5</v>
      </c>
      <c r="B85" s="17">
        <f>PRODUCT(B82,0.25)</f>
        <v>7.7499999999999999E-2</v>
      </c>
      <c r="C85" s="18"/>
      <c r="D85" s="19"/>
      <c r="E85" s="17">
        <f>PRODUCT(E82,0.25)</f>
        <v>8.4149999999999989E-2</v>
      </c>
      <c r="F85" s="20">
        <f>PRODUCT(F82,0.25)</f>
        <v>8.4149999999999989E-2</v>
      </c>
      <c r="G85" s="17">
        <f t="shared" ref="G85:J85" si="89">PRODUCT(G82,0.25)</f>
        <v>8.4149999999999989E-2</v>
      </c>
      <c r="H85" s="20">
        <f t="shared" si="89"/>
        <v>8.4149999999999989E-2</v>
      </c>
      <c r="I85" s="17">
        <f t="shared" si="89"/>
        <v>8.4149999999999989E-2</v>
      </c>
      <c r="J85" s="20">
        <f t="shared" si="89"/>
        <v>8.4149999999999989E-2</v>
      </c>
    </row>
    <row r="86" spans="1:10" ht="15.75" thickBot="1" x14ac:dyDescent="0.3">
      <c r="A86" s="33" t="s">
        <v>6</v>
      </c>
      <c r="B86" s="13">
        <f t="shared" ref="B86" si="90">SUM(B84,B85)</f>
        <v>0.225825</v>
      </c>
      <c r="C86" s="14"/>
      <c r="D86" s="15"/>
      <c r="E86" s="13">
        <f t="shared" ref="E86:F86" si="91">SUM(E84,E85)</f>
        <v>0.29938260869565214</v>
      </c>
      <c r="F86" s="16">
        <f t="shared" si="91"/>
        <v>0.35085</v>
      </c>
      <c r="G86" s="13">
        <f t="shared" ref="G86:J86" si="92">SUM(G84,G85)</f>
        <v>0.29938260869565214</v>
      </c>
      <c r="H86" s="16">
        <f t="shared" si="92"/>
        <v>0.35085</v>
      </c>
      <c r="I86" s="13">
        <f t="shared" si="92"/>
        <v>0.29938260869565214</v>
      </c>
      <c r="J86" s="16">
        <f t="shared" si="92"/>
        <v>0.35085</v>
      </c>
    </row>
    <row r="87" spans="1:10" ht="15.75" thickBot="1" x14ac:dyDescent="0.3">
      <c r="A87" s="34" t="s">
        <v>51</v>
      </c>
      <c r="B87" s="155">
        <f>SUM(B83,B86)</f>
        <v>1.1291249999999999</v>
      </c>
      <c r="C87" s="156"/>
      <c r="D87" s="156"/>
      <c r="E87" s="155">
        <f>SUM(E83,E86)</f>
        <v>1.4969130434782607</v>
      </c>
      <c r="F87" s="157">
        <f t="shared" ref="F87" si="93">SUM(F83,F86)</f>
        <v>1.7542499999999999</v>
      </c>
      <c r="G87" s="155">
        <f>SUM(G83,G86)</f>
        <v>1.4969130434782607</v>
      </c>
      <c r="H87" s="157">
        <f t="shared" ref="H87" si="94">SUM(H83,H86)</f>
        <v>1.7542499999999999</v>
      </c>
      <c r="I87" s="155">
        <f t="shared" ref="I87" si="95">SUM(I83,I86)</f>
        <v>1.4969130434782607</v>
      </c>
      <c r="J87" s="157">
        <f t="shared" ref="J87" si="96">SUM(J83,J86)</f>
        <v>1.7542499999999999</v>
      </c>
    </row>
  </sheetData>
  <mergeCells count="17">
    <mergeCell ref="A2:J2"/>
    <mergeCell ref="A3:C3"/>
    <mergeCell ref="I44:J44"/>
    <mergeCell ref="G25:H25"/>
    <mergeCell ref="I25:J25"/>
    <mergeCell ref="G76:H76"/>
    <mergeCell ref="I76:J76"/>
    <mergeCell ref="E6:F6"/>
    <mergeCell ref="E25:F25"/>
    <mergeCell ref="E44:F44"/>
    <mergeCell ref="E63:F63"/>
    <mergeCell ref="E76:F76"/>
    <mergeCell ref="G63:H63"/>
    <mergeCell ref="I63:J63"/>
    <mergeCell ref="G44:H44"/>
    <mergeCell ref="G6:H6"/>
    <mergeCell ref="I6:J6"/>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M92"/>
  <sheetViews>
    <sheetView zoomScale="70" zoomScaleNormal="70" workbookViewId="0">
      <pane ySplit="4" topLeftCell="A14" activePane="bottomLeft" state="frozen"/>
      <selection pane="bottomLeft" activeCell="D29" sqref="D29"/>
    </sheetView>
  </sheetViews>
  <sheetFormatPr defaultColWidth="8.85546875" defaultRowHeight="15" x14ac:dyDescent="0.25"/>
  <cols>
    <col min="1" max="1" width="22.140625" style="40" customWidth="1"/>
    <col min="2" max="2" width="27.140625" style="40" bestFit="1" customWidth="1"/>
    <col min="3" max="3" width="29.28515625" style="40" bestFit="1" customWidth="1"/>
    <col min="4" max="9" width="13.28515625" style="40" customWidth="1"/>
    <col min="10" max="10" width="8.85546875" style="26"/>
    <col min="11" max="11" width="22.140625" style="40" customWidth="1"/>
    <col min="12" max="12" width="27.140625" style="40" bestFit="1" customWidth="1"/>
    <col min="13" max="13" width="29.28515625" style="40" bestFit="1" customWidth="1"/>
    <col min="14" max="19" width="13.28515625" style="40" customWidth="1"/>
    <col min="20" max="20" width="8.85546875" style="26"/>
    <col min="21" max="21" width="22.140625" style="40" customWidth="1"/>
    <col min="22" max="22" width="27.140625" style="40" bestFit="1" customWidth="1"/>
    <col min="23" max="23" width="29.28515625" style="40" bestFit="1" customWidth="1"/>
    <col min="24" max="29" width="13.28515625" style="40"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26" t="s">
        <v>253</v>
      </c>
    </row>
    <row r="2" spans="1:39" ht="15.75" thickBot="1" x14ac:dyDescent="0.3"/>
    <row r="3" spans="1:39" s="325" customFormat="1" ht="25.9" customHeight="1" thickBot="1" x14ac:dyDescent="0.3">
      <c r="A3" s="638" t="s">
        <v>67</v>
      </c>
      <c r="B3" s="644" t="s">
        <v>226</v>
      </c>
      <c r="C3" s="645"/>
      <c r="D3" s="638" t="s">
        <v>64</v>
      </c>
      <c r="E3" s="637"/>
      <c r="F3" s="638" t="s">
        <v>65</v>
      </c>
      <c r="G3" s="637"/>
      <c r="H3" s="636" t="s">
        <v>66</v>
      </c>
      <c r="I3" s="637"/>
      <c r="K3" s="638" t="s">
        <v>67</v>
      </c>
      <c r="L3" s="639" t="s">
        <v>237</v>
      </c>
      <c r="M3" s="640"/>
      <c r="N3" s="638" t="s">
        <v>64</v>
      </c>
      <c r="O3" s="637"/>
      <c r="P3" s="638" t="s">
        <v>65</v>
      </c>
      <c r="Q3" s="637"/>
      <c r="R3" s="636" t="s">
        <v>66</v>
      </c>
      <c r="S3" s="637"/>
      <c r="U3" s="638" t="s">
        <v>67</v>
      </c>
      <c r="V3" s="639" t="s">
        <v>227</v>
      </c>
      <c r="W3" s="640"/>
      <c r="X3" s="638" t="s">
        <v>64</v>
      </c>
      <c r="Y3" s="637"/>
      <c r="Z3" s="638" t="s">
        <v>65</v>
      </c>
      <c r="AA3" s="637"/>
      <c r="AB3" s="636" t="s">
        <v>66</v>
      </c>
      <c r="AC3" s="637"/>
      <c r="AE3" s="638" t="s">
        <v>67</v>
      </c>
      <c r="AF3" s="639" t="s">
        <v>238</v>
      </c>
      <c r="AG3" s="640"/>
      <c r="AH3" s="638" t="s">
        <v>64</v>
      </c>
      <c r="AI3" s="637"/>
      <c r="AJ3" s="638" t="s">
        <v>65</v>
      </c>
      <c r="AK3" s="637"/>
      <c r="AL3" s="636" t="s">
        <v>66</v>
      </c>
      <c r="AM3" s="637"/>
    </row>
    <row r="4" spans="1:39" s="127" customFormat="1" ht="25.9" customHeight="1" thickBot="1" x14ac:dyDescent="0.25">
      <c r="A4" s="643"/>
      <c r="B4" s="646"/>
      <c r="C4" s="647"/>
      <c r="D4" s="265">
        <v>2030</v>
      </c>
      <c r="E4" s="266">
        <v>2040</v>
      </c>
      <c r="F4" s="265">
        <v>2030</v>
      </c>
      <c r="G4" s="266">
        <v>2040</v>
      </c>
      <c r="H4" s="267">
        <v>2030</v>
      </c>
      <c r="I4" s="266">
        <v>2040</v>
      </c>
      <c r="K4" s="643"/>
      <c r="L4" s="641"/>
      <c r="M4" s="642"/>
      <c r="N4" s="265">
        <v>2030</v>
      </c>
      <c r="O4" s="266">
        <v>2040</v>
      </c>
      <c r="P4" s="265">
        <v>2030</v>
      </c>
      <c r="Q4" s="266">
        <v>2040</v>
      </c>
      <c r="R4" s="267">
        <v>2030</v>
      </c>
      <c r="S4" s="266">
        <v>2040</v>
      </c>
      <c r="U4" s="643"/>
      <c r="V4" s="641"/>
      <c r="W4" s="642"/>
      <c r="X4" s="265">
        <v>2030</v>
      </c>
      <c r="Y4" s="266">
        <v>2040</v>
      </c>
      <c r="Z4" s="265">
        <v>2030</v>
      </c>
      <c r="AA4" s="266">
        <v>2040</v>
      </c>
      <c r="AB4" s="267">
        <v>2030</v>
      </c>
      <c r="AC4" s="266">
        <v>2040</v>
      </c>
      <c r="AE4" s="643"/>
      <c r="AF4" s="641"/>
      <c r="AG4" s="642"/>
      <c r="AH4" s="265">
        <v>2030</v>
      </c>
      <c r="AI4" s="266">
        <v>2040</v>
      </c>
      <c r="AJ4" s="265">
        <v>2030</v>
      </c>
      <c r="AK4" s="266">
        <v>2040</v>
      </c>
      <c r="AL4" s="267">
        <v>2030</v>
      </c>
      <c r="AM4" s="266">
        <v>2040</v>
      </c>
    </row>
    <row r="5" spans="1:39" ht="15.75" thickBot="1" x14ac:dyDescent="0.3">
      <c r="A5" s="42" t="s">
        <v>79</v>
      </c>
      <c r="D5" s="201"/>
      <c r="E5" s="201"/>
      <c r="F5" s="201"/>
      <c r="G5" s="201"/>
      <c r="H5" s="201"/>
      <c r="I5" s="201"/>
      <c r="K5" s="42" t="s">
        <v>239</v>
      </c>
      <c r="N5" s="201"/>
      <c r="O5" s="201"/>
      <c r="P5" s="201"/>
      <c r="Q5" s="201"/>
      <c r="R5" s="201"/>
      <c r="S5" s="201"/>
      <c r="U5" s="42" t="s">
        <v>89</v>
      </c>
      <c r="X5" s="201"/>
      <c r="Y5" s="201"/>
      <c r="Z5" s="201"/>
      <c r="AA5" s="201"/>
      <c r="AB5" s="201"/>
      <c r="AC5" s="201"/>
      <c r="AE5" s="42" t="s">
        <v>153</v>
      </c>
      <c r="AF5" s="40"/>
      <c r="AG5" s="40"/>
      <c r="AH5" s="201"/>
      <c r="AI5" s="201"/>
      <c r="AJ5" s="201"/>
      <c r="AK5" s="201"/>
      <c r="AL5" s="201"/>
      <c r="AM5" s="201"/>
    </row>
    <row r="6" spans="1:39" x14ac:dyDescent="0.25">
      <c r="A6" s="633" t="s">
        <v>0</v>
      </c>
      <c r="B6" s="135" t="s">
        <v>8</v>
      </c>
      <c r="C6" s="135" t="s">
        <v>209</v>
      </c>
      <c r="D6" s="202">
        <f>Indata!D32</f>
        <v>17.911754192557677</v>
      </c>
      <c r="E6" s="203">
        <f>Indata!E32</f>
        <v>21.293751803814949</v>
      </c>
      <c r="F6" s="202">
        <f>Indata!F32</f>
        <v>17.911754192557677</v>
      </c>
      <c r="G6" s="203">
        <f>Indata!G32</f>
        <v>21.293751803814949</v>
      </c>
      <c r="H6" s="204">
        <f>Indata!H32</f>
        <v>17.911754192557677</v>
      </c>
      <c r="I6" s="203">
        <f>Indata!I32</f>
        <v>21.293751803814949</v>
      </c>
      <c r="K6" s="633" t="s">
        <v>0</v>
      </c>
      <c r="L6" s="135" t="s">
        <v>8</v>
      </c>
      <c r="M6" s="135" t="s">
        <v>209</v>
      </c>
      <c r="N6" s="202">
        <f>'Modell - Drivmedelpriser'!E23</f>
        <v>17.911754192557677</v>
      </c>
      <c r="O6" s="203">
        <f>'Modell - Drivmedelpriser'!F23</f>
        <v>21.293751803814949</v>
      </c>
      <c r="P6" s="202">
        <f>'Modell - Drivmedelpriser'!G23</f>
        <v>21.178999865301471</v>
      </c>
      <c r="Q6" s="203">
        <f>'Modell - Drivmedelpriser'!H23</f>
        <v>27.329509698551796</v>
      </c>
      <c r="R6" s="204">
        <f>'Modell - Drivmedelpriser'!I23</f>
        <v>22.060978448850584</v>
      </c>
      <c r="S6" s="203">
        <f>'Modell - Drivmedelpriser'!J23</f>
        <v>27.329509698551796</v>
      </c>
      <c r="U6" s="633" t="s">
        <v>0</v>
      </c>
      <c r="V6" s="135" t="s">
        <v>8</v>
      </c>
      <c r="W6" s="135" t="s">
        <v>209</v>
      </c>
      <c r="X6" s="202">
        <f>N6</f>
        <v>17.911754192557677</v>
      </c>
      <c r="Y6" s="203">
        <f t="shared" ref="Y6:Y8" si="0">O6</f>
        <v>21.293751803814949</v>
      </c>
      <c r="Z6" s="202">
        <f t="shared" ref="Z6:Z8" si="1">P6</f>
        <v>21.178999865301471</v>
      </c>
      <c r="AA6" s="203">
        <f t="shared" ref="AA6:AA8" si="2">Q6</f>
        <v>27.329509698551796</v>
      </c>
      <c r="AB6" s="204">
        <f t="shared" ref="AB6:AB8" si="3">R6</f>
        <v>22.060978448850584</v>
      </c>
      <c r="AC6" s="203">
        <f t="shared" ref="AC6:AC8" si="4">S6</f>
        <v>27.329509698551796</v>
      </c>
      <c r="AE6" s="633" t="s">
        <v>0</v>
      </c>
      <c r="AF6" s="135" t="s">
        <v>8</v>
      </c>
      <c r="AG6" s="135" t="s">
        <v>209</v>
      </c>
      <c r="AH6" s="202">
        <f>X6</f>
        <v>17.911754192557677</v>
      </c>
      <c r="AI6" s="203">
        <f t="shared" ref="AI6:AI8" si="5">Y6</f>
        <v>21.293751803814949</v>
      </c>
      <c r="AJ6" s="202">
        <f t="shared" ref="AJ6:AJ8" si="6">Z6</f>
        <v>21.178999865301471</v>
      </c>
      <c r="AK6" s="203">
        <f t="shared" ref="AK6:AK8" si="7">AA6</f>
        <v>27.329509698551796</v>
      </c>
      <c r="AL6" s="204">
        <f t="shared" ref="AL6:AL8" si="8">AB6</f>
        <v>22.060978448850584</v>
      </c>
      <c r="AM6" s="203">
        <f t="shared" ref="AM6:AM8" si="9">AC6</f>
        <v>27.329509698551796</v>
      </c>
    </row>
    <row r="7" spans="1:39" x14ac:dyDescent="0.25">
      <c r="A7" s="634"/>
      <c r="B7" s="136" t="s">
        <v>9</v>
      </c>
      <c r="C7" s="136" t="s">
        <v>209</v>
      </c>
      <c r="D7" s="205">
        <f>Indata!D33</f>
        <v>19.069168234099362</v>
      </c>
      <c r="E7" s="206">
        <f>Indata!E33</f>
        <v>22.557131724953557</v>
      </c>
      <c r="F7" s="205">
        <f>Indata!F33</f>
        <v>19.069168234099362</v>
      </c>
      <c r="G7" s="206">
        <f>Indata!G33</f>
        <v>22.557131724953557</v>
      </c>
      <c r="H7" s="207">
        <f>Indata!H33</f>
        <v>19.069168234099362</v>
      </c>
      <c r="I7" s="206">
        <f>Indata!I33</f>
        <v>22.557131724953557</v>
      </c>
      <c r="K7" s="634"/>
      <c r="L7" s="136" t="s">
        <v>9</v>
      </c>
      <c r="M7" s="136" t="s">
        <v>209</v>
      </c>
      <c r="N7" s="205">
        <f>'Modell - Drivmedelpriser'!E42</f>
        <v>19.069168234099362</v>
      </c>
      <c r="O7" s="206">
        <f>'Modell - Drivmedelpriser'!F42</f>
        <v>22.557131724953557</v>
      </c>
      <c r="P7" s="205">
        <f>'Modell - Drivmedelpriser'!G42</f>
        <v>18.23319161125556</v>
      </c>
      <c r="Q7" s="206">
        <f>'Modell - Drivmedelpriser'!H42</f>
        <v>24.89327119863777</v>
      </c>
      <c r="R7" s="207">
        <f>'Modell - Drivmedelpriser'!I42</f>
        <v>20.431058394282431</v>
      </c>
      <c r="S7" s="206">
        <f>'Modell - Drivmedelpriser'!J42</f>
        <v>24.89327119863777</v>
      </c>
      <c r="U7" s="634"/>
      <c r="V7" s="136" t="s">
        <v>9</v>
      </c>
      <c r="W7" s="136" t="s">
        <v>209</v>
      </c>
      <c r="X7" s="205">
        <f t="shared" ref="X7:X8" si="10">N7</f>
        <v>19.069168234099362</v>
      </c>
      <c r="Y7" s="206">
        <f t="shared" si="0"/>
        <v>22.557131724953557</v>
      </c>
      <c r="Z7" s="205">
        <f t="shared" si="1"/>
        <v>18.23319161125556</v>
      </c>
      <c r="AA7" s="206">
        <f t="shared" si="2"/>
        <v>24.89327119863777</v>
      </c>
      <c r="AB7" s="207">
        <f t="shared" si="3"/>
        <v>20.431058394282431</v>
      </c>
      <c r="AC7" s="206">
        <f t="shared" si="4"/>
        <v>24.89327119863777</v>
      </c>
      <c r="AE7" s="634"/>
      <c r="AF7" s="136" t="s">
        <v>9</v>
      </c>
      <c r="AG7" s="136" t="s">
        <v>209</v>
      </c>
      <c r="AH7" s="205">
        <f t="shared" ref="AH7:AH8" si="11">X7</f>
        <v>19.069168234099362</v>
      </c>
      <c r="AI7" s="206">
        <f t="shared" si="5"/>
        <v>22.557131724953557</v>
      </c>
      <c r="AJ7" s="205">
        <f t="shared" si="6"/>
        <v>18.23319161125556</v>
      </c>
      <c r="AK7" s="206">
        <f t="shared" si="7"/>
        <v>24.89327119863777</v>
      </c>
      <c r="AL7" s="207">
        <f t="shared" si="8"/>
        <v>20.431058394282431</v>
      </c>
      <c r="AM7" s="206">
        <f t="shared" si="9"/>
        <v>24.89327119863777</v>
      </c>
    </row>
    <row r="8" spans="1:39" x14ac:dyDescent="0.25">
      <c r="A8" s="634"/>
      <c r="B8" s="136" t="s">
        <v>7</v>
      </c>
      <c r="C8" s="136" t="s">
        <v>186</v>
      </c>
      <c r="D8" s="205">
        <f>Indata!D34</f>
        <v>3.4709076086956521</v>
      </c>
      <c r="E8" s="206">
        <f>Indata!E34</f>
        <v>4.1598749999999995</v>
      </c>
      <c r="F8" s="205">
        <f>Indata!F34</f>
        <v>3.4709076086956521</v>
      </c>
      <c r="G8" s="206">
        <f>Indata!G34</f>
        <v>4.1598749999999995</v>
      </c>
      <c r="H8" s="207">
        <f>Indata!H34</f>
        <v>3.4709076086956521</v>
      </c>
      <c r="I8" s="206">
        <f>Indata!I34</f>
        <v>4.1598749999999995</v>
      </c>
      <c r="K8" s="634"/>
      <c r="L8" s="136" t="s">
        <v>7</v>
      </c>
      <c r="M8" s="136" t="s">
        <v>186</v>
      </c>
      <c r="N8" s="205">
        <f>'Modell - Drivmedelpriser'!E74</f>
        <v>3.4709076086956521</v>
      </c>
      <c r="O8" s="206">
        <f>'Modell - Drivmedelpriser'!F74</f>
        <v>4.1598749999999995</v>
      </c>
      <c r="P8" s="205">
        <f>'Modell - Drivmedelpriser'!G74</f>
        <v>3.4709076086956521</v>
      </c>
      <c r="Q8" s="206">
        <f>'Modell - Drivmedelpriser'!H74</f>
        <v>4.1598749999999995</v>
      </c>
      <c r="R8" s="207">
        <f>'Modell - Drivmedelpriser'!I74</f>
        <v>3.4709076086956521</v>
      </c>
      <c r="S8" s="206">
        <f>'Modell - Drivmedelpriser'!J74</f>
        <v>4.1598749999999995</v>
      </c>
      <c r="U8" s="634"/>
      <c r="V8" s="136" t="s">
        <v>7</v>
      </c>
      <c r="W8" s="136" t="s">
        <v>186</v>
      </c>
      <c r="X8" s="205">
        <f t="shared" si="10"/>
        <v>3.4709076086956521</v>
      </c>
      <c r="Y8" s="206">
        <f t="shared" si="0"/>
        <v>4.1598749999999995</v>
      </c>
      <c r="Z8" s="205">
        <f t="shared" si="1"/>
        <v>3.4709076086956521</v>
      </c>
      <c r="AA8" s="206">
        <f t="shared" si="2"/>
        <v>4.1598749999999995</v>
      </c>
      <c r="AB8" s="207">
        <f t="shared" si="3"/>
        <v>3.4709076086956521</v>
      </c>
      <c r="AC8" s="206">
        <f t="shared" si="4"/>
        <v>4.1598749999999995</v>
      </c>
      <c r="AE8" s="634"/>
      <c r="AF8" s="136" t="s">
        <v>7</v>
      </c>
      <c r="AG8" s="136" t="s">
        <v>186</v>
      </c>
      <c r="AH8" s="205">
        <f t="shared" si="11"/>
        <v>3.4709076086956521</v>
      </c>
      <c r="AI8" s="206">
        <f t="shared" si="5"/>
        <v>4.1598749999999995</v>
      </c>
      <c r="AJ8" s="205">
        <f t="shared" si="6"/>
        <v>3.4709076086956521</v>
      </c>
      <c r="AK8" s="206">
        <f t="shared" si="7"/>
        <v>4.1598749999999995</v>
      </c>
      <c r="AL8" s="207">
        <f t="shared" si="8"/>
        <v>3.4709076086956521</v>
      </c>
      <c r="AM8" s="206">
        <f t="shared" si="9"/>
        <v>4.1598749999999995</v>
      </c>
    </row>
    <row r="9" spans="1:39" s="303" customFormat="1" x14ac:dyDescent="0.25">
      <c r="A9" s="634"/>
      <c r="B9" s="187" t="s">
        <v>20</v>
      </c>
      <c r="C9" s="187" t="s">
        <v>209</v>
      </c>
      <c r="D9" s="198">
        <f>Indata!D35</f>
        <v>18.509834334093423</v>
      </c>
      <c r="E9" s="199">
        <f>Indata!E35</f>
        <v>21.927924171466245</v>
      </c>
      <c r="F9" s="198">
        <f>Indata!F35</f>
        <v>18.509834334093423</v>
      </c>
      <c r="G9" s="199">
        <f>Indata!G35</f>
        <v>21.888963239913203</v>
      </c>
      <c r="H9" s="200">
        <f>Indata!H35</f>
        <v>18.509834334093423</v>
      </c>
      <c r="I9" s="199">
        <f>Indata!I35</f>
        <v>21.888963239913203</v>
      </c>
      <c r="K9" s="634"/>
      <c r="L9" s="187" t="s">
        <v>20</v>
      </c>
      <c r="M9" s="187" t="s">
        <v>209</v>
      </c>
      <c r="N9" s="308">
        <f>SUMPRODUCT(N6:N7,D18:D19)/SUM(D18:D19)</f>
        <v>18.509834334093423</v>
      </c>
      <c r="O9" s="309">
        <f t="shared" ref="O9:S9" si="12">SUMPRODUCT(O6:O7,E18:E19)/SUM(E18:E19)</f>
        <v>21.927924171466245</v>
      </c>
      <c r="P9" s="308">
        <f t="shared" si="12"/>
        <v>19.656787973721016</v>
      </c>
      <c r="Q9" s="309">
        <f t="shared" si="12"/>
        <v>26.181733806320725</v>
      </c>
      <c r="R9" s="310">
        <f t="shared" si="12"/>
        <v>21.218736362665418</v>
      </c>
      <c r="S9" s="309">
        <f t="shared" si="12"/>
        <v>26.181733806320725</v>
      </c>
      <c r="U9" s="634"/>
      <c r="V9" s="187" t="s">
        <v>20</v>
      </c>
      <c r="W9" s="187" t="s">
        <v>209</v>
      </c>
      <c r="X9" s="198">
        <f>SUMPRODUCT(X6:X7,X18:X19)/SUM(X18:X19)</f>
        <v>18.509834334093423</v>
      </c>
      <c r="Y9" s="199">
        <f t="shared" ref="Y9:AC9" si="13">SUMPRODUCT(Y6:Y7,Y18:Y19)/SUM(Y18:Y19)</f>
        <v>21.927924171466245</v>
      </c>
      <c r="Z9" s="198">
        <f t="shared" si="13"/>
        <v>19.656787973721013</v>
      </c>
      <c r="AA9" s="199">
        <f t="shared" si="13"/>
        <v>26.181733806320722</v>
      </c>
      <c r="AB9" s="200">
        <f t="shared" si="13"/>
        <v>21.218736362665418</v>
      </c>
      <c r="AC9" s="199">
        <f t="shared" si="13"/>
        <v>26.181733806320722</v>
      </c>
      <c r="AE9" s="634"/>
      <c r="AF9" s="187" t="s">
        <v>20</v>
      </c>
      <c r="AG9" s="187" t="s">
        <v>209</v>
      </c>
      <c r="AH9" s="198">
        <f>SUMPRODUCT(AH6:AH7,AH18:AH19)/SUM(AH18:AH19)</f>
        <v>18.509834334093423</v>
      </c>
      <c r="AI9" s="199">
        <f t="shared" ref="AI9:AM9" si="14">SUMPRODUCT(AI6:AI7,AI18:AI19)/SUM(AI18:AI19)</f>
        <v>21.927924171466245</v>
      </c>
      <c r="AJ9" s="198">
        <f t="shared" si="14"/>
        <v>19.656787973721013</v>
      </c>
      <c r="AK9" s="199">
        <f t="shared" si="14"/>
        <v>26.181733806320722</v>
      </c>
      <c r="AL9" s="200">
        <f t="shared" si="14"/>
        <v>21.218736362665418</v>
      </c>
      <c r="AM9" s="199">
        <f t="shared" si="14"/>
        <v>26.181733806320722</v>
      </c>
    </row>
    <row r="10" spans="1:39" ht="15.75" thickBot="1" x14ac:dyDescent="0.3">
      <c r="A10" s="635"/>
      <c r="B10" s="188" t="s">
        <v>234</v>
      </c>
      <c r="C10" s="188" t="s">
        <v>25</v>
      </c>
      <c r="D10" s="224" t="s">
        <v>78</v>
      </c>
      <c r="E10" s="225" t="s">
        <v>78</v>
      </c>
      <c r="F10" s="224" t="s">
        <v>78</v>
      </c>
      <c r="G10" s="225" t="s">
        <v>78</v>
      </c>
      <c r="H10" s="226" t="s">
        <v>78</v>
      </c>
      <c r="I10" s="225" t="s">
        <v>78</v>
      </c>
      <c r="K10" s="635"/>
      <c r="L10" s="188" t="s">
        <v>234</v>
      </c>
      <c r="M10" s="188" t="s">
        <v>25</v>
      </c>
      <c r="N10" s="224">
        <f t="shared" ref="N10:S10" si="15">N9/D9-1</f>
        <v>0</v>
      </c>
      <c r="O10" s="225">
        <f t="shared" si="15"/>
        <v>0</v>
      </c>
      <c r="P10" s="224">
        <f>P9/F9-1</f>
        <v>6.1964554567352836E-2</v>
      </c>
      <c r="Q10" s="225">
        <f t="shared" si="15"/>
        <v>0.1961157556599078</v>
      </c>
      <c r="R10" s="226">
        <f t="shared" si="15"/>
        <v>0.1463493394742299</v>
      </c>
      <c r="S10" s="225">
        <f t="shared" si="15"/>
        <v>0.1961157556599078</v>
      </c>
      <c r="U10" s="635"/>
      <c r="V10" s="188" t="s">
        <v>234</v>
      </c>
      <c r="W10" s="188" t="s">
        <v>25</v>
      </c>
      <c r="X10" s="224">
        <f>X9/D9-1</f>
        <v>0</v>
      </c>
      <c r="Y10" s="225">
        <f t="shared" ref="Y10:AC10" si="16">Y9/E9-1</f>
        <v>0</v>
      </c>
      <c r="Z10" s="224">
        <f t="shared" si="16"/>
        <v>6.1964554567352614E-2</v>
      </c>
      <c r="AA10" s="225">
        <f t="shared" si="16"/>
        <v>0.1961157556599078</v>
      </c>
      <c r="AB10" s="226">
        <f t="shared" si="16"/>
        <v>0.1463493394742299</v>
      </c>
      <c r="AC10" s="225">
        <f t="shared" si="16"/>
        <v>0.1961157556599078</v>
      </c>
      <c r="AE10" s="635"/>
      <c r="AF10" s="188" t="s">
        <v>234</v>
      </c>
      <c r="AG10" s="188" t="s">
        <v>25</v>
      </c>
      <c r="AH10" s="224">
        <f>AH9/D9-1</f>
        <v>0</v>
      </c>
      <c r="AI10" s="225">
        <f t="shared" ref="AI10:AM10" si="17">AI9/E9-1</f>
        <v>0</v>
      </c>
      <c r="AJ10" s="224">
        <f t="shared" si="17"/>
        <v>6.1964554567352614E-2</v>
      </c>
      <c r="AK10" s="225">
        <f t="shared" si="17"/>
        <v>0.1961157556599078</v>
      </c>
      <c r="AL10" s="226">
        <f t="shared" si="17"/>
        <v>0.1463493394742299</v>
      </c>
      <c r="AM10" s="225">
        <f t="shared" si="17"/>
        <v>0.1961157556599078</v>
      </c>
    </row>
    <row r="11" spans="1:39" x14ac:dyDescent="0.25">
      <c r="D11" s="78"/>
      <c r="E11" s="78"/>
      <c r="F11" s="78"/>
      <c r="G11" s="78"/>
      <c r="H11" s="78"/>
      <c r="I11" s="78"/>
      <c r="N11" s="78"/>
      <c r="O11" s="78"/>
      <c r="P11" s="78"/>
      <c r="Q11" s="78"/>
      <c r="R11" s="78"/>
      <c r="S11" s="78"/>
      <c r="X11" s="78"/>
      <c r="Y11" s="78"/>
      <c r="Z11" s="78"/>
      <c r="AA11" s="78"/>
      <c r="AB11" s="78"/>
      <c r="AC11" s="78"/>
      <c r="AE11" s="40"/>
      <c r="AF11" s="40"/>
      <c r="AG11" s="40"/>
      <c r="AH11" s="78"/>
      <c r="AI11" s="78"/>
      <c r="AJ11" s="78"/>
      <c r="AK11" s="78"/>
      <c r="AL11" s="78"/>
      <c r="AM11" s="78"/>
    </row>
    <row r="12" spans="1:39" ht="15.75" thickBot="1" x14ac:dyDescent="0.3">
      <c r="A12" s="42" t="s">
        <v>80</v>
      </c>
      <c r="D12" s="201"/>
      <c r="E12" s="201"/>
      <c r="F12" s="201"/>
      <c r="G12" s="201"/>
      <c r="H12" s="201"/>
      <c r="I12" s="201"/>
      <c r="K12" s="42" t="s">
        <v>228</v>
      </c>
      <c r="N12" s="201"/>
      <c r="O12" s="201"/>
      <c r="P12" s="201"/>
      <c r="Q12" s="201"/>
      <c r="R12" s="201"/>
      <c r="S12" s="201"/>
      <c r="U12" s="42" t="s">
        <v>90</v>
      </c>
      <c r="X12" s="201"/>
      <c r="Y12" s="201"/>
      <c r="Z12" s="201"/>
      <c r="AA12" s="201"/>
      <c r="AB12" s="201"/>
      <c r="AC12" s="201"/>
      <c r="AE12" s="42" t="s">
        <v>154</v>
      </c>
      <c r="AF12" s="40"/>
      <c r="AG12" s="40"/>
      <c r="AH12" s="201"/>
      <c r="AI12" s="201"/>
      <c r="AJ12" s="201"/>
      <c r="AK12" s="201"/>
      <c r="AL12" s="201"/>
      <c r="AM12" s="201"/>
    </row>
    <row r="13" spans="1:39" ht="14.45" customHeight="1" x14ac:dyDescent="0.25">
      <c r="A13" s="633" t="s">
        <v>38</v>
      </c>
      <c r="B13" s="135" t="s">
        <v>8</v>
      </c>
      <c r="C13" s="135" t="s">
        <v>39</v>
      </c>
      <c r="D13" s="202">
        <f>Indata!D29</f>
        <v>0.60765334265455651</v>
      </c>
      <c r="E13" s="227">
        <f>Indata!E29</f>
        <v>0.49219920755019081</v>
      </c>
      <c r="F13" s="202">
        <f>Indata!F29</f>
        <v>0.60765334265455651</v>
      </c>
      <c r="G13" s="203">
        <f>Indata!G29</f>
        <v>0.49219920755019081</v>
      </c>
      <c r="H13" s="204">
        <f>Indata!H29</f>
        <v>0.60765334265455651</v>
      </c>
      <c r="I13" s="203">
        <f>Indata!I29</f>
        <v>0.49219920755019081</v>
      </c>
      <c r="K13" s="633" t="s">
        <v>38</v>
      </c>
      <c r="L13" s="135" t="s">
        <v>8</v>
      </c>
      <c r="M13" s="135" t="s">
        <v>39</v>
      </c>
      <c r="N13" s="202">
        <f>D13*(100%+N$10*'Indata - Effektsamband-Faktorer'!$D$5)*(1-Indata!D$19)</f>
        <v>0.60765334265455651</v>
      </c>
      <c r="O13" s="227">
        <f>E13*(100%+O$10*'Indata - Effektsamband-Faktorer'!$E$5)*(1-Indata!E$19)</f>
        <v>0.49219920755019081</v>
      </c>
      <c r="P13" s="202">
        <f>F13*(100%+P$10*'Indata - Effektsamband-Faktorer'!$D$5)*(1-Indata!F$19)</f>
        <v>0.6057706942191089</v>
      </c>
      <c r="Q13" s="203">
        <f>G13*(100%+Q$10*'Indata - Effektsamband-Faktorer'!$E$5)*(1-Indata!G$19)</f>
        <v>0.48737280657399518</v>
      </c>
      <c r="R13" s="204">
        <f>H13*(100%+R$10*'Indata - Effektsamband-Faktorer'!$D$5)*(1-Indata!H$19)</f>
        <v>0.60320685938821639</v>
      </c>
      <c r="S13" s="203">
        <f>I13*(100%+S$10*'Indata - Effektsamband-Faktorer'!$E$5)*(1-Indata!I$19)</f>
        <v>0.48737280657399518</v>
      </c>
      <c r="U13" s="633" t="s">
        <v>38</v>
      </c>
      <c r="V13" s="135" t="s">
        <v>8</v>
      </c>
      <c r="W13" s="135" t="s">
        <v>39</v>
      </c>
      <c r="X13" s="202">
        <f>N13</f>
        <v>0.60765334265455651</v>
      </c>
      <c r="Y13" s="227">
        <f t="shared" ref="Y13:Y15" si="18">O13</f>
        <v>0.49219920755019081</v>
      </c>
      <c r="Z13" s="202">
        <f t="shared" ref="Z13:Z15" si="19">P13</f>
        <v>0.6057706942191089</v>
      </c>
      <c r="AA13" s="203">
        <f t="shared" ref="AA13:AA15" si="20">Q13</f>
        <v>0.48737280657399518</v>
      </c>
      <c r="AB13" s="204">
        <f t="shared" ref="AB13:AB15" si="21">R13</f>
        <v>0.60320685938821639</v>
      </c>
      <c r="AC13" s="203">
        <f t="shared" ref="AC13:AC15" si="22">S13</f>
        <v>0.48737280657399518</v>
      </c>
      <c r="AE13" s="633" t="s">
        <v>38</v>
      </c>
      <c r="AF13" s="135" t="s">
        <v>8</v>
      </c>
      <c r="AG13" s="135" t="s">
        <v>39</v>
      </c>
      <c r="AH13" s="202">
        <f>X13</f>
        <v>0.60765334265455651</v>
      </c>
      <c r="AI13" s="227">
        <f t="shared" ref="AI13:AI15" si="23">Y13</f>
        <v>0.49219920755019081</v>
      </c>
      <c r="AJ13" s="202">
        <f t="shared" ref="AJ13:AJ15" si="24">Z13</f>
        <v>0.6057706942191089</v>
      </c>
      <c r="AK13" s="203">
        <f t="shared" ref="AK13:AK15" si="25">AA13</f>
        <v>0.48737280657399518</v>
      </c>
      <c r="AL13" s="204">
        <f t="shared" ref="AL13:AL15" si="26">AB13</f>
        <v>0.60320685938821639</v>
      </c>
      <c r="AM13" s="203">
        <f t="shared" ref="AM13:AM15" si="27">AC13</f>
        <v>0.48737280657399518</v>
      </c>
    </row>
    <row r="14" spans="1:39" x14ac:dyDescent="0.25">
      <c r="A14" s="634"/>
      <c r="B14" s="136" t="s">
        <v>9</v>
      </c>
      <c r="C14" s="136" t="s">
        <v>39</v>
      </c>
      <c r="D14" s="205">
        <f>Indata!D30</f>
        <v>0.60691454404542722</v>
      </c>
      <c r="E14" s="228">
        <f>Indata!E30</f>
        <v>0.49160078067679608</v>
      </c>
      <c r="F14" s="205">
        <f>Indata!F30</f>
        <v>0.60691454404542722</v>
      </c>
      <c r="G14" s="206">
        <f>Indata!G30</f>
        <v>0.49160078067679608</v>
      </c>
      <c r="H14" s="207">
        <f>Indata!H30</f>
        <v>0.60691454404542722</v>
      </c>
      <c r="I14" s="206">
        <f>Indata!I30</f>
        <v>0.49160078067679608</v>
      </c>
      <c r="K14" s="634"/>
      <c r="L14" s="136" t="s">
        <v>9</v>
      </c>
      <c r="M14" s="136" t="s">
        <v>39</v>
      </c>
      <c r="N14" s="205">
        <f>D14*(100%+N$10*'Indata - Effektsamband-Faktorer'!$D$5)*(1-Indata!D$19)</f>
        <v>0.60691454404542722</v>
      </c>
      <c r="O14" s="228">
        <f>E14*(100%+O$10*'Indata - Effektsamband-Faktorer'!$E$5)*(1-Indata!E$19)</f>
        <v>0.49160078067679608</v>
      </c>
      <c r="P14" s="205">
        <f>F14*(100%+P$10*'Indata - Effektsamband-Faktorer'!$D$5)*(1-Indata!F$19)</f>
        <v>0.60503418457631608</v>
      </c>
      <c r="Q14" s="206">
        <f>G14*(100%+Q$10*'Indata - Effektsamband-Faktorer'!$E$5)*(1-Indata!G$19)</f>
        <v>0.4867802477475246</v>
      </c>
      <c r="R14" s="207">
        <f>H14*(100%+R$10*'Indata - Effektsamband-Faktorer'!$D$5)*(1-Indata!H$19)</f>
        <v>0.60247346691350967</v>
      </c>
      <c r="S14" s="206">
        <f>I14*(100%+S$10*'Indata - Effektsamband-Faktorer'!$E$5)*(1-Indata!I$19)</f>
        <v>0.4867802477475246</v>
      </c>
      <c r="U14" s="634"/>
      <c r="V14" s="136" t="s">
        <v>9</v>
      </c>
      <c r="W14" s="136" t="s">
        <v>39</v>
      </c>
      <c r="X14" s="205">
        <f t="shared" ref="X14:X15" si="28">N14</f>
        <v>0.60691454404542722</v>
      </c>
      <c r="Y14" s="228">
        <f t="shared" si="18"/>
        <v>0.49160078067679608</v>
      </c>
      <c r="Z14" s="205">
        <f t="shared" si="19"/>
        <v>0.60503418457631608</v>
      </c>
      <c r="AA14" s="206">
        <f t="shared" si="20"/>
        <v>0.4867802477475246</v>
      </c>
      <c r="AB14" s="207">
        <f t="shared" si="21"/>
        <v>0.60247346691350967</v>
      </c>
      <c r="AC14" s="206">
        <f t="shared" si="22"/>
        <v>0.4867802477475246</v>
      </c>
      <c r="AE14" s="634"/>
      <c r="AF14" s="136" t="s">
        <v>9</v>
      </c>
      <c r="AG14" s="136" t="s">
        <v>39</v>
      </c>
      <c r="AH14" s="205">
        <f t="shared" ref="AH14:AH15" si="29">X14</f>
        <v>0.60691454404542722</v>
      </c>
      <c r="AI14" s="228">
        <f t="shared" si="23"/>
        <v>0.49160078067679608</v>
      </c>
      <c r="AJ14" s="205">
        <f t="shared" si="24"/>
        <v>0.60503418457631608</v>
      </c>
      <c r="AK14" s="206">
        <f t="shared" si="25"/>
        <v>0.4867802477475246</v>
      </c>
      <c r="AL14" s="207">
        <f t="shared" si="26"/>
        <v>0.60247346691350967</v>
      </c>
      <c r="AM14" s="206">
        <f t="shared" si="27"/>
        <v>0.4867802477475246</v>
      </c>
    </row>
    <row r="15" spans="1:39" ht="15.75" thickBot="1" x14ac:dyDescent="0.3">
      <c r="A15" s="635"/>
      <c r="B15" s="137" t="s">
        <v>7</v>
      </c>
      <c r="C15" s="137" t="s">
        <v>40</v>
      </c>
      <c r="D15" s="229">
        <f>Indata!D31</f>
        <v>1.6150000000000002</v>
      </c>
      <c r="E15" s="230">
        <f>Indata!E31</f>
        <v>1.6150000000000002</v>
      </c>
      <c r="F15" s="229">
        <f>Indata!F31</f>
        <v>1.6150000000000002</v>
      </c>
      <c r="G15" s="231">
        <f>Indata!G31</f>
        <v>1.6150000000000002</v>
      </c>
      <c r="H15" s="232">
        <f>Indata!H31</f>
        <v>1.6150000000000002</v>
      </c>
      <c r="I15" s="231">
        <f>Indata!I31</f>
        <v>1.6150000000000002</v>
      </c>
      <c r="K15" s="635"/>
      <c r="L15" s="137" t="s">
        <v>7</v>
      </c>
      <c r="M15" s="137" t="s">
        <v>40</v>
      </c>
      <c r="N15" s="229">
        <f>D15*(1-Indata!D$19)</f>
        <v>1.6150000000000002</v>
      </c>
      <c r="O15" s="230">
        <f>E15*(1-Indata!E$19)</f>
        <v>1.6150000000000002</v>
      </c>
      <c r="P15" s="229">
        <f>F15*(1-Indata!F$19)</f>
        <v>1.6150000000000002</v>
      </c>
      <c r="Q15" s="231">
        <f>G15*(1-Indata!G$19)</f>
        <v>1.6150000000000002</v>
      </c>
      <c r="R15" s="232">
        <f>H15*(1-Indata!H$19)</f>
        <v>1.6150000000000002</v>
      </c>
      <c r="S15" s="231">
        <f>I15*(1-Indata!I$19)</f>
        <v>1.6150000000000002</v>
      </c>
      <c r="U15" s="635"/>
      <c r="V15" s="137" t="s">
        <v>7</v>
      </c>
      <c r="W15" s="137" t="s">
        <v>40</v>
      </c>
      <c r="X15" s="229">
        <f t="shared" si="28"/>
        <v>1.6150000000000002</v>
      </c>
      <c r="Y15" s="230">
        <f t="shared" si="18"/>
        <v>1.6150000000000002</v>
      </c>
      <c r="Z15" s="229">
        <f t="shared" si="19"/>
        <v>1.6150000000000002</v>
      </c>
      <c r="AA15" s="231">
        <f t="shared" si="20"/>
        <v>1.6150000000000002</v>
      </c>
      <c r="AB15" s="232">
        <f t="shared" si="21"/>
        <v>1.6150000000000002</v>
      </c>
      <c r="AC15" s="231">
        <f t="shared" si="22"/>
        <v>1.6150000000000002</v>
      </c>
      <c r="AE15" s="635"/>
      <c r="AF15" s="137" t="s">
        <v>7</v>
      </c>
      <c r="AG15" s="137" t="s">
        <v>40</v>
      </c>
      <c r="AH15" s="229">
        <f t="shared" si="29"/>
        <v>1.6150000000000002</v>
      </c>
      <c r="AI15" s="230">
        <f t="shared" si="23"/>
        <v>1.6150000000000002</v>
      </c>
      <c r="AJ15" s="229">
        <f t="shared" si="24"/>
        <v>1.6150000000000002</v>
      </c>
      <c r="AK15" s="231">
        <f t="shared" si="25"/>
        <v>1.6150000000000002</v>
      </c>
      <c r="AL15" s="232">
        <f t="shared" si="26"/>
        <v>1.6150000000000002</v>
      </c>
      <c r="AM15" s="231">
        <f t="shared" si="27"/>
        <v>1.6150000000000002</v>
      </c>
    </row>
    <row r="16" spans="1:39" x14ac:dyDescent="0.25">
      <c r="D16" s="201"/>
      <c r="E16" s="201"/>
      <c r="F16" s="201"/>
      <c r="G16" s="201"/>
      <c r="H16" s="201"/>
      <c r="I16" s="201"/>
      <c r="N16" s="201"/>
      <c r="O16" s="201"/>
      <c r="P16" s="201"/>
      <c r="Q16" s="201"/>
      <c r="R16" s="201"/>
      <c r="S16" s="201"/>
      <c r="X16" s="201"/>
      <c r="Y16" s="201"/>
      <c r="Z16" s="201"/>
      <c r="AA16" s="201"/>
      <c r="AB16" s="201"/>
      <c r="AC16" s="201"/>
      <c r="AE16" s="40"/>
      <c r="AF16" s="40"/>
      <c r="AG16" s="40"/>
      <c r="AH16" s="201"/>
      <c r="AI16" s="201"/>
      <c r="AJ16" s="201"/>
      <c r="AK16" s="201"/>
      <c r="AL16" s="201"/>
      <c r="AM16" s="201"/>
    </row>
    <row r="17" spans="1:39" ht="15.75" thickBot="1" x14ac:dyDescent="0.3">
      <c r="A17" s="42" t="s">
        <v>83</v>
      </c>
      <c r="D17" s="212"/>
      <c r="E17" s="212"/>
      <c r="F17" s="212"/>
      <c r="G17" s="212"/>
      <c r="H17" s="212"/>
      <c r="I17" s="212"/>
      <c r="K17" s="42" t="s">
        <v>229</v>
      </c>
      <c r="N17" s="212"/>
      <c r="O17" s="212"/>
      <c r="P17" s="212"/>
      <c r="Q17" s="212"/>
      <c r="R17" s="212"/>
      <c r="S17" s="212"/>
      <c r="U17" s="42" t="s">
        <v>91</v>
      </c>
      <c r="X17" s="212"/>
      <c r="Y17" s="212"/>
      <c r="Z17" s="212"/>
      <c r="AA17" s="212"/>
      <c r="AB17" s="212"/>
      <c r="AC17" s="212"/>
      <c r="AE17" s="42" t="s">
        <v>155</v>
      </c>
      <c r="AF17" s="40"/>
      <c r="AG17" s="40"/>
      <c r="AH17" s="212"/>
      <c r="AI17" s="212"/>
      <c r="AJ17" s="212"/>
      <c r="AK17" s="212"/>
      <c r="AL17" s="212"/>
      <c r="AM17" s="212"/>
    </row>
    <row r="18" spans="1:39" ht="14.45" customHeight="1" x14ac:dyDescent="0.25">
      <c r="A18" s="630" t="s">
        <v>150</v>
      </c>
      <c r="B18" s="135" t="s">
        <v>8</v>
      </c>
      <c r="C18" s="135" t="s">
        <v>25</v>
      </c>
      <c r="D18" s="233">
        <f>Indata!D25/SUM(Indata!D$25:D$26)*(1-D$20)</f>
        <v>0.39627461007293346</v>
      </c>
      <c r="E18" s="234">
        <f>Indata!E25/SUM(Indata!E$25:E$26)*(1-E$20)</f>
        <v>0.30878176598734658</v>
      </c>
      <c r="F18" s="233">
        <f>Indata!F25/SUM(Indata!F$25:F$26)*(1-F$20)</f>
        <v>0.35761367250484238</v>
      </c>
      <c r="G18" s="235">
        <f>Indata!G25/SUM(Indata!G$25:G$26)*(1-G$20)</f>
        <v>0.17452833971320134</v>
      </c>
      <c r="H18" s="236">
        <f>Indata!H25/SUM(Indata!H$25:H$26)*(1-H$20)</f>
        <v>0.35761367250484238</v>
      </c>
      <c r="I18" s="235">
        <f>Indata!I25/SUM(Indata!I$25:I$26)*(1-I$20)</f>
        <v>0.17452833971320134</v>
      </c>
      <c r="K18" s="630" t="s">
        <v>150</v>
      </c>
      <c r="L18" s="135" t="s">
        <v>8</v>
      </c>
      <c r="M18" s="135" t="s">
        <v>25</v>
      </c>
      <c r="N18" s="233">
        <f>D18/SUM(D$18:D$19)*(1-N$20)</f>
        <v>0.39627461007293346</v>
      </c>
      <c r="O18" s="234">
        <f t="shared" ref="N18:S19" si="30">E18/SUM(E$18:E$19)*(1-O$20)</f>
        <v>0.30878176598734658</v>
      </c>
      <c r="P18" s="233">
        <f t="shared" si="30"/>
        <v>0.35606251647016529</v>
      </c>
      <c r="Q18" s="235">
        <f>G18/SUM(G$18:G$19)*(1-Q$20)</f>
        <v>0.16802506584008586</v>
      </c>
      <c r="R18" s="236">
        <f t="shared" si="30"/>
        <v>0.35395011577177971</v>
      </c>
      <c r="S18" s="235">
        <f t="shared" si="30"/>
        <v>0.16802506584008586</v>
      </c>
      <c r="U18" s="630" t="s">
        <v>150</v>
      </c>
      <c r="V18" s="135" t="s">
        <v>8</v>
      </c>
      <c r="W18" s="135" t="s">
        <v>25</v>
      </c>
      <c r="X18" s="233">
        <f>N18</f>
        <v>0.39627461007293346</v>
      </c>
      <c r="Y18" s="234">
        <f t="shared" ref="Y18:Y21" si="31">O18</f>
        <v>0.30878176598734658</v>
      </c>
      <c r="Z18" s="233">
        <f t="shared" ref="Z18:Z21" si="32">P18</f>
        <v>0.35606251647016529</v>
      </c>
      <c r="AA18" s="235">
        <f t="shared" ref="AA18:AA21" si="33">Q18</f>
        <v>0.16802506584008586</v>
      </c>
      <c r="AB18" s="236">
        <f t="shared" ref="AB18:AB21" si="34">R18</f>
        <v>0.35395011577177971</v>
      </c>
      <c r="AC18" s="235">
        <f t="shared" ref="AC18:AC21" si="35">S18</f>
        <v>0.16802506584008586</v>
      </c>
      <c r="AE18" s="630" t="s">
        <v>150</v>
      </c>
      <c r="AF18" s="135" t="s">
        <v>8</v>
      </c>
      <c r="AG18" s="135" t="s">
        <v>25</v>
      </c>
      <c r="AH18" s="233">
        <f>X18</f>
        <v>0.39627461007293346</v>
      </c>
      <c r="AI18" s="234">
        <f t="shared" ref="AI18:AI21" si="36">Y18</f>
        <v>0.30878176598734658</v>
      </c>
      <c r="AJ18" s="233">
        <f t="shared" ref="AJ18:AJ21" si="37">Z18</f>
        <v>0.35606251647016529</v>
      </c>
      <c r="AK18" s="235">
        <f t="shared" ref="AK18:AK21" si="38">AA18</f>
        <v>0.16802506584008586</v>
      </c>
      <c r="AL18" s="236">
        <f t="shared" ref="AL18:AL21" si="39">AB18</f>
        <v>0.35395011577177971</v>
      </c>
      <c r="AM18" s="235">
        <f t="shared" ref="AM18:AM21" si="40">AC18</f>
        <v>0.16802506584008586</v>
      </c>
    </row>
    <row r="19" spans="1:39" x14ac:dyDescent="0.25">
      <c r="A19" s="631"/>
      <c r="B19" s="136" t="s">
        <v>9</v>
      </c>
      <c r="C19" s="136" t="s">
        <v>25</v>
      </c>
      <c r="D19" s="237">
        <f>Indata!D26/SUM(Indata!D$25:D$26)*(1-D$20)</f>
        <v>0.42372538992706654</v>
      </c>
      <c r="E19" s="238">
        <f>Indata!E26/SUM(Indata!E$25:E$26)*(1-E$20)</f>
        <v>0.31121823401265342</v>
      </c>
      <c r="F19" s="237">
        <f>Indata!F26/SUM(Indata!F$25:F$26)*(1-F$20)</f>
        <v>0.38238632749515761</v>
      </c>
      <c r="G19" s="239">
        <f>Indata!G26/SUM(Indata!G$25:G$26)*(1-G$20)</f>
        <v>0.1554716602867986</v>
      </c>
      <c r="H19" s="240">
        <f>Indata!H26/SUM(Indata!H$25:H$26)*(1-H$20)</f>
        <v>0.38238632749515761</v>
      </c>
      <c r="I19" s="239">
        <f>Indata!I26/SUM(Indata!I$25:I$26)*(1-I$20)</f>
        <v>0.1554716602867986</v>
      </c>
      <c r="K19" s="631"/>
      <c r="L19" s="136" t="s">
        <v>9</v>
      </c>
      <c r="M19" s="136" t="s">
        <v>25</v>
      </c>
      <c r="N19" s="237">
        <f t="shared" si="30"/>
        <v>0.42372538992706654</v>
      </c>
      <c r="O19" s="238">
        <f t="shared" si="30"/>
        <v>0.31121823401265342</v>
      </c>
      <c r="P19" s="237">
        <f t="shared" si="30"/>
        <v>0.38072771960324575</v>
      </c>
      <c r="Q19" s="239">
        <f t="shared" si="30"/>
        <v>0.14967847628003786</v>
      </c>
      <c r="R19" s="240">
        <f t="shared" si="30"/>
        <v>0.37846898844345506</v>
      </c>
      <c r="S19" s="239">
        <f t="shared" si="30"/>
        <v>0.14967847628003786</v>
      </c>
      <c r="U19" s="631"/>
      <c r="V19" s="136" t="s">
        <v>9</v>
      </c>
      <c r="W19" s="136" t="s">
        <v>25</v>
      </c>
      <c r="X19" s="237">
        <f t="shared" ref="X19:X21" si="41">N19</f>
        <v>0.42372538992706654</v>
      </c>
      <c r="Y19" s="238">
        <f t="shared" si="31"/>
        <v>0.31121823401265342</v>
      </c>
      <c r="Z19" s="237">
        <f t="shared" si="32"/>
        <v>0.38072771960324575</v>
      </c>
      <c r="AA19" s="239">
        <f t="shared" si="33"/>
        <v>0.14967847628003786</v>
      </c>
      <c r="AB19" s="240">
        <f t="shared" si="34"/>
        <v>0.37846898844345506</v>
      </c>
      <c r="AC19" s="239">
        <f t="shared" si="35"/>
        <v>0.14967847628003786</v>
      </c>
      <c r="AE19" s="631"/>
      <c r="AF19" s="136" t="s">
        <v>9</v>
      </c>
      <c r="AG19" s="136" t="s">
        <v>25</v>
      </c>
      <c r="AH19" s="237">
        <f t="shared" ref="AH19:AH21" si="42">X19</f>
        <v>0.42372538992706654</v>
      </c>
      <c r="AI19" s="238">
        <f t="shared" si="36"/>
        <v>0.31121823401265342</v>
      </c>
      <c r="AJ19" s="237">
        <f t="shared" si="37"/>
        <v>0.38072771960324575</v>
      </c>
      <c r="AK19" s="239">
        <f t="shared" si="38"/>
        <v>0.14967847628003786</v>
      </c>
      <c r="AL19" s="240">
        <f t="shared" si="39"/>
        <v>0.37846898844345506</v>
      </c>
      <c r="AM19" s="239">
        <f t="shared" si="40"/>
        <v>0.14967847628003786</v>
      </c>
    </row>
    <row r="20" spans="1:39" x14ac:dyDescent="0.25">
      <c r="A20" s="631"/>
      <c r="B20" s="136" t="s">
        <v>7</v>
      </c>
      <c r="C20" s="136" t="s">
        <v>25</v>
      </c>
      <c r="D20" s="237">
        <f>Indata!D28</f>
        <v>0.18</v>
      </c>
      <c r="E20" s="238">
        <f>Indata!E28</f>
        <v>0.38</v>
      </c>
      <c r="F20" s="237">
        <f>Indata!F28</f>
        <v>0.26</v>
      </c>
      <c r="G20" s="239">
        <f>Indata!G28</f>
        <v>0.67</v>
      </c>
      <c r="H20" s="240">
        <f>Indata!H28</f>
        <v>0.26</v>
      </c>
      <c r="I20" s="239">
        <f>Indata!I28</f>
        <v>0.67</v>
      </c>
      <c r="K20" s="631"/>
      <c r="L20" s="136" t="s">
        <v>7</v>
      </c>
      <c r="M20" s="136" t="s">
        <v>25</v>
      </c>
      <c r="N20" s="237">
        <f>D20+(1-D20)*'Indata - Effektsamband-Faktorer'!$D$4*N$10</f>
        <v>0.18</v>
      </c>
      <c r="O20" s="238">
        <f>E20+(1-E20)*'Indata - Effektsamband-Faktorer'!$E$4*O$10</f>
        <v>0.38</v>
      </c>
      <c r="P20" s="237">
        <f>F20+(1-F20)*'Indata - Effektsamband-Faktorer'!$D$4*P$10</f>
        <v>0.2632097639265889</v>
      </c>
      <c r="Q20" s="239">
        <f>G20+(1-G20)*'Indata - Effektsamband-Faktorer'!$E$4*Q$10</f>
        <v>0.68229645787987625</v>
      </c>
      <c r="R20" s="240">
        <f>H20+(1-H20)*'Indata - Effektsamband-Faktorer'!$D$4*R$10</f>
        <v>0.26758089578476513</v>
      </c>
      <c r="S20" s="239">
        <f>I20+(1-I20)*'Indata - Effektsamband-Faktorer'!$E$4*S$10</f>
        <v>0.68229645787987625</v>
      </c>
      <c r="U20" s="631"/>
      <c r="V20" s="136" t="s">
        <v>7</v>
      </c>
      <c r="W20" s="136" t="s">
        <v>25</v>
      </c>
      <c r="X20" s="237">
        <f t="shared" si="41"/>
        <v>0.18</v>
      </c>
      <c r="Y20" s="238">
        <f t="shared" si="31"/>
        <v>0.38</v>
      </c>
      <c r="Z20" s="237">
        <f t="shared" si="32"/>
        <v>0.2632097639265889</v>
      </c>
      <c r="AA20" s="239">
        <f t="shared" si="33"/>
        <v>0.68229645787987625</v>
      </c>
      <c r="AB20" s="240">
        <f t="shared" si="34"/>
        <v>0.26758089578476513</v>
      </c>
      <c r="AC20" s="239">
        <f t="shared" si="35"/>
        <v>0.68229645787987625</v>
      </c>
      <c r="AE20" s="631"/>
      <c r="AF20" s="136" t="s">
        <v>7</v>
      </c>
      <c r="AG20" s="136" t="s">
        <v>25</v>
      </c>
      <c r="AH20" s="237">
        <f t="shared" si="42"/>
        <v>0.18</v>
      </c>
      <c r="AI20" s="238">
        <f t="shared" si="36"/>
        <v>0.38</v>
      </c>
      <c r="AJ20" s="237">
        <f t="shared" si="37"/>
        <v>0.2632097639265889</v>
      </c>
      <c r="AK20" s="239">
        <f t="shared" si="38"/>
        <v>0.68229645787987625</v>
      </c>
      <c r="AL20" s="240">
        <f t="shared" si="39"/>
        <v>0.26758089578476513</v>
      </c>
      <c r="AM20" s="239">
        <f t="shared" si="40"/>
        <v>0.68229645787987625</v>
      </c>
    </row>
    <row r="21" spans="1:39" s="303" customFormat="1" ht="15.75" thickBot="1" x14ac:dyDescent="0.3">
      <c r="A21" s="632"/>
      <c r="B21" s="189" t="s">
        <v>16</v>
      </c>
      <c r="C21" s="189" t="s">
        <v>25</v>
      </c>
      <c r="D21" s="213">
        <f t="shared" ref="D21:I21" si="43">SUM(D18:D20)</f>
        <v>1</v>
      </c>
      <c r="E21" s="214">
        <f t="shared" si="43"/>
        <v>1</v>
      </c>
      <c r="F21" s="213">
        <f>SUM(F18:F20)</f>
        <v>1</v>
      </c>
      <c r="G21" s="215">
        <f t="shared" si="43"/>
        <v>1</v>
      </c>
      <c r="H21" s="216">
        <f t="shared" si="43"/>
        <v>1</v>
      </c>
      <c r="I21" s="215">
        <f t="shared" si="43"/>
        <v>1</v>
      </c>
      <c r="K21" s="632"/>
      <c r="L21" s="189" t="s">
        <v>16</v>
      </c>
      <c r="M21" s="189" t="s">
        <v>25</v>
      </c>
      <c r="N21" s="213">
        <f>SUM(N18:N20)</f>
        <v>1</v>
      </c>
      <c r="O21" s="214">
        <f t="shared" ref="O21:S21" si="44">SUM(O18:O20)</f>
        <v>1</v>
      </c>
      <c r="P21" s="213">
        <f t="shared" si="44"/>
        <v>1</v>
      </c>
      <c r="Q21" s="215">
        <f t="shared" si="44"/>
        <v>1</v>
      </c>
      <c r="R21" s="216">
        <f t="shared" si="44"/>
        <v>1</v>
      </c>
      <c r="S21" s="215">
        <f t="shared" si="44"/>
        <v>1</v>
      </c>
      <c r="U21" s="632"/>
      <c r="V21" s="189" t="s">
        <v>16</v>
      </c>
      <c r="W21" s="189" t="s">
        <v>25</v>
      </c>
      <c r="X21" s="213">
        <f t="shared" si="41"/>
        <v>1</v>
      </c>
      <c r="Y21" s="214">
        <f t="shared" si="31"/>
        <v>1</v>
      </c>
      <c r="Z21" s="213">
        <f t="shared" si="32"/>
        <v>1</v>
      </c>
      <c r="AA21" s="215">
        <f t="shared" si="33"/>
        <v>1</v>
      </c>
      <c r="AB21" s="216">
        <f t="shared" si="34"/>
        <v>1</v>
      </c>
      <c r="AC21" s="215">
        <f t="shared" si="35"/>
        <v>1</v>
      </c>
      <c r="AE21" s="632"/>
      <c r="AF21" s="189" t="s">
        <v>16</v>
      </c>
      <c r="AG21" s="189" t="s">
        <v>25</v>
      </c>
      <c r="AH21" s="213">
        <f t="shared" si="42"/>
        <v>1</v>
      </c>
      <c r="AI21" s="214">
        <f t="shared" si="36"/>
        <v>1</v>
      </c>
      <c r="AJ21" s="213">
        <f t="shared" si="37"/>
        <v>1</v>
      </c>
      <c r="AK21" s="215">
        <f t="shared" si="38"/>
        <v>1</v>
      </c>
      <c r="AL21" s="216">
        <f t="shared" si="39"/>
        <v>1</v>
      </c>
      <c r="AM21" s="215">
        <f t="shared" si="40"/>
        <v>1</v>
      </c>
    </row>
    <row r="22" spans="1:39" x14ac:dyDescent="0.25">
      <c r="D22" s="201"/>
      <c r="E22" s="201"/>
      <c r="F22" s="201"/>
      <c r="G22" s="201"/>
      <c r="H22" s="201"/>
      <c r="I22" s="201"/>
      <c r="N22" s="201"/>
      <c r="O22" s="201"/>
      <c r="P22" s="201"/>
      <c r="Q22" s="201"/>
      <c r="R22" s="201"/>
      <c r="S22" s="201"/>
      <c r="X22" s="201"/>
      <c r="Y22" s="201"/>
      <c r="Z22" s="201"/>
      <c r="AA22" s="201"/>
      <c r="AB22" s="201"/>
      <c r="AC22" s="201"/>
      <c r="AE22" s="40"/>
      <c r="AF22" s="40"/>
      <c r="AG22" s="40"/>
      <c r="AH22" s="201"/>
      <c r="AI22" s="201"/>
      <c r="AJ22" s="201"/>
      <c r="AK22" s="201"/>
      <c r="AL22" s="201"/>
      <c r="AM22" s="201"/>
    </row>
    <row r="23" spans="1:39" ht="15.75" thickBot="1" x14ac:dyDescent="0.3">
      <c r="A23" s="42" t="s">
        <v>81</v>
      </c>
      <c r="D23" s="201"/>
      <c r="E23" s="201"/>
      <c r="F23" s="201"/>
      <c r="G23" s="201"/>
      <c r="H23" s="201"/>
      <c r="I23" s="201"/>
      <c r="K23" s="42" t="s">
        <v>160</v>
      </c>
      <c r="N23" s="201"/>
      <c r="O23" s="201"/>
      <c r="P23" s="201"/>
      <c r="Q23" s="201"/>
      <c r="R23" s="201"/>
      <c r="S23" s="201"/>
      <c r="U23" s="42" t="s">
        <v>92</v>
      </c>
      <c r="X23" s="201"/>
      <c r="Y23" s="201"/>
      <c r="Z23" s="201"/>
      <c r="AA23" s="201"/>
      <c r="AB23" s="201"/>
      <c r="AC23" s="201"/>
      <c r="AE23" s="42" t="s">
        <v>156</v>
      </c>
      <c r="AF23" s="40"/>
      <c r="AG23" s="40"/>
      <c r="AH23" s="201"/>
      <c r="AI23" s="201"/>
      <c r="AJ23" s="201"/>
      <c r="AK23" s="201"/>
      <c r="AL23" s="201"/>
      <c r="AM23" s="201"/>
    </row>
    <row r="24" spans="1:39" ht="14.45" customHeight="1" x14ac:dyDescent="0.25">
      <c r="A24" s="633" t="s">
        <v>21</v>
      </c>
      <c r="B24" s="135" t="s">
        <v>8</v>
      </c>
      <c r="C24" s="135" t="s">
        <v>74</v>
      </c>
      <c r="D24" s="202">
        <f>Indata!D$15*10</f>
        <v>0</v>
      </c>
      <c r="E24" s="227">
        <f>Indata!E$15*10</f>
        <v>0</v>
      </c>
      <c r="F24" s="202">
        <f>Indata!F$15*10</f>
        <v>35.597506644260328</v>
      </c>
      <c r="G24" s="203">
        <f>Indata!G$15*10</f>
        <v>0</v>
      </c>
      <c r="H24" s="204">
        <f>Indata!H$15*10</f>
        <v>0</v>
      </c>
      <c r="I24" s="203">
        <f>Indata!I$15*10</f>
        <v>0</v>
      </c>
      <c r="K24" s="633" t="s">
        <v>21</v>
      </c>
      <c r="L24" s="135" t="s">
        <v>8</v>
      </c>
      <c r="M24" s="135" t="s">
        <v>74</v>
      </c>
      <c r="N24" s="202">
        <f>D24</f>
        <v>0</v>
      </c>
      <c r="O24" s="227">
        <f t="shared" ref="O24:S24" si="45">E24</f>
        <v>0</v>
      </c>
      <c r="P24" s="202">
        <f t="shared" si="45"/>
        <v>35.597506644260328</v>
      </c>
      <c r="Q24" s="203">
        <f t="shared" si="45"/>
        <v>0</v>
      </c>
      <c r="R24" s="204">
        <f t="shared" si="45"/>
        <v>0</v>
      </c>
      <c r="S24" s="203">
        <f t="shared" si="45"/>
        <v>0</v>
      </c>
      <c r="U24" s="633" t="s">
        <v>21</v>
      </c>
      <c r="V24" s="135" t="s">
        <v>8</v>
      </c>
      <c r="W24" s="135" t="s">
        <v>74</v>
      </c>
      <c r="X24" s="202">
        <f>N24</f>
        <v>0</v>
      </c>
      <c r="Y24" s="227">
        <f t="shared" ref="Y24:Y26" si="46">O24</f>
        <v>0</v>
      </c>
      <c r="Z24" s="202">
        <f t="shared" ref="Z24:Z26" si="47">P24</f>
        <v>35.597506644260328</v>
      </c>
      <c r="AA24" s="203">
        <f t="shared" ref="AA24:AA26" si="48">Q24</f>
        <v>0</v>
      </c>
      <c r="AB24" s="204">
        <f t="shared" ref="AB24:AB26" si="49">R24</f>
        <v>0</v>
      </c>
      <c r="AC24" s="203">
        <f t="shared" ref="AC24:AC26" si="50">S24</f>
        <v>0</v>
      </c>
      <c r="AE24" s="633" t="s">
        <v>21</v>
      </c>
      <c r="AF24" s="135" t="s">
        <v>8</v>
      </c>
      <c r="AG24" s="135" t="s">
        <v>74</v>
      </c>
      <c r="AH24" s="202">
        <f>X24</f>
        <v>0</v>
      </c>
      <c r="AI24" s="227">
        <f t="shared" ref="AI24:AI26" si="51">Y24</f>
        <v>0</v>
      </c>
      <c r="AJ24" s="202">
        <f t="shared" ref="AJ24:AJ26" si="52">Z24</f>
        <v>35.597506644260328</v>
      </c>
      <c r="AK24" s="203">
        <f t="shared" ref="AK24:AK26" si="53">AA24</f>
        <v>0</v>
      </c>
      <c r="AL24" s="204">
        <f t="shared" ref="AL24:AL26" si="54">AB24</f>
        <v>0</v>
      </c>
      <c r="AM24" s="203">
        <f t="shared" ref="AM24:AM26" si="55">AC24</f>
        <v>0</v>
      </c>
    </row>
    <row r="25" spans="1:39" x14ac:dyDescent="0.25">
      <c r="A25" s="634"/>
      <c r="B25" s="136" t="s">
        <v>9</v>
      </c>
      <c r="C25" s="136" t="s">
        <v>74</v>
      </c>
      <c r="D25" s="205">
        <f>Indata!D$15*10</f>
        <v>0</v>
      </c>
      <c r="E25" s="228">
        <f>Indata!E$15*10</f>
        <v>0</v>
      </c>
      <c r="F25" s="205">
        <f>Indata!F$15*10</f>
        <v>35.597506644260328</v>
      </c>
      <c r="G25" s="206">
        <f>Indata!G$15*10</f>
        <v>0</v>
      </c>
      <c r="H25" s="207">
        <f>Indata!H$15*10</f>
        <v>0</v>
      </c>
      <c r="I25" s="206">
        <f>Indata!I$15*10</f>
        <v>0</v>
      </c>
      <c r="K25" s="634"/>
      <c r="L25" s="136" t="s">
        <v>9</v>
      </c>
      <c r="M25" s="136" t="s">
        <v>74</v>
      </c>
      <c r="N25" s="205">
        <f t="shared" ref="N25:N26" si="56">D25</f>
        <v>0</v>
      </c>
      <c r="O25" s="228">
        <f t="shared" ref="O25:O26" si="57">E25</f>
        <v>0</v>
      </c>
      <c r="P25" s="205">
        <f t="shared" ref="P25:P26" si="58">F25</f>
        <v>35.597506644260328</v>
      </c>
      <c r="Q25" s="206">
        <f t="shared" ref="Q25:Q26" si="59">G25</f>
        <v>0</v>
      </c>
      <c r="R25" s="207">
        <f t="shared" ref="R25:R26" si="60">H25</f>
        <v>0</v>
      </c>
      <c r="S25" s="206">
        <f t="shared" ref="S25:S26" si="61">I25</f>
        <v>0</v>
      </c>
      <c r="U25" s="634"/>
      <c r="V25" s="136" t="s">
        <v>9</v>
      </c>
      <c r="W25" s="136" t="s">
        <v>74</v>
      </c>
      <c r="X25" s="205">
        <f t="shared" ref="X25:X26" si="62">N25</f>
        <v>0</v>
      </c>
      <c r="Y25" s="228">
        <f t="shared" si="46"/>
        <v>0</v>
      </c>
      <c r="Z25" s="205">
        <f t="shared" si="47"/>
        <v>35.597506644260328</v>
      </c>
      <c r="AA25" s="206">
        <f t="shared" si="48"/>
        <v>0</v>
      </c>
      <c r="AB25" s="207">
        <f t="shared" si="49"/>
        <v>0</v>
      </c>
      <c r="AC25" s="206">
        <f t="shared" si="50"/>
        <v>0</v>
      </c>
      <c r="AE25" s="634"/>
      <c r="AF25" s="136" t="s">
        <v>9</v>
      </c>
      <c r="AG25" s="136" t="s">
        <v>74</v>
      </c>
      <c r="AH25" s="205">
        <f t="shared" ref="AH25:AH26" si="63">X25</f>
        <v>0</v>
      </c>
      <c r="AI25" s="228">
        <f t="shared" si="51"/>
        <v>0</v>
      </c>
      <c r="AJ25" s="205">
        <f t="shared" si="52"/>
        <v>35.597506644260328</v>
      </c>
      <c r="AK25" s="206">
        <f t="shared" si="53"/>
        <v>0</v>
      </c>
      <c r="AL25" s="207">
        <f t="shared" si="54"/>
        <v>0</v>
      </c>
      <c r="AM25" s="206">
        <f t="shared" si="55"/>
        <v>0</v>
      </c>
    </row>
    <row r="26" spans="1:39" ht="15.75" thickBot="1" x14ac:dyDescent="0.3">
      <c r="A26" s="635"/>
      <c r="B26" s="137" t="s">
        <v>7</v>
      </c>
      <c r="C26" s="137" t="s">
        <v>74</v>
      </c>
      <c r="D26" s="229">
        <f>Indata!D$15*10</f>
        <v>0</v>
      </c>
      <c r="E26" s="230">
        <f>Indata!E$15*10</f>
        <v>0</v>
      </c>
      <c r="F26" s="229">
        <f>Indata!F$15*10</f>
        <v>35.597506644260328</v>
      </c>
      <c r="G26" s="231">
        <f>Indata!G$15*10</f>
        <v>0</v>
      </c>
      <c r="H26" s="232">
        <f>Indata!H$15*10</f>
        <v>0</v>
      </c>
      <c r="I26" s="231">
        <f>Indata!I$15*10</f>
        <v>0</v>
      </c>
      <c r="K26" s="635"/>
      <c r="L26" s="137" t="s">
        <v>7</v>
      </c>
      <c r="M26" s="137" t="s">
        <v>74</v>
      </c>
      <c r="N26" s="229">
        <f t="shared" si="56"/>
        <v>0</v>
      </c>
      <c r="O26" s="230">
        <f t="shared" si="57"/>
        <v>0</v>
      </c>
      <c r="P26" s="229">
        <f t="shared" si="58"/>
        <v>35.597506644260328</v>
      </c>
      <c r="Q26" s="231">
        <f t="shared" si="59"/>
        <v>0</v>
      </c>
      <c r="R26" s="232">
        <f t="shared" si="60"/>
        <v>0</v>
      </c>
      <c r="S26" s="231">
        <f t="shared" si="61"/>
        <v>0</v>
      </c>
      <c r="U26" s="635"/>
      <c r="V26" s="137" t="s">
        <v>7</v>
      </c>
      <c r="W26" s="137" t="s">
        <v>74</v>
      </c>
      <c r="X26" s="229">
        <f t="shared" si="62"/>
        <v>0</v>
      </c>
      <c r="Y26" s="230">
        <f t="shared" si="46"/>
        <v>0</v>
      </c>
      <c r="Z26" s="229">
        <f t="shared" si="47"/>
        <v>35.597506644260328</v>
      </c>
      <c r="AA26" s="231">
        <f t="shared" si="48"/>
        <v>0</v>
      </c>
      <c r="AB26" s="232">
        <f t="shared" si="49"/>
        <v>0</v>
      </c>
      <c r="AC26" s="231">
        <f t="shared" si="50"/>
        <v>0</v>
      </c>
      <c r="AE26" s="635"/>
      <c r="AF26" s="137" t="s">
        <v>7</v>
      </c>
      <c r="AG26" s="137" t="s">
        <v>74</v>
      </c>
      <c r="AH26" s="229">
        <f t="shared" si="63"/>
        <v>0</v>
      </c>
      <c r="AI26" s="230">
        <f t="shared" si="51"/>
        <v>0</v>
      </c>
      <c r="AJ26" s="229">
        <f t="shared" si="52"/>
        <v>35.597506644260328</v>
      </c>
      <c r="AK26" s="231">
        <f t="shared" si="53"/>
        <v>0</v>
      </c>
      <c r="AL26" s="232">
        <f t="shared" si="54"/>
        <v>0</v>
      </c>
      <c r="AM26" s="231">
        <f t="shared" si="55"/>
        <v>0</v>
      </c>
    </row>
    <row r="27" spans="1:39" x14ac:dyDescent="0.25">
      <c r="A27" s="26"/>
      <c r="B27" s="26"/>
      <c r="C27" s="26"/>
      <c r="D27" s="217"/>
      <c r="E27" s="217"/>
      <c r="F27" s="217"/>
      <c r="G27" s="217"/>
      <c r="H27" s="217"/>
      <c r="I27" s="217"/>
      <c r="K27" s="26"/>
      <c r="L27" s="26"/>
      <c r="M27" s="26"/>
      <c r="N27" s="217"/>
      <c r="O27" s="217"/>
      <c r="P27" s="217"/>
      <c r="Q27" s="217"/>
      <c r="R27" s="217"/>
      <c r="S27" s="217"/>
      <c r="U27" s="26"/>
      <c r="V27" s="26"/>
      <c r="W27" s="26"/>
      <c r="X27" s="217"/>
      <c r="Y27" s="217"/>
      <c r="Z27" s="217"/>
      <c r="AA27" s="217"/>
      <c r="AB27" s="217"/>
      <c r="AC27" s="217"/>
      <c r="AH27" s="217"/>
      <c r="AI27" s="217"/>
      <c r="AJ27" s="217"/>
      <c r="AK27" s="217"/>
      <c r="AL27" s="217"/>
      <c r="AM27" s="217"/>
    </row>
    <row r="28" spans="1:39" ht="15.75" thickBot="1" x14ac:dyDescent="0.3">
      <c r="A28" s="42" t="s">
        <v>82</v>
      </c>
      <c r="D28" s="201"/>
      <c r="E28" s="201"/>
      <c r="F28" s="201"/>
      <c r="G28" s="201"/>
      <c r="H28" s="201"/>
      <c r="I28" s="201"/>
      <c r="K28" s="42" t="s">
        <v>161</v>
      </c>
      <c r="N28" s="201"/>
      <c r="O28" s="201"/>
      <c r="P28" s="201"/>
      <c r="Q28" s="201"/>
      <c r="R28" s="201"/>
      <c r="S28" s="201"/>
      <c r="U28" s="42" t="s">
        <v>87</v>
      </c>
      <c r="X28" s="201"/>
      <c r="Y28" s="201"/>
      <c r="Z28" s="201"/>
      <c r="AA28" s="201"/>
      <c r="AB28" s="201"/>
      <c r="AC28" s="201"/>
      <c r="AE28" s="42" t="s">
        <v>157</v>
      </c>
      <c r="AF28" s="40"/>
      <c r="AG28" s="40"/>
      <c r="AH28" s="201"/>
      <c r="AI28" s="201"/>
      <c r="AJ28" s="201"/>
      <c r="AK28" s="201"/>
      <c r="AL28" s="201"/>
      <c r="AM28" s="201"/>
    </row>
    <row r="29" spans="1:39" ht="14.45" customHeight="1" x14ac:dyDescent="0.25">
      <c r="A29" s="633" t="s">
        <v>75</v>
      </c>
      <c r="B29" s="135" t="s">
        <v>8</v>
      </c>
      <c r="C29" s="135" t="s">
        <v>74</v>
      </c>
      <c r="D29" s="202">
        <f>Indata!D$36</f>
        <v>10.009999999999998</v>
      </c>
      <c r="E29" s="227">
        <f>Indata!E$36</f>
        <v>10.009999999999998</v>
      </c>
      <c r="F29" s="202">
        <f>Indata!F$36</f>
        <v>10.009999999999998</v>
      </c>
      <c r="G29" s="203">
        <f>Indata!G$36</f>
        <v>10.009999999999998</v>
      </c>
      <c r="H29" s="204">
        <f>Indata!H$36</f>
        <v>10.009999999999998</v>
      </c>
      <c r="I29" s="203">
        <f>Indata!I$36</f>
        <v>10.009999999999998</v>
      </c>
      <c r="K29" s="633" t="s">
        <v>75</v>
      </c>
      <c r="L29" s="135" t="s">
        <v>8</v>
      </c>
      <c r="M29" s="135" t="s">
        <v>74</v>
      </c>
      <c r="N29" s="202">
        <f>D29</f>
        <v>10.009999999999998</v>
      </c>
      <c r="O29" s="227">
        <f t="shared" ref="O29:O31" si="64">E29</f>
        <v>10.009999999999998</v>
      </c>
      <c r="P29" s="202">
        <f t="shared" ref="P29:P31" si="65">F29</f>
        <v>10.009999999999998</v>
      </c>
      <c r="Q29" s="203">
        <f t="shared" ref="Q29:Q31" si="66">G29</f>
        <v>10.009999999999998</v>
      </c>
      <c r="R29" s="204">
        <f t="shared" ref="R29:R31" si="67">H29</f>
        <v>10.009999999999998</v>
      </c>
      <c r="S29" s="203">
        <f t="shared" ref="S29:S31" si="68">I29</f>
        <v>10.009999999999998</v>
      </c>
      <c r="U29" s="633" t="s">
        <v>75</v>
      </c>
      <c r="V29" s="135" t="s">
        <v>8</v>
      </c>
      <c r="W29" s="135" t="s">
        <v>74</v>
      </c>
      <c r="X29" s="202">
        <f>N29</f>
        <v>10.009999999999998</v>
      </c>
      <c r="Y29" s="227">
        <f t="shared" ref="Y29:Y31" si="69">O29</f>
        <v>10.009999999999998</v>
      </c>
      <c r="Z29" s="202">
        <f t="shared" ref="Z29:Z31" si="70">P29</f>
        <v>10.009999999999998</v>
      </c>
      <c r="AA29" s="203">
        <f t="shared" ref="AA29:AA31" si="71">Q29</f>
        <v>10.009999999999998</v>
      </c>
      <c r="AB29" s="204">
        <f t="shared" ref="AB29:AB31" si="72">R29</f>
        <v>10.009999999999998</v>
      </c>
      <c r="AC29" s="203">
        <f t="shared" ref="AC29:AC31" si="73">S29</f>
        <v>10.009999999999998</v>
      </c>
      <c r="AE29" s="633" t="s">
        <v>75</v>
      </c>
      <c r="AF29" s="135" t="s">
        <v>8</v>
      </c>
      <c r="AG29" s="135" t="s">
        <v>74</v>
      </c>
      <c r="AH29" s="202">
        <f>X29</f>
        <v>10.009999999999998</v>
      </c>
      <c r="AI29" s="227">
        <f t="shared" ref="AI29:AI31" si="74">Y29</f>
        <v>10.009999999999998</v>
      </c>
      <c r="AJ29" s="202">
        <f t="shared" ref="AJ29:AJ31" si="75">Z29</f>
        <v>10.009999999999998</v>
      </c>
      <c r="AK29" s="203">
        <f t="shared" ref="AK29:AK31" si="76">AA29</f>
        <v>10.009999999999998</v>
      </c>
      <c r="AL29" s="204">
        <f t="shared" ref="AL29:AL31" si="77">AB29</f>
        <v>10.009999999999998</v>
      </c>
      <c r="AM29" s="203">
        <f t="shared" ref="AM29:AM31" si="78">AC29</f>
        <v>10.009999999999998</v>
      </c>
    </row>
    <row r="30" spans="1:39" x14ac:dyDescent="0.25">
      <c r="A30" s="634"/>
      <c r="B30" s="136" t="s">
        <v>9</v>
      </c>
      <c r="C30" s="136" t="s">
        <v>74</v>
      </c>
      <c r="D30" s="205">
        <f>Indata!D$36</f>
        <v>10.009999999999998</v>
      </c>
      <c r="E30" s="228">
        <f>Indata!E$36</f>
        <v>10.009999999999998</v>
      </c>
      <c r="F30" s="205">
        <f>Indata!F$36</f>
        <v>10.009999999999998</v>
      </c>
      <c r="G30" s="206">
        <f>Indata!G$36</f>
        <v>10.009999999999998</v>
      </c>
      <c r="H30" s="207">
        <f>Indata!H$36</f>
        <v>10.009999999999998</v>
      </c>
      <c r="I30" s="206">
        <f>Indata!I$36</f>
        <v>10.009999999999998</v>
      </c>
      <c r="K30" s="634"/>
      <c r="L30" s="136" t="s">
        <v>9</v>
      </c>
      <c r="M30" s="136" t="s">
        <v>74</v>
      </c>
      <c r="N30" s="205">
        <f t="shared" ref="N30" si="79">D30</f>
        <v>10.009999999999998</v>
      </c>
      <c r="O30" s="228">
        <f t="shared" si="64"/>
        <v>10.009999999999998</v>
      </c>
      <c r="P30" s="205">
        <f t="shared" si="65"/>
        <v>10.009999999999998</v>
      </c>
      <c r="Q30" s="206">
        <f t="shared" si="66"/>
        <v>10.009999999999998</v>
      </c>
      <c r="R30" s="207">
        <f t="shared" si="67"/>
        <v>10.009999999999998</v>
      </c>
      <c r="S30" s="206">
        <f t="shared" si="68"/>
        <v>10.009999999999998</v>
      </c>
      <c r="U30" s="634"/>
      <c r="V30" s="136" t="s">
        <v>9</v>
      </c>
      <c r="W30" s="136" t="s">
        <v>74</v>
      </c>
      <c r="X30" s="205">
        <f t="shared" ref="X30:X31" si="80">N30</f>
        <v>10.009999999999998</v>
      </c>
      <c r="Y30" s="228">
        <f t="shared" si="69"/>
        <v>10.009999999999998</v>
      </c>
      <c r="Z30" s="205">
        <f t="shared" si="70"/>
        <v>10.009999999999998</v>
      </c>
      <c r="AA30" s="206">
        <f t="shared" si="71"/>
        <v>10.009999999999998</v>
      </c>
      <c r="AB30" s="207">
        <f t="shared" si="72"/>
        <v>10.009999999999998</v>
      </c>
      <c r="AC30" s="206">
        <f t="shared" si="73"/>
        <v>10.009999999999998</v>
      </c>
      <c r="AE30" s="634"/>
      <c r="AF30" s="136" t="s">
        <v>9</v>
      </c>
      <c r="AG30" s="136" t="s">
        <v>74</v>
      </c>
      <c r="AH30" s="205">
        <f t="shared" ref="AH30:AH31" si="81">X30</f>
        <v>10.009999999999998</v>
      </c>
      <c r="AI30" s="228">
        <f t="shared" si="74"/>
        <v>10.009999999999998</v>
      </c>
      <c r="AJ30" s="205">
        <f t="shared" si="75"/>
        <v>10.009999999999998</v>
      </c>
      <c r="AK30" s="206">
        <f t="shared" si="76"/>
        <v>10.009999999999998</v>
      </c>
      <c r="AL30" s="207">
        <f t="shared" si="77"/>
        <v>10.009999999999998</v>
      </c>
      <c r="AM30" s="206">
        <f t="shared" si="78"/>
        <v>10.009999999999998</v>
      </c>
    </row>
    <row r="31" spans="1:39" ht="15.75" thickBot="1" x14ac:dyDescent="0.3">
      <c r="A31" s="635"/>
      <c r="B31" s="137" t="s">
        <v>7</v>
      </c>
      <c r="C31" s="137" t="s">
        <v>74</v>
      </c>
      <c r="D31" s="229">
        <f>Indata!D$36</f>
        <v>10.009999999999998</v>
      </c>
      <c r="E31" s="230">
        <f>Indata!E$36</f>
        <v>10.009999999999998</v>
      </c>
      <c r="F31" s="229">
        <f>Indata!F$36</f>
        <v>10.009999999999998</v>
      </c>
      <c r="G31" s="231">
        <f>Indata!G$36</f>
        <v>10.009999999999998</v>
      </c>
      <c r="H31" s="232">
        <f>Indata!H$36</f>
        <v>10.009999999999998</v>
      </c>
      <c r="I31" s="231">
        <f>Indata!I$36</f>
        <v>10.009999999999998</v>
      </c>
      <c r="K31" s="635"/>
      <c r="L31" s="137" t="s">
        <v>7</v>
      </c>
      <c r="M31" s="137" t="s">
        <v>74</v>
      </c>
      <c r="N31" s="229">
        <f>D31</f>
        <v>10.009999999999998</v>
      </c>
      <c r="O31" s="230">
        <f t="shared" si="64"/>
        <v>10.009999999999998</v>
      </c>
      <c r="P31" s="229">
        <f t="shared" si="65"/>
        <v>10.009999999999998</v>
      </c>
      <c r="Q31" s="231">
        <f t="shared" si="66"/>
        <v>10.009999999999998</v>
      </c>
      <c r="R31" s="232">
        <f t="shared" si="67"/>
        <v>10.009999999999998</v>
      </c>
      <c r="S31" s="231">
        <f t="shared" si="68"/>
        <v>10.009999999999998</v>
      </c>
      <c r="U31" s="635"/>
      <c r="V31" s="137" t="s">
        <v>7</v>
      </c>
      <c r="W31" s="137" t="s">
        <v>74</v>
      </c>
      <c r="X31" s="229">
        <f t="shared" si="80"/>
        <v>10.009999999999998</v>
      </c>
      <c r="Y31" s="230">
        <f t="shared" si="69"/>
        <v>10.009999999999998</v>
      </c>
      <c r="Z31" s="229">
        <f t="shared" si="70"/>
        <v>10.009999999999998</v>
      </c>
      <c r="AA31" s="231">
        <f t="shared" si="71"/>
        <v>10.009999999999998</v>
      </c>
      <c r="AB31" s="232">
        <f t="shared" si="72"/>
        <v>10.009999999999998</v>
      </c>
      <c r="AC31" s="231">
        <f t="shared" si="73"/>
        <v>10.009999999999998</v>
      </c>
      <c r="AE31" s="635"/>
      <c r="AF31" s="137" t="s">
        <v>7</v>
      </c>
      <c r="AG31" s="137" t="s">
        <v>74</v>
      </c>
      <c r="AH31" s="229">
        <f t="shared" si="81"/>
        <v>10.009999999999998</v>
      </c>
      <c r="AI31" s="230">
        <f t="shared" si="74"/>
        <v>10.009999999999998</v>
      </c>
      <c r="AJ31" s="229">
        <f t="shared" si="75"/>
        <v>10.009999999999998</v>
      </c>
      <c r="AK31" s="231">
        <f t="shared" si="76"/>
        <v>10.009999999999998</v>
      </c>
      <c r="AL31" s="232">
        <f t="shared" si="77"/>
        <v>10.009999999999998</v>
      </c>
      <c r="AM31" s="231">
        <f t="shared" si="78"/>
        <v>10.009999999999998</v>
      </c>
    </row>
    <row r="32" spans="1:39" x14ac:dyDescent="0.25">
      <c r="A32" s="26"/>
      <c r="B32" s="26"/>
      <c r="C32" s="26"/>
      <c r="D32" s="217"/>
      <c r="E32" s="217"/>
      <c r="F32" s="217"/>
      <c r="G32" s="217"/>
      <c r="H32" s="217"/>
      <c r="I32" s="217"/>
      <c r="K32" s="26"/>
      <c r="L32" s="26"/>
      <c r="M32" s="26"/>
      <c r="N32" s="217"/>
      <c r="O32" s="217"/>
      <c r="P32" s="217"/>
      <c r="Q32" s="217"/>
      <c r="R32" s="217"/>
      <c r="S32" s="217"/>
      <c r="U32" s="26"/>
      <c r="V32" s="26"/>
      <c r="W32" s="26"/>
      <c r="X32" s="217"/>
      <c r="Y32" s="217"/>
      <c r="Z32" s="217"/>
      <c r="AA32" s="217"/>
      <c r="AB32" s="217"/>
      <c r="AC32" s="217"/>
      <c r="AH32" s="217"/>
      <c r="AI32" s="217"/>
      <c r="AJ32" s="217"/>
      <c r="AK32" s="217"/>
      <c r="AL32" s="217"/>
      <c r="AM32" s="217"/>
    </row>
    <row r="33" spans="1:39" ht="15.75" thickBot="1" x14ac:dyDescent="0.3">
      <c r="A33" s="42" t="s">
        <v>84</v>
      </c>
      <c r="D33" s="78"/>
      <c r="E33" s="78"/>
      <c r="F33" s="78"/>
      <c r="G33" s="78"/>
      <c r="H33" s="78"/>
      <c r="I33" s="78"/>
      <c r="K33" s="402" t="s">
        <v>230</v>
      </c>
      <c r="L33" s="403"/>
      <c r="M33" s="403"/>
      <c r="N33" s="416"/>
      <c r="O33" s="416"/>
      <c r="P33" s="78"/>
      <c r="Q33" s="78"/>
      <c r="R33" s="78"/>
      <c r="S33" s="78"/>
      <c r="U33" s="42" t="s">
        <v>231</v>
      </c>
      <c r="X33" s="78"/>
      <c r="Y33" s="78"/>
      <c r="Z33" s="78"/>
      <c r="AA33" s="78"/>
      <c r="AB33" s="78"/>
      <c r="AC33" s="78"/>
      <c r="AE33" s="42" t="s">
        <v>232</v>
      </c>
      <c r="AF33" s="40"/>
      <c r="AG33" s="40"/>
      <c r="AH33" s="78"/>
      <c r="AI33" s="78"/>
      <c r="AJ33" s="78"/>
      <c r="AK33" s="78"/>
      <c r="AL33" s="78"/>
      <c r="AM33" s="78"/>
    </row>
    <row r="34" spans="1:39" x14ac:dyDescent="0.25">
      <c r="A34" s="630" t="s">
        <v>17</v>
      </c>
      <c r="B34" s="135" t="s">
        <v>8</v>
      </c>
      <c r="C34" s="135" t="s">
        <v>36</v>
      </c>
      <c r="D34" s="245">
        <f>D18*D$37</f>
        <v>34.972878293330716</v>
      </c>
      <c r="E34" s="246">
        <f t="shared" ref="D34:I36" si="82">E18*E$37</f>
        <v>30.959435389109224</v>
      </c>
      <c r="F34" s="245">
        <f t="shared" si="82"/>
        <v>31.560890167152106</v>
      </c>
      <c r="G34" s="246">
        <f t="shared" si="82"/>
        <v>17.498762725324855</v>
      </c>
      <c r="H34" s="247">
        <f t="shared" si="82"/>
        <v>31.560890167152106</v>
      </c>
      <c r="I34" s="246">
        <f t="shared" si="82"/>
        <v>17.498762725324855</v>
      </c>
      <c r="K34" s="630" t="s">
        <v>17</v>
      </c>
      <c r="L34" s="135" t="s">
        <v>8</v>
      </c>
      <c r="M34" s="135" t="s">
        <v>36</v>
      </c>
      <c r="N34" s="245">
        <f>N18*N$37</f>
        <v>34.972878293330716</v>
      </c>
      <c r="O34" s="246">
        <f t="shared" ref="O34:S34" si="83">O18*O$37</f>
        <v>30.959435389109224</v>
      </c>
      <c r="P34" s="245">
        <f t="shared" si="83"/>
        <v>31.42399421208513</v>
      </c>
      <c r="Q34" s="246">
        <f>Q18*Q$37</f>
        <v>16.846723941076657</v>
      </c>
      <c r="R34" s="247">
        <f t="shared" si="83"/>
        <v>31.2375660871094</v>
      </c>
      <c r="S34" s="246">
        <f t="shared" si="83"/>
        <v>16.846723941076657</v>
      </c>
      <c r="U34" s="630" t="s">
        <v>17</v>
      </c>
      <c r="V34" s="135" t="s">
        <v>8</v>
      </c>
      <c r="W34" s="135" t="s">
        <v>36</v>
      </c>
      <c r="X34" s="245">
        <f>N34*(1+N$50)*(1+N$44*'Indata - Effektsamband-Faktorer'!$D$8)</f>
        <v>34.972878293330716</v>
      </c>
      <c r="Y34" s="246">
        <f>O34*(1+O$50)*(1+O$44*'Indata - Effektsamband-Faktorer'!$E$8)</f>
        <v>30.959435389109224</v>
      </c>
      <c r="Z34" s="245">
        <f>P34*(1+P$50)*(1+P$44*'Indata - Effektsamband-Faktorer'!$D$8)</f>
        <v>17.265713511803273</v>
      </c>
      <c r="AA34" s="246">
        <f>Q34*(1+Q$50)*(1+Q$44*'Indata - Effektsamband-Faktorer'!$E$8)</f>
        <v>17.107176973052372</v>
      </c>
      <c r="AB34" s="247">
        <f>R34*(1+R$50)*(1+R$44*'Indata - Effektsamband-Faktorer'!$D$8)</f>
        <v>31.174922862957221</v>
      </c>
      <c r="AC34" s="246">
        <f>S34*(1+S$50)*(1+S$44*'Indata - Effektsamband-Faktorer'!$E$8)</f>
        <v>17.107176973052372</v>
      </c>
      <c r="AE34" s="630" t="s">
        <v>17</v>
      </c>
      <c r="AF34" s="135" t="s">
        <v>8</v>
      </c>
      <c r="AG34" s="135" t="s">
        <v>36</v>
      </c>
      <c r="AH34" s="245">
        <f>X34*(1-Indata!D$21)</f>
        <v>34.972878293330716</v>
      </c>
      <c r="AI34" s="246">
        <f>Y34*(1-Indata!E$21)</f>
        <v>30.959435389109224</v>
      </c>
      <c r="AJ34" s="245">
        <f>Z34*(1-Indata!F$21)</f>
        <v>17.265713511803273</v>
      </c>
      <c r="AK34" s="246">
        <f>AA34*(1-Indata!G$21)</f>
        <v>17.107176973052372</v>
      </c>
      <c r="AL34" s="247">
        <f>AB34*(1-Indata!H$21)</f>
        <v>31.174922862957221</v>
      </c>
      <c r="AM34" s="246">
        <f>AC34*(1-Indata!I$21)</f>
        <v>17.107176973052372</v>
      </c>
    </row>
    <row r="35" spans="1:39" x14ac:dyDescent="0.25">
      <c r="A35" s="631"/>
      <c r="B35" s="136" t="s">
        <v>9</v>
      </c>
      <c r="C35" s="136" t="s">
        <v>36</v>
      </c>
      <c r="D35" s="248">
        <f t="shared" si="82"/>
        <v>37.395523495653713</v>
      </c>
      <c r="E35" s="249">
        <f t="shared" si="82"/>
        <v>31.203723370836126</v>
      </c>
      <c r="F35" s="248">
        <f t="shared" si="82"/>
        <v>33.747179739980183</v>
      </c>
      <c r="G35" s="249">
        <f t="shared" si="82"/>
        <v>15.588079840452504</v>
      </c>
      <c r="H35" s="250">
        <f t="shared" si="82"/>
        <v>33.747179739980183</v>
      </c>
      <c r="I35" s="249">
        <f t="shared" si="82"/>
        <v>15.588079840452504</v>
      </c>
      <c r="K35" s="631"/>
      <c r="L35" s="136" t="s">
        <v>9</v>
      </c>
      <c r="M35" s="136" t="s">
        <v>36</v>
      </c>
      <c r="N35" s="248">
        <f>N19*N$37</f>
        <v>37.395523495653713</v>
      </c>
      <c r="O35" s="249">
        <f t="shared" ref="O35:S36" si="84">O19*O$37</f>
        <v>31.203723370836126</v>
      </c>
      <c r="P35" s="248">
        <f t="shared" si="84"/>
        <v>33.600800712745723</v>
      </c>
      <c r="Q35" s="249">
        <f t="shared" si="84"/>
        <v>15.007236909585012</v>
      </c>
      <c r="R35" s="250">
        <f t="shared" si="84"/>
        <v>33.401458317495681</v>
      </c>
      <c r="S35" s="249">
        <f t="shared" si="84"/>
        <v>15.007236909585012</v>
      </c>
      <c r="U35" s="631"/>
      <c r="V35" s="136" t="s">
        <v>9</v>
      </c>
      <c r="W35" s="136" t="s">
        <v>36</v>
      </c>
      <c r="X35" s="248">
        <f>N35*(1+N$50)*(1+N$44*'Indata - Effektsamband-Faktorer'!$D$8)</f>
        <v>37.395523495653713</v>
      </c>
      <c r="Y35" s="249">
        <f>O35*(1+O$50)*(1+O$44*'Indata - Effektsamband-Faktorer'!$E$8)</f>
        <v>31.203723370836126</v>
      </c>
      <c r="Z35" s="248">
        <f>P35*(1+P$50)*(1+P$44*'Indata - Effektsamband-Faktorer'!$D$8)</f>
        <v>18.46174598168524</v>
      </c>
      <c r="AA35" s="249">
        <f>Q35*(1+Q$50)*(1+Q$44*'Indata - Effektsamband-Faktorer'!$E$8)</f>
        <v>15.23925117944248</v>
      </c>
      <c r="AB35" s="250">
        <f>R35*(1+R$50)*(1+R$44*'Indata - Effektsamband-Faktorer'!$D$8)</f>
        <v>33.334475664796116</v>
      </c>
      <c r="AC35" s="249">
        <f>S35*(1+S$50)*(1+S$44*'Indata - Effektsamband-Faktorer'!$E$8)</f>
        <v>15.23925117944248</v>
      </c>
      <c r="AE35" s="631"/>
      <c r="AF35" s="136" t="s">
        <v>9</v>
      </c>
      <c r="AG35" s="136" t="s">
        <v>36</v>
      </c>
      <c r="AH35" s="248">
        <f>X35*(1-Indata!D$21)</f>
        <v>37.395523495653713</v>
      </c>
      <c r="AI35" s="249">
        <f>Y35*(1-Indata!E$21)</f>
        <v>31.203723370836126</v>
      </c>
      <c r="AJ35" s="248">
        <f>Z35*(1-Indata!F$21)</f>
        <v>18.46174598168524</v>
      </c>
      <c r="AK35" s="249">
        <f>AA35*(1-Indata!G$21)</f>
        <v>15.23925117944248</v>
      </c>
      <c r="AL35" s="250">
        <f>AB35*(1-Indata!H$21)</f>
        <v>33.334475664796116</v>
      </c>
      <c r="AM35" s="249">
        <f>AC35*(1-Indata!I$21)</f>
        <v>15.23925117944248</v>
      </c>
    </row>
    <row r="36" spans="1:39" x14ac:dyDescent="0.25">
      <c r="A36" s="631"/>
      <c r="B36" s="136" t="s">
        <v>7</v>
      </c>
      <c r="C36" s="136" t="s">
        <v>36</v>
      </c>
      <c r="D36" s="248">
        <f t="shared" si="82"/>
        <v>15.885746734167313</v>
      </c>
      <c r="E36" s="249">
        <f t="shared" si="82"/>
        <v>38.100000530289087</v>
      </c>
      <c r="F36" s="248">
        <f t="shared" si="82"/>
        <v>22.946078616019452</v>
      </c>
      <c r="G36" s="249">
        <f t="shared" si="82"/>
        <v>67.176316724457081</v>
      </c>
      <c r="H36" s="250">
        <f t="shared" si="82"/>
        <v>22.946078616019452</v>
      </c>
      <c r="I36" s="249">
        <f t="shared" si="82"/>
        <v>67.176316724457081</v>
      </c>
      <c r="K36" s="631"/>
      <c r="L36" s="136" t="s">
        <v>7</v>
      </c>
      <c r="M36" s="136" t="s">
        <v>36</v>
      </c>
      <c r="N36" s="248">
        <f>N20*N$37</f>
        <v>15.885746734167313</v>
      </c>
      <c r="O36" s="249">
        <f t="shared" si="84"/>
        <v>38.100000530289087</v>
      </c>
      <c r="P36" s="248">
        <f t="shared" si="84"/>
        <v>23.229353598320884</v>
      </c>
      <c r="Q36" s="249">
        <f t="shared" si="84"/>
        <v>68.409198439572762</v>
      </c>
      <c r="R36" s="250">
        <f t="shared" si="84"/>
        <v>23.61512411854665</v>
      </c>
      <c r="S36" s="249">
        <f t="shared" si="84"/>
        <v>68.409198439572762</v>
      </c>
      <c r="U36" s="631"/>
      <c r="V36" s="136" t="s">
        <v>7</v>
      </c>
      <c r="W36" s="136" t="s">
        <v>36</v>
      </c>
      <c r="X36" s="248">
        <f>N36*(1+N$50)*(1+N$44*'Indata - Effektsamband-Faktorer'!$D$8)</f>
        <v>15.885746734167313</v>
      </c>
      <c r="Y36" s="249">
        <f>O36*(1+O$50)*(1+O$44*'Indata - Effektsamband-Faktorer'!$E$8)</f>
        <v>38.100000530289087</v>
      </c>
      <c r="Z36" s="248">
        <f>P36*(1+P$50)*(1+P$44*'Indata - Effektsamband-Faktorer'!$D$8)</f>
        <v>12.76322041005022</v>
      </c>
      <c r="AA36" s="249">
        <f>Q36*(1+Q$50)*(1+Q$44*'Indata - Effektsamband-Faktorer'!$E$8)</f>
        <v>69.466815529455232</v>
      </c>
      <c r="AB36" s="250">
        <f>R36*(1+R$50)*(1+R$44*'Indata - Effektsamband-Faktorer'!$D$8)</f>
        <v>23.567766795334769</v>
      </c>
      <c r="AC36" s="249">
        <f>S36*(1+S$50)*(1+S$44*'Indata - Effektsamband-Faktorer'!$E$8)</f>
        <v>69.466815529455232</v>
      </c>
      <c r="AE36" s="631"/>
      <c r="AF36" s="136" t="s">
        <v>7</v>
      </c>
      <c r="AG36" s="136" t="s">
        <v>36</v>
      </c>
      <c r="AH36" s="248">
        <f>X36*(1-Indata!D$21)</f>
        <v>15.885746734167313</v>
      </c>
      <c r="AI36" s="249">
        <f>Y36*(1-Indata!E$21)</f>
        <v>38.100000530289087</v>
      </c>
      <c r="AJ36" s="248">
        <f>Z36*(1-Indata!F$21)</f>
        <v>12.76322041005022</v>
      </c>
      <c r="AK36" s="249">
        <f>AA36*(1-Indata!G$21)</f>
        <v>69.466815529455232</v>
      </c>
      <c r="AL36" s="250">
        <f>AB36*(1-Indata!H$21)</f>
        <v>23.567766795334769</v>
      </c>
      <c r="AM36" s="249">
        <f>AC36*(1-Indata!I$21)</f>
        <v>69.466815529455232</v>
      </c>
    </row>
    <row r="37" spans="1:39" ht="15.75" thickBot="1" x14ac:dyDescent="0.3">
      <c r="A37" s="632"/>
      <c r="B37" s="189" t="s">
        <v>16</v>
      </c>
      <c r="C37" s="189" t="s">
        <v>36</v>
      </c>
      <c r="D37" s="221">
        <f>Indata!D37*(1+Indata!D38)</f>
        <v>88.254148523151741</v>
      </c>
      <c r="E37" s="222">
        <f>Indata!E37*(1+Indata!E38)</f>
        <v>100.26315929023444</v>
      </c>
      <c r="F37" s="221">
        <f>Indata!F37*(1+Indata!F38)</f>
        <v>88.254148523151741</v>
      </c>
      <c r="G37" s="222">
        <f>Indata!G37*(1+Indata!G38)</f>
        <v>100.26315929023444</v>
      </c>
      <c r="H37" s="223">
        <f>Indata!H37*(1+Indata!H38)</f>
        <v>88.254148523151741</v>
      </c>
      <c r="I37" s="222">
        <f>Indata!I37*(1+Indata!I38)</f>
        <v>100.26315929023444</v>
      </c>
      <c r="K37" s="632"/>
      <c r="L37" s="189" t="s">
        <v>16</v>
      </c>
      <c r="M37" s="189" t="s">
        <v>36</v>
      </c>
      <c r="N37" s="221">
        <f>D37</f>
        <v>88.254148523151741</v>
      </c>
      <c r="O37" s="222">
        <f t="shared" ref="O37:S37" si="85">E37</f>
        <v>100.26315929023444</v>
      </c>
      <c r="P37" s="221">
        <f t="shared" si="85"/>
        <v>88.254148523151741</v>
      </c>
      <c r="Q37" s="222">
        <f t="shared" si="85"/>
        <v>100.26315929023444</v>
      </c>
      <c r="R37" s="223">
        <f t="shared" si="85"/>
        <v>88.254148523151741</v>
      </c>
      <c r="S37" s="222">
        <f t="shared" si="85"/>
        <v>100.26315929023444</v>
      </c>
      <c r="U37" s="632"/>
      <c r="V37" s="189" t="s">
        <v>16</v>
      </c>
      <c r="W37" s="189" t="s">
        <v>36</v>
      </c>
      <c r="X37" s="221">
        <f>SUM(X34:X36)</f>
        <v>88.254148523151741</v>
      </c>
      <c r="Y37" s="222">
        <f>SUM(Y34:Y36)</f>
        <v>100.26315929023443</v>
      </c>
      <c r="Z37" s="221">
        <f>SUM(Z34:Z36)</f>
        <v>48.490679903538734</v>
      </c>
      <c r="AA37" s="222">
        <f>SUM(AA34:AA36)</f>
        <v>101.81324368195008</v>
      </c>
      <c r="AB37" s="223">
        <f>SUM(AB34:AB36)</f>
        <v>88.07716532308811</v>
      </c>
      <c r="AC37" s="222">
        <f t="shared" ref="AC37" si="86">SUM(AC34:AC36)</f>
        <v>101.81324368195008</v>
      </c>
      <c r="AE37" s="632"/>
      <c r="AF37" s="189" t="s">
        <v>16</v>
      </c>
      <c r="AG37" s="189" t="s">
        <v>36</v>
      </c>
      <c r="AH37" s="221">
        <f>SUM(AH34:AH36)</f>
        <v>88.254148523151741</v>
      </c>
      <c r="AI37" s="222">
        <f t="shared" ref="AI37" si="87">SUM(AI34:AI36)</f>
        <v>100.26315929023443</v>
      </c>
      <c r="AJ37" s="221">
        <f>SUM(AJ34:AJ36)</f>
        <v>48.490679903538734</v>
      </c>
      <c r="AK37" s="222">
        <f t="shared" ref="AK37" si="88">SUM(AK34:AK36)</f>
        <v>101.81324368195008</v>
      </c>
      <c r="AL37" s="223">
        <f>SUM(AL34:AL36)</f>
        <v>88.07716532308811</v>
      </c>
      <c r="AM37" s="222">
        <f t="shared" ref="AM37" si="89">SUM(AM34:AM36)</f>
        <v>101.81324368195008</v>
      </c>
    </row>
    <row r="38" spans="1:39" x14ac:dyDescent="0.25">
      <c r="D38" s="78"/>
      <c r="E38" s="78"/>
      <c r="F38" s="78"/>
      <c r="G38" s="78"/>
      <c r="H38" s="78"/>
      <c r="I38" s="78"/>
      <c r="N38" s="78"/>
      <c r="O38" s="78"/>
      <c r="P38" s="78"/>
      <c r="Q38" s="78"/>
      <c r="R38" s="78"/>
      <c r="S38" s="78"/>
      <c r="X38" s="78"/>
      <c r="Y38" s="78"/>
      <c r="Z38" s="78"/>
      <c r="AA38" s="78"/>
      <c r="AB38" s="78"/>
      <c r="AC38" s="78"/>
      <c r="AE38" s="40"/>
      <c r="AF38" s="40"/>
      <c r="AG38" s="40"/>
      <c r="AH38" s="78"/>
      <c r="AI38" s="78"/>
      <c r="AJ38" s="78"/>
      <c r="AK38" s="78"/>
      <c r="AL38" s="78"/>
      <c r="AM38" s="78"/>
    </row>
    <row r="39" spans="1:39" ht="15.75" thickBot="1" x14ac:dyDescent="0.3">
      <c r="A39" s="42" t="s">
        <v>85</v>
      </c>
      <c r="D39" s="201"/>
      <c r="E39" s="201"/>
      <c r="F39" s="201"/>
      <c r="G39" s="201"/>
      <c r="H39" s="201"/>
      <c r="I39" s="201"/>
      <c r="K39" s="42" t="s">
        <v>233</v>
      </c>
      <c r="N39" s="201"/>
      <c r="O39" s="201"/>
      <c r="P39" s="201"/>
      <c r="Q39" s="201"/>
      <c r="R39" s="201"/>
      <c r="S39" s="201"/>
      <c r="U39" s="42" t="s">
        <v>88</v>
      </c>
      <c r="X39" s="201"/>
      <c r="Y39" s="201"/>
      <c r="Z39" s="201"/>
      <c r="AA39" s="201"/>
      <c r="AB39" s="201"/>
      <c r="AC39" s="201"/>
      <c r="AE39" s="42" t="s">
        <v>158</v>
      </c>
      <c r="AF39" s="40"/>
      <c r="AG39" s="40"/>
      <c r="AH39" s="201"/>
      <c r="AI39" s="201"/>
      <c r="AJ39" s="201"/>
      <c r="AK39" s="201"/>
      <c r="AL39" s="201"/>
      <c r="AM39" s="201"/>
    </row>
    <row r="40" spans="1:39" x14ac:dyDescent="0.25">
      <c r="A40" s="633" t="s">
        <v>77</v>
      </c>
      <c r="B40" s="135" t="s">
        <v>8</v>
      </c>
      <c r="C40" s="135" t="s">
        <v>74</v>
      </c>
      <c r="D40" s="202">
        <f>D6*D13+D24+D29</f>
        <v>20.894137307914438</v>
      </c>
      <c r="E40" s="203">
        <f t="shared" ref="D40:I42" si="90">E6*E13+E24+E29</f>
        <v>20.490767763608162</v>
      </c>
      <c r="F40" s="202">
        <f t="shared" si="90"/>
        <v>56.491643952174762</v>
      </c>
      <c r="G40" s="203">
        <f t="shared" si="90"/>
        <v>20.490767763608162</v>
      </c>
      <c r="H40" s="204">
        <f t="shared" si="90"/>
        <v>20.894137307914438</v>
      </c>
      <c r="I40" s="203">
        <f t="shared" si="90"/>
        <v>20.490767763608162</v>
      </c>
      <c r="K40" s="633" t="s">
        <v>77</v>
      </c>
      <c r="L40" s="135" t="s">
        <v>8</v>
      </c>
      <c r="M40" s="135" t="s">
        <v>74</v>
      </c>
      <c r="N40" s="202">
        <f>N6*N13+N24+N29</f>
        <v>20.894137307914438</v>
      </c>
      <c r="O40" s="203">
        <f t="shared" ref="N40:S42" si="91">O6*O13+O24+O29</f>
        <v>20.490767763608162</v>
      </c>
      <c r="P40" s="202">
        <f t="shared" si="91"/>
        <v>58.437124095530415</v>
      </c>
      <c r="Q40" s="203">
        <f t="shared" si="91"/>
        <v>23.329659844074406</v>
      </c>
      <c r="R40" s="204">
        <f t="shared" si="91"/>
        <v>23.317333525162283</v>
      </c>
      <c r="S40" s="203">
        <f t="shared" si="91"/>
        <v>23.329659844074406</v>
      </c>
      <c r="U40" s="633" t="s">
        <v>77</v>
      </c>
      <c r="V40" s="135" t="s">
        <v>8</v>
      </c>
      <c r="W40" s="135" t="s">
        <v>74</v>
      </c>
      <c r="X40" s="202">
        <f>N40</f>
        <v>20.894137307914438</v>
      </c>
      <c r="Y40" s="203">
        <f t="shared" ref="Y40:Y42" si="92">O40</f>
        <v>20.490767763608162</v>
      </c>
      <c r="Z40" s="202">
        <f t="shared" ref="Z40:Z42" si="93">P40</f>
        <v>58.437124095530415</v>
      </c>
      <c r="AA40" s="203">
        <f t="shared" ref="AA40:AA42" si="94">Q40</f>
        <v>23.329659844074406</v>
      </c>
      <c r="AB40" s="204">
        <f t="shared" ref="AB40:AB42" si="95">R40</f>
        <v>23.317333525162283</v>
      </c>
      <c r="AC40" s="203">
        <f t="shared" ref="AC40:AC42" si="96">S40</f>
        <v>23.329659844074406</v>
      </c>
      <c r="AE40" s="633" t="s">
        <v>77</v>
      </c>
      <c r="AF40" s="135" t="s">
        <v>8</v>
      </c>
      <c r="AG40" s="135" t="s">
        <v>74</v>
      </c>
      <c r="AH40" s="202">
        <f>X40</f>
        <v>20.894137307914438</v>
      </c>
      <c r="AI40" s="203">
        <f t="shared" ref="AI40:AI42" si="97">Y40</f>
        <v>20.490767763608162</v>
      </c>
      <c r="AJ40" s="202">
        <f>Z40</f>
        <v>58.437124095530415</v>
      </c>
      <c r="AK40" s="203">
        <f t="shared" ref="AK40:AK41" si="98">AA40</f>
        <v>23.329659844074406</v>
      </c>
      <c r="AL40" s="204">
        <f t="shared" ref="AL40:AL42" si="99">AB40</f>
        <v>23.317333525162283</v>
      </c>
      <c r="AM40" s="203">
        <f t="shared" ref="AM40:AM42" si="100">AC40</f>
        <v>23.329659844074406</v>
      </c>
    </row>
    <row r="41" spans="1:39" x14ac:dyDescent="0.25">
      <c r="A41" s="634"/>
      <c r="B41" s="136" t="s">
        <v>9</v>
      </c>
      <c r="C41" s="136" t="s">
        <v>74</v>
      </c>
      <c r="D41" s="205">
        <f t="shared" si="90"/>
        <v>21.583355544123954</v>
      </c>
      <c r="E41" s="206">
        <f t="shared" si="90"/>
        <v>21.099103565816492</v>
      </c>
      <c r="F41" s="205">
        <f t="shared" si="90"/>
        <v>57.180862188384282</v>
      </c>
      <c r="G41" s="206">
        <f t="shared" si="90"/>
        <v>21.099103565816492</v>
      </c>
      <c r="H41" s="207">
        <f t="shared" si="90"/>
        <v>21.583355544123954</v>
      </c>
      <c r="I41" s="206">
        <f t="shared" si="90"/>
        <v>21.099103565816492</v>
      </c>
      <c r="K41" s="634"/>
      <c r="L41" s="136" t="s">
        <v>9</v>
      </c>
      <c r="M41" s="136" t="s">
        <v>74</v>
      </c>
      <c r="N41" s="205">
        <f t="shared" si="91"/>
        <v>21.583355544123954</v>
      </c>
      <c r="O41" s="206">
        <f t="shared" si="91"/>
        <v>21.099103565816492</v>
      </c>
      <c r="P41" s="205">
        <f t="shared" si="91"/>
        <v>56.639210863000059</v>
      </c>
      <c r="Q41" s="206">
        <f t="shared" si="91"/>
        <v>22.127552721319212</v>
      </c>
      <c r="R41" s="207">
        <f t="shared" si="91"/>
        <v>22.319170583515699</v>
      </c>
      <c r="S41" s="206">
        <f t="shared" si="91"/>
        <v>22.127552721319212</v>
      </c>
      <c r="U41" s="634"/>
      <c r="V41" s="136" t="s">
        <v>9</v>
      </c>
      <c r="W41" s="136" t="s">
        <v>74</v>
      </c>
      <c r="X41" s="205">
        <f t="shared" ref="X41:X42" si="101">N41</f>
        <v>21.583355544123954</v>
      </c>
      <c r="Y41" s="206">
        <f t="shared" si="92"/>
        <v>21.099103565816492</v>
      </c>
      <c r="Z41" s="205">
        <f t="shared" si="93"/>
        <v>56.639210863000059</v>
      </c>
      <c r="AA41" s="206">
        <f t="shared" si="94"/>
        <v>22.127552721319212</v>
      </c>
      <c r="AB41" s="207">
        <f t="shared" si="95"/>
        <v>22.319170583515699</v>
      </c>
      <c r="AC41" s="206">
        <f t="shared" si="96"/>
        <v>22.127552721319212</v>
      </c>
      <c r="AE41" s="634"/>
      <c r="AF41" s="136" t="s">
        <v>9</v>
      </c>
      <c r="AG41" s="136" t="s">
        <v>74</v>
      </c>
      <c r="AH41" s="205">
        <f t="shared" ref="AH41" si="102">X41</f>
        <v>21.583355544123954</v>
      </c>
      <c r="AI41" s="206">
        <f t="shared" si="97"/>
        <v>21.099103565816492</v>
      </c>
      <c r="AJ41" s="205">
        <f t="shared" ref="AJ41:AJ42" si="103">Z41</f>
        <v>56.639210863000059</v>
      </c>
      <c r="AK41" s="206">
        <f t="shared" si="98"/>
        <v>22.127552721319212</v>
      </c>
      <c r="AL41" s="207">
        <f t="shared" si="99"/>
        <v>22.319170583515699</v>
      </c>
      <c r="AM41" s="206">
        <f t="shared" si="100"/>
        <v>22.127552721319212</v>
      </c>
    </row>
    <row r="42" spans="1:39" x14ac:dyDescent="0.25">
      <c r="A42" s="634"/>
      <c r="B42" s="136" t="s">
        <v>7</v>
      </c>
      <c r="C42" s="136" t="s">
        <v>74</v>
      </c>
      <c r="D42" s="205">
        <f t="shared" si="90"/>
        <v>15.615515788043478</v>
      </c>
      <c r="E42" s="206">
        <f t="shared" si="90"/>
        <v>16.728198124999999</v>
      </c>
      <c r="F42" s="205">
        <f t="shared" si="90"/>
        <v>51.213022432303802</v>
      </c>
      <c r="G42" s="206">
        <f t="shared" si="90"/>
        <v>16.728198124999999</v>
      </c>
      <c r="H42" s="207">
        <f t="shared" si="90"/>
        <v>15.615515788043478</v>
      </c>
      <c r="I42" s="206">
        <f t="shared" si="90"/>
        <v>16.728198124999999</v>
      </c>
      <c r="K42" s="634"/>
      <c r="L42" s="136" t="s">
        <v>7</v>
      </c>
      <c r="M42" s="136" t="s">
        <v>74</v>
      </c>
      <c r="N42" s="205">
        <f t="shared" si="91"/>
        <v>15.615515788043478</v>
      </c>
      <c r="O42" s="206">
        <f t="shared" si="91"/>
        <v>16.728198124999999</v>
      </c>
      <c r="P42" s="205">
        <f t="shared" si="91"/>
        <v>51.213022432303802</v>
      </c>
      <c r="Q42" s="206">
        <f>Q8*Q15+Q26+Q31</f>
        <v>16.728198124999999</v>
      </c>
      <c r="R42" s="207">
        <f t="shared" si="91"/>
        <v>15.615515788043478</v>
      </c>
      <c r="S42" s="206">
        <f t="shared" si="91"/>
        <v>16.728198124999999</v>
      </c>
      <c r="U42" s="634"/>
      <c r="V42" s="136" t="s">
        <v>7</v>
      </c>
      <c r="W42" s="136" t="s">
        <v>74</v>
      </c>
      <c r="X42" s="205">
        <f t="shared" si="101"/>
        <v>15.615515788043478</v>
      </c>
      <c r="Y42" s="206">
        <f t="shared" si="92"/>
        <v>16.728198124999999</v>
      </c>
      <c r="Z42" s="205">
        <f t="shared" si="93"/>
        <v>51.213022432303802</v>
      </c>
      <c r="AA42" s="206">
        <f t="shared" si="94"/>
        <v>16.728198124999999</v>
      </c>
      <c r="AB42" s="207">
        <f t="shared" si="95"/>
        <v>15.615515788043478</v>
      </c>
      <c r="AC42" s="206">
        <f t="shared" si="96"/>
        <v>16.728198124999999</v>
      </c>
      <c r="AE42" s="634"/>
      <c r="AF42" s="136" t="s">
        <v>7</v>
      </c>
      <c r="AG42" s="136" t="s">
        <v>74</v>
      </c>
      <c r="AH42" s="205">
        <f>X42</f>
        <v>15.615515788043478</v>
      </c>
      <c r="AI42" s="206">
        <f t="shared" si="97"/>
        <v>16.728198124999999</v>
      </c>
      <c r="AJ42" s="205">
        <f t="shared" si="103"/>
        <v>51.213022432303802</v>
      </c>
      <c r="AK42" s="206">
        <f>AA42</f>
        <v>16.728198124999999</v>
      </c>
      <c r="AL42" s="207">
        <f t="shared" si="99"/>
        <v>15.615515788043478</v>
      </c>
      <c r="AM42" s="206">
        <f t="shared" si="100"/>
        <v>16.728198124999999</v>
      </c>
    </row>
    <row r="43" spans="1:39" x14ac:dyDescent="0.25">
      <c r="A43" s="634"/>
      <c r="B43" s="187" t="s">
        <v>76</v>
      </c>
      <c r="C43" s="187" t="s">
        <v>74</v>
      </c>
      <c r="D43" s="308">
        <v>20.74</v>
      </c>
      <c r="E43" s="309">
        <v>19.655019213344737</v>
      </c>
      <c r="F43" s="198">
        <f>SUMPRODUCT(F40:F42,F34:F36)/F37</f>
        <v>55.382749987195155</v>
      </c>
      <c r="G43" s="199">
        <f t="shared" ref="G43:I43" si="104">SUMPRODUCT(G40:G42,G34:G36)/G37</f>
        <v>18.064425082921922</v>
      </c>
      <c r="H43" s="200">
        <f t="shared" si="104"/>
        <v>19.785243342934834</v>
      </c>
      <c r="I43" s="199">
        <f t="shared" si="104"/>
        <v>18.064425082921922</v>
      </c>
      <c r="K43" s="634"/>
      <c r="L43" s="187" t="s">
        <v>76</v>
      </c>
      <c r="M43" s="187" t="s">
        <v>74</v>
      </c>
      <c r="N43" s="308">
        <f>D43</f>
        <v>20.74</v>
      </c>
      <c r="O43" s="309">
        <f>E43</f>
        <v>19.655019213344737</v>
      </c>
      <c r="P43" s="198">
        <f>SUMPRODUCT(P40:P42,P34:P36)/P37</f>
        <v>55.851154597105072</v>
      </c>
      <c r="Q43" s="199">
        <f>SUMPRODUCT(Q40:Q42,Q34:Q36)/Q37</f>
        <v>18.645576333860959</v>
      </c>
      <c r="R43" s="200">
        <f>SUMPRODUCT(R40:R42,R34:R36)/R37</f>
        <v>20.87870051706631</v>
      </c>
      <c r="S43" s="199">
        <f t="shared" ref="S43" si="105">SUMPRODUCT(S40:S42,S34:S36)/S37</f>
        <v>18.645576333860959</v>
      </c>
      <c r="U43" s="634"/>
      <c r="V43" s="187" t="s">
        <v>76</v>
      </c>
      <c r="W43" s="187" t="s">
        <v>74</v>
      </c>
      <c r="X43" s="308">
        <f>D43</f>
        <v>20.74</v>
      </c>
      <c r="Y43" s="309">
        <f>E43</f>
        <v>19.655019213344737</v>
      </c>
      <c r="Z43" s="198">
        <f>SUMPRODUCT(Z40:Z42,Z34:Z36)/Z37</f>
        <v>55.851154597105086</v>
      </c>
      <c r="AA43" s="199">
        <f>SUMPRODUCT(AA40:AA42,AA34:AA36)/AA37</f>
        <v>18.645576333860962</v>
      </c>
      <c r="AB43" s="200">
        <f t="shared" ref="AB43:AC43" si="106">SUMPRODUCT(AB40:AB42,AB34:AB36)/AB37</f>
        <v>20.878700517066314</v>
      </c>
      <c r="AC43" s="199">
        <f t="shared" si="106"/>
        <v>18.645576333860962</v>
      </c>
      <c r="AE43" s="634"/>
      <c r="AF43" s="187" t="s">
        <v>76</v>
      </c>
      <c r="AG43" s="187" t="s">
        <v>74</v>
      </c>
      <c r="AH43" s="308">
        <f>X43</f>
        <v>20.74</v>
      </c>
      <c r="AI43" s="309">
        <f>E43</f>
        <v>19.655019213344737</v>
      </c>
      <c r="AJ43" s="198">
        <f>SUMPRODUCT(AJ40:AJ42,AJ34:AJ36)/AJ37</f>
        <v>55.851154597105086</v>
      </c>
      <c r="AK43" s="199">
        <f>SUMPRODUCT(AK40:AK42,AK34:AK36)/AK37</f>
        <v>18.645576333860962</v>
      </c>
      <c r="AL43" s="200">
        <f>SUMPRODUCT(AL40:AL42,AL34:AL36)/AL37</f>
        <v>20.878700517066314</v>
      </c>
      <c r="AM43" s="199">
        <f>SUMPRODUCT(AM40:AM42,AM34:AM36)/AM37</f>
        <v>18.645576333860962</v>
      </c>
    </row>
    <row r="44" spans="1:39" ht="15.75" thickBot="1" x14ac:dyDescent="0.3">
      <c r="A44" s="635"/>
      <c r="B44" s="188" t="s">
        <v>234</v>
      </c>
      <c r="C44" s="188" t="s">
        <v>25</v>
      </c>
      <c r="D44" s="224" t="s">
        <v>78</v>
      </c>
      <c r="E44" s="225" t="s">
        <v>78</v>
      </c>
      <c r="F44" s="224" t="s">
        <v>78</v>
      </c>
      <c r="G44" s="225" t="s">
        <v>78</v>
      </c>
      <c r="H44" s="226" t="s">
        <v>78</v>
      </c>
      <c r="I44" s="225" t="s">
        <v>78</v>
      </c>
      <c r="K44" s="635"/>
      <c r="L44" s="188" t="s">
        <v>234</v>
      </c>
      <c r="M44" s="188" t="s">
        <v>25</v>
      </c>
      <c r="N44" s="224">
        <f>N43/D43-1</f>
        <v>0</v>
      </c>
      <c r="O44" s="225">
        <f>O43/E43-1</f>
        <v>0</v>
      </c>
      <c r="P44" s="224">
        <f>P43/D43-1</f>
        <v>1.6929197009211707</v>
      </c>
      <c r="Q44" s="225">
        <f>Q43/E43-1</f>
        <v>-5.1358020489668088E-2</v>
      </c>
      <c r="R44" s="226">
        <f>R43/D43-1</f>
        <v>6.6875852008829728E-3</v>
      </c>
      <c r="S44" s="225">
        <f>S43/E43-1</f>
        <v>-5.1358020489668088E-2</v>
      </c>
      <c r="U44" s="635"/>
      <c r="V44" s="188" t="s">
        <v>234</v>
      </c>
      <c r="W44" s="188" t="s">
        <v>25</v>
      </c>
      <c r="X44" s="224">
        <f>X43/D43-1</f>
        <v>0</v>
      </c>
      <c r="Y44" s="225">
        <f>Y43/E43-1</f>
        <v>0</v>
      </c>
      <c r="Z44" s="224">
        <f>Z43/D43-1</f>
        <v>1.6929197009211712</v>
      </c>
      <c r="AA44" s="225">
        <f>AA43/E43-1</f>
        <v>-5.1358020489667866E-2</v>
      </c>
      <c r="AB44" s="226">
        <f>AB43/D43-1</f>
        <v>6.6875852008829728E-3</v>
      </c>
      <c r="AC44" s="225">
        <f>AC43/E43-1</f>
        <v>-5.1358020489667866E-2</v>
      </c>
      <c r="AE44" s="635"/>
      <c r="AF44" s="188" t="s">
        <v>234</v>
      </c>
      <c r="AG44" s="188" t="s">
        <v>25</v>
      </c>
      <c r="AH44" s="224">
        <f>AH43/D43-1</f>
        <v>0</v>
      </c>
      <c r="AI44" s="225">
        <f>AI43/E43-1</f>
        <v>0</v>
      </c>
      <c r="AJ44" s="224">
        <f>AJ43/D43-1</f>
        <v>1.6929197009211712</v>
      </c>
      <c r="AK44" s="225">
        <f>AK43/E43-1</f>
        <v>-5.1358020489667866E-2</v>
      </c>
      <c r="AL44" s="226">
        <f>AL43/D43-1</f>
        <v>6.6875852008829728E-3</v>
      </c>
      <c r="AM44" s="225">
        <f>AM43/E43-1</f>
        <v>-5.1358020489667866E-2</v>
      </c>
    </row>
    <row r="45" spans="1:39" x14ac:dyDescent="0.25">
      <c r="A45" s="26"/>
      <c r="B45" s="26"/>
      <c r="C45" s="26"/>
      <c r="D45" s="217"/>
      <c r="E45" s="217"/>
      <c r="F45" s="217"/>
      <c r="G45" s="217"/>
      <c r="H45" s="217"/>
      <c r="I45" s="217"/>
      <c r="K45" s="26"/>
      <c r="L45" s="26"/>
      <c r="M45" s="26"/>
      <c r="N45" s="217"/>
      <c r="O45" s="217"/>
      <c r="P45" s="217"/>
      <c r="Q45" s="217"/>
      <c r="R45" s="217"/>
      <c r="S45" s="217"/>
      <c r="U45" s="26"/>
      <c r="V45" s="26"/>
      <c r="W45" s="26"/>
      <c r="X45" s="217"/>
      <c r="Y45" s="217"/>
      <c r="Z45" s="217"/>
      <c r="AA45" s="217"/>
      <c r="AB45" s="217"/>
      <c r="AC45" s="217"/>
      <c r="AH45" s="217"/>
      <c r="AI45" s="217"/>
      <c r="AJ45" s="217"/>
      <c r="AK45" s="217"/>
      <c r="AL45" s="217"/>
      <c r="AM45" s="217"/>
    </row>
    <row r="46" spans="1:39" ht="15.75" thickBot="1" x14ac:dyDescent="0.3">
      <c r="A46" s="42" t="s">
        <v>86</v>
      </c>
      <c r="D46" s="78"/>
      <c r="E46" s="78"/>
      <c r="F46" s="78"/>
      <c r="G46" s="78"/>
      <c r="H46" s="78"/>
      <c r="I46" s="78"/>
      <c r="K46" s="42" t="s">
        <v>235</v>
      </c>
      <c r="N46" s="78"/>
      <c r="O46" s="78"/>
      <c r="P46" s="78"/>
      <c r="Q46" s="78"/>
      <c r="R46" s="78"/>
      <c r="S46" s="78"/>
      <c r="U46" s="42" t="s">
        <v>93</v>
      </c>
      <c r="X46" s="78"/>
      <c r="Y46" s="78"/>
      <c r="Z46" s="78"/>
      <c r="AA46" s="78"/>
      <c r="AB46" s="78"/>
      <c r="AC46" s="78"/>
      <c r="AE46" s="42" t="s">
        <v>159</v>
      </c>
      <c r="AF46" s="40"/>
      <c r="AG46" s="40"/>
      <c r="AH46" s="78"/>
      <c r="AI46" s="78"/>
      <c r="AJ46" s="78"/>
      <c r="AK46" s="78"/>
      <c r="AL46" s="78"/>
      <c r="AM46" s="78"/>
    </row>
    <row r="47" spans="1:39" x14ac:dyDescent="0.25">
      <c r="A47" s="633" t="s">
        <v>29</v>
      </c>
      <c r="B47" s="135" t="s">
        <v>32</v>
      </c>
      <c r="C47" s="190" t="s">
        <v>33</v>
      </c>
      <c r="D47" s="254">
        <f>Indata!D39</f>
        <v>11057699.999999998</v>
      </c>
      <c r="E47" s="255">
        <f>Indata!E39</f>
        <v>11648700</v>
      </c>
      <c r="F47" s="254">
        <f>Indata!F39</f>
        <v>11057699.999999998</v>
      </c>
      <c r="G47" s="256">
        <f>Indata!G39</f>
        <v>11648700</v>
      </c>
      <c r="H47" s="257">
        <f>Indata!H39</f>
        <v>11057699.999999998</v>
      </c>
      <c r="I47" s="256">
        <f>Indata!I39</f>
        <v>11648700</v>
      </c>
      <c r="K47" s="633" t="s">
        <v>29</v>
      </c>
      <c r="L47" s="135" t="s">
        <v>32</v>
      </c>
      <c r="M47" s="190" t="s">
        <v>33</v>
      </c>
      <c r="N47" s="254">
        <f>D47</f>
        <v>11057699.999999998</v>
      </c>
      <c r="O47" s="255">
        <f t="shared" ref="O47:S47" si="107">E47</f>
        <v>11648700</v>
      </c>
      <c r="P47" s="254">
        <f t="shared" si="107"/>
        <v>11057699.999999998</v>
      </c>
      <c r="Q47" s="256">
        <f t="shared" si="107"/>
        <v>11648700</v>
      </c>
      <c r="R47" s="257">
        <f t="shared" si="107"/>
        <v>11057699.999999998</v>
      </c>
      <c r="S47" s="256">
        <f t="shared" si="107"/>
        <v>11648700</v>
      </c>
      <c r="U47" s="633" t="s">
        <v>29</v>
      </c>
      <c r="V47" s="135" t="s">
        <v>32</v>
      </c>
      <c r="W47" s="190" t="s">
        <v>33</v>
      </c>
      <c r="X47" s="254">
        <f>N47</f>
        <v>11057699.999999998</v>
      </c>
      <c r="Y47" s="255">
        <f t="shared" ref="Y47:Y49" si="108">O47</f>
        <v>11648700</v>
      </c>
      <c r="Z47" s="254">
        <f t="shared" ref="Z47:Z49" si="109">P47</f>
        <v>11057699.999999998</v>
      </c>
      <c r="AA47" s="256">
        <f t="shared" ref="AA47:AA49" si="110">Q47</f>
        <v>11648700</v>
      </c>
      <c r="AB47" s="257">
        <f t="shared" ref="AB47:AB49" si="111">R47</f>
        <v>11057699.999999998</v>
      </c>
      <c r="AC47" s="256">
        <f t="shared" ref="AC47:AC49" si="112">S47</f>
        <v>11648700</v>
      </c>
      <c r="AE47" s="633" t="s">
        <v>29</v>
      </c>
      <c r="AF47" s="135" t="s">
        <v>32</v>
      </c>
      <c r="AG47" s="190" t="s">
        <v>33</v>
      </c>
      <c r="AH47" s="254">
        <f>X47</f>
        <v>11057699.999999998</v>
      </c>
      <c r="AI47" s="255">
        <f t="shared" ref="AI47:AI49" si="113">Y47</f>
        <v>11648700</v>
      </c>
      <c r="AJ47" s="254">
        <f t="shared" ref="AJ47:AJ49" si="114">Z47</f>
        <v>11057699.999999998</v>
      </c>
      <c r="AK47" s="256">
        <f t="shared" ref="AK47:AK49" si="115">AA47</f>
        <v>11648700</v>
      </c>
      <c r="AL47" s="257">
        <f t="shared" ref="AL47:AL49" si="116">AB47</f>
        <v>11057699.999999998</v>
      </c>
      <c r="AM47" s="256">
        <f t="shared" ref="AM47:AM49" si="117">AC47</f>
        <v>11648700</v>
      </c>
    </row>
    <row r="48" spans="1:39" x14ac:dyDescent="0.25">
      <c r="A48" s="634"/>
      <c r="B48" s="136" t="s">
        <v>29</v>
      </c>
      <c r="C48" s="191" t="s">
        <v>30</v>
      </c>
      <c r="D48" s="258">
        <f>Indata!D40</f>
        <v>0.52928701904391762</v>
      </c>
      <c r="E48" s="259">
        <f>Indata!E40</f>
        <v>0.52928701904391762</v>
      </c>
      <c r="F48" s="258">
        <f>Indata!F40</f>
        <v>0.52928701904391762</v>
      </c>
      <c r="G48" s="260">
        <f>Indata!G40</f>
        <v>0.52928701904391762</v>
      </c>
      <c r="H48" s="261">
        <f>Indata!H40</f>
        <v>0.52928701904391762</v>
      </c>
      <c r="I48" s="260">
        <f>Indata!I40</f>
        <v>0.52928701904391762</v>
      </c>
      <c r="K48" s="634"/>
      <c r="L48" s="136" t="s">
        <v>29</v>
      </c>
      <c r="M48" s="191" t="s">
        <v>30</v>
      </c>
      <c r="N48" s="258">
        <f>(1+'Indata - Effektsamband-Faktorer'!$D$7*N44)*'Modell - Lätta fordon'!D48</f>
        <v>0.52928701904391762</v>
      </c>
      <c r="O48" s="259">
        <f>(1+'Indata - Effektsamband-Faktorer'!$E$7*O44)*'Modell - Lätta fordon'!E48</f>
        <v>0.52928701904391762</v>
      </c>
      <c r="P48" s="258">
        <f>(1+'Indata - Effektsamband-Faktorer'!$D$7*P44)*'Modell - Lätta fordon'!F48</f>
        <v>0.43968297684578894</v>
      </c>
      <c r="Q48" s="260">
        <f>(1+'Indata - Effektsamband-Faktorer'!$E$7*Q44)*'Modell - Lätta fordon'!G48</f>
        <v>0.53200533240081493</v>
      </c>
      <c r="R48" s="261">
        <f>(1+'Indata - Effektsamband-Faktorer'!$D$7*R44)*'Modell - Lätta fordon'!H48</f>
        <v>0.52893305384035982</v>
      </c>
      <c r="S48" s="260">
        <f>(1+'Indata - Effektsamband-Faktorer'!$E$7*S44)*'Modell - Lätta fordon'!I48</f>
        <v>0.53200533240081493</v>
      </c>
      <c r="U48" s="634"/>
      <c r="V48" s="136" t="s">
        <v>29</v>
      </c>
      <c r="W48" s="191" t="s">
        <v>30</v>
      </c>
      <c r="X48" s="258">
        <f>N48</f>
        <v>0.52928701904391762</v>
      </c>
      <c r="Y48" s="259">
        <f t="shared" si="108"/>
        <v>0.52928701904391762</v>
      </c>
      <c r="Z48" s="258">
        <f t="shared" si="109"/>
        <v>0.43968297684578894</v>
      </c>
      <c r="AA48" s="260">
        <f t="shared" si="110"/>
        <v>0.53200533240081493</v>
      </c>
      <c r="AB48" s="261">
        <f t="shared" si="111"/>
        <v>0.52893305384035982</v>
      </c>
      <c r="AC48" s="260">
        <f t="shared" si="112"/>
        <v>0.53200533240081493</v>
      </c>
      <c r="AE48" s="634"/>
      <c r="AF48" s="136" t="s">
        <v>29</v>
      </c>
      <c r="AG48" s="191" t="s">
        <v>30</v>
      </c>
      <c r="AH48" s="258">
        <f>X48</f>
        <v>0.52928701904391762</v>
      </c>
      <c r="AI48" s="259">
        <f t="shared" si="113"/>
        <v>0.52928701904391762</v>
      </c>
      <c r="AJ48" s="258">
        <f t="shared" si="114"/>
        <v>0.43968297684578894</v>
      </c>
      <c r="AK48" s="260">
        <f t="shared" si="115"/>
        <v>0.53200533240081493</v>
      </c>
      <c r="AL48" s="261">
        <f t="shared" si="116"/>
        <v>0.52893305384035982</v>
      </c>
      <c r="AM48" s="260">
        <f t="shared" si="117"/>
        <v>0.53200533240081493</v>
      </c>
    </row>
    <row r="49" spans="1:39" x14ac:dyDescent="0.25">
      <c r="A49" s="634"/>
      <c r="B49" s="136" t="s">
        <v>34</v>
      </c>
      <c r="C49" s="191" t="s">
        <v>35</v>
      </c>
      <c r="D49" s="262">
        <f>D47*D48</f>
        <v>5852697.0704819271</v>
      </c>
      <c r="E49" s="263">
        <f>E47*E48</f>
        <v>6165505.6987368828</v>
      </c>
      <c r="F49" s="262">
        <f t="shared" ref="F49:I49" si="118">F47*F48</f>
        <v>5852697.0704819271</v>
      </c>
      <c r="G49" s="263">
        <f t="shared" si="118"/>
        <v>6165505.6987368828</v>
      </c>
      <c r="H49" s="264">
        <f t="shared" si="118"/>
        <v>5852697.0704819271</v>
      </c>
      <c r="I49" s="263">
        <f t="shared" si="118"/>
        <v>6165505.6987368828</v>
      </c>
      <c r="K49" s="634"/>
      <c r="L49" s="136" t="s">
        <v>34</v>
      </c>
      <c r="M49" s="191" t="s">
        <v>35</v>
      </c>
      <c r="N49" s="262">
        <f>N47*N48</f>
        <v>5852697.0704819271</v>
      </c>
      <c r="O49" s="263">
        <f>O47*O48</f>
        <v>6165505.6987368828</v>
      </c>
      <c r="P49" s="262">
        <f>P47*P48</f>
        <v>4861882.4530676799</v>
      </c>
      <c r="Q49" s="263">
        <f t="shared" ref="Q49" si="119">Q47*Q48</f>
        <v>6197170.5155373728</v>
      </c>
      <c r="R49" s="264">
        <f t="shared" ref="R49" si="120">R47*R48</f>
        <v>5848783.029450546</v>
      </c>
      <c r="S49" s="263">
        <f t="shared" ref="S49" si="121">S47*S48</f>
        <v>6197170.5155373728</v>
      </c>
      <c r="U49" s="634"/>
      <c r="V49" s="136" t="s">
        <v>34</v>
      </c>
      <c r="W49" s="191" t="s">
        <v>35</v>
      </c>
      <c r="X49" s="262">
        <f>N49</f>
        <v>5852697.0704819271</v>
      </c>
      <c r="Y49" s="263">
        <f t="shared" si="108"/>
        <v>6165505.6987368828</v>
      </c>
      <c r="Z49" s="262">
        <f t="shared" si="109"/>
        <v>4861882.4530676799</v>
      </c>
      <c r="AA49" s="263">
        <f t="shared" si="110"/>
        <v>6197170.5155373728</v>
      </c>
      <c r="AB49" s="264">
        <f t="shared" si="111"/>
        <v>5848783.029450546</v>
      </c>
      <c r="AC49" s="263">
        <f t="shared" si="112"/>
        <v>6197170.5155373728</v>
      </c>
      <c r="AE49" s="634"/>
      <c r="AF49" s="136" t="s">
        <v>34</v>
      </c>
      <c r="AG49" s="191" t="s">
        <v>35</v>
      </c>
      <c r="AH49" s="262">
        <f t="shared" ref="AH49" si="122">X49</f>
        <v>5852697.0704819271</v>
      </c>
      <c r="AI49" s="263">
        <f t="shared" si="113"/>
        <v>6165505.6987368828</v>
      </c>
      <c r="AJ49" s="262">
        <f t="shared" si="114"/>
        <v>4861882.4530676799</v>
      </c>
      <c r="AK49" s="263">
        <f t="shared" si="115"/>
        <v>6197170.5155373728</v>
      </c>
      <c r="AL49" s="264">
        <f t="shared" si="116"/>
        <v>5848783.029450546</v>
      </c>
      <c r="AM49" s="263">
        <f t="shared" si="117"/>
        <v>6197170.5155373728</v>
      </c>
    </row>
    <row r="50" spans="1:39" ht="15.75" thickBot="1" x14ac:dyDescent="0.3">
      <c r="A50" s="635"/>
      <c r="B50" s="188" t="s">
        <v>234</v>
      </c>
      <c r="C50" s="192" t="s">
        <v>25</v>
      </c>
      <c r="D50" s="224" t="s">
        <v>78</v>
      </c>
      <c r="E50" s="225" t="s">
        <v>78</v>
      </c>
      <c r="F50" s="224" t="s">
        <v>78</v>
      </c>
      <c r="G50" s="225" t="s">
        <v>78</v>
      </c>
      <c r="H50" s="226" t="s">
        <v>78</v>
      </c>
      <c r="I50" s="225" t="s">
        <v>78</v>
      </c>
      <c r="K50" s="635"/>
      <c r="L50" s="188" t="s">
        <v>234</v>
      </c>
      <c r="M50" s="192" t="s">
        <v>25</v>
      </c>
      <c r="N50" s="224">
        <f t="shared" ref="N50:O50" si="123">N49/D49-1</f>
        <v>0</v>
      </c>
      <c r="O50" s="225">
        <f t="shared" si="123"/>
        <v>0</v>
      </c>
      <c r="P50" s="421">
        <f>P49/D49-1</f>
        <v>-0.16929197009211705</v>
      </c>
      <c r="Q50" s="225">
        <f>Q49/E49-1</f>
        <v>5.1358020489669087E-3</v>
      </c>
      <c r="R50" s="226">
        <f>R49/D49-1</f>
        <v>-6.687585200884083E-4</v>
      </c>
      <c r="S50" s="225">
        <f>S49/E49-1</f>
        <v>5.1358020489669087E-3</v>
      </c>
      <c r="U50" s="635"/>
      <c r="V50" s="188" t="s">
        <v>234</v>
      </c>
      <c r="W50" s="192" t="s">
        <v>25</v>
      </c>
      <c r="X50" s="224">
        <f>X49/D49-1</f>
        <v>0</v>
      </c>
      <c r="Y50" s="225">
        <f t="shared" ref="Y50" si="124">Y49/E49-1</f>
        <v>0</v>
      </c>
      <c r="Z50" s="224">
        <f>Z49/D49-1</f>
        <v>-0.16929197009211705</v>
      </c>
      <c r="AA50" s="225">
        <f>AA49/E49-1</f>
        <v>5.1358020489669087E-3</v>
      </c>
      <c r="AB50" s="226">
        <f>AB49/D49-1</f>
        <v>-6.687585200884083E-4</v>
      </c>
      <c r="AC50" s="225">
        <f>AC49/E49-1</f>
        <v>5.1358020489669087E-3</v>
      </c>
      <c r="AE50" s="635"/>
      <c r="AF50" s="188" t="s">
        <v>234</v>
      </c>
      <c r="AG50" s="192" t="s">
        <v>25</v>
      </c>
      <c r="AH50" s="224">
        <f>AH49/D49-1</f>
        <v>0</v>
      </c>
      <c r="AI50" s="225">
        <f t="shared" ref="AI50" si="125">AI49/E49-1</f>
        <v>0</v>
      </c>
      <c r="AJ50" s="224">
        <f>AJ49/D49-1</f>
        <v>-0.16929197009211705</v>
      </c>
      <c r="AK50" s="225">
        <f>AK49/E49-1</f>
        <v>5.1358020489669087E-3</v>
      </c>
      <c r="AL50" s="226">
        <f>AL49/D49-1</f>
        <v>-6.687585200884083E-4</v>
      </c>
      <c r="AM50" s="225">
        <f>AM49/E49-1</f>
        <v>5.1358020489669087E-3</v>
      </c>
    </row>
    <row r="51" spans="1:39" x14ac:dyDescent="0.25">
      <c r="A51" s="26"/>
      <c r="B51" s="26"/>
      <c r="C51" s="26"/>
      <c r="D51" s="217"/>
      <c r="E51" s="217"/>
      <c r="F51" s="217"/>
      <c r="G51" s="217"/>
      <c r="H51" s="217"/>
      <c r="I51" s="217"/>
      <c r="K51" s="26"/>
      <c r="L51" s="26"/>
      <c r="M51" s="26"/>
      <c r="N51" s="217"/>
      <c r="O51" s="217"/>
      <c r="P51" s="217"/>
      <c r="Q51" s="217"/>
      <c r="R51" s="217"/>
      <c r="S51" s="217"/>
      <c r="U51" s="26"/>
      <c r="V51" s="26"/>
      <c r="W51" s="26"/>
      <c r="X51" s="217"/>
      <c r="Y51" s="217"/>
      <c r="Z51" s="217"/>
      <c r="AA51" s="217"/>
      <c r="AB51" s="217"/>
      <c r="AC51" s="217"/>
      <c r="AH51" s="217"/>
      <c r="AI51" s="217"/>
      <c r="AJ51" s="217"/>
      <c r="AK51" s="217"/>
      <c r="AL51" s="217"/>
      <c r="AM51" s="217"/>
    </row>
    <row r="52" spans="1:39" ht="15.75" thickBot="1" x14ac:dyDescent="0.3">
      <c r="D52" s="78"/>
      <c r="E52" s="78"/>
      <c r="F52" s="78"/>
      <c r="G52" s="78"/>
      <c r="H52" s="78"/>
      <c r="I52" s="78"/>
      <c r="N52" s="78"/>
      <c r="O52" s="78"/>
      <c r="P52" s="78"/>
      <c r="Q52" s="78"/>
      <c r="R52" s="78"/>
      <c r="S52" s="78"/>
      <c r="X52" s="78"/>
      <c r="Y52" s="78"/>
      <c r="Z52" s="78"/>
      <c r="AA52" s="78"/>
      <c r="AB52" s="78"/>
      <c r="AC52" s="78"/>
      <c r="AE52" s="402" t="s">
        <v>267</v>
      </c>
      <c r="AF52" s="403"/>
      <c r="AG52" s="40"/>
      <c r="AH52" s="40"/>
      <c r="AI52" s="40"/>
      <c r="AJ52" s="40"/>
      <c r="AK52" s="40"/>
      <c r="AL52" s="40"/>
      <c r="AM52" s="40"/>
    </row>
    <row r="53" spans="1:39" x14ac:dyDescent="0.25">
      <c r="D53" s="78"/>
      <c r="E53" s="78"/>
      <c r="F53" s="78"/>
      <c r="G53" s="78"/>
      <c r="H53" s="78"/>
      <c r="I53" s="78"/>
      <c r="N53" s="78"/>
      <c r="O53" s="78"/>
      <c r="P53" s="78"/>
      <c r="Q53" s="78"/>
      <c r="R53" s="78"/>
      <c r="S53" s="78"/>
      <c r="X53" s="78"/>
      <c r="Y53" s="78"/>
      <c r="Z53" s="78"/>
      <c r="AA53" s="78"/>
      <c r="AB53" s="78"/>
      <c r="AC53" s="78"/>
      <c r="AE53" s="630" t="s">
        <v>269</v>
      </c>
      <c r="AF53" s="135" t="s">
        <v>8</v>
      </c>
      <c r="AG53" s="135" t="s">
        <v>128</v>
      </c>
      <c r="AH53" s="440">
        <f>(1-Indata!D9-Indata!D10)*'Indata - Effektsamband-Faktorer'!$D10*'Modell - Lätta fordon'!AH13*'Modell - Lätta fordon'!AH34/10</f>
        <v>4.6391776505073166</v>
      </c>
      <c r="AI53" s="441">
        <f>(1-Indata!E9-Indata!E10)*'Indata - Effektsamband-Faktorer'!$E10*'Modell - Lätta fordon'!AI13*'Modell - Lätta fordon'!AI34/10</f>
        <v>3.3265011479785707</v>
      </c>
      <c r="AJ53" s="440">
        <f>(1-Indata!F9-Indata!F10)*'Indata - Effektsamband-Faktorer'!$D10*'Modell - Lätta fordon'!AJ13*'Modell - Lätta fordon'!AJ34/10</f>
        <v>1.2708814961303587</v>
      </c>
      <c r="AK53" s="441">
        <f>(1-Indata!G9-Indata!G10)*'Indata - Effektsamband-Faktorer'!$E10*'Modell - Lätta fordon'!AK13*'Modell - Lätta fordon'!AK34/10</f>
        <v>0.53520547663848339</v>
      </c>
      <c r="AL53" s="442">
        <f>(1-Indata!H9-Indata!H10)*'Indata - Effektsamband-Faktorer'!$D10*'Modell - Lätta fordon'!AL13*'Modell - Lätta fordon'!AL34/10</f>
        <v>1.8195647666930896</v>
      </c>
      <c r="AM53" s="441">
        <f>(1-Indata!I9-Indata!I10)*'Indata - Effektsamband-Faktorer'!$E10*'Modell - Lätta fordon'!AM13*'Modell - Lätta fordon'!AM34/10</f>
        <v>0.53520547663848339</v>
      </c>
    </row>
    <row r="54" spans="1:39" x14ac:dyDescent="0.25">
      <c r="D54" s="78"/>
      <c r="E54" s="78"/>
      <c r="F54" s="78"/>
      <c r="G54" s="78"/>
      <c r="H54" s="78"/>
      <c r="I54" s="78"/>
      <c r="N54" s="78"/>
      <c r="O54" s="78"/>
      <c r="P54" s="78"/>
      <c r="Q54" s="78"/>
      <c r="R54" s="78"/>
      <c r="S54" s="78"/>
      <c r="X54" s="78"/>
      <c r="Y54" s="78"/>
      <c r="Z54" s="78"/>
      <c r="AA54" s="78"/>
      <c r="AB54" s="78"/>
      <c r="AC54" s="78"/>
      <c r="AE54" s="631"/>
      <c r="AF54" s="136" t="s">
        <v>9</v>
      </c>
      <c r="AG54" s="136" t="s">
        <v>128</v>
      </c>
      <c r="AH54" s="443">
        <f>(1-Indata!D11-Indata!D12)*'Indata - Effektsamband-Faktorer'!$D11*'Modell - Lätta fordon'!AH14*'Modell - Lätta fordon'!AH35/10</f>
        <v>3.9200336184792413</v>
      </c>
      <c r="AI54" s="444">
        <f>(1-Indata!E11-Indata!E12)*'Indata - Effektsamband-Faktorer'!$E11*'Modell - Lätta fordon'!AI14*'Modell - Lätta fordon'!AI35/10</f>
        <v>2.6494858981234124</v>
      </c>
      <c r="AJ54" s="443">
        <f>(1-Indata!F11-Indata!F12)*'Indata - Effektsamband-Faktorer'!$D11*'Modell - Lätta fordon'!AJ14*'Modell - Lätta fordon'!AJ35/10</f>
        <v>2.3472546383260466</v>
      </c>
      <c r="AK54" s="444">
        <f>(1-Indata!G11-Indata!G12)*'Indata - Effektsamband-Faktorer'!$E11*'Modell - Lätta fordon'!AK14*'Modell - Lätta fordon'!AK35/10</f>
        <v>0.56903271316774617</v>
      </c>
      <c r="AL54" s="445">
        <f>(1-Indata!H11-Indata!H12)*'Indata - Effektsamband-Faktorer'!$D11*'Modell - Lätta fordon'!AL14*'Modell - Lätta fordon'!AL35/10</f>
        <v>2.244491404700375</v>
      </c>
      <c r="AM54" s="444">
        <f>(1-Indata!I11-Indata!I12)*'Indata - Effektsamband-Faktorer'!$E11*'Modell - Lätta fordon'!AM14*'Modell - Lätta fordon'!AM35/10</f>
        <v>0.56903271316774617</v>
      </c>
    </row>
    <row r="55" spans="1:39" x14ac:dyDescent="0.25">
      <c r="D55" s="78"/>
      <c r="E55" s="78"/>
      <c r="F55" s="78"/>
      <c r="G55" s="78"/>
      <c r="H55" s="78"/>
      <c r="I55" s="78"/>
      <c r="N55" s="78"/>
      <c r="O55" s="78"/>
      <c r="P55" s="78"/>
      <c r="Q55" s="78"/>
      <c r="R55" s="78"/>
      <c r="S55" s="78"/>
      <c r="X55" s="78"/>
      <c r="Y55" s="78"/>
      <c r="Z55" s="78"/>
      <c r="AA55" s="78"/>
      <c r="AB55" s="78"/>
      <c r="AC55" s="78"/>
      <c r="AE55" s="631"/>
      <c r="AF55" s="136" t="s">
        <v>7</v>
      </c>
      <c r="AG55" s="136" t="s">
        <v>128</v>
      </c>
      <c r="AH55" s="446">
        <f>'Indata - Effektsamband-Faktorer'!$D12*'Modell - Lätta fordon'!AH15*'Modell - Lätta fordon'!AH36/10</f>
        <v>0</v>
      </c>
      <c r="AI55" s="447">
        <f>'Indata - Effektsamband-Faktorer'!$E12*'Modell - Lätta fordon'!AI15*'Modell - Lätta fordon'!AI36/10</f>
        <v>0</v>
      </c>
      <c r="AJ55" s="446">
        <f>'Indata - Effektsamband-Faktorer'!$D12*'Modell - Lätta fordon'!AJ15*'Modell - Lätta fordon'!AJ36/10</f>
        <v>0</v>
      </c>
      <c r="AK55" s="447">
        <f>'Indata - Effektsamband-Faktorer'!$E12*'Modell - Lätta fordon'!AK15*'Modell - Lätta fordon'!AK36/10</f>
        <v>0</v>
      </c>
      <c r="AL55" s="448">
        <f>'Indata - Effektsamband-Faktorer'!$D12*'Modell - Lätta fordon'!AL15*'Modell - Lätta fordon'!AL36/10</f>
        <v>0</v>
      </c>
      <c r="AM55" s="447">
        <f>'Indata - Effektsamband-Faktorer'!$E12*'Modell - Lätta fordon'!AM15*'Modell - Lätta fordon'!AM36/10</f>
        <v>0</v>
      </c>
    </row>
    <row r="56" spans="1:39" ht="15.75" thickBot="1" x14ac:dyDescent="0.3">
      <c r="D56" s="78"/>
      <c r="E56" s="78"/>
      <c r="F56" s="78"/>
      <c r="G56" s="78"/>
      <c r="H56" s="78"/>
      <c r="I56" s="78"/>
      <c r="N56" s="78"/>
      <c r="O56" s="78"/>
      <c r="P56" s="78"/>
      <c r="Q56" s="78"/>
      <c r="R56" s="78"/>
      <c r="S56" s="78"/>
      <c r="X56" s="78"/>
      <c r="Y56" s="78"/>
      <c r="Z56" s="78"/>
      <c r="AA56" s="78"/>
      <c r="AB56" s="78"/>
      <c r="AC56" s="78"/>
      <c r="AE56" s="632"/>
      <c r="AF56" s="189" t="s">
        <v>16</v>
      </c>
      <c r="AG56" s="189" t="s">
        <v>128</v>
      </c>
      <c r="AH56" s="449">
        <f>SUM(AH53:AH55)</f>
        <v>8.5592112689865587</v>
      </c>
      <c r="AI56" s="450">
        <f t="shared" ref="AI56:AM56" si="126">SUM(AI53:AI55)</f>
        <v>5.9759870461019826</v>
      </c>
      <c r="AJ56" s="449">
        <f t="shared" si="126"/>
        <v>3.6181361344564054</v>
      </c>
      <c r="AK56" s="450">
        <f t="shared" si="126"/>
        <v>1.1042381898062295</v>
      </c>
      <c r="AL56" s="451">
        <f t="shared" si="126"/>
        <v>4.0640561713934646</v>
      </c>
      <c r="AM56" s="450">
        <f t="shared" si="126"/>
        <v>1.1042381898062295</v>
      </c>
    </row>
    <row r="57" spans="1:39" x14ac:dyDescent="0.25">
      <c r="D57" s="78"/>
      <c r="E57" s="78"/>
      <c r="F57" s="78"/>
      <c r="G57" s="78"/>
      <c r="H57" s="78"/>
      <c r="I57" s="78"/>
      <c r="N57" s="78"/>
      <c r="O57" s="78"/>
      <c r="P57" s="78"/>
      <c r="Q57" s="78"/>
      <c r="R57" s="78"/>
      <c r="S57" s="78"/>
      <c r="X57" s="78"/>
      <c r="Y57" s="78"/>
      <c r="Z57" s="78"/>
      <c r="AA57" s="78"/>
      <c r="AB57" s="78"/>
      <c r="AC57" s="78"/>
      <c r="AE57" s="630" t="s">
        <v>276</v>
      </c>
      <c r="AF57" s="135" t="s">
        <v>8</v>
      </c>
      <c r="AG57" s="135" t="s">
        <v>289</v>
      </c>
      <c r="AH57" s="440">
        <f>'Indata - Effektsamband-Faktorer'!$D13*'Modell - Lätta fordon'!AH34</f>
        <v>1.585801282945035</v>
      </c>
      <c r="AI57" s="441">
        <f>'Indata - Effektsamband-Faktorer'!$E13*'Modell - Lätta fordon'!AI34</f>
        <v>1.3330666785417182</v>
      </c>
      <c r="AJ57" s="440">
        <f>'Indata - Effektsamband-Faktorer'!$D13*'Modell - Lätta fordon'!AJ34</f>
        <v>0.78289211452179464</v>
      </c>
      <c r="AK57" s="441">
        <f>'Indata - Effektsamband-Faktorer'!$E13*'Modell - Lätta fordon'!AK34</f>
        <v>0.73660928566916106</v>
      </c>
      <c r="AL57" s="442">
        <f>'Indata - Effektsamband-Faktorer'!$D13*'Modell - Lätta fordon'!AL34</f>
        <v>1.4135877595530271</v>
      </c>
      <c r="AM57" s="441">
        <f>'Indata - Effektsamband-Faktorer'!$E13*'Modell - Lätta fordon'!AM34</f>
        <v>0.73660928566916106</v>
      </c>
    </row>
    <row r="58" spans="1:39" x14ac:dyDescent="0.25">
      <c r="D58" s="78"/>
      <c r="E58" s="78"/>
      <c r="F58" s="78"/>
      <c r="G58" s="78"/>
      <c r="H58" s="78"/>
      <c r="I58" s="78"/>
      <c r="N58" s="78"/>
      <c r="O58" s="78"/>
      <c r="P58" s="78"/>
      <c r="Q58" s="78"/>
      <c r="R58" s="78"/>
      <c r="S58" s="78"/>
      <c r="X58" s="78"/>
      <c r="Y58" s="78"/>
      <c r="Z58" s="78"/>
      <c r="AA58" s="78"/>
      <c r="AB58" s="78"/>
      <c r="AC58" s="78"/>
      <c r="AE58" s="631"/>
      <c r="AF58" s="136" t="s">
        <v>9</v>
      </c>
      <c r="AG58" s="136" t="s">
        <v>289</v>
      </c>
      <c r="AH58" s="443">
        <f>'Indata - Effektsamband-Faktorer'!$D14*'Modell - Lätta fordon'!AH35</f>
        <v>6.2828886517045541</v>
      </c>
      <c r="AI58" s="444">
        <f>'Indata - Effektsamband-Faktorer'!$E14*'Modell - Lätta fordon'!AI35</f>
        <v>3.1805785571597602</v>
      </c>
      <c r="AJ58" s="443">
        <f>'Indata - Effektsamband-Faktorer'!$D14*'Modell - Lätta fordon'!AJ35</f>
        <v>3.1017908957061033</v>
      </c>
      <c r="AK58" s="444">
        <f>'Indata - Effektsamband-Faktorer'!$E14*'Modell - Lätta fordon'!AK35</f>
        <v>1.5533285868636886</v>
      </c>
      <c r="AL58" s="445">
        <f>'Indata - Effektsamband-Faktorer'!$D14*'Modell - Lätta fordon'!AL35</f>
        <v>5.600584756868316</v>
      </c>
      <c r="AM58" s="444">
        <f>'Indata - Effektsamband-Faktorer'!$E14*'Modell - Lätta fordon'!AM35</f>
        <v>1.5533285868636886</v>
      </c>
    </row>
    <row r="59" spans="1:39" x14ac:dyDescent="0.25">
      <c r="D59" s="78"/>
      <c r="E59" s="78"/>
      <c r="F59" s="78"/>
      <c r="G59" s="78"/>
      <c r="H59" s="78"/>
      <c r="I59" s="78"/>
      <c r="N59" s="78"/>
      <c r="O59" s="78"/>
      <c r="P59" s="78"/>
      <c r="Q59" s="78"/>
      <c r="R59" s="78"/>
      <c r="S59" s="78"/>
      <c r="X59" s="78"/>
      <c r="Y59" s="78"/>
      <c r="Z59" s="78"/>
      <c r="AA59" s="78"/>
      <c r="AB59" s="78"/>
      <c r="AC59" s="78"/>
      <c r="AE59" s="631"/>
      <c r="AF59" s="136" t="s">
        <v>7</v>
      </c>
      <c r="AG59" s="136" t="s">
        <v>289</v>
      </c>
      <c r="AH59" s="446">
        <v>0</v>
      </c>
      <c r="AI59" s="447">
        <v>0</v>
      </c>
      <c r="AJ59" s="446">
        <v>0</v>
      </c>
      <c r="AK59" s="447">
        <v>0</v>
      </c>
      <c r="AL59" s="448">
        <v>0</v>
      </c>
      <c r="AM59" s="447">
        <v>0</v>
      </c>
    </row>
    <row r="60" spans="1:39" ht="15.75" thickBot="1" x14ac:dyDescent="0.3">
      <c r="D60" s="78"/>
      <c r="E60" s="78"/>
      <c r="F60" s="78"/>
      <c r="G60" s="78"/>
      <c r="H60" s="78"/>
      <c r="I60" s="78"/>
      <c r="N60" s="78"/>
      <c r="O60" s="78"/>
      <c r="P60" s="78"/>
      <c r="Q60" s="78"/>
      <c r="R60" s="78"/>
      <c r="S60" s="78"/>
      <c r="X60" s="78"/>
      <c r="Y60" s="78"/>
      <c r="Z60" s="78"/>
      <c r="AA60" s="78"/>
      <c r="AB60" s="78"/>
      <c r="AC60" s="78"/>
      <c r="AE60" s="632"/>
      <c r="AF60" s="189" t="s">
        <v>16</v>
      </c>
      <c r="AG60" s="189" t="s">
        <v>289</v>
      </c>
      <c r="AH60" s="454">
        <f>SUM(AH57:AH59)</f>
        <v>7.8686899346495895</v>
      </c>
      <c r="AI60" s="455">
        <f t="shared" ref="AI60:AM60" si="127">SUM(AI57:AI59)</f>
        <v>4.5136452357014782</v>
      </c>
      <c r="AJ60" s="454">
        <f t="shared" si="127"/>
        <v>3.884683010227898</v>
      </c>
      <c r="AK60" s="455">
        <f t="shared" si="127"/>
        <v>2.2899378725328496</v>
      </c>
      <c r="AL60" s="462">
        <f t="shared" si="127"/>
        <v>7.0141725164213433</v>
      </c>
      <c r="AM60" s="455">
        <f t="shared" si="127"/>
        <v>2.2899378725328496</v>
      </c>
    </row>
    <row r="61" spans="1:39" x14ac:dyDescent="0.25">
      <c r="D61" s="78"/>
      <c r="E61" s="78"/>
      <c r="F61" s="78"/>
      <c r="G61" s="78"/>
      <c r="H61" s="78"/>
      <c r="I61" s="78"/>
      <c r="N61" s="78"/>
      <c r="O61" s="78"/>
      <c r="P61" s="78"/>
      <c r="Q61" s="78"/>
      <c r="R61" s="78"/>
      <c r="S61" s="78"/>
      <c r="X61" s="78"/>
      <c r="Y61" s="78"/>
      <c r="Z61" s="78"/>
      <c r="AA61" s="78"/>
      <c r="AB61" s="78"/>
      <c r="AC61" s="78"/>
      <c r="AE61" s="630" t="s">
        <v>270</v>
      </c>
      <c r="AF61" s="135" t="s">
        <v>8</v>
      </c>
      <c r="AG61" s="135" t="s">
        <v>289</v>
      </c>
      <c r="AH61" s="452">
        <f>'Indata - Effektsamband-Faktorer'!$D16*'Modell - Lätta fordon'!AH34</f>
        <v>4.7710814112216261E-2</v>
      </c>
      <c r="AI61" s="459">
        <f>'Indata - Effektsamband-Faktorer'!$E16*'Modell - Lätta fordon'!AI34</f>
        <v>4.12695875281886E-2</v>
      </c>
      <c r="AJ61" s="452">
        <f>'Indata - Effektsamband-Faktorer'!$D16*'Modell - Lätta fordon'!AJ34</f>
        <v>2.3554288010475731E-2</v>
      </c>
      <c r="AK61" s="459">
        <f>'Indata - Effektsamband-Faktorer'!$E16*'Modell - Lätta fordon'!AK34</f>
        <v>2.2804231684985868E-2</v>
      </c>
      <c r="AL61" s="452">
        <f>'Indata - Effektsamband-Faktorer'!$D16*'Modell - Lätta fordon'!AL34</f>
        <v>4.2529554965479478E-2</v>
      </c>
      <c r="AM61" s="457">
        <f>'Indata - Effektsamband-Faktorer'!$E16*'Modell - Lätta fordon'!AM34</f>
        <v>2.2804231684985868E-2</v>
      </c>
    </row>
    <row r="62" spans="1:39" x14ac:dyDescent="0.25">
      <c r="D62" s="78"/>
      <c r="E62" s="78"/>
      <c r="F62" s="78"/>
      <c r="G62" s="78"/>
      <c r="H62" s="78"/>
      <c r="I62" s="78"/>
      <c r="N62" s="78"/>
      <c r="O62" s="78"/>
      <c r="P62" s="78"/>
      <c r="Q62" s="78"/>
      <c r="R62" s="78"/>
      <c r="S62" s="78"/>
      <c r="X62" s="78"/>
      <c r="Y62" s="78"/>
      <c r="Z62" s="78"/>
      <c r="AA62" s="78"/>
      <c r="AB62" s="78"/>
      <c r="AC62" s="78"/>
      <c r="AE62" s="631"/>
      <c r="AF62" s="136" t="s">
        <v>9</v>
      </c>
      <c r="AG62" s="136" t="s">
        <v>289</v>
      </c>
      <c r="AH62" s="446">
        <f>'Indata - Effektsamband-Faktorer'!$D17*'Modell - Lätta fordon'!AH35</f>
        <v>8.0984315551010599E-2</v>
      </c>
      <c r="AI62" s="460">
        <f>'Indata - Effektsamband-Faktorer'!$E17*'Modell - Lätta fordon'!AI35</f>
        <v>6.3141872544891467E-2</v>
      </c>
      <c r="AJ62" s="446">
        <f>'Indata - Effektsamband-Faktorer'!$D17*'Modell - Lätta fordon'!AJ35</f>
        <v>3.99810384357146E-2</v>
      </c>
      <c r="AK62" s="460">
        <f>'Indata - Effektsamband-Faktorer'!$E17*'Modell - Lätta fordon'!AK35</f>
        <v>3.0837180685663802E-2</v>
      </c>
      <c r="AL62" s="446">
        <f>'Indata - Effektsamband-Faktorer'!$D17*'Modell - Lätta fordon'!AL35</f>
        <v>7.2189648482366864E-2</v>
      </c>
      <c r="AM62" s="447">
        <f>'Indata - Effektsamband-Faktorer'!$E17*'Modell - Lätta fordon'!AM35</f>
        <v>3.0837180685663802E-2</v>
      </c>
    </row>
    <row r="63" spans="1:39" x14ac:dyDescent="0.25">
      <c r="D63" s="78"/>
      <c r="E63" s="78"/>
      <c r="F63" s="78"/>
      <c r="G63" s="78"/>
      <c r="H63" s="78"/>
      <c r="I63" s="78"/>
      <c r="N63" s="78"/>
      <c r="O63" s="78"/>
      <c r="P63" s="78"/>
      <c r="Q63" s="78"/>
      <c r="R63" s="78"/>
      <c r="S63" s="78"/>
      <c r="X63" s="78"/>
      <c r="Y63" s="78"/>
      <c r="Z63" s="78"/>
      <c r="AA63" s="78"/>
      <c r="AB63" s="78"/>
      <c r="AC63" s="78"/>
      <c r="AE63" s="631"/>
      <c r="AF63" s="136" t="s">
        <v>7</v>
      </c>
      <c r="AG63" s="136" t="s">
        <v>289</v>
      </c>
      <c r="AH63" s="446">
        <v>0</v>
      </c>
      <c r="AI63" s="460">
        <v>0</v>
      </c>
      <c r="AJ63" s="446">
        <v>0</v>
      </c>
      <c r="AK63" s="460">
        <v>0</v>
      </c>
      <c r="AL63" s="446">
        <v>0</v>
      </c>
      <c r="AM63" s="447">
        <v>0</v>
      </c>
    </row>
    <row r="64" spans="1:39" ht="15.75" thickBot="1" x14ac:dyDescent="0.3">
      <c r="D64" s="78"/>
      <c r="E64" s="78"/>
      <c r="F64" s="78"/>
      <c r="G64" s="78"/>
      <c r="H64" s="78"/>
      <c r="I64" s="78"/>
      <c r="N64" s="78"/>
      <c r="O64" s="78"/>
      <c r="P64" s="78"/>
      <c r="Q64" s="78"/>
      <c r="R64" s="78"/>
      <c r="S64" s="78"/>
      <c r="X64" s="78"/>
      <c r="Y64" s="78"/>
      <c r="Z64" s="78"/>
      <c r="AA64" s="78"/>
      <c r="AB64" s="78"/>
      <c r="AC64" s="78"/>
      <c r="AE64" s="632"/>
      <c r="AF64" s="189" t="s">
        <v>16</v>
      </c>
      <c r="AG64" s="189" t="s">
        <v>289</v>
      </c>
      <c r="AH64" s="453">
        <f>SUM(AH61:AH63)</f>
        <v>0.12869512966322685</v>
      </c>
      <c r="AI64" s="461">
        <f>SUM(AI61:AI63)</f>
        <v>0.10441146007308007</v>
      </c>
      <c r="AJ64" s="453">
        <f>SUM(AJ61:AJ63)</f>
        <v>6.3535326446190338E-2</v>
      </c>
      <c r="AK64" s="461">
        <f>SUM(AK61:AK63)</f>
        <v>5.364141237064967E-2</v>
      </c>
      <c r="AL64" s="453">
        <f t="shared" ref="AL64:AM64" si="128">SUM(AL61:AL63)</f>
        <v>0.11471920344784634</v>
      </c>
      <c r="AM64" s="458">
        <f t="shared" si="128"/>
        <v>5.364141237064967E-2</v>
      </c>
    </row>
    <row r="65" spans="4:39" ht="24.75" thickBot="1" x14ac:dyDescent="0.3">
      <c r="D65" s="78"/>
      <c r="E65" s="78"/>
      <c r="F65" s="78"/>
      <c r="G65" s="78"/>
      <c r="H65" s="78"/>
      <c r="I65" s="78"/>
      <c r="N65" s="78"/>
      <c r="O65" s="78"/>
      <c r="P65" s="78"/>
      <c r="Q65" s="78"/>
      <c r="R65" s="78"/>
      <c r="S65" s="78"/>
      <c r="X65" s="78"/>
      <c r="Y65" s="78"/>
      <c r="Z65" s="78"/>
      <c r="AA65" s="78"/>
      <c r="AB65" s="78"/>
      <c r="AC65" s="78"/>
      <c r="AE65" s="387" t="s">
        <v>271</v>
      </c>
      <c r="AF65" s="189" t="s">
        <v>16</v>
      </c>
      <c r="AG65" s="189" t="s">
        <v>289</v>
      </c>
      <c r="AH65" s="456">
        <f>'Indata - Effektsamband-Faktorer'!$D19*'Modell - Lätta fordon'!AH37</f>
        <v>17.65082970463035</v>
      </c>
      <c r="AI65" s="456">
        <f>'Indata - Effektsamband-Faktorer'!$D19*'Modell - Lätta fordon'!AI37</f>
        <v>20.052631858046887</v>
      </c>
      <c r="AJ65" s="456">
        <f>'Indata - Effektsamband-Faktorer'!$D19*'Modell - Lätta fordon'!AJ37</f>
        <v>9.6981359807077467</v>
      </c>
      <c r="AK65" s="456">
        <f>'Indata - Effektsamband-Faktorer'!$D19*'Modell - Lätta fordon'!AK37</f>
        <v>20.362648736390017</v>
      </c>
      <c r="AL65" s="456">
        <f>'Indata - Effektsamband-Faktorer'!$D19*'Modell - Lätta fordon'!AL37</f>
        <v>17.615433064617623</v>
      </c>
      <c r="AM65" s="456">
        <f>'Indata - Effektsamband-Faktorer'!$D19*'Modell - Lätta fordon'!AM37</f>
        <v>20.362648736390017</v>
      </c>
    </row>
    <row r="66" spans="4:39" x14ac:dyDescent="0.25">
      <c r="D66" s="78"/>
      <c r="E66" s="78"/>
      <c r="F66" s="78"/>
      <c r="G66" s="78"/>
      <c r="H66" s="78"/>
      <c r="I66" s="78"/>
      <c r="N66" s="78"/>
      <c r="O66" s="78"/>
      <c r="P66" s="78"/>
      <c r="Q66" s="78"/>
      <c r="R66" s="78"/>
      <c r="S66" s="78"/>
      <c r="X66" s="78"/>
      <c r="Y66" s="78"/>
      <c r="Z66" s="78"/>
      <c r="AA66" s="78"/>
      <c r="AB66" s="78"/>
      <c r="AC66" s="78"/>
    </row>
    <row r="67" spans="4:39" ht="15.75" thickBot="1" x14ac:dyDescent="0.3">
      <c r="D67" s="78"/>
      <c r="E67" s="78"/>
      <c r="F67" s="78"/>
      <c r="G67" s="78"/>
      <c r="H67" s="78"/>
      <c r="I67" s="78"/>
      <c r="N67" s="78"/>
      <c r="O67" s="78"/>
      <c r="P67" s="78"/>
      <c r="Q67" s="78"/>
      <c r="R67" s="78"/>
      <c r="S67" s="78"/>
      <c r="X67" s="78"/>
      <c r="Y67" s="78"/>
      <c r="Z67" s="78"/>
      <c r="AA67" s="78"/>
      <c r="AB67" s="78"/>
      <c r="AC67" s="78"/>
      <c r="AE67" s="42" t="s">
        <v>268</v>
      </c>
      <c r="AF67" s="40"/>
      <c r="AG67" s="40"/>
      <c r="AH67" s="40"/>
      <c r="AI67" s="40"/>
      <c r="AJ67" s="40"/>
      <c r="AK67" s="40"/>
      <c r="AL67" s="40"/>
      <c r="AM67" s="40"/>
    </row>
    <row r="68" spans="4:39" x14ac:dyDescent="0.25">
      <c r="D68" s="78"/>
      <c r="E68" s="78"/>
      <c r="F68" s="78"/>
      <c r="G68" s="78"/>
      <c r="H68" s="78"/>
      <c r="I68" s="78"/>
      <c r="N68" s="78"/>
      <c r="O68" s="78"/>
      <c r="P68" s="78"/>
      <c r="Q68" s="78"/>
      <c r="R68" s="78"/>
      <c r="S68" s="78"/>
      <c r="X68" s="78"/>
      <c r="Y68" s="78"/>
      <c r="Z68" s="78"/>
      <c r="AA68" s="78"/>
      <c r="AB68" s="78"/>
      <c r="AC68" s="78"/>
      <c r="AE68" s="630" t="s">
        <v>130</v>
      </c>
      <c r="AF68" s="135" t="s">
        <v>96</v>
      </c>
      <c r="AG68" s="190" t="s">
        <v>129</v>
      </c>
      <c r="AH68" s="245">
        <f>(1-Indata!D$9-Indata!D$10)*'Indata - Effektsamband-Faktorer'!$D21*'Modell - Lätta fordon'!AH$13*'Modell - Lätta fordon'!AH$34/10</f>
        <v>17.88835449983754</v>
      </c>
      <c r="AI68" s="246">
        <f>(1-Indata!E$9-Indata!E$10)*'Indata - Effektsamband-Faktorer'!$E21*'Modell - Lätta fordon'!AI$13*'Modell - Lätta fordon'!AI$34/10</f>
        <v>12.826762901103814</v>
      </c>
      <c r="AJ68" s="245">
        <f>(1-Indata!F$9-Indata!F$10)*'Indata - Effektsamband-Faktorer'!$D21*'Modell - Lätta fordon'!AJ$13*'Modell - Lätta fordon'!AJ$34/10</f>
        <v>4.9004328876212977</v>
      </c>
      <c r="AK68" s="246">
        <f>(1-Indata!G$9-Indata!G$10)*'Indata - Effektsamband-Faktorer'!$E21*'Modell - Lätta fordon'!AK$13*'Modell - Lätta fordon'!AK$34/10</f>
        <v>2.0637160328009312</v>
      </c>
      <c r="AL68" s="247">
        <f>(1-Indata!H$9-Indata!H$10)*'Indata - Effektsamband-Faktorer'!$D21*'Modell - Lätta fordon'!AL$13*'Modell - Lätta fordon'!AL$34/10</f>
        <v>7.0161183800453886</v>
      </c>
      <c r="AM68" s="246">
        <f>(1-Indata!I$9-Indata!I$10)*'Indata - Effektsamband-Faktorer'!$E21*'Modell - Lätta fordon'!AM$13*'Modell - Lätta fordon'!AM$34/10</f>
        <v>2.0637160328009312</v>
      </c>
    </row>
    <row r="69" spans="4:39" x14ac:dyDescent="0.25">
      <c r="D69" s="78"/>
      <c r="E69" s="78"/>
      <c r="F69" s="78"/>
      <c r="G69" s="78"/>
      <c r="H69" s="78"/>
      <c r="I69" s="78"/>
      <c r="N69" s="78"/>
      <c r="O69" s="78"/>
      <c r="P69" s="78"/>
      <c r="Q69" s="78"/>
      <c r="R69" s="78"/>
      <c r="S69" s="78"/>
      <c r="X69" s="78"/>
      <c r="Y69" s="78"/>
      <c r="Z69" s="78"/>
      <c r="AA69" s="78"/>
      <c r="AB69" s="78"/>
      <c r="AC69" s="78"/>
      <c r="AE69" s="631"/>
      <c r="AF69" s="136" t="s">
        <v>97</v>
      </c>
      <c r="AG69" s="191" t="s">
        <v>129</v>
      </c>
      <c r="AH69" s="248">
        <f>(1-Indata!D$11-Indata!D$12)*'Indata - Effektsamband-Faktorer'!$D22*'Modell - Lätta fordon'!AH$14*'Modell - Lätta fordon'!AH$35/10</f>
        <v>15.124539157912034</v>
      </c>
      <c r="AI69" s="249">
        <f>(1-Indata!E$11-Indata!E$12)*'Indata - Effektsamband-Faktorer'!$E22*'Modell - Lätta fordon'!AI$14*'Modell - Lätta fordon'!AI$35/10</f>
        <v>10.22242590614545</v>
      </c>
      <c r="AJ69" s="248">
        <f>(1-Indata!F$11-Indata!F$12)*'Indata - Effektsamband-Faktorer'!$D22*'Modell - Lätta fordon'!AJ$14*'Modell - Lätta fordon'!AJ$35/10</f>
        <v>9.0563367935414405</v>
      </c>
      <c r="AK69" s="249">
        <f>(1-Indata!G$11-Indata!G$12)*'Indata - Effektsamband-Faktorer'!$E22*'Modell - Lätta fordon'!AK$14*'Modell - Lätta fordon'!AK$35/10</f>
        <v>2.1954805468676821</v>
      </c>
      <c r="AL69" s="250">
        <f>(1-Indata!H$11-Indata!H$12)*'Indata - Effektsamband-Faktorer'!$D22*'Modell - Lätta fordon'!AL$14*'Modell - Lätta fordon'!AL$35/10</f>
        <v>8.6598487267967208</v>
      </c>
      <c r="AM69" s="249">
        <f>(1-Indata!I$11-Indata!I$12)*'Indata - Effektsamband-Faktorer'!$E22*'Modell - Lätta fordon'!AM$14*'Modell - Lätta fordon'!AM$35/10</f>
        <v>2.1954805468676821</v>
      </c>
    </row>
    <row r="70" spans="4:39" x14ac:dyDescent="0.25">
      <c r="D70" s="78"/>
      <c r="E70" s="78"/>
      <c r="F70" s="78"/>
      <c r="G70" s="78"/>
      <c r="H70" s="78"/>
      <c r="I70" s="78"/>
      <c r="N70" s="78"/>
      <c r="O70" s="78"/>
      <c r="P70" s="78"/>
      <c r="Q70" s="78"/>
      <c r="R70" s="78"/>
      <c r="S70" s="78"/>
      <c r="X70" s="78"/>
      <c r="Y70" s="78"/>
      <c r="Z70" s="78"/>
      <c r="AA70" s="78"/>
      <c r="AB70" s="78"/>
      <c r="AC70" s="78"/>
      <c r="AE70" s="631"/>
      <c r="AF70" s="136" t="s">
        <v>98</v>
      </c>
      <c r="AG70" s="191" t="s">
        <v>129</v>
      </c>
      <c r="AH70" s="248">
        <f>(Indata!D$9*'Indata - Effektsamband-Faktorer'!$D$23+Indata!D$10*'Indata - Effektsamband-Faktorer'!$D$24)*'Modell - Lätta fordon'!AH$13*'Modell - Lätta fordon'!AH$34/10</f>
        <v>0.93399843215664957</v>
      </c>
      <c r="AI70" s="249">
        <f>(Indata!E$9*'Indata - Effektsamband-Faktorer'!$E$23+Indata!E$10*'Indata - Effektsamband-Faktorer'!$E$24)*'Modell - Lätta fordon'!AI$13*'Modell - Lätta fordon'!AI$34/10</f>
        <v>0.66971931036948329</v>
      </c>
      <c r="AJ70" s="248">
        <f>(Indata!F$9*'Indata - Effektsamband-Faktorer'!$D$23+Indata!F$10*'Indata - Effektsamband-Faktorer'!$D$24)*'Modell - Lätta fordon'!AJ$13*'Modell - Lätta fordon'!AJ$34/10</f>
        <v>4.2220481076746967</v>
      </c>
      <c r="AK70" s="249">
        <f>(Indata!G$9*'Indata - Effektsamband-Faktorer'!$E$23+Indata!G$10*'Indata - Effektsamband-Faktorer'!$E$24)*'Modell - Lätta fordon'!AK$13*'Modell - Lätta fordon'!AK$34/10</f>
        <v>5.1800339632628685</v>
      </c>
      <c r="AL70" s="250">
        <f>(Indata!H$9*'Indata - Effektsamband-Faktorer'!$D$23+Indata!H$10*'Indata - Effektsamband-Faktorer'!$D$24)*'Modell - Lätta fordon'!AL$13*'Modell - Lätta fordon'!AL$34/10</f>
        <v>9.3580840274612367</v>
      </c>
      <c r="AM70" s="249">
        <f>(Indata!I$9*'Indata - Effektsamband-Faktorer'!$E$23+Indata!I$10*'Indata - Effektsamband-Faktorer'!$E$24)*'Modell - Lätta fordon'!AM$13*'Modell - Lätta fordon'!AM$34/10</f>
        <v>5.1800339632628685</v>
      </c>
    </row>
    <row r="71" spans="4:39" x14ac:dyDescent="0.25">
      <c r="D71" s="78"/>
      <c r="E71" s="78"/>
      <c r="F71" s="78"/>
      <c r="G71" s="78"/>
      <c r="H71" s="78"/>
      <c r="I71" s="78"/>
      <c r="N71" s="78"/>
      <c r="O71" s="78"/>
      <c r="P71" s="78"/>
      <c r="Q71" s="78"/>
      <c r="R71" s="78"/>
      <c r="S71" s="78"/>
      <c r="X71" s="78"/>
      <c r="Y71" s="78"/>
      <c r="Z71" s="78"/>
      <c r="AA71" s="78"/>
      <c r="AB71" s="78"/>
      <c r="AC71" s="78"/>
      <c r="AE71" s="631"/>
      <c r="AF71" s="136" t="s">
        <v>100</v>
      </c>
      <c r="AG71" s="191" t="s">
        <v>129</v>
      </c>
      <c r="AH71" s="248">
        <f>(Indata!D$11*'Indata - Effektsamband-Faktorer'!$D$25+Indata!D$12*'Indata - Effektsamband-Faktorer'!$D$26)*'Modell - Lätta fordon'!AH$14*'Modell - Lätta fordon'!AH$35/10</f>
        <v>6.8130783460588429</v>
      </c>
      <c r="AI71" s="249">
        <f>(Indata!E$11*'Indata - Effektsamband-Faktorer'!$E$25+Indata!E$12*'Indata - Effektsamband-Faktorer'!$E$26)*'Modell - Lätta fordon'!AI$14*'Modell - Lätta fordon'!AI$35/10</f>
        <v>4.6048469879438816</v>
      </c>
      <c r="AJ71" s="248">
        <f>(Indata!F$11*'Indata - Effektsamband-Faktorer'!$D$25+Indata!F$12*'Indata - Effektsamband-Faktorer'!$D$26)*'Modell - Lätta fordon'!AJ$14*'Modell - Lätta fordon'!AJ$35/10</f>
        <v>1.7997018200208916</v>
      </c>
      <c r="AK71" s="249">
        <f>(Indata!G$11*'Indata - Effektsamband-Faktorer'!$E$25+Indata!G$12*'Indata - Effektsamband-Faktorer'!$E$26)*'Modell - Lätta fordon'!AK$14*'Modell - Lätta fordon'!AK$35/10</f>
        <v>4.8738985669147805</v>
      </c>
      <c r="AL71" s="250">
        <f>(Indata!H$11*'Indata - Effektsamband-Faktorer'!$D$25+Indata!H$12*'Indata - Effektsamband-Faktorer'!$D$26)*'Modell - Lätta fordon'!AL$14*'Modell - Lätta fordon'!AL$35/10</f>
        <v>10.578792478757361</v>
      </c>
      <c r="AM71" s="249">
        <f>(Indata!I$11*'Indata - Effektsamband-Faktorer'!$E$25+Indata!I$12*'Indata - Effektsamband-Faktorer'!$E$26)*'Modell - Lätta fordon'!AM$14*'Modell - Lätta fordon'!AM$35/10</f>
        <v>4.8738985669147805</v>
      </c>
    </row>
    <row r="72" spans="4:39" x14ac:dyDescent="0.25">
      <c r="AE72" s="631"/>
      <c r="AF72" s="136" t="s">
        <v>7</v>
      </c>
      <c r="AG72" s="191" t="s">
        <v>129</v>
      </c>
      <c r="AH72" s="248">
        <f t="shared" ref="AH72:AM72" si="129">AH15*AH36/10</f>
        <v>2.5655480975680214</v>
      </c>
      <c r="AI72" s="249">
        <f t="shared" si="129"/>
        <v>6.1531500856416885</v>
      </c>
      <c r="AJ72" s="248">
        <f t="shared" si="129"/>
        <v>2.0612600962231111</v>
      </c>
      <c r="AK72" s="249">
        <f t="shared" si="129"/>
        <v>11.21889070800702</v>
      </c>
      <c r="AL72" s="250">
        <f t="shared" si="129"/>
        <v>3.8061943374465654</v>
      </c>
      <c r="AM72" s="249">
        <f t="shared" si="129"/>
        <v>11.21889070800702</v>
      </c>
    </row>
    <row r="73" spans="4:39" x14ac:dyDescent="0.25">
      <c r="AE73" s="631"/>
      <c r="AF73" s="187" t="s">
        <v>131</v>
      </c>
      <c r="AG73" s="268" t="s">
        <v>129</v>
      </c>
      <c r="AH73" s="218">
        <f>SUM(AH68:AH69)</f>
        <v>33.012893657749572</v>
      </c>
      <c r="AI73" s="219">
        <f t="shared" ref="AI73:AM73" si="130">SUM(AI68:AI69)</f>
        <v>23.049188807249266</v>
      </c>
      <c r="AJ73" s="218">
        <f t="shared" si="130"/>
        <v>13.956769681162738</v>
      </c>
      <c r="AK73" s="219">
        <f t="shared" si="130"/>
        <v>4.2591965796686129</v>
      </c>
      <c r="AL73" s="220">
        <f t="shared" si="130"/>
        <v>15.675967106842108</v>
      </c>
      <c r="AM73" s="219">
        <f t="shared" si="130"/>
        <v>4.2591965796686129</v>
      </c>
    </row>
    <row r="74" spans="4:39" x14ac:dyDescent="0.25">
      <c r="AE74" s="631"/>
      <c r="AF74" s="187" t="s">
        <v>132</v>
      </c>
      <c r="AG74" s="268" t="s">
        <v>129</v>
      </c>
      <c r="AH74" s="218">
        <f>SUM(AH70:AH71)</f>
        <v>7.7470767782154928</v>
      </c>
      <c r="AI74" s="219">
        <f t="shared" ref="AI74:AM74" si="131">SUM(AI70:AI71)</f>
        <v>5.2745662983133652</v>
      </c>
      <c r="AJ74" s="218">
        <f t="shared" si="131"/>
        <v>6.0217499276955886</v>
      </c>
      <c r="AK74" s="219">
        <f t="shared" si="131"/>
        <v>10.053932530177649</v>
      </c>
      <c r="AL74" s="220">
        <f t="shared" si="131"/>
        <v>19.936876506218596</v>
      </c>
      <c r="AM74" s="219">
        <f t="shared" si="131"/>
        <v>10.053932530177649</v>
      </c>
    </row>
    <row r="75" spans="4:39" ht="15.75" thickBot="1" x14ac:dyDescent="0.3">
      <c r="AE75" s="632"/>
      <c r="AF75" s="189" t="s">
        <v>133</v>
      </c>
      <c r="AG75" s="269" t="s">
        <v>129</v>
      </c>
      <c r="AH75" s="221">
        <f>AH72</f>
        <v>2.5655480975680214</v>
      </c>
      <c r="AI75" s="222">
        <f t="shared" ref="AI75:AM75" si="132">AI72</f>
        <v>6.1531500856416885</v>
      </c>
      <c r="AJ75" s="221">
        <f t="shared" si="132"/>
        <v>2.0612600962231111</v>
      </c>
      <c r="AK75" s="222">
        <f t="shared" si="132"/>
        <v>11.21889070800702</v>
      </c>
      <c r="AL75" s="223">
        <f t="shared" si="132"/>
        <v>3.8061943374465654</v>
      </c>
      <c r="AM75" s="222">
        <f t="shared" si="132"/>
        <v>11.21889070800702</v>
      </c>
    </row>
    <row r="77" spans="4:39" ht="15.75" thickBot="1" x14ac:dyDescent="0.3">
      <c r="AE77" s="42" t="s">
        <v>275</v>
      </c>
      <c r="AF77" s="40"/>
      <c r="AG77" s="40"/>
      <c r="AH77" s="40"/>
      <c r="AI77" s="40"/>
      <c r="AJ77" s="40"/>
      <c r="AK77" s="40"/>
      <c r="AL77" s="40"/>
      <c r="AM77" s="40"/>
    </row>
    <row r="78" spans="4:39" ht="14.45" customHeight="1" x14ac:dyDescent="0.25">
      <c r="AE78" s="630" t="s">
        <v>236</v>
      </c>
      <c r="AF78" s="135" t="s">
        <v>96</v>
      </c>
      <c r="AG78" s="190" t="s">
        <v>136</v>
      </c>
      <c r="AH78" s="245">
        <f>(1-Indata!D$9-Indata!D$10)*'Modell - Drivmedelpriser'!E$18*'Modell - Lätta fordon'!AH$13*'Modell - Lätta fordon'!AH$34/10</f>
        <v>15.642669295510411</v>
      </c>
      <c r="AI78" s="246">
        <f>(1-Indata!E$9-Indata!E$10)*'Modell - Drivmedelpriser'!F$18*'Modell - Lätta fordon'!AI$13*'Modell - Lätta fordon'!AI$34/10</f>
        <v>13.672856496078424</v>
      </c>
      <c r="AJ78" s="245">
        <f>(1-Indata!F$9-Indata!F$10)*'Modell - Drivmedelpriser'!G$18*'Modell - Lätta fordon'!AJ$13*'Modell - Lätta fordon'!AJ$34/10</f>
        <v>4.2852376984478528</v>
      </c>
      <c r="AK78" s="246">
        <f>(1-Indata!G$9-Indata!G$10)*'Modell - Drivmedelpriser'!H$18*'Modell - Lätta fordon'!AK$13*'Modell - Lätta fordon'!AK$34/10</f>
        <v>2.1998452285038494</v>
      </c>
      <c r="AL78" s="247">
        <f>(1-Indata!H$9-Indata!H$10)*'Modell - Drivmedelpriser'!I$18*'Modell - Lätta fordon'!AL$13*'Modell - Lätta fordon'!AL$34/10</f>
        <v>6.1353222599763999</v>
      </c>
      <c r="AM78" s="246">
        <f>(1-Indata!I$9-Indata!I$10)*'Modell - Drivmedelpriser'!J$18*'Modell - Lätta fordon'!AM$13*'Modell - Lätta fordon'!AM$34/10</f>
        <v>2.1998452285038494</v>
      </c>
    </row>
    <row r="79" spans="4:39" x14ac:dyDescent="0.25">
      <c r="AE79" s="631"/>
      <c r="AF79" s="136" t="s">
        <v>97</v>
      </c>
      <c r="AG79" s="191" t="s">
        <v>136</v>
      </c>
      <c r="AH79" s="248">
        <f>(1-Indata!D$11-Indata!D$12)*'Modell - Drivmedelpriser'!E$37*'Modell - Lätta fordon'!AH$14*'Modell - Lätta fordon'!AH$35/10</f>
        <v>8.6927295174604975</v>
      </c>
      <c r="AI79" s="249">
        <f>(1-Indata!E$11-Indata!E$12)*'Modell - Drivmedelpriser'!F$37*'Modell - Lätta fordon'!AI$14*'Modell - Lätta fordon'!AI$35/10</f>
        <v>7.1619239440994846</v>
      </c>
      <c r="AJ79" s="248">
        <f>(1-Indata!F$11-Indata!F$12)*'Modell - Drivmedelpriser'!G$37*'Modell - Lätta fordon'!AJ$14*'Modell - Lätta fordon'!AJ$35/10</f>
        <v>5.2050700747532224</v>
      </c>
      <c r="AK79" s="249">
        <f>(1-Indata!G$11-Indata!G$12)*'Modell - Drivmedelpriser'!H$37*'Modell - Lätta fordon'!AK$14*'Modell - Lätta fordon'!AK$35/10</f>
        <v>1.5381735061501904</v>
      </c>
      <c r="AL79" s="250">
        <f>(1-Indata!H$11-Indata!H$12)*'Modell - Drivmedelpriser'!I$37*'Modell - Lätta fordon'!AL$14*'Modell - Lätta fordon'!AL$35/10</f>
        <v>4.9771911631957977</v>
      </c>
      <c r="AM79" s="249">
        <f>(1-Indata!I$11-Indata!I$12)*'Modell - Drivmedelpriser'!J$37*'Modell - Lätta fordon'!AM$14*'Modell - Lätta fordon'!AM$35/10</f>
        <v>1.5381735061501904</v>
      </c>
    </row>
    <row r="80" spans="4:39" x14ac:dyDescent="0.25">
      <c r="AE80" s="631"/>
      <c r="AF80" s="136" t="s">
        <v>98</v>
      </c>
      <c r="AG80" s="191" t="s">
        <v>136</v>
      </c>
      <c r="AH80" s="248">
        <f>(Indata!D$9+Indata!D$10)*'Modell - Drivmedelpriser'!E$18*'Modell - Lätta fordon'!AH$13*'Modell - Lätta fordon'!AH$34/10</f>
        <v>1.2683245374738168</v>
      </c>
      <c r="AI80" s="249">
        <f>(Indata!E$9+Indata!E$10)*'Modell - Drivmedelpriser'!F$18*'Modell - Lätta fordon'!AI$13*'Modell - Lätta fordon'!AI$34/10</f>
        <v>1.108609986168521</v>
      </c>
      <c r="AJ80" s="248">
        <f>(Indata!F$9+Indata!F$10)*'Modell - Drivmedelpriser'!G$18*'Modell - Lätta fordon'!AJ$13*'Modell - Lätta fordon'!AJ$34/10</f>
        <v>4.037661852047199</v>
      </c>
      <c r="AK80" s="249">
        <f>(Indata!G$9+Indata!G$10)*'Modell - Drivmedelpriser'!H$18*'Modell - Lätta fordon'!AK$13*'Modell - Lätta fordon'!AK$34/10</f>
        <v>5.8878210527603017</v>
      </c>
      <c r="AL80" s="250">
        <f>(Indata!H$9+Indata!H$10)*'Modell - Drivmedelpriser'!I$18*'Modell - Lätta fordon'!AL$13*'Modell - Lätta fordon'!AL$34/10</f>
        <v>8.828878374112378</v>
      </c>
      <c r="AM80" s="249">
        <f>(Indata!I$9+Indata!I$10)*'Modell - Drivmedelpriser'!J$18*'Modell - Lätta fordon'!AM$13*'Modell - Lätta fordon'!AM$34/10</f>
        <v>5.8878210527603017</v>
      </c>
    </row>
    <row r="81" spans="31:39" x14ac:dyDescent="0.25">
      <c r="AE81" s="631"/>
      <c r="AF81" s="136" t="s">
        <v>100</v>
      </c>
      <c r="AG81" s="191" t="s">
        <v>136</v>
      </c>
      <c r="AH81" s="248">
        <f>(Indata!D$11+Indata!D$12)*'Modell - Drivmedelpriser'!E$37*'Modell - Lätta fordon'!AH$14*'Modell - Lätta fordon'!AH$35/10</f>
        <v>4.0906962435108234</v>
      </c>
      <c r="AI81" s="249">
        <f>(Indata!E$11+Indata!E$12)*'Modell - Drivmedelpriser'!F$37*'Modell - Lätta fordon'!AI$14*'Modell - Lätta fordon'!AI$35/10</f>
        <v>3.370317150164464</v>
      </c>
      <c r="AJ81" s="248">
        <f>(Indata!F$11+Indata!F$12)*'Modell - Drivmedelpriser'!G$37*'Modell - Lätta fordon'!AJ$14*'Modell - Lätta fordon'!AJ$35/10</f>
        <v>1.0864092771140541</v>
      </c>
      <c r="AK81" s="249">
        <f>(Indata!G$11+Indata!G$12)*'Modell - Drivmedelpriser'!H$37*'Modell - Lätta fordon'!AK$14*'Modell - Lätta fordon'!AK$35/10</f>
        <v>3.5551162493140169</v>
      </c>
      <c r="AL81" s="250">
        <f>(Indata!H$11+Indata!H$12)*'Modell - Drivmedelpriser'!I$37*'Modell - Lätta fordon'!AL$14*'Modell - Lätta fordon'!AL$35/10</f>
        <v>6.3346069349764704</v>
      </c>
      <c r="AM81" s="249">
        <f>(Indata!I$11+Indata!I$12)*'Modell - Drivmedelpriser'!J$37*'Modell - Lätta fordon'!AM$14*'Modell - Lätta fordon'!AM$35/10</f>
        <v>3.5551162493140169</v>
      </c>
    </row>
    <row r="82" spans="31:39" x14ac:dyDescent="0.25">
      <c r="AE82" s="631"/>
      <c r="AF82" s="136" t="s">
        <v>7</v>
      </c>
      <c r="AG82" s="191" t="s">
        <v>136</v>
      </c>
      <c r="AH82" s="248">
        <f>'Modell - Drivmedelpriser'!E$69*'Modell - Lätta fordon'!AH$15*'Modell - Lätta fordon'!AH$36/10</f>
        <v>0.86356348964139595</v>
      </c>
      <c r="AI82" s="248">
        <f>'Modell - Drivmedelpriser'!F$69*'Modell - Lätta fordon'!AI$15*'Modell - Lätta fordon'!AI$36/10</f>
        <v>2.0711503188269917</v>
      </c>
      <c r="AJ82" s="248">
        <f>'Modell - Drivmedelpriser'!G$69*'Modell - Lätta fordon'!AJ$15*'Modell - Lätta fordon'!AJ$36/10</f>
        <v>0.69382014838869899</v>
      </c>
      <c r="AK82" s="248">
        <f>'Modell - Drivmedelpriser'!H$69*'Modell - Lätta fordon'!AK$15*'Modell - Lätta fordon'!AK$36/10</f>
        <v>3.7762786123151626</v>
      </c>
      <c r="AL82" s="248">
        <f>'Modell - Drivmedelpriser'!I$69*'Modell - Lätta fordon'!AL$15*'Modell - Lätta fordon'!AL$36/10</f>
        <v>1.2811650139845139</v>
      </c>
      <c r="AM82" s="248">
        <f>'Modell - Drivmedelpriser'!J$69*'Modell - Lätta fordon'!AM$15*'Modell - Lätta fordon'!AM$36/10</f>
        <v>3.7762786123151626</v>
      </c>
    </row>
    <row r="83" spans="31:39" x14ac:dyDescent="0.25">
      <c r="AE83" s="631"/>
      <c r="AF83" s="187" t="s">
        <v>131</v>
      </c>
      <c r="AG83" s="268" t="s">
        <v>136</v>
      </c>
      <c r="AH83" s="218">
        <f>SUM(AH78:AH79)</f>
        <v>24.335398812970908</v>
      </c>
      <c r="AI83" s="219">
        <f t="shared" ref="AI83:AM83" si="133">SUM(AI78:AI79)</f>
        <v>20.834780440177909</v>
      </c>
      <c r="AJ83" s="218">
        <f t="shared" si="133"/>
        <v>9.4903077732010743</v>
      </c>
      <c r="AK83" s="219">
        <f t="shared" si="133"/>
        <v>3.7380187346540401</v>
      </c>
      <c r="AL83" s="220">
        <f t="shared" si="133"/>
        <v>11.112513423172198</v>
      </c>
      <c r="AM83" s="219">
        <f t="shared" si="133"/>
        <v>3.7380187346540401</v>
      </c>
    </row>
    <row r="84" spans="31:39" x14ac:dyDescent="0.25">
      <c r="AE84" s="631"/>
      <c r="AF84" s="187" t="s">
        <v>132</v>
      </c>
      <c r="AG84" s="268" t="s">
        <v>136</v>
      </c>
      <c r="AH84" s="218">
        <f>SUM(AH80:AH81)</f>
        <v>5.3590207809846397</v>
      </c>
      <c r="AI84" s="219">
        <f t="shared" ref="AI84:AM84" si="134">SUM(AI80:AI81)</f>
        <v>4.4789271363329846</v>
      </c>
      <c r="AJ84" s="218">
        <f t="shared" si="134"/>
        <v>5.1240711291612531</v>
      </c>
      <c r="AK84" s="219">
        <f t="shared" si="134"/>
        <v>9.4429373020743181</v>
      </c>
      <c r="AL84" s="220">
        <f t="shared" si="134"/>
        <v>15.163485309088848</v>
      </c>
      <c r="AM84" s="219">
        <f t="shared" si="134"/>
        <v>9.4429373020743181</v>
      </c>
    </row>
    <row r="85" spans="31:39" ht="15.75" thickBot="1" x14ac:dyDescent="0.3">
      <c r="AE85" s="632"/>
      <c r="AF85" s="189" t="s">
        <v>133</v>
      </c>
      <c r="AG85" s="269" t="s">
        <v>136</v>
      </c>
      <c r="AH85" s="221">
        <f>AH82</f>
        <v>0.86356348964139595</v>
      </c>
      <c r="AI85" s="222">
        <f t="shared" ref="AI85:AM85" si="135">AI82</f>
        <v>2.0711503188269917</v>
      </c>
      <c r="AJ85" s="221">
        <f>AJ82</f>
        <v>0.69382014838869899</v>
      </c>
      <c r="AK85" s="222">
        <f t="shared" si="135"/>
        <v>3.7762786123151626</v>
      </c>
      <c r="AL85" s="223">
        <f t="shared" si="135"/>
        <v>1.2811650139845139</v>
      </c>
      <c r="AM85" s="222">
        <f t="shared" si="135"/>
        <v>3.7762786123151626</v>
      </c>
    </row>
    <row r="86" spans="31:39" ht="14.45" customHeight="1" x14ac:dyDescent="0.25">
      <c r="AE86" s="630" t="s">
        <v>202</v>
      </c>
      <c r="AF86" s="135" t="s">
        <v>8</v>
      </c>
      <c r="AG86" s="190" t="s">
        <v>136</v>
      </c>
      <c r="AH86" s="202">
        <f t="shared" ref="AH86:AM88" si="136">AH34/10*AH24</f>
        <v>0</v>
      </c>
      <c r="AI86" s="227">
        <f t="shared" si="136"/>
        <v>0</v>
      </c>
      <c r="AJ86" s="202">
        <f t="shared" si="136"/>
        <v>61.461635145431231</v>
      </c>
      <c r="AK86" s="203">
        <f t="shared" si="136"/>
        <v>0</v>
      </c>
      <c r="AL86" s="204">
        <f t="shared" si="136"/>
        <v>0</v>
      </c>
      <c r="AM86" s="203">
        <f t="shared" si="136"/>
        <v>0</v>
      </c>
    </row>
    <row r="87" spans="31:39" x14ac:dyDescent="0.25">
      <c r="AE87" s="631"/>
      <c r="AF87" s="136" t="s">
        <v>9</v>
      </c>
      <c r="AG87" s="191" t="s">
        <v>136</v>
      </c>
      <c r="AH87" s="205">
        <f t="shared" si="136"/>
        <v>0</v>
      </c>
      <c r="AI87" s="228">
        <f t="shared" si="136"/>
        <v>0</v>
      </c>
      <c r="AJ87" s="205">
        <f t="shared" si="136"/>
        <v>65.719212524768679</v>
      </c>
      <c r="AK87" s="206">
        <f t="shared" si="136"/>
        <v>0</v>
      </c>
      <c r="AL87" s="207">
        <f t="shared" si="136"/>
        <v>0</v>
      </c>
      <c r="AM87" s="206">
        <f t="shared" si="136"/>
        <v>0</v>
      </c>
    </row>
    <row r="88" spans="31:39" x14ac:dyDescent="0.25">
      <c r="AE88" s="631"/>
      <c r="AF88" s="136" t="s">
        <v>7</v>
      </c>
      <c r="AG88" s="191" t="s">
        <v>136</v>
      </c>
      <c r="AH88" s="205">
        <f t="shared" si="136"/>
        <v>0</v>
      </c>
      <c r="AI88" s="228">
        <f t="shared" si="136"/>
        <v>0</v>
      </c>
      <c r="AJ88" s="205">
        <f t="shared" si="136"/>
        <v>45.433882334892175</v>
      </c>
      <c r="AK88" s="206">
        <f t="shared" si="136"/>
        <v>0</v>
      </c>
      <c r="AL88" s="207">
        <f t="shared" si="136"/>
        <v>0</v>
      </c>
      <c r="AM88" s="206">
        <f t="shared" si="136"/>
        <v>0</v>
      </c>
    </row>
    <row r="89" spans="31:39" ht="15.75" thickBot="1" x14ac:dyDescent="0.3">
      <c r="AE89" s="632"/>
      <c r="AF89" s="189" t="s">
        <v>16</v>
      </c>
      <c r="AG89" s="269" t="s">
        <v>136</v>
      </c>
      <c r="AH89" s="208">
        <f>SUM(AH86:AH88)</f>
        <v>0</v>
      </c>
      <c r="AI89" s="209">
        <f t="shared" ref="AI89:AM89" si="137">SUM(AI86:AI88)</f>
        <v>0</v>
      </c>
      <c r="AJ89" s="208">
        <f t="shared" si="137"/>
        <v>172.6147300050921</v>
      </c>
      <c r="AK89" s="210">
        <f t="shared" si="137"/>
        <v>0</v>
      </c>
      <c r="AL89" s="211">
        <f t="shared" si="137"/>
        <v>0</v>
      </c>
      <c r="AM89" s="210">
        <f t="shared" si="137"/>
        <v>0</v>
      </c>
    </row>
    <row r="92" spans="31:39" x14ac:dyDescent="0.25">
      <c r="AF92" s="27"/>
    </row>
  </sheetData>
  <mergeCells count="58">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 ref="AH3:AI3"/>
    <mergeCell ref="AJ3:AK3"/>
    <mergeCell ref="AL3:AM3"/>
    <mergeCell ref="AE6:AE10"/>
    <mergeCell ref="AE13:AE15"/>
    <mergeCell ref="AF3:AG4"/>
    <mergeCell ref="Z3:AA3"/>
    <mergeCell ref="AB3:AC3"/>
    <mergeCell ref="U6:U10"/>
    <mergeCell ref="U13:U15"/>
    <mergeCell ref="N3:O3"/>
    <mergeCell ref="P3:Q3"/>
    <mergeCell ref="R3:S3"/>
    <mergeCell ref="A13:A15"/>
    <mergeCell ref="K47:K50"/>
    <mergeCell ref="H3:I3"/>
    <mergeCell ref="K6:K10"/>
    <mergeCell ref="A40:A44"/>
    <mergeCell ref="K40:K44"/>
    <mergeCell ref="A6:A10"/>
    <mergeCell ref="A47:A50"/>
    <mergeCell ref="A24:A26"/>
    <mergeCell ref="A29:A31"/>
    <mergeCell ref="K34:K37"/>
    <mergeCell ref="D3:E3"/>
    <mergeCell ref="F3:G3"/>
    <mergeCell ref="K24:K26"/>
    <mergeCell ref="K29:K31"/>
    <mergeCell ref="K13:K15"/>
    <mergeCell ref="AE57:AE60"/>
    <mergeCell ref="AE61:AE64"/>
    <mergeCell ref="A18:A21"/>
    <mergeCell ref="K18:K21"/>
    <mergeCell ref="A34:A37"/>
    <mergeCell ref="U18:U21"/>
    <mergeCell ref="U24:U26"/>
    <mergeCell ref="U29:U31"/>
    <mergeCell ref="U34:U37"/>
    <mergeCell ref="U40:U44"/>
    <mergeCell ref="U47:U50"/>
    <mergeCell ref="AE34:AE37"/>
    <mergeCell ref="AE40:AE44"/>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Beskrivning</vt:lpstr>
      <vt:lpstr>Indata</vt:lpstr>
      <vt:lpstr>Resultat</vt:lpstr>
      <vt:lpstr>Figurer utsläpp</vt:lpstr>
      <vt:lpstr>Indata - Utsläpp</vt:lpstr>
      <vt:lpstr>Indata - Fordon och Trafik</vt:lpstr>
      <vt:lpstr>Indata - Effektsamband-Faktorer</vt:lpstr>
      <vt:lpstr>Modell - Drivmedelpriser</vt:lpstr>
      <vt:lpstr>Modell - Lätta fordon</vt:lpstr>
      <vt:lpstr>Modell - Tunga fordon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2021-10-11T12:45:55Z</dcterms:modified>
</cp:coreProperties>
</file>