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mc:AlternateContent xmlns:mc="http://schemas.openxmlformats.org/markup-compatibility/2006">
    <mc:Choice Requires="x15">
      <x15ac:absPath xmlns:x15ac="http://schemas.microsoft.com/office/spreadsheetml/2010/11/ac" url="C:\Users\aengholm\MUST code repository\climate_scenarios_EMA\models\"/>
    </mc:Choice>
  </mc:AlternateContent>
  <bookViews>
    <workbookView xWindow="0" yWindow="-120" windowWidth="28800" windowHeight="11805" firstSheet="5" activeTab="11"/>
  </bookViews>
  <sheets>
    <sheet name="Beskrivning" sheetId="19" r:id="rId1"/>
    <sheet name="Indata" sheetId="14" r:id="rId2"/>
    <sheet name="Förarlösa lastbilar antaganden" sheetId="33" r:id="rId3"/>
    <sheet name="Förarlösa lastbilar - beräkning" sheetId="34" r:id="rId4"/>
    <sheet name="Modell - Lätta fordon" sheetId="7" r:id="rId5"/>
    <sheet name="Modell - Tunga fordon" sheetId="16" r:id="rId6"/>
    <sheet name="Resultat" sheetId="17" r:id="rId7"/>
    <sheet name="Figurer utsläpp" sheetId="25" r:id="rId8"/>
    <sheet name="Beräkningar konsumentöverskott" sheetId="26" r:id="rId9"/>
    <sheet name="Indata - Utsläpp" sheetId="18" r:id="rId10"/>
    <sheet name="Indata - Fordon och Trafik" sheetId="15" r:id="rId11"/>
    <sheet name="EMA" sheetId="27" r:id="rId12"/>
    <sheet name="Indata - Effektsamband-Faktorer" sheetId="21" r:id="rId13"/>
    <sheet name="Modell - Drivmedelpriser" sheetId="13" r:id="rId14"/>
    <sheet name="Modell - Tunga fordon AV" sheetId="29" r:id="rId15"/>
  </sheets>
  <externalReferences>
    <externalReference r:id="rId16"/>
    <externalReference r:id="rId17"/>
  </externalReferences>
  <definedNames>
    <definedName name="a_Check_Details_Subsegm_Buses_HOT" localSheetId="5">#REF!</definedName>
    <definedName name="a_Check_Details_Subsegm_Buses_HOT">#REF!</definedName>
    <definedName name="a_Check_Details_Subsegm_HDV_HOT" localSheetId="5">#REF!</definedName>
    <definedName name="a_Check_Details_Subsegm_HDV_HOT">#REF!</definedName>
    <definedName name="a_Check_Details_Subsegm_LDV_COLD" localSheetId="5">#REF!</definedName>
    <definedName name="a_Check_Details_Subsegm_LDV_COLD">#REF!</definedName>
    <definedName name="a_Check_Details_Subsegm_MC_HOT" localSheetId="5">#REF!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5">'[2]0.12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9" i="27" l="1"/>
  <c r="B59" i="27"/>
  <c r="B58" i="27"/>
  <c r="D82" i="14" l="1"/>
  <c r="D81" i="14"/>
  <c r="D80" i="14"/>
  <c r="D79" i="14"/>
  <c r="E80" i="14"/>
  <c r="E81" i="14"/>
  <c r="E82" i="14"/>
  <c r="E79" i="14"/>
  <c r="J10" i="29"/>
  <c r="J11" i="29"/>
  <c r="J12" i="29"/>
  <c r="J9" i="29"/>
  <c r="G12" i="14" l="1"/>
  <c r="G11" i="14"/>
  <c r="G10" i="14"/>
  <c r="G9" i="14"/>
  <c r="E5" i="21" l="1"/>
  <c r="D5" i="21"/>
  <c r="E37" i="14" l="1"/>
  <c r="F74" i="14" l="1"/>
  <c r="F75" i="14"/>
  <c r="F76" i="14"/>
  <c r="F77" i="14"/>
  <c r="G75" i="14"/>
  <c r="G76" i="14"/>
  <c r="G77" i="14"/>
  <c r="G74" i="14"/>
  <c r="G52" i="7" l="1"/>
  <c r="G81" i="14" s="1"/>
  <c r="G50" i="7"/>
  <c r="I77" i="14"/>
  <c r="I76" i="14"/>
  <c r="I75" i="14"/>
  <c r="H77" i="14"/>
  <c r="H76" i="14"/>
  <c r="I74" i="14"/>
  <c r="H74" i="14"/>
  <c r="H75" i="14"/>
  <c r="C26" i="27" l="1"/>
  <c r="N41" i="16"/>
  <c r="I59" i="14" l="1"/>
  <c r="I58" i="14"/>
  <c r="H59" i="14"/>
  <c r="H58" i="14"/>
  <c r="G59" i="14"/>
  <c r="F59" i="14"/>
  <c r="G58" i="14"/>
  <c r="F58" i="14"/>
  <c r="D36" i="16"/>
  <c r="N36" i="16" s="1"/>
  <c r="N34" i="7"/>
  <c r="J30" i="13"/>
  <c r="I30" i="13"/>
  <c r="G30" i="13"/>
  <c r="F30" i="13"/>
  <c r="E30" i="13"/>
  <c r="J49" i="13"/>
  <c r="I49" i="13"/>
  <c r="E49" i="13"/>
  <c r="F49" i="13"/>
  <c r="G49" i="13"/>
  <c r="N21" i="16"/>
  <c r="E10" i="21"/>
  <c r="D10" i="21"/>
  <c r="O24" i="16" l="1"/>
  <c r="O23" i="16"/>
  <c r="O25" i="16"/>
  <c r="O26" i="16"/>
  <c r="F73" i="14"/>
  <c r="N59" i="16"/>
  <c r="N60" i="16"/>
  <c r="N61" i="16"/>
  <c r="N58" i="16"/>
  <c r="N53" i="16"/>
  <c r="N18" i="16"/>
  <c r="N19" i="16"/>
  <c r="N16" i="16"/>
  <c r="D4" i="34"/>
  <c r="D5" i="34" s="1"/>
  <c r="N54" i="16" s="1"/>
  <c r="D3" i="34"/>
  <c r="E3" i="34"/>
  <c r="F3" i="34"/>
  <c r="H3" i="34"/>
  <c r="E4" i="34"/>
  <c r="F4" i="34"/>
  <c r="F5" i="34" s="1"/>
  <c r="I73" i="14"/>
  <c r="I4" i="34" s="1"/>
  <c r="H73" i="14"/>
  <c r="H4" i="34" s="1"/>
  <c r="G73" i="14"/>
  <c r="G4" i="34" s="1"/>
  <c r="I72" i="14"/>
  <c r="H72" i="14"/>
  <c r="F72" i="14"/>
  <c r="G72" i="14"/>
  <c r="I71" i="14"/>
  <c r="H71" i="14"/>
  <c r="F71" i="14"/>
  <c r="G71" i="14"/>
  <c r="N17" i="16" l="1"/>
  <c r="N55" i="16"/>
  <c r="N56" i="16"/>
  <c r="G70" i="14" l="1"/>
  <c r="G3" i="34" s="1"/>
  <c r="E5" i="34" l="1"/>
  <c r="G5" i="34"/>
  <c r="J50" i="13"/>
  <c r="I50" i="13"/>
  <c r="H50" i="13"/>
  <c r="G50" i="13"/>
  <c r="G31" i="13"/>
  <c r="I31" i="13"/>
  <c r="J31" i="13"/>
  <c r="H31" i="13"/>
  <c r="J12" i="13"/>
  <c r="I12" i="13"/>
  <c r="G12" i="13"/>
  <c r="H12" i="13"/>
  <c r="O59" i="16" l="1"/>
  <c r="O61" i="16"/>
  <c r="O16" i="16"/>
  <c r="O58" i="16"/>
  <c r="O17" i="16"/>
  <c r="O54" i="16"/>
  <c r="O56" i="16"/>
  <c r="O19" i="16"/>
  <c r="O18" i="16"/>
  <c r="O60" i="16"/>
  <c r="O53" i="16"/>
  <c r="O55" i="16"/>
  <c r="Q60" i="16"/>
  <c r="Q55" i="16"/>
  <c r="Q59" i="16"/>
  <c r="Q58" i="16"/>
  <c r="Q54" i="16"/>
  <c r="Q53" i="16"/>
  <c r="Q61" i="16"/>
  <c r="Q56" i="16"/>
  <c r="AA56" i="16" s="1"/>
  <c r="D52" i="7"/>
  <c r="E52" i="7"/>
  <c r="E9" i="21" l="1"/>
  <c r="I70" i="14" l="1"/>
  <c r="I3" i="34" s="1"/>
  <c r="I5" i="34" l="1"/>
  <c r="S61" i="16" l="1"/>
  <c r="S56" i="16"/>
  <c r="S17" i="16"/>
  <c r="S60" i="16"/>
  <c r="S55" i="16"/>
  <c r="S19" i="16"/>
  <c r="S54" i="16"/>
  <c r="S59" i="16"/>
  <c r="S16" i="16"/>
  <c r="S58" i="16"/>
  <c r="S53" i="16"/>
  <c r="S18" i="16"/>
  <c r="H52" i="7"/>
  <c r="I52" i="7"/>
  <c r="F52" i="7"/>
  <c r="F70" i="14" l="1"/>
  <c r="H70" i="14"/>
  <c r="G17" i="14" l="1"/>
  <c r="F17" i="14"/>
  <c r="D9" i="21"/>
  <c r="E55" i="14"/>
  <c r="E56" i="14"/>
  <c r="E57" i="14"/>
  <c r="E54" i="14"/>
  <c r="D54" i="14"/>
  <c r="D55" i="14"/>
  <c r="D56" i="14"/>
  <c r="D57" i="14"/>
  <c r="D50" i="14"/>
  <c r="H3" i="29"/>
  <c r="M3" i="29" s="1"/>
  <c r="M4" i="29" s="1"/>
  <c r="M5" i="29" s="1"/>
  <c r="J2" i="29"/>
  <c r="K2" i="29"/>
  <c r="L2" i="29"/>
  <c r="M2" i="29"/>
  <c r="N2" i="29"/>
  <c r="I2" i="29"/>
  <c r="D58" i="16" l="1"/>
  <c r="E58" i="16" s="1"/>
  <c r="X53" i="16"/>
  <c r="AH53" i="16" s="1"/>
  <c r="X58" i="16"/>
  <c r="AH58" i="16" s="1"/>
  <c r="D60" i="16"/>
  <c r="H60" i="16" s="1"/>
  <c r="X60" i="16"/>
  <c r="AH60" i="16" s="1"/>
  <c r="X55" i="16"/>
  <c r="AH55" i="16" s="1"/>
  <c r="H5" i="34"/>
  <c r="G56" i="14"/>
  <c r="I56" i="14" s="1"/>
  <c r="Y55" i="16"/>
  <c r="AI55" i="16" s="1"/>
  <c r="Y60" i="16"/>
  <c r="AI60" i="16" s="1"/>
  <c r="G55" i="14"/>
  <c r="Y54" i="16"/>
  <c r="AI54" i="16" s="1"/>
  <c r="Y59" i="16"/>
  <c r="AI59" i="16" s="1"/>
  <c r="D59" i="16"/>
  <c r="H59" i="16" s="1"/>
  <c r="X54" i="16"/>
  <c r="AH54" i="16" s="1"/>
  <c r="X59" i="16"/>
  <c r="AH59" i="16" s="1"/>
  <c r="Y58" i="16"/>
  <c r="AI58" i="16" s="1"/>
  <c r="Y53" i="16"/>
  <c r="AI53" i="16" s="1"/>
  <c r="G57" i="14"/>
  <c r="I57" i="14" s="1"/>
  <c r="Y56" i="16"/>
  <c r="AI56" i="16" s="1"/>
  <c r="Y61" i="16"/>
  <c r="AI61" i="16" s="1"/>
  <c r="D61" i="16"/>
  <c r="H61" i="16" s="1"/>
  <c r="X56" i="16"/>
  <c r="AH56" i="16" s="1"/>
  <c r="X61" i="16"/>
  <c r="AH61" i="16" s="1"/>
  <c r="F57" i="14"/>
  <c r="G58" i="16"/>
  <c r="I60" i="16"/>
  <c r="L3" i="29"/>
  <c r="L4" i="29" s="1"/>
  <c r="L5" i="29" s="1"/>
  <c r="K3" i="29"/>
  <c r="K4" i="29" s="1"/>
  <c r="K5" i="29" s="1"/>
  <c r="F54" i="14"/>
  <c r="D56" i="16"/>
  <c r="F56" i="16" s="1"/>
  <c r="J3" i="29"/>
  <c r="J4" i="29" s="1"/>
  <c r="J5" i="29" s="1"/>
  <c r="D55" i="16"/>
  <c r="F55" i="14"/>
  <c r="D54" i="16"/>
  <c r="G54" i="16" s="1"/>
  <c r="G54" i="14"/>
  <c r="I3" i="29"/>
  <c r="I4" i="29" s="1"/>
  <c r="I5" i="29" s="1"/>
  <c r="N3" i="29"/>
  <c r="N4" i="29" s="1"/>
  <c r="N5" i="29" s="1"/>
  <c r="D53" i="16"/>
  <c r="F53" i="16" s="1"/>
  <c r="F56" i="14"/>
  <c r="I61" i="16"/>
  <c r="I58" i="16"/>
  <c r="G53" i="16"/>
  <c r="E59" i="29"/>
  <c r="E60" i="29" s="1"/>
  <c r="E61" i="29" s="1"/>
  <c r="E30" i="29"/>
  <c r="E38" i="29" s="1"/>
  <c r="E34" i="29"/>
  <c r="E31" i="29"/>
  <c r="E39" i="29" s="1"/>
  <c r="E32" i="29"/>
  <c r="E40" i="29" s="1"/>
  <c r="E33" i="29"/>
  <c r="E41" i="29" s="1"/>
  <c r="E35" i="29"/>
  <c r="E36" i="29"/>
  <c r="E37" i="29"/>
  <c r="E11" i="33"/>
  <c r="E12" i="33"/>
  <c r="E13" i="33"/>
  <c r="E14" i="33"/>
  <c r="R18" i="16" l="1"/>
  <c r="R61" i="16"/>
  <c r="R16" i="16"/>
  <c r="R54" i="16"/>
  <c r="R53" i="16"/>
  <c r="R59" i="16"/>
  <c r="R56" i="16"/>
  <c r="R19" i="16"/>
  <c r="R60" i="16"/>
  <c r="R55" i="16"/>
  <c r="R58" i="16"/>
  <c r="R17" i="16"/>
  <c r="P54" i="16"/>
  <c r="P59" i="16"/>
  <c r="P61" i="16"/>
  <c r="P16" i="16"/>
  <c r="P56" i="16"/>
  <c r="P19" i="16"/>
  <c r="P55" i="16"/>
  <c r="P18" i="16"/>
  <c r="P58" i="16"/>
  <c r="P17" i="16"/>
  <c r="P60" i="16"/>
  <c r="P53" i="16"/>
  <c r="I59" i="16"/>
  <c r="F60" i="16"/>
  <c r="G60" i="16"/>
  <c r="F59" i="16"/>
  <c r="G61" i="16"/>
  <c r="E61" i="16"/>
  <c r="F61" i="16"/>
  <c r="G59" i="16"/>
  <c r="E59" i="16"/>
  <c r="E60" i="16"/>
  <c r="F58" i="16"/>
  <c r="H58" i="16"/>
  <c r="H56" i="14"/>
  <c r="AK56" i="16"/>
  <c r="AA61" i="16"/>
  <c r="AK61" i="16" s="1"/>
  <c r="AA58" i="16"/>
  <c r="AK58" i="16" s="1"/>
  <c r="AA53" i="16"/>
  <c r="AK53" i="16" s="1"/>
  <c r="H54" i="14"/>
  <c r="I55" i="14"/>
  <c r="H55" i="14"/>
  <c r="H57" i="14"/>
  <c r="AC56" i="16"/>
  <c r="AM56" i="16" s="1"/>
  <c r="AC61" i="16"/>
  <c r="AM61" i="16" s="1"/>
  <c r="F54" i="16"/>
  <c r="I54" i="14"/>
  <c r="E54" i="16"/>
  <c r="I53" i="16"/>
  <c r="E53" i="16"/>
  <c r="H53" i="16"/>
  <c r="G55" i="16"/>
  <c r="H55" i="16"/>
  <c r="I55" i="16"/>
  <c r="E55" i="16"/>
  <c r="F55" i="16"/>
  <c r="I54" i="16"/>
  <c r="E56" i="16"/>
  <c r="I56" i="16"/>
  <c r="H56" i="16"/>
  <c r="G56" i="16"/>
  <c r="H54" i="16"/>
  <c r="E46" i="29"/>
  <c r="AC58" i="16" l="1"/>
  <c r="AM58" i="16" s="1"/>
  <c r="AC53" i="16"/>
  <c r="AM53" i="16" s="1"/>
  <c r="AB56" i="16"/>
  <c r="AL56" i="16" s="1"/>
  <c r="AB61" i="16"/>
  <c r="AL61" i="16" s="1"/>
  <c r="AB59" i="16"/>
  <c r="AL59" i="16" s="1"/>
  <c r="AB54" i="16"/>
  <c r="AL54" i="16" s="1"/>
  <c r="AB58" i="16"/>
  <c r="AL58" i="16" s="1"/>
  <c r="AB53" i="16"/>
  <c r="AL53" i="16" s="1"/>
  <c r="AB55" i="16"/>
  <c r="AL55" i="16" s="1"/>
  <c r="AB60" i="16"/>
  <c r="AL60" i="16" s="1"/>
  <c r="AA55" i="16"/>
  <c r="AK55" i="16" s="1"/>
  <c r="AA60" i="16"/>
  <c r="AK60" i="16" s="1"/>
  <c r="AA59" i="16"/>
  <c r="AK59" i="16" s="1"/>
  <c r="AA54" i="16"/>
  <c r="AK54" i="16" s="1"/>
  <c r="E47" i="29"/>
  <c r="AC59" i="16" l="1"/>
  <c r="AM59" i="16" s="1"/>
  <c r="AC54" i="16"/>
  <c r="AM54" i="16" s="1"/>
  <c r="AC60" i="16"/>
  <c r="AM60" i="16" s="1"/>
  <c r="AC55" i="16"/>
  <c r="AM55" i="16" s="1"/>
  <c r="E48" i="29"/>
  <c r="E49" i="29" l="1"/>
  <c r="D36" i="14" l="1"/>
  <c r="I10" i="14" l="1"/>
  <c r="I11" i="14"/>
  <c r="I12" i="14"/>
  <c r="I13" i="14"/>
  <c r="I14" i="14"/>
  <c r="I15" i="14"/>
  <c r="I16" i="14"/>
  <c r="I17" i="14"/>
  <c r="I18" i="14"/>
  <c r="I19" i="14"/>
  <c r="I20" i="14"/>
  <c r="I21" i="14"/>
  <c r="I22" i="14"/>
  <c r="I23" i="14"/>
  <c r="I9" i="14"/>
  <c r="H10" i="14"/>
  <c r="H11" i="14"/>
  <c r="H12" i="14"/>
  <c r="H13" i="14"/>
  <c r="H14" i="14"/>
  <c r="H15" i="14"/>
  <c r="H16" i="14"/>
  <c r="H17" i="14"/>
  <c r="H18" i="14"/>
  <c r="H19" i="14"/>
  <c r="H20" i="14"/>
  <c r="H21" i="14"/>
  <c r="H22" i="14"/>
  <c r="H23" i="14"/>
  <c r="H9" i="14"/>
  <c r="E4" i="21" l="1"/>
  <c r="E7" i="21"/>
  <c r="E8" i="21"/>
  <c r="F19" i="14" l="1"/>
  <c r="G19" i="14"/>
  <c r="G20" i="14"/>
  <c r="G21" i="14"/>
  <c r="G22" i="14"/>
  <c r="F20" i="14"/>
  <c r="F21" i="14"/>
  <c r="F22" i="14"/>
  <c r="F13" i="14"/>
  <c r="G14" i="14"/>
  <c r="F14" i="14"/>
  <c r="G13" i="14"/>
  <c r="F15" i="14"/>
  <c r="G15" i="14"/>
  <c r="G16" i="14"/>
  <c r="F16" i="14"/>
  <c r="F9" i="14"/>
  <c r="F10" i="14"/>
  <c r="F12" i="14"/>
  <c r="G23" i="14"/>
  <c r="F23" i="14"/>
  <c r="F67" i="14" s="1"/>
  <c r="I65" i="14"/>
  <c r="G65" i="14"/>
  <c r="I38" i="14"/>
  <c r="G38" i="14"/>
  <c r="H38" i="14"/>
  <c r="D8" i="21"/>
  <c r="D7" i="21"/>
  <c r="D4" i="21"/>
  <c r="H6" i="13"/>
  <c r="H4" i="13"/>
  <c r="H79" i="13" s="1"/>
  <c r="H5" i="13"/>
  <c r="G5" i="13"/>
  <c r="G4" i="13"/>
  <c r="E53" i="13"/>
  <c r="E52" i="13"/>
  <c r="E50" i="13"/>
  <c r="E34" i="13"/>
  <c r="E33" i="13"/>
  <c r="E31" i="13"/>
  <c r="E32" i="13" s="1"/>
  <c r="G6" i="13"/>
  <c r="E15" i="13"/>
  <c r="E14" i="13"/>
  <c r="E12" i="13"/>
  <c r="H65" i="14"/>
  <c r="D42" i="14"/>
  <c r="D43" i="14"/>
  <c r="D44" i="14"/>
  <c r="D45" i="14"/>
  <c r="E27" i="14"/>
  <c r="E28" i="14" s="1"/>
  <c r="G27" i="14"/>
  <c r="G28" i="14" s="1"/>
  <c r="G39" i="14"/>
  <c r="F5" i="17"/>
  <c r="H15" i="13" l="1"/>
  <c r="H14" i="13"/>
  <c r="H13" i="13" s="1"/>
  <c r="Q16" i="16"/>
  <c r="Q18" i="16"/>
  <c r="Q17" i="16"/>
  <c r="Q19" i="16"/>
  <c r="H30" i="13"/>
  <c r="H36" i="13" s="1"/>
  <c r="H49" i="13"/>
  <c r="H53" i="13"/>
  <c r="J14" i="13"/>
  <c r="F44" i="14"/>
  <c r="H44" i="14"/>
  <c r="H43" i="14"/>
  <c r="F43" i="14"/>
  <c r="H42" i="14"/>
  <c r="F42" i="14"/>
  <c r="F45" i="14"/>
  <c r="H45" i="14"/>
  <c r="H66" i="13"/>
  <c r="J66" i="13"/>
  <c r="J79" i="13"/>
  <c r="H34" i="13"/>
  <c r="H52" i="13"/>
  <c r="H51" i="13" s="1"/>
  <c r="J52" i="13"/>
  <c r="H33" i="13"/>
  <c r="J53" i="13"/>
  <c r="I53" i="13" s="1"/>
  <c r="J34" i="13"/>
  <c r="I34" i="13" s="1"/>
  <c r="J15" i="13"/>
  <c r="I15" i="13" s="1"/>
  <c r="J33" i="13"/>
  <c r="H18" i="15"/>
  <c r="F65" i="14"/>
  <c r="F38" i="14"/>
  <c r="C11" i="26"/>
  <c r="E11" i="26"/>
  <c r="F11" i="26"/>
  <c r="G11" i="26"/>
  <c r="H11" i="26"/>
  <c r="I11" i="26"/>
  <c r="J11" i="26"/>
  <c r="C12" i="26"/>
  <c r="E12" i="26"/>
  <c r="F12" i="26"/>
  <c r="G12" i="26"/>
  <c r="H12" i="26"/>
  <c r="I12" i="26"/>
  <c r="J12" i="26"/>
  <c r="B12" i="26"/>
  <c r="B11" i="26"/>
  <c r="C10" i="26"/>
  <c r="B10" i="26"/>
  <c r="C9" i="26"/>
  <c r="B9" i="26"/>
  <c r="C8" i="26"/>
  <c r="B8" i="26"/>
  <c r="C7" i="26"/>
  <c r="B7" i="26"/>
  <c r="I5" i="26"/>
  <c r="I17" i="26" s="1"/>
  <c r="G5" i="26"/>
  <c r="G17" i="26" s="1"/>
  <c r="E5" i="26"/>
  <c r="G14" i="13" l="1"/>
  <c r="G13" i="13" s="1"/>
  <c r="G33" i="13"/>
  <c r="G32" i="13" s="1"/>
  <c r="H32" i="13"/>
  <c r="I14" i="13"/>
  <c r="I13" i="13" s="1"/>
  <c r="J13" i="13"/>
  <c r="I33" i="13"/>
  <c r="I32" i="13" s="1"/>
  <c r="J32" i="13"/>
  <c r="I52" i="13"/>
  <c r="I51" i="13" s="1"/>
  <c r="J51" i="13"/>
  <c r="G34" i="13"/>
  <c r="B15" i="18"/>
  <c r="G53" i="13" l="1"/>
  <c r="G52" i="13"/>
  <c r="G51" i="13" s="1"/>
  <c r="G15" i="13"/>
  <c r="E11" i="13"/>
  <c r="B13" i="13"/>
  <c r="K13" i="13" l="1"/>
  <c r="F25" i="14"/>
  <c r="H5" i="17" l="1"/>
  <c r="D5" i="17"/>
  <c r="B31" i="18" l="1"/>
  <c r="C31" i="18"/>
  <c r="D31" i="18"/>
  <c r="D24" i="18" s="1"/>
  <c r="D25" i="18" s="1"/>
  <c r="E31" i="18"/>
  <c r="E24" i="18" s="1"/>
  <c r="E25" i="18" s="1"/>
  <c r="F31" i="18"/>
  <c r="F24" i="18" s="1"/>
  <c r="F25" i="18" s="1"/>
  <c r="G31" i="18"/>
  <c r="G24" i="18" s="1"/>
  <c r="G25" i="18" s="1"/>
  <c r="H31" i="18"/>
  <c r="H24" i="18" s="1"/>
  <c r="H25" i="18" s="1"/>
  <c r="I31" i="18"/>
  <c r="I24" i="18" s="1"/>
  <c r="I25" i="18" s="1"/>
  <c r="J31" i="18"/>
  <c r="B24" i="18"/>
  <c r="B25" i="18" s="1"/>
  <c r="J24" i="18"/>
  <c r="J25" i="18" s="1"/>
  <c r="C24" i="18"/>
  <c r="C25" i="18" s="1"/>
  <c r="C1" i="25"/>
  <c r="B1" i="25"/>
  <c r="A1" i="25"/>
  <c r="N43" i="7" l="1"/>
  <c r="F11" i="13"/>
  <c r="F18" i="13" s="1"/>
  <c r="F32" i="13"/>
  <c r="E17" i="13"/>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6" i="18"/>
  <c r="F12" i="18"/>
  <c r="G12" i="18"/>
  <c r="H12" i="18"/>
  <c r="I12" i="18"/>
  <c r="J12" i="18"/>
  <c r="B12" i="18"/>
  <c r="C11" i="18"/>
  <c r="C12" i="18" s="1"/>
  <c r="D11" i="18"/>
  <c r="D12" i="18" s="1"/>
  <c r="E11" i="18"/>
  <c r="E12" i="18" s="1"/>
  <c r="F11" i="18"/>
  <c r="G11" i="18"/>
  <c r="H11" i="18"/>
  <c r="I11" i="18"/>
  <c r="J11" i="18"/>
  <c r="B11" i="18"/>
  <c r="E68" i="14" l="1"/>
  <c r="E67" i="14"/>
  <c r="G68" i="14"/>
  <c r="G67" i="14"/>
  <c r="I68" i="14"/>
  <c r="I67" i="14"/>
  <c r="H68" i="14"/>
  <c r="H67" i="14"/>
  <c r="D40" i="14"/>
  <c r="D48" i="7" s="1"/>
  <c r="E40" i="14"/>
  <c r="AI43" i="7"/>
  <c r="Y43" i="7"/>
  <c r="O43" i="7"/>
  <c r="O44" i="7" s="1"/>
  <c r="X43" i="7"/>
  <c r="AH43" i="7" s="1"/>
  <c r="X44" i="7" l="1"/>
  <c r="F68" i="14" l="1"/>
  <c r="E45" i="14" l="1"/>
  <c r="G45" i="14" s="1"/>
  <c r="I45" i="14" s="1"/>
  <c r="E44" i="14"/>
  <c r="G44" i="14" s="1"/>
  <c r="I44" i="14" s="1"/>
  <c r="E43" i="14"/>
  <c r="G43" i="14" s="1"/>
  <c r="I43" i="14" s="1"/>
  <c r="E42" i="14"/>
  <c r="G42" i="14" s="1"/>
  <c r="I42" i="14" s="1"/>
  <c r="C56" i="13" l="1"/>
  <c r="C55" i="13"/>
  <c r="C10" i="15" l="1"/>
  <c r="D39" i="14" l="1"/>
  <c r="F39" i="14" l="1"/>
  <c r="D68" i="14"/>
  <c r="D67" i="14"/>
  <c r="P9" i="15" l="1"/>
  <c r="O9" i="15"/>
  <c r="P25" i="15" l="1"/>
  <c r="O25" i="15"/>
  <c r="O17" i="15"/>
  <c r="P17" i="15"/>
  <c r="C13" i="15"/>
  <c r="H11" i="13"/>
  <c r="F9" i="13"/>
  <c r="B32" i="13" l="1"/>
  <c r="I35" i="15"/>
  <c r="I36" i="15"/>
  <c r="I37" i="15"/>
  <c r="I38" i="15"/>
  <c r="H36" i="15"/>
  <c r="H37" i="15"/>
  <c r="H38" i="15"/>
  <c r="H35" i="15"/>
  <c r="I28" i="15"/>
  <c r="I29" i="15"/>
  <c r="I30" i="15"/>
  <c r="I31" i="15"/>
  <c r="H29" i="15"/>
  <c r="H30" i="15"/>
  <c r="H31" i="15"/>
  <c r="H28" i="15"/>
  <c r="D61" i="14" s="1"/>
  <c r="G17" i="15"/>
  <c r="B16" i="15"/>
  <c r="G16" i="15" s="1"/>
  <c r="F13" i="13" l="1"/>
  <c r="J10" i="13"/>
  <c r="E25" i="14" l="1"/>
  <c r="H39" i="14" l="1"/>
  <c r="I26" i="16"/>
  <c r="I66" i="16" s="1"/>
  <c r="H26" i="16"/>
  <c r="H66" i="16" s="1"/>
  <c r="I25" i="16"/>
  <c r="I65" i="16" s="1"/>
  <c r="H25" i="16"/>
  <c r="H65" i="16" s="1"/>
  <c r="I24" i="16"/>
  <c r="I64" i="16" s="1"/>
  <c r="H24" i="16"/>
  <c r="H64" i="16" s="1"/>
  <c r="I23" i="16"/>
  <c r="I63" i="16" s="1"/>
  <c r="H23" i="16"/>
  <c r="H63" i="16" s="1"/>
  <c r="G26" i="16"/>
  <c r="G66" i="16" s="1"/>
  <c r="F26" i="16"/>
  <c r="G25" i="16"/>
  <c r="G65" i="16" s="1"/>
  <c r="F25" i="16"/>
  <c r="F65" i="16" s="1"/>
  <c r="G24" i="16"/>
  <c r="G64" i="16" s="1"/>
  <c r="F24" i="16"/>
  <c r="F64" i="16" s="1"/>
  <c r="G23" i="16"/>
  <c r="G63" i="16" s="1"/>
  <c r="F23" i="16"/>
  <c r="F63" i="16" s="1"/>
  <c r="E26" i="16"/>
  <c r="D26" i="16"/>
  <c r="E25" i="16"/>
  <c r="D25" i="16"/>
  <c r="E24" i="16"/>
  <c r="D24" i="16"/>
  <c r="E23" i="16"/>
  <c r="D23" i="16"/>
  <c r="D25" i="14"/>
  <c r="I39" i="14"/>
  <c r="F66" i="16" l="1"/>
  <c r="F39" i="16"/>
  <c r="D64" i="16"/>
  <c r="E64" i="16"/>
  <c r="D65" i="16"/>
  <c r="D66" i="16"/>
  <c r="E65" i="16"/>
  <c r="E66" i="16"/>
  <c r="E63" i="16"/>
  <c r="D63" i="16"/>
  <c r="E36" i="14"/>
  <c r="F36" i="14"/>
  <c r="H36" i="14"/>
  <c r="G36" i="14" l="1"/>
  <c r="I36" i="14"/>
  <c r="F28" i="13" l="1"/>
  <c r="F29"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E53" i="14" l="1"/>
  <c r="D53" i="14"/>
  <c r="E52" i="14"/>
  <c r="D52" i="14"/>
  <c r="E51" i="14"/>
  <c r="D51" i="14"/>
  <c r="E50" i="14"/>
  <c r="E64" i="14"/>
  <c r="D62" i="14"/>
  <c r="E62" i="14"/>
  <c r="D63" i="14"/>
  <c r="E63" i="14"/>
  <c r="D64" i="14"/>
  <c r="E61" i="14"/>
  <c r="D47" i="14"/>
  <c r="E47" i="14"/>
  <c r="D48" i="14"/>
  <c r="E48" i="14"/>
  <c r="D49" i="14"/>
  <c r="E49" i="14"/>
  <c r="E46" i="14"/>
  <c r="E11" i="16" s="1"/>
  <c r="D46" i="14"/>
  <c r="D11" i="16" s="1"/>
  <c r="I32" i="15"/>
  <c r="H32" i="15"/>
  <c r="D32" i="15"/>
  <c r="C32" i="15"/>
  <c r="E41" i="16" l="1"/>
  <c r="E36" i="16"/>
  <c r="D13" i="16"/>
  <c r="F48" i="14"/>
  <c r="F13" i="16" s="1"/>
  <c r="H48" i="14"/>
  <c r="H13" i="16" s="1"/>
  <c r="G62" i="14"/>
  <c r="G42" i="16" s="1"/>
  <c r="I62" i="14"/>
  <c r="I42" i="16" s="1"/>
  <c r="E18" i="16"/>
  <c r="I52" i="14"/>
  <c r="I18" i="16" s="1"/>
  <c r="G52" i="14"/>
  <c r="G18" i="16" s="1"/>
  <c r="E14" i="16"/>
  <c r="I49" i="14"/>
  <c r="I14" i="16" s="1"/>
  <c r="G49" i="14"/>
  <c r="G14" i="16" s="1"/>
  <c r="F64" i="14"/>
  <c r="F44" i="16" s="1"/>
  <c r="H64" i="14"/>
  <c r="H44" i="16" s="1"/>
  <c r="D17" i="16"/>
  <c r="H51" i="14"/>
  <c r="H17" i="16" s="1"/>
  <c r="F51" i="14"/>
  <c r="F17" i="16" s="1"/>
  <c r="F46" i="14"/>
  <c r="F11" i="16" s="1"/>
  <c r="H46" i="14"/>
  <c r="H11" i="16" s="1"/>
  <c r="E13" i="16"/>
  <c r="I48" i="14"/>
  <c r="I13" i="16" s="1"/>
  <c r="G48" i="14"/>
  <c r="G13" i="16" s="1"/>
  <c r="F61" i="14"/>
  <c r="H61" i="14"/>
  <c r="F63" i="14"/>
  <c r="H63" i="14"/>
  <c r="H43" i="16" s="1"/>
  <c r="F50" i="14"/>
  <c r="F16" i="16" s="1"/>
  <c r="H50" i="14"/>
  <c r="H16" i="16" s="1"/>
  <c r="D18" i="16"/>
  <c r="F52" i="14"/>
  <c r="F18" i="16" s="1"/>
  <c r="H52" i="14"/>
  <c r="H18" i="16" s="1"/>
  <c r="I46" i="14"/>
  <c r="I11" i="16" s="1"/>
  <c r="G46" i="14"/>
  <c r="G11" i="16" s="1"/>
  <c r="G61" i="14"/>
  <c r="G41" i="16" s="1"/>
  <c r="I61" i="14"/>
  <c r="I41" i="16" s="1"/>
  <c r="E16" i="16"/>
  <c r="I50" i="14"/>
  <c r="I16" i="16" s="1"/>
  <c r="G50" i="14"/>
  <c r="G16" i="16" s="1"/>
  <c r="E12" i="16"/>
  <c r="I47" i="14"/>
  <c r="I12" i="16" s="1"/>
  <c r="G47" i="14"/>
  <c r="G12" i="16" s="1"/>
  <c r="F62" i="14"/>
  <c r="F42" i="16" s="1"/>
  <c r="H62" i="14"/>
  <c r="H37" i="16" s="1"/>
  <c r="D19" i="16"/>
  <c r="F53" i="14"/>
  <c r="F19" i="16" s="1"/>
  <c r="H53" i="14"/>
  <c r="H19" i="16" s="1"/>
  <c r="D14" i="16"/>
  <c r="F49" i="14"/>
  <c r="F14" i="16" s="1"/>
  <c r="H49" i="14"/>
  <c r="H14" i="16" s="1"/>
  <c r="D12" i="16"/>
  <c r="F47" i="14"/>
  <c r="F12" i="16" s="1"/>
  <c r="H47" i="14"/>
  <c r="H12" i="16" s="1"/>
  <c r="G63" i="14"/>
  <c r="G38" i="16" s="1"/>
  <c r="I63" i="14"/>
  <c r="I38" i="16" s="1"/>
  <c r="G64" i="14"/>
  <c r="G44" i="16" s="1"/>
  <c r="I64" i="14"/>
  <c r="I44" i="16" s="1"/>
  <c r="E17" i="16"/>
  <c r="G51" i="14"/>
  <c r="G17" i="16" s="1"/>
  <c r="I51" i="14"/>
  <c r="I17" i="16" s="1"/>
  <c r="E19" i="16"/>
  <c r="I53" i="14"/>
  <c r="I19" i="16" s="1"/>
  <c r="G53" i="14"/>
  <c r="G19" i="16" s="1"/>
  <c r="O36" i="16"/>
  <c r="D41" i="16"/>
  <c r="D43" i="16"/>
  <c r="N43" i="16" s="1"/>
  <c r="D38" i="16"/>
  <c r="D16" i="16"/>
  <c r="E37" i="16"/>
  <c r="O37" i="16" s="1"/>
  <c r="E42" i="16"/>
  <c r="O42" i="16" s="1"/>
  <c r="D39" i="16"/>
  <c r="N39" i="16" s="1"/>
  <c r="D44" i="16"/>
  <c r="N44" i="16" s="1"/>
  <c r="D42" i="16"/>
  <c r="N42" i="16" s="1"/>
  <c r="D37" i="16"/>
  <c r="N37" i="16" s="1"/>
  <c r="E43" i="16"/>
  <c r="O43" i="16" s="1"/>
  <c r="E38" i="16"/>
  <c r="E39" i="16"/>
  <c r="E44" i="16"/>
  <c r="O44" i="16" s="1"/>
  <c r="E60" i="14"/>
  <c r="D60" i="14"/>
  <c r="AA19" i="16" l="1"/>
  <c r="AK19" i="16" s="1"/>
  <c r="AC19" i="16"/>
  <c r="AM19" i="16" s="1"/>
  <c r="Y19" i="16"/>
  <c r="AI19" i="16" s="1"/>
  <c r="AC17" i="16"/>
  <c r="AM17" i="16" s="1"/>
  <c r="AA17" i="16"/>
  <c r="AK17" i="16" s="1"/>
  <c r="AA16" i="16"/>
  <c r="AK16" i="16" s="1"/>
  <c r="G16" i="17" s="1"/>
  <c r="Y17" i="16"/>
  <c r="AI17" i="16" s="1"/>
  <c r="AA18" i="16"/>
  <c r="AK18" i="16" s="1"/>
  <c r="AC18" i="16"/>
  <c r="AM18" i="16" s="1"/>
  <c r="Y18" i="16"/>
  <c r="AI18" i="16" s="1"/>
  <c r="F41" i="16"/>
  <c r="F36" i="16"/>
  <c r="F38" i="16"/>
  <c r="F43" i="16"/>
  <c r="X16" i="16"/>
  <c r="AH16" i="16" s="1"/>
  <c r="D40" i="16"/>
  <c r="H39" i="16"/>
  <c r="H38" i="16"/>
  <c r="H48" i="16" s="1"/>
  <c r="I43" i="16"/>
  <c r="I37" i="16"/>
  <c r="I39" i="16"/>
  <c r="F37" i="16"/>
  <c r="F49" i="16"/>
  <c r="H42" i="16"/>
  <c r="G37" i="16"/>
  <c r="G43" i="16"/>
  <c r="H60" i="14"/>
  <c r="H36" i="16"/>
  <c r="I36" i="16"/>
  <c r="G60" i="14"/>
  <c r="F60" i="14"/>
  <c r="I60" i="14"/>
  <c r="H41" i="16"/>
  <c r="G39" i="16"/>
  <c r="G36" i="16"/>
  <c r="E48" i="16"/>
  <c r="D47" i="16"/>
  <c r="N49" i="16"/>
  <c r="D48" i="16"/>
  <c r="E49" i="16"/>
  <c r="O47" i="16"/>
  <c r="O41" i="16"/>
  <c r="E45" i="16"/>
  <c r="E20" i="16" s="1"/>
  <c r="X17" i="16"/>
  <c r="AH17" i="16" s="1"/>
  <c r="O38" i="16"/>
  <c r="N38" i="16"/>
  <c r="N48" i="16" s="1"/>
  <c r="X18" i="16"/>
  <c r="AH18" i="16" s="1"/>
  <c r="N47" i="16"/>
  <c r="D46" i="16"/>
  <c r="D45" i="16"/>
  <c r="D20" i="16" s="1"/>
  <c r="O39" i="16"/>
  <c r="D49" i="16"/>
  <c r="E47" i="16"/>
  <c r="E40" i="16"/>
  <c r="E15" i="16" s="1"/>
  <c r="E46" i="16"/>
  <c r="AC16" i="16"/>
  <c r="AM16" i="16" s="1"/>
  <c r="Y16" i="16"/>
  <c r="AI16" i="16" s="1"/>
  <c r="D47" i="7"/>
  <c r="D49" i="7" s="1"/>
  <c r="D50" i="7" s="1"/>
  <c r="D51" i="7" s="1"/>
  <c r="N48" i="7" s="1"/>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E57" i="16" l="1"/>
  <c r="E62" i="16"/>
  <c r="D62" i="16"/>
  <c r="D15" i="16"/>
  <c r="D57" i="16"/>
  <c r="X19" i="16"/>
  <c r="AH19" i="16" s="1"/>
  <c r="N45" i="16"/>
  <c r="I46" i="16"/>
  <c r="N47" i="7"/>
  <c r="X47" i="7" s="1"/>
  <c r="AH47" i="7" s="1"/>
  <c r="O49" i="16"/>
  <c r="O48" i="16"/>
  <c r="H49" i="16"/>
  <c r="O45" i="16"/>
  <c r="O62" i="16" s="1"/>
  <c r="I48" i="16"/>
  <c r="I45" i="16"/>
  <c r="I20" i="16" s="1"/>
  <c r="I47" i="16"/>
  <c r="G47" i="16"/>
  <c r="F45" i="16"/>
  <c r="F62" i="16" s="1"/>
  <c r="F48" i="16"/>
  <c r="H47" i="16"/>
  <c r="I49" i="16"/>
  <c r="H45" i="16"/>
  <c r="H20" i="16" s="1"/>
  <c r="F47" i="16"/>
  <c r="G48" i="16"/>
  <c r="G45" i="16"/>
  <c r="G20" i="16" s="1"/>
  <c r="E16" i="17"/>
  <c r="I16" i="17"/>
  <c r="D16" i="17"/>
  <c r="H40" i="16"/>
  <c r="H15" i="16" s="1"/>
  <c r="I40" i="16"/>
  <c r="I15" i="16" s="1"/>
  <c r="H46" i="16"/>
  <c r="G46" i="16"/>
  <c r="G49" i="16"/>
  <c r="G40" i="16"/>
  <c r="G15" i="16" s="1"/>
  <c r="F46" i="16"/>
  <c r="F40" i="16"/>
  <c r="F15" i="16" s="1"/>
  <c r="E50" i="16"/>
  <c r="E67" i="16" s="1"/>
  <c r="O46" i="16"/>
  <c r="D50" i="16"/>
  <c r="D67" i="16" s="1"/>
  <c r="O40" i="16"/>
  <c r="O57" i="16" s="1"/>
  <c r="N46" i="16"/>
  <c r="N40" i="16"/>
  <c r="N57" i="16" s="1"/>
  <c r="E47" i="7"/>
  <c r="F82" i="13"/>
  <c r="E82" i="13" s="1"/>
  <c r="F81" i="13"/>
  <c r="E81" i="13" s="1"/>
  <c r="F79" i="13"/>
  <c r="F80" i="13" s="1"/>
  <c r="F85" i="13" s="1"/>
  <c r="F69" i="13"/>
  <c r="E69" i="13" s="1"/>
  <c r="F68" i="13"/>
  <c r="F51" i="13"/>
  <c r="F48" i="13"/>
  <c r="E48" i="13"/>
  <c r="F47" i="13"/>
  <c r="E47" i="13"/>
  <c r="E29" i="13"/>
  <c r="E28" i="13"/>
  <c r="E13" i="13"/>
  <c r="F10" i="13"/>
  <c r="E10" i="13"/>
  <c r="E9" i="13"/>
  <c r="D26" i="14"/>
  <c r="E26" i="14"/>
  <c r="D27" i="14"/>
  <c r="D28" i="14" s="1"/>
  <c r="H26" i="14"/>
  <c r="I26" i="14"/>
  <c r="H27" i="14"/>
  <c r="H28" i="14" s="1"/>
  <c r="I27" i="14"/>
  <c r="I28" i="14" s="1"/>
  <c r="I25" i="14"/>
  <c r="H25" i="14"/>
  <c r="F26" i="14"/>
  <c r="G26" i="14"/>
  <c r="F27" i="14"/>
  <c r="F28" i="14" s="1"/>
  <c r="G25" i="14"/>
  <c r="G18" i="15"/>
  <c r="D31" i="14"/>
  <c r="I18" i="15"/>
  <c r="E31" i="14" s="1"/>
  <c r="G10" i="15"/>
  <c r="H17" i="15"/>
  <c r="D30" i="14" s="1"/>
  <c r="I17" i="15"/>
  <c r="E30" i="14" s="1"/>
  <c r="H16" i="15"/>
  <c r="D29" i="14" s="1"/>
  <c r="D13" i="7" s="1"/>
  <c r="I16" i="15"/>
  <c r="E29" i="14" s="1"/>
  <c r="G13" i="15"/>
  <c r="H13" i="15"/>
  <c r="D37" i="14" s="1"/>
  <c r="D37" i="7" s="1"/>
  <c r="N37" i="7" s="1"/>
  <c r="I13" i="15"/>
  <c r="G37" i="14" s="1"/>
  <c r="B10" i="15"/>
  <c r="D10" i="15"/>
  <c r="N62" i="16" l="1"/>
  <c r="N20" i="16"/>
  <c r="N49" i="7"/>
  <c r="N50" i="7" s="1"/>
  <c r="O47" i="7"/>
  <c r="Y47" i="7" s="1"/>
  <c r="AI47" i="7" s="1"/>
  <c r="N50" i="16"/>
  <c r="F57" i="16"/>
  <c r="I57" i="16"/>
  <c r="G62" i="16"/>
  <c r="I62" i="16"/>
  <c r="G57" i="16"/>
  <c r="H62" i="16"/>
  <c r="H57" i="16"/>
  <c r="H20" i="7"/>
  <c r="O50" i="16"/>
  <c r="O20" i="16"/>
  <c r="F20" i="16"/>
  <c r="I50" i="16"/>
  <c r="I67" i="16" s="1"/>
  <c r="E35" i="13"/>
  <c r="E40" i="13" s="1"/>
  <c r="F29" i="14"/>
  <c r="H29" i="14"/>
  <c r="F16" i="13"/>
  <c r="F21" i="13" s="1"/>
  <c r="F50" i="16"/>
  <c r="F67" i="16" s="1"/>
  <c r="H50" i="16"/>
  <c r="H67" i="16" s="1"/>
  <c r="G50" i="16"/>
  <c r="G67" i="16" s="1"/>
  <c r="F40" i="14"/>
  <c r="H40" i="14"/>
  <c r="E13" i="7"/>
  <c r="I29" i="14"/>
  <c r="G29" i="14"/>
  <c r="D14" i="7"/>
  <c r="H30" i="14"/>
  <c r="F30" i="14"/>
  <c r="E14" i="7"/>
  <c r="G30" i="14"/>
  <c r="I30" i="14"/>
  <c r="F37" i="14"/>
  <c r="F37" i="7" s="1"/>
  <c r="H37" i="14"/>
  <c r="H37" i="7" s="1"/>
  <c r="G40" i="14"/>
  <c r="I40" i="14"/>
  <c r="E15" i="7"/>
  <c r="O15" i="7" s="1"/>
  <c r="I31" i="14"/>
  <c r="G31" i="14"/>
  <c r="F31" i="14"/>
  <c r="H31" i="14"/>
  <c r="E37" i="7"/>
  <c r="G37" i="7"/>
  <c r="I37" i="14"/>
  <c r="I37" i="7" s="1"/>
  <c r="E83" i="13"/>
  <c r="E86" i="13" s="1"/>
  <c r="E51" i="13"/>
  <c r="E54" i="13" s="1"/>
  <c r="E59" i="13" s="1"/>
  <c r="F30" i="7"/>
  <c r="P30" i="7" s="1"/>
  <c r="H30" i="7"/>
  <c r="R30" i="7" s="1"/>
  <c r="E68" i="13"/>
  <c r="D30" i="7"/>
  <c r="N30" i="7" s="1"/>
  <c r="F83" i="13"/>
  <c r="F86" i="13" s="1"/>
  <c r="F87" i="13" s="1"/>
  <c r="D31" i="7"/>
  <c r="N31" i="7" s="1"/>
  <c r="D29" i="7"/>
  <c r="N29" i="7" s="1"/>
  <c r="E48" i="7"/>
  <c r="E49" i="7" s="1"/>
  <c r="E50" i="7" s="1"/>
  <c r="E51" i="7" s="1"/>
  <c r="O48" i="7" s="1"/>
  <c r="E20" i="7"/>
  <c r="D15" i="7"/>
  <c r="N15" i="7" s="1"/>
  <c r="E16" i="13"/>
  <c r="E21" i="13" s="1"/>
  <c r="F40" i="13"/>
  <c r="F54" i="13"/>
  <c r="F59" i="13" s="1"/>
  <c r="F72" i="13"/>
  <c r="F70" i="13"/>
  <c r="F73" i="13" s="1"/>
  <c r="I10" i="15"/>
  <c r="H10" i="15"/>
  <c r="O49" i="7" l="1"/>
  <c r="O50" i="7" s="1"/>
  <c r="X31" i="7"/>
  <c r="AH31" i="7" s="1"/>
  <c r="Z30" i="7"/>
  <c r="AJ30" i="7" s="1"/>
  <c r="Y15" i="7"/>
  <c r="AI15" i="7" s="1"/>
  <c r="E14" i="17" s="1"/>
  <c r="X30" i="7"/>
  <c r="AH30" i="7" s="1"/>
  <c r="AB30" i="7"/>
  <c r="AL30" i="7" s="1"/>
  <c r="X15" i="7"/>
  <c r="AH15" i="7" s="1"/>
  <c r="D14" i="17" s="1"/>
  <c r="E70" i="13"/>
  <c r="E73" i="13" s="1"/>
  <c r="H19" i="7"/>
  <c r="H18" i="7"/>
  <c r="X29" i="7"/>
  <c r="AH29" i="7" s="1"/>
  <c r="D19" i="17" s="1"/>
  <c r="E18" i="7"/>
  <c r="E34" i="7" s="1"/>
  <c r="C19" i="13"/>
  <c r="F84" i="13"/>
  <c r="F88" i="13" s="1"/>
  <c r="E31" i="7"/>
  <c r="O31" i="7" s="1"/>
  <c r="H29" i="7"/>
  <c r="R29" i="7" s="1"/>
  <c r="F31" i="7"/>
  <c r="P31" i="7" s="1"/>
  <c r="H31" i="7"/>
  <c r="R31" i="7" s="1"/>
  <c r="I31" i="7"/>
  <c r="S31" i="7" s="1"/>
  <c r="F29" i="7"/>
  <c r="P29" i="7" s="1"/>
  <c r="E29" i="7"/>
  <c r="O29" i="7" s="1"/>
  <c r="E30" i="7"/>
  <c r="O30" i="7" s="1"/>
  <c r="E18" i="13"/>
  <c r="E36" i="13"/>
  <c r="E55" i="13" s="1"/>
  <c r="F36" i="13"/>
  <c r="F55" i="13" s="1"/>
  <c r="F17" i="13"/>
  <c r="F19" i="13" s="1"/>
  <c r="E37" i="13"/>
  <c r="E56" i="13" s="1"/>
  <c r="F37" i="13"/>
  <c r="F56" i="13" s="1"/>
  <c r="E19" i="7"/>
  <c r="D20" i="7"/>
  <c r="G31" i="7"/>
  <c r="Q31" i="7" s="1"/>
  <c r="G29" i="7"/>
  <c r="Q29" i="7" s="1"/>
  <c r="G30" i="7"/>
  <c r="Q30" i="7" s="1"/>
  <c r="E36" i="7"/>
  <c r="O37" i="7"/>
  <c r="F74" i="13"/>
  <c r="F71" i="13"/>
  <c r="H21" i="7" l="1"/>
  <c r="Y29" i="7"/>
  <c r="AI29" i="7" s="1"/>
  <c r="E19" i="17" s="1"/>
  <c r="Z29" i="7"/>
  <c r="AJ29" i="7" s="1"/>
  <c r="F19" i="17" s="1"/>
  <c r="AC31" i="7"/>
  <c r="AM31" i="7" s="1"/>
  <c r="AB31" i="7"/>
  <c r="AL31" i="7" s="1"/>
  <c r="Z31" i="7"/>
  <c r="AJ31" i="7" s="1"/>
  <c r="AB29" i="7"/>
  <c r="AL29" i="7" s="1"/>
  <c r="H19" i="17" s="1"/>
  <c r="Y31" i="7"/>
  <c r="AI31" i="7" s="1"/>
  <c r="Y30" i="7"/>
  <c r="AI30" i="7" s="1"/>
  <c r="AA30" i="7"/>
  <c r="AK30" i="7" s="1"/>
  <c r="AA31" i="7"/>
  <c r="AK31" i="7" s="1"/>
  <c r="AA29" i="7"/>
  <c r="AK29" i="7" s="1"/>
  <c r="G19" i="17" s="1"/>
  <c r="E19" i="13"/>
  <c r="E20" i="13" s="1"/>
  <c r="O7" i="16"/>
  <c r="E59" i="14"/>
  <c r="E21" i="7"/>
  <c r="D36" i="7"/>
  <c r="I29" i="7"/>
  <c r="S29" i="7" s="1"/>
  <c r="E35" i="7"/>
  <c r="I30" i="7"/>
  <c r="S30" i="7" s="1"/>
  <c r="E57" i="13"/>
  <c r="E60" i="13" s="1"/>
  <c r="E61" i="13" s="1"/>
  <c r="F38" i="13"/>
  <c r="F57" i="13"/>
  <c r="F60" i="13" s="1"/>
  <c r="F61" i="13" s="1"/>
  <c r="F20" i="13"/>
  <c r="F22" i="13"/>
  <c r="F23" i="13" s="1"/>
  <c r="E38" i="13"/>
  <c r="D19" i="7"/>
  <c r="D18" i="7"/>
  <c r="D34" i="7" s="1"/>
  <c r="F75" i="13"/>
  <c r="AC30" i="7" l="1"/>
  <c r="AM30" i="7" s="1"/>
  <c r="AC29" i="7"/>
  <c r="AM29" i="7" s="1"/>
  <c r="I19" i="17" s="1"/>
  <c r="D35" i="7"/>
  <c r="O77" i="16"/>
  <c r="Y77" i="16" s="1"/>
  <c r="AI77" i="16" s="1"/>
  <c r="O76" i="16"/>
  <c r="O79" i="16"/>
  <c r="Y79" i="16" s="1"/>
  <c r="AI79" i="16" s="1"/>
  <c r="O78" i="16"/>
  <c r="Y78" i="16" s="1"/>
  <c r="AI78" i="16" s="1"/>
  <c r="E22" i="13"/>
  <c r="E23" i="13" s="1"/>
  <c r="E24" i="13" s="1"/>
  <c r="F24" i="13"/>
  <c r="E32" i="14" s="1"/>
  <c r="Y7" i="16"/>
  <c r="AI7" i="16" s="1"/>
  <c r="E11" i="17" s="1"/>
  <c r="E58" i="13"/>
  <c r="N6" i="16" s="1"/>
  <c r="F58" i="13"/>
  <c r="O6" i="16" s="1"/>
  <c r="F39" i="13"/>
  <c r="F41" i="13"/>
  <c r="F42" i="13" s="1"/>
  <c r="F44" i="13" s="1"/>
  <c r="E39" i="13"/>
  <c r="E41" i="13"/>
  <c r="E42" i="13" s="1"/>
  <c r="E34" i="14"/>
  <c r="O8" i="7"/>
  <c r="E7" i="16"/>
  <c r="D21" i="7"/>
  <c r="H80" i="13"/>
  <c r="B79" i="13"/>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J48" i="13"/>
  <c r="I48" i="13"/>
  <c r="H48" i="13"/>
  <c r="G48" i="13"/>
  <c r="J47" i="13"/>
  <c r="I47" i="13"/>
  <c r="H47" i="13"/>
  <c r="G47" i="13"/>
  <c r="C57" i="13"/>
  <c r="B57" i="13"/>
  <c r="B60" i="13" s="1"/>
  <c r="B51" i="13"/>
  <c r="B54" i="13" s="1"/>
  <c r="C38" i="13"/>
  <c r="J16" i="13"/>
  <c r="H28" i="13"/>
  <c r="I28" i="13"/>
  <c r="J28" i="13"/>
  <c r="H29" i="13"/>
  <c r="I29" i="13"/>
  <c r="J29" i="13"/>
  <c r="G29" i="13"/>
  <c r="G28" i="13"/>
  <c r="B38" i="13"/>
  <c r="B41" i="13" s="1"/>
  <c r="J11" i="13"/>
  <c r="J18" i="13" s="1"/>
  <c r="G11" i="13"/>
  <c r="H18" i="13"/>
  <c r="I11" i="13"/>
  <c r="I17" i="13" s="1"/>
  <c r="H9" i="13"/>
  <c r="H10" i="13"/>
  <c r="G10" i="13"/>
  <c r="G9" i="13"/>
  <c r="B19" i="13"/>
  <c r="H16" i="13" l="1"/>
  <c r="E79" i="13"/>
  <c r="E80" i="13" s="1"/>
  <c r="I79" i="13"/>
  <c r="G79" i="13"/>
  <c r="E66" i="13"/>
  <c r="I66" i="13"/>
  <c r="G66" i="13"/>
  <c r="G67" i="13" s="1"/>
  <c r="E79" i="16"/>
  <c r="E76" i="16"/>
  <c r="E78" i="16"/>
  <c r="E77" i="16"/>
  <c r="O80" i="16"/>
  <c r="G16" i="13"/>
  <c r="H21" i="13"/>
  <c r="G18" i="13"/>
  <c r="G17" i="13"/>
  <c r="G19" i="13" s="1"/>
  <c r="I35" i="13"/>
  <c r="G35" i="13"/>
  <c r="J35" i="13"/>
  <c r="J40" i="13" s="1"/>
  <c r="D32" i="14"/>
  <c r="F32" i="14" s="1"/>
  <c r="N6" i="7"/>
  <c r="G32" i="14"/>
  <c r="I32" i="14"/>
  <c r="E62" i="13"/>
  <c r="D58" i="14"/>
  <c r="D6" i="16" s="1"/>
  <c r="D89" i="16" s="1"/>
  <c r="E43" i="13"/>
  <c r="N7" i="7" s="1"/>
  <c r="F62" i="13"/>
  <c r="E2" i="29" s="1"/>
  <c r="E58" i="14"/>
  <c r="E6" i="16" s="1"/>
  <c r="I80" i="13"/>
  <c r="I85" i="13" s="1"/>
  <c r="B80" i="13"/>
  <c r="B85" i="13" s="1"/>
  <c r="B87" i="13" s="1"/>
  <c r="I83" i="13"/>
  <c r="I86" i="13" s="1"/>
  <c r="Y76" i="16"/>
  <c r="AI76" i="16" s="1"/>
  <c r="O6" i="7"/>
  <c r="Y6" i="7" s="1"/>
  <c r="AI6" i="7" s="1"/>
  <c r="E7" i="17" s="1"/>
  <c r="X6" i="16"/>
  <c r="F43" i="13"/>
  <c r="E33" i="14" s="1"/>
  <c r="G33" i="14" s="1"/>
  <c r="G7" i="7" s="1"/>
  <c r="B16" i="13"/>
  <c r="B20" i="13" s="1"/>
  <c r="G81" i="13"/>
  <c r="G83" i="13" s="1"/>
  <c r="G86" i="13" s="1"/>
  <c r="E67" i="13"/>
  <c r="E71" i="13" s="1"/>
  <c r="H70" i="13"/>
  <c r="H73" i="13" s="1"/>
  <c r="G68" i="13"/>
  <c r="G70" i="13" s="1"/>
  <c r="G73" i="13" s="1"/>
  <c r="J83" i="13"/>
  <c r="J86" i="13" s="1"/>
  <c r="B35" i="13"/>
  <c r="B40" i="13" s="1"/>
  <c r="B42" i="13" s="1"/>
  <c r="G36" i="13"/>
  <c r="G55" i="13" s="1"/>
  <c r="G37" i="13"/>
  <c r="G56" i="13" s="1"/>
  <c r="H37" i="13"/>
  <c r="H56" i="13" s="1"/>
  <c r="H55" i="13"/>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J70" i="13"/>
  <c r="J73" i="13" s="1"/>
  <c r="B67" i="13"/>
  <c r="B72" i="13" s="1"/>
  <c r="B74" i="13" s="1"/>
  <c r="J80" i="13"/>
  <c r="J85" i="13" s="1"/>
  <c r="H85" i="13"/>
  <c r="G80" i="13"/>
  <c r="H83" i="13"/>
  <c r="H86" i="13" s="1"/>
  <c r="H54" i="13"/>
  <c r="H59" i="13" s="1"/>
  <c r="I70" i="13"/>
  <c r="I73" i="13" s="1"/>
  <c r="J54" i="13"/>
  <c r="J59" i="13" s="1"/>
  <c r="J72" i="13"/>
  <c r="H72" i="13"/>
  <c r="I54" i="13"/>
  <c r="I59" i="13" s="1"/>
  <c r="B58" i="13"/>
  <c r="B59" i="13"/>
  <c r="B61" i="13" s="1"/>
  <c r="H35" i="13"/>
  <c r="H40" i="13" s="1"/>
  <c r="H17" i="13"/>
  <c r="H19" i="13" s="1"/>
  <c r="J21" i="13"/>
  <c r="I18" i="13"/>
  <c r="I19" i="13" s="1"/>
  <c r="J17" i="13"/>
  <c r="B22" i="13"/>
  <c r="E84" i="13" l="1"/>
  <c r="E85" i="13"/>
  <c r="E87" i="13" s="1"/>
  <c r="D71" i="16"/>
  <c r="D74" i="16"/>
  <c r="D73" i="16"/>
  <c r="D72" i="16"/>
  <c r="E74" i="16"/>
  <c r="E73" i="16"/>
  <c r="E72" i="16"/>
  <c r="E71" i="16"/>
  <c r="E83" i="16"/>
  <c r="E84" i="16"/>
  <c r="E81" i="16"/>
  <c r="E82" i="16"/>
  <c r="E9" i="29"/>
  <c r="E17" i="29" s="1"/>
  <c r="E10" i="29"/>
  <c r="E18" i="29" s="1"/>
  <c r="E45" i="29"/>
  <c r="E53" i="29" s="1"/>
  <c r="E44" i="29"/>
  <c r="E52" i="29" s="1"/>
  <c r="E43" i="29"/>
  <c r="E51" i="29" s="1"/>
  <c r="E11" i="29"/>
  <c r="E19" i="29" s="1"/>
  <c r="E42" i="29"/>
  <c r="E50" i="29" s="1"/>
  <c r="E12" i="29"/>
  <c r="E20" i="29" s="1"/>
  <c r="G57" i="13"/>
  <c r="G60" i="13" s="1"/>
  <c r="H57" i="13"/>
  <c r="H60" i="13" s="1"/>
  <c r="H61" i="13" s="1"/>
  <c r="J57" i="13"/>
  <c r="J60" i="13" s="1"/>
  <c r="J61" i="13" s="1"/>
  <c r="I57" i="13"/>
  <c r="I60" i="13" s="1"/>
  <c r="I61" i="13" s="1"/>
  <c r="B39" i="13"/>
  <c r="B43" i="13" s="1"/>
  <c r="I16" i="13"/>
  <c r="I21" i="13" s="1"/>
  <c r="N7" i="16"/>
  <c r="D59" i="14"/>
  <c r="H32" i="14"/>
  <c r="H6" i="7" s="1"/>
  <c r="D6" i="7"/>
  <c r="D40" i="7" s="1"/>
  <c r="N9" i="7"/>
  <c r="Y6" i="16"/>
  <c r="Y8" i="16" s="1"/>
  <c r="H71" i="13"/>
  <c r="H74" i="13"/>
  <c r="E88" i="13"/>
  <c r="B84" i="13"/>
  <c r="B88" i="13" s="1"/>
  <c r="I84" i="13"/>
  <c r="J71" i="13"/>
  <c r="I87" i="13"/>
  <c r="O8" i="16"/>
  <c r="AH6" i="16"/>
  <c r="X8" i="16"/>
  <c r="I33" i="14"/>
  <c r="I7" i="7" s="1"/>
  <c r="O7" i="7"/>
  <c r="E35" i="14"/>
  <c r="E9" i="7" s="1"/>
  <c r="E7" i="7"/>
  <c r="E41" i="7" s="1"/>
  <c r="N8" i="16"/>
  <c r="J38" i="13"/>
  <c r="J39" i="13" s="1"/>
  <c r="X6" i="7"/>
  <c r="AH6" i="7" s="1"/>
  <c r="D7" i="17" s="1"/>
  <c r="I38" i="13"/>
  <c r="I41" i="13" s="1"/>
  <c r="E80" i="16"/>
  <c r="J87" i="13"/>
  <c r="J84" i="13"/>
  <c r="J74" i="13"/>
  <c r="E72" i="13"/>
  <c r="E74" i="13" s="1"/>
  <c r="E75" i="13" s="1"/>
  <c r="B21" i="13"/>
  <c r="B23" i="13" s="1"/>
  <c r="B24" i="13" s="1"/>
  <c r="H38" i="13"/>
  <c r="H41" i="13" s="1"/>
  <c r="H42" i="13" s="1"/>
  <c r="D33" i="14"/>
  <c r="H22" i="13"/>
  <c r="H23" i="13" s="1"/>
  <c r="G22" i="13"/>
  <c r="G6" i="7"/>
  <c r="G35" i="14"/>
  <c r="G9" i="7" s="1"/>
  <c r="I6" i="7"/>
  <c r="F6" i="7"/>
  <c r="G38" i="13"/>
  <c r="B71" i="13"/>
  <c r="B75" i="13" s="1"/>
  <c r="G85" i="13"/>
  <c r="G87" i="13" s="1"/>
  <c r="G84" i="13"/>
  <c r="H87" i="13"/>
  <c r="H84" i="13"/>
  <c r="I67" i="13"/>
  <c r="I71" i="13" s="1"/>
  <c r="G54" i="13"/>
  <c r="G59" i="13" s="1"/>
  <c r="G71" i="13"/>
  <c r="G72" i="13"/>
  <c r="G74" i="13" s="1"/>
  <c r="B62" i="13"/>
  <c r="G40" i="13"/>
  <c r="I40" i="13"/>
  <c r="I22" i="13"/>
  <c r="H20" i="13"/>
  <c r="G20" i="13"/>
  <c r="J19" i="13"/>
  <c r="G21" i="13"/>
  <c r="O64" i="16" l="1"/>
  <c r="O14" i="16"/>
  <c r="O11" i="16"/>
  <c r="O12" i="16"/>
  <c r="O13" i="16"/>
  <c r="N26" i="16"/>
  <c r="N23" i="16"/>
  <c r="N25" i="16"/>
  <c r="N24" i="16"/>
  <c r="N64" i="16" s="1"/>
  <c r="N13" i="16"/>
  <c r="N12" i="16"/>
  <c r="N14" i="16"/>
  <c r="N74" i="16" s="1"/>
  <c r="N11" i="16"/>
  <c r="X11" i="16" s="1"/>
  <c r="AH11" i="16" s="1"/>
  <c r="E56" i="29"/>
  <c r="E64" i="29" s="1"/>
  <c r="N76" i="16"/>
  <c r="N78" i="16"/>
  <c r="X78" i="16" s="1"/>
  <c r="AH78" i="16" s="1"/>
  <c r="N77" i="16"/>
  <c r="N79" i="16"/>
  <c r="D75" i="16"/>
  <c r="E57" i="29"/>
  <c r="E65" i="29" s="1"/>
  <c r="E55" i="29"/>
  <c r="E63" i="29" s="1"/>
  <c r="E54" i="29"/>
  <c r="E62" i="29" s="1"/>
  <c r="G75" i="13"/>
  <c r="H58" i="13"/>
  <c r="H62" i="13" s="1"/>
  <c r="G61" i="13"/>
  <c r="J58" i="13"/>
  <c r="I6" i="16" s="1"/>
  <c r="I58" i="13"/>
  <c r="R6" i="16" s="1"/>
  <c r="N8" i="7"/>
  <c r="I20" i="13"/>
  <c r="I23" i="13"/>
  <c r="Q7" i="16"/>
  <c r="G7" i="16"/>
  <c r="S7" i="16"/>
  <c r="I7" i="16"/>
  <c r="P7" i="16"/>
  <c r="F7" i="16"/>
  <c r="R7" i="16"/>
  <c r="H7" i="16"/>
  <c r="D10" i="17"/>
  <c r="AH8" i="16"/>
  <c r="AI6" i="16"/>
  <c r="E10" i="17" s="1"/>
  <c r="H75" i="13"/>
  <c r="Q8" i="7" s="1"/>
  <c r="AA8" i="7" s="1"/>
  <c r="AK8" i="7" s="1"/>
  <c r="G9" i="17" s="1"/>
  <c r="H88" i="13"/>
  <c r="J75" i="13"/>
  <c r="S8" i="7" s="1"/>
  <c r="AC8" i="7" s="1"/>
  <c r="AM8" i="7" s="1"/>
  <c r="I9" i="17" s="1"/>
  <c r="I88" i="13"/>
  <c r="J88" i="13"/>
  <c r="J41" i="13"/>
  <c r="J42" i="13" s="1"/>
  <c r="J43" i="13" s="1"/>
  <c r="E85" i="16"/>
  <c r="E75" i="16"/>
  <c r="I39" i="13"/>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I42" i="13"/>
  <c r="Y24" i="16"/>
  <c r="G41" i="13"/>
  <c r="G42" i="13" s="1"/>
  <c r="X24" i="16"/>
  <c r="G39" i="13"/>
  <c r="I72" i="13"/>
  <c r="I74" i="13" s="1"/>
  <c r="I75" i="13" s="1"/>
  <c r="R8" i="7" s="1"/>
  <c r="AB8" i="7" s="1"/>
  <c r="AL8" i="7" s="1"/>
  <c r="H9" i="17" s="1"/>
  <c r="G88" i="13"/>
  <c r="G58" i="13"/>
  <c r="P6" i="16" s="1"/>
  <c r="P8" i="7"/>
  <c r="Z8" i="7" s="1"/>
  <c r="AJ8" i="7" s="1"/>
  <c r="F9" i="17" s="1"/>
  <c r="J20" i="13"/>
  <c r="J22" i="13"/>
  <c r="J23" i="13" s="1"/>
  <c r="O66" i="16" l="1"/>
  <c r="Y26" i="16"/>
  <c r="O65" i="16"/>
  <c r="Y25" i="16"/>
  <c r="O63" i="16"/>
  <c r="O67" i="16" s="1"/>
  <c r="O68" i="16" s="1"/>
  <c r="Y23" i="16"/>
  <c r="N65" i="16"/>
  <c r="X25" i="16"/>
  <c r="N63" i="16"/>
  <c r="X23" i="16"/>
  <c r="N66" i="16"/>
  <c r="X26" i="16"/>
  <c r="O13" i="7"/>
  <c r="O14" i="7"/>
  <c r="O41" i="7" s="1"/>
  <c r="Y41" i="7" s="1"/>
  <c r="AI41" i="7" s="1"/>
  <c r="E21" i="17" s="1"/>
  <c r="O20" i="7"/>
  <c r="AI24" i="16"/>
  <c r="AI64" i="16" s="1"/>
  <c r="Y64" i="16"/>
  <c r="AH24" i="16"/>
  <c r="AH64" i="16" s="1"/>
  <c r="X64" i="16"/>
  <c r="AA6" i="7"/>
  <c r="AK6" i="7" s="1"/>
  <c r="G7" i="17" s="1"/>
  <c r="Y13" i="16"/>
  <c r="AI13" i="16" s="1"/>
  <c r="O73" i="16"/>
  <c r="Y73" i="16" s="1"/>
  <c r="AI73" i="16" s="1"/>
  <c r="O83" i="16"/>
  <c r="Y83" i="16" s="1"/>
  <c r="AI83" i="16" s="1"/>
  <c r="Y12" i="16"/>
  <c r="AI12" i="16" s="1"/>
  <c r="O82" i="16"/>
  <c r="Y82" i="16" s="1"/>
  <c r="AI82" i="16" s="1"/>
  <c r="O72" i="16"/>
  <c r="Y72" i="16" s="1"/>
  <c r="AI72" i="16" s="1"/>
  <c r="X13" i="16"/>
  <c r="AH13" i="16" s="1"/>
  <c r="N73" i="16"/>
  <c r="X73" i="16" s="1"/>
  <c r="AH73" i="16" s="1"/>
  <c r="N83" i="16"/>
  <c r="X83" i="16" s="1"/>
  <c r="AH83" i="16" s="1"/>
  <c r="D79" i="16"/>
  <c r="D76" i="16"/>
  <c r="D77" i="16"/>
  <c r="D78" i="16"/>
  <c r="D81" i="16"/>
  <c r="D82" i="16"/>
  <c r="D84" i="16"/>
  <c r="D83" i="16"/>
  <c r="N72" i="16"/>
  <c r="X72" i="16" s="1"/>
  <c r="AH72" i="16" s="1"/>
  <c r="X12" i="16"/>
  <c r="AH12" i="16" s="1"/>
  <c r="N82" i="16"/>
  <c r="X82" i="16" s="1"/>
  <c r="AH82" i="16" s="1"/>
  <c r="O71" i="16"/>
  <c r="Y71" i="16" s="1"/>
  <c r="AI71" i="16" s="1"/>
  <c r="O81" i="16"/>
  <c r="Y81" i="16" s="1"/>
  <c r="AI81" i="16" s="1"/>
  <c r="N71" i="16"/>
  <c r="X71" i="16" s="1"/>
  <c r="AH71" i="16" s="1"/>
  <c r="N81" i="16"/>
  <c r="X81" i="16" s="1"/>
  <c r="AH81" i="16" s="1"/>
  <c r="N80" i="16"/>
  <c r="G79" i="16"/>
  <c r="G76" i="16"/>
  <c r="G78" i="16"/>
  <c r="G77" i="16"/>
  <c r="Q79" i="16"/>
  <c r="AA79" i="16" s="1"/>
  <c r="AK79" i="16" s="1"/>
  <c r="Q77" i="16"/>
  <c r="AA77" i="16" s="1"/>
  <c r="AK77" i="16" s="1"/>
  <c r="Q76" i="16"/>
  <c r="Q78" i="16"/>
  <c r="AA78" i="16" s="1"/>
  <c r="AK78" i="16" s="1"/>
  <c r="S79" i="16"/>
  <c r="AC79" i="16" s="1"/>
  <c r="AM79" i="16" s="1"/>
  <c r="S77" i="16"/>
  <c r="AC77" i="16" s="1"/>
  <c r="AM77" i="16" s="1"/>
  <c r="S78" i="16"/>
  <c r="AC78" i="16" s="1"/>
  <c r="AM78" i="16" s="1"/>
  <c r="S76" i="16"/>
  <c r="AC76" i="16" s="1"/>
  <c r="AM76" i="16" s="1"/>
  <c r="H76" i="16"/>
  <c r="H79" i="16"/>
  <c r="H78" i="16"/>
  <c r="H77" i="16"/>
  <c r="F79" i="16"/>
  <c r="F78" i="16"/>
  <c r="F77" i="16"/>
  <c r="F76" i="16"/>
  <c r="I77" i="16"/>
  <c r="I76" i="16"/>
  <c r="I78" i="16"/>
  <c r="I79" i="16"/>
  <c r="I84" i="16"/>
  <c r="I73" i="16"/>
  <c r="I72" i="16"/>
  <c r="I83" i="16"/>
  <c r="I82" i="16"/>
  <c r="I74" i="16"/>
  <c r="I81" i="16"/>
  <c r="I71" i="16"/>
  <c r="N84" i="16"/>
  <c r="Q6" i="16"/>
  <c r="Q8" i="16" s="1"/>
  <c r="G6" i="16"/>
  <c r="S6" i="16"/>
  <c r="J62" i="13"/>
  <c r="I62" i="13"/>
  <c r="H6" i="16"/>
  <c r="I24" i="13"/>
  <c r="R6" i="7" s="1"/>
  <c r="AB6" i="7" s="1"/>
  <c r="AL6" i="7" s="1"/>
  <c r="H7" i="17" s="1"/>
  <c r="AB7" i="16"/>
  <c r="AL7" i="16" s="1"/>
  <c r="H11" i="17" s="1"/>
  <c r="AI8" i="16"/>
  <c r="Y11" i="16"/>
  <c r="AI11" i="16" s="1"/>
  <c r="X14" i="16"/>
  <c r="AH14" i="16" s="1"/>
  <c r="G62" i="13"/>
  <c r="F6" i="16"/>
  <c r="N15" i="16"/>
  <c r="AA7" i="16"/>
  <c r="AK7" i="16" s="1"/>
  <c r="G11" i="17" s="1"/>
  <c r="X77" i="16"/>
  <c r="AH77" i="16" s="1"/>
  <c r="X79" i="16"/>
  <c r="AH79" i="16" s="1"/>
  <c r="X76" i="16"/>
  <c r="AH76" i="16" s="1"/>
  <c r="X7" i="16"/>
  <c r="AH7" i="16" s="1"/>
  <c r="D11" i="17" s="1"/>
  <c r="AC7" i="16"/>
  <c r="AM7" i="16" s="1"/>
  <c r="I11" i="17" s="1"/>
  <c r="Z7" i="16"/>
  <c r="AJ7" i="16" s="1"/>
  <c r="F11" i="17" s="1"/>
  <c r="I43" i="13"/>
  <c r="R7" i="7" s="1"/>
  <c r="AB7" i="7" s="1"/>
  <c r="AL7" i="7" s="1"/>
  <c r="H8" i="17" s="1"/>
  <c r="D34" i="14"/>
  <c r="F7" i="7"/>
  <c r="F35" i="14"/>
  <c r="F9" i="7" s="1"/>
  <c r="H7" i="7"/>
  <c r="H35" i="14"/>
  <c r="H9" i="7" s="1"/>
  <c r="N10" i="7"/>
  <c r="N20" i="7" s="1"/>
  <c r="AB6" i="16"/>
  <c r="G43" i="13"/>
  <c r="P7" i="7" s="1"/>
  <c r="Z7" i="7" s="1"/>
  <c r="AJ7" i="7" s="1"/>
  <c r="F8" i="17" s="1"/>
  <c r="Q7" i="7"/>
  <c r="AA7" i="7" s="1"/>
  <c r="AK7" i="7" s="1"/>
  <c r="G8" i="17" s="1"/>
  <c r="S7" i="7"/>
  <c r="AC7" i="7" s="1"/>
  <c r="AM7" i="7" s="1"/>
  <c r="I8" i="17" s="1"/>
  <c r="J24" i="13"/>
  <c r="S6" i="7" s="1"/>
  <c r="AC6" i="7" s="1"/>
  <c r="AM6" i="7" s="1"/>
  <c r="I7" i="17" s="1"/>
  <c r="Q24" i="16" l="1"/>
  <c r="Q26" i="16"/>
  <c r="Q25" i="16"/>
  <c r="Q23" i="16"/>
  <c r="G71" i="16"/>
  <c r="AA6" i="16"/>
  <c r="AA8" i="16" s="1"/>
  <c r="AI23" i="16"/>
  <c r="AI63" i="16" s="1"/>
  <c r="Y63" i="16"/>
  <c r="AI25" i="16"/>
  <c r="AI65" i="16" s="1"/>
  <c r="Y65" i="16"/>
  <c r="AI26" i="16"/>
  <c r="AI66" i="16" s="1"/>
  <c r="Y66" i="16"/>
  <c r="X66" i="16"/>
  <c r="AH26" i="16"/>
  <c r="AH66" i="16" s="1"/>
  <c r="AH23" i="16"/>
  <c r="AH63" i="16" s="1"/>
  <c r="X63" i="16"/>
  <c r="N67" i="16"/>
  <c r="N68" i="16" s="1"/>
  <c r="AH25" i="16"/>
  <c r="AH65" i="16" s="1"/>
  <c r="X65" i="16"/>
  <c r="N13" i="7"/>
  <c r="N40" i="7" s="1"/>
  <c r="X40" i="7" s="1"/>
  <c r="AH40" i="7" s="1"/>
  <c r="D20" i="17" s="1"/>
  <c r="N14" i="7"/>
  <c r="N18" i="7"/>
  <c r="D85" i="16"/>
  <c r="N85" i="16"/>
  <c r="N75" i="16"/>
  <c r="F72" i="16"/>
  <c r="F83" i="16"/>
  <c r="F82" i="16"/>
  <c r="F74" i="16"/>
  <c r="F84" i="16"/>
  <c r="F73" i="16"/>
  <c r="F71" i="16"/>
  <c r="F81" i="16"/>
  <c r="G72" i="16"/>
  <c r="G83" i="16"/>
  <c r="G82" i="16"/>
  <c r="G74" i="16"/>
  <c r="G84" i="16"/>
  <c r="G73" i="16"/>
  <c r="G81" i="16"/>
  <c r="H84" i="16"/>
  <c r="H73" i="16"/>
  <c r="H72" i="16"/>
  <c r="H83" i="16"/>
  <c r="H82" i="16"/>
  <c r="H74" i="16"/>
  <c r="H71" i="16"/>
  <c r="H81" i="16"/>
  <c r="O84" i="16"/>
  <c r="O85" i="16" s="1"/>
  <c r="O86" i="16" s="1"/>
  <c r="Y50" i="16" s="1"/>
  <c r="O74" i="16"/>
  <c r="O75" i="16" s="1"/>
  <c r="X84" i="16"/>
  <c r="AH84" i="16" s="1"/>
  <c r="X74" i="16"/>
  <c r="AH74" i="16" s="1"/>
  <c r="C53" i="27"/>
  <c r="S8" i="16"/>
  <c r="AC6" i="16"/>
  <c r="AC8" i="16" s="1"/>
  <c r="F80" i="16"/>
  <c r="R8" i="16"/>
  <c r="Y14" i="16"/>
  <c r="AI14" i="16" s="1"/>
  <c r="O15" i="16"/>
  <c r="I75" i="16"/>
  <c r="I80" i="16"/>
  <c r="G80" i="16"/>
  <c r="I85" i="16"/>
  <c r="P8" i="16"/>
  <c r="Z6" i="16"/>
  <c r="Z8" i="16" s="1"/>
  <c r="Y14" i="7"/>
  <c r="AI14" i="7" s="1"/>
  <c r="AA76" i="16"/>
  <c r="AK76" i="16" s="1"/>
  <c r="Y13" i="7"/>
  <c r="AI13" i="7" s="1"/>
  <c r="O40" i="7"/>
  <c r="Y40" i="7" s="1"/>
  <c r="AI40" i="7" s="1"/>
  <c r="E20" i="17" s="1"/>
  <c r="Y20" i="7"/>
  <c r="AI20" i="7" s="1"/>
  <c r="O19" i="7"/>
  <c r="O36" i="7"/>
  <c r="O18" i="7"/>
  <c r="D80" i="16"/>
  <c r="H80" i="16"/>
  <c r="D8" i="7"/>
  <c r="D42" i="7" s="1"/>
  <c r="H34" i="14"/>
  <c r="H8" i="7" s="1"/>
  <c r="F34" i="14"/>
  <c r="F8" i="7" s="1"/>
  <c r="X8" i="7"/>
  <c r="AH8" i="7" s="1"/>
  <c r="D9" i="17" s="1"/>
  <c r="N42" i="7"/>
  <c r="X42" i="7" s="1"/>
  <c r="AH42" i="7" s="1"/>
  <c r="D22" i="17" s="1"/>
  <c r="AB8" i="16"/>
  <c r="AL6" i="16"/>
  <c r="H10" i="17" s="1"/>
  <c r="H13" i="7"/>
  <c r="G13" i="7"/>
  <c r="F13" i="7"/>
  <c r="I13" i="7"/>
  <c r="I15" i="7"/>
  <c r="S15" i="7" s="1"/>
  <c r="I14" i="7"/>
  <c r="H15" i="7"/>
  <c r="R15" i="7" s="1"/>
  <c r="H14" i="7"/>
  <c r="G15" i="7"/>
  <c r="Q15" i="7" s="1"/>
  <c r="F15" i="7"/>
  <c r="P15" i="7" s="1"/>
  <c r="G14" i="7"/>
  <c r="F14" i="7"/>
  <c r="H47" i="7"/>
  <c r="I47" i="7"/>
  <c r="I20" i="7"/>
  <c r="S37" i="7"/>
  <c r="I48" i="7"/>
  <c r="H48" i="7"/>
  <c r="Q37" i="7"/>
  <c r="P37" i="7"/>
  <c r="S26" i="16" l="1"/>
  <c r="S66" i="16" s="1"/>
  <c r="S23" i="16"/>
  <c r="S25" i="16"/>
  <c r="S24" i="16"/>
  <c r="S64" i="16" s="1"/>
  <c r="AK6" i="16"/>
  <c r="G10" i="17" s="1"/>
  <c r="Q41" i="16"/>
  <c r="Q36" i="16"/>
  <c r="Q43" i="16"/>
  <c r="Q38" i="16"/>
  <c r="Q44" i="16"/>
  <c r="Q39" i="16"/>
  <c r="Q37" i="16"/>
  <c r="Q42" i="16"/>
  <c r="S63" i="16"/>
  <c r="S65" i="16"/>
  <c r="S14" i="16"/>
  <c r="S11" i="16"/>
  <c r="AC11" i="16" s="1"/>
  <c r="AM11" i="16" s="1"/>
  <c r="S13" i="16"/>
  <c r="S12" i="16"/>
  <c r="R24" i="16"/>
  <c r="R26" i="16"/>
  <c r="R23" i="16"/>
  <c r="R25" i="16"/>
  <c r="R11" i="16"/>
  <c r="R12" i="16"/>
  <c r="R14" i="16"/>
  <c r="R13" i="16"/>
  <c r="Q65" i="16"/>
  <c r="Q63" i="16"/>
  <c r="Q66" i="16"/>
  <c r="Q64" i="16"/>
  <c r="Q12" i="16"/>
  <c r="AA12" i="16" s="1"/>
  <c r="AK12" i="16" s="1"/>
  <c r="Q13" i="16"/>
  <c r="Q73" i="16" s="1"/>
  <c r="Q14" i="16"/>
  <c r="Q11" i="16"/>
  <c r="Q81" i="16" s="1"/>
  <c r="AA81" i="16" s="1"/>
  <c r="AK81" i="16" s="1"/>
  <c r="P25" i="16"/>
  <c r="P23" i="16"/>
  <c r="P24" i="16"/>
  <c r="P26" i="16"/>
  <c r="P11" i="16"/>
  <c r="P71" i="16" s="1"/>
  <c r="P12" i="16"/>
  <c r="P13" i="16"/>
  <c r="P14" i="16"/>
  <c r="N19" i="7"/>
  <c r="N35" i="7" s="1"/>
  <c r="H49" i="7"/>
  <c r="H50" i="7" s="1"/>
  <c r="H51" i="7" s="1"/>
  <c r="I49" i="7"/>
  <c r="I50" i="7" s="1"/>
  <c r="I51" i="7" s="1"/>
  <c r="AC15" i="7"/>
  <c r="AM15" i="7" s="1"/>
  <c r="I14" i="17" s="1"/>
  <c r="AB15" i="7"/>
  <c r="AL15" i="7" s="1"/>
  <c r="H14" i="17" s="1"/>
  <c r="S47" i="7"/>
  <c r="R47" i="7"/>
  <c r="G75" i="16"/>
  <c r="G85" i="16"/>
  <c r="Y74" i="16"/>
  <c r="AI74" i="16" s="1"/>
  <c r="AM6" i="16"/>
  <c r="I10" i="17" s="1"/>
  <c r="C52" i="27" s="1"/>
  <c r="H75" i="16"/>
  <c r="H85" i="16"/>
  <c r="Y40" i="16"/>
  <c r="Y37" i="16"/>
  <c r="AI37" i="16" s="1"/>
  <c r="Y47" i="16"/>
  <c r="Y44" i="16"/>
  <c r="AI44" i="16" s="1"/>
  <c r="Y49" i="16"/>
  <c r="Y42" i="16"/>
  <c r="AI42" i="16" s="1"/>
  <c r="Y39" i="16"/>
  <c r="AI39" i="16" s="1"/>
  <c r="Y38" i="16"/>
  <c r="AI38" i="16" s="1"/>
  <c r="Y43" i="16"/>
  <c r="AI43" i="16" s="1"/>
  <c r="Y41" i="16"/>
  <c r="Y48" i="16"/>
  <c r="Y45" i="16"/>
  <c r="Y36" i="16"/>
  <c r="Y46" i="16"/>
  <c r="Y84" i="16"/>
  <c r="AI84" i="16" s="1"/>
  <c r="N86" i="16"/>
  <c r="X50" i="16" s="1"/>
  <c r="X44" i="16" s="1"/>
  <c r="AJ6" i="16"/>
  <c r="F10" i="17" s="1"/>
  <c r="F85" i="16"/>
  <c r="E12" i="17"/>
  <c r="E13" i="17"/>
  <c r="N36" i="7"/>
  <c r="F75" i="16"/>
  <c r="O35" i="7"/>
  <c r="Y19" i="7"/>
  <c r="AI19" i="7" s="1"/>
  <c r="O34" i="7"/>
  <c r="Y18" i="7"/>
  <c r="O21" i="7"/>
  <c r="Y21" i="7" s="1"/>
  <c r="AI21" i="7" s="1"/>
  <c r="X13" i="7"/>
  <c r="AH13" i="7" s="1"/>
  <c r="X14" i="7"/>
  <c r="AH14" i="7" s="1"/>
  <c r="N41" i="7"/>
  <c r="X41" i="7" s="1"/>
  <c r="AH41" i="7" s="1"/>
  <c r="D21" i="17" s="1"/>
  <c r="X20" i="7"/>
  <c r="AH20" i="7" s="1"/>
  <c r="AL8" i="16"/>
  <c r="AK8" i="16"/>
  <c r="H36" i="7"/>
  <c r="R37" i="7"/>
  <c r="G42" i="7"/>
  <c r="Q42" i="7"/>
  <c r="F41" i="7"/>
  <c r="H41" i="7"/>
  <c r="G41" i="7"/>
  <c r="F40" i="7"/>
  <c r="F42" i="7"/>
  <c r="I41" i="7"/>
  <c r="G40" i="7"/>
  <c r="I36" i="7"/>
  <c r="I18" i="7"/>
  <c r="I19" i="7"/>
  <c r="I40" i="7"/>
  <c r="H40" i="7"/>
  <c r="I42" i="7"/>
  <c r="H42" i="7"/>
  <c r="P36" i="16" l="1"/>
  <c r="P41" i="16"/>
  <c r="P38" i="16"/>
  <c r="P43" i="16"/>
  <c r="R64" i="16"/>
  <c r="R37" i="16"/>
  <c r="R42" i="16"/>
  <c r="P37" i="16"/>
  <c r="P47" i="16" s="1"/>
  <c r="P42" i="16"/>
  <c r="R66" i="16"/>
  <c r="R39" i="16"/>
  <c r="R44" i="16"/>
  <c r="R63" i="16"/>
  <c r="R36" i="16"/>
  <c r="R41" i="16"/>
  <c r="P44" i="16"/>
  <c r="P39" i="16"/>
  <c r="R65" i="16"/>
  <c r="R38" i="16"/>
  <c r="R43" i="16"/>
  <c r="S42" i="16"/>
  <c r="S37" i="16"/>
  <c r="S43" i="16"/>
  <c r="S38" i="16"/>
  <c r="S36" i="16"/>
  <c r="S41" i="16"/>
  <c r="Q48" i="16"/>
  <c r="S44" i="16"/>
  <c r="S39" i="16"/>
  <c r="Q49" i="16"/>
  <c r="Q47" i="16"/>
  <c r="Q40" i="16"/>
  <c r="Q57" i="16" s="1"/>
  <c r="Q46" i="16"/>
  <c r="Q45" i="16"/>
  <c r="Q62" i="16" s="1"/>
  <c r="AA13" i="16"/>
  <c r="AK13" i="16" s="1"/>
  <c r="N21" i="7"/>
  <c r="AA73" i="16"/>
  <c r="AK73" i="16" s="1"/>
  <c r="Q83" i="16"/>
  <c r="AA83" i="16" s="1"/>
  <c r="AK83" i="16" s="1"/>
  <c r="Q71" i="16"/>
  <c r="AA71" i="16" s="1"/>
  <c r="AK71" i="16" s="1"/>
  <c r="AA11" i="16"/>
  <c r="AK11" i="16" s="1"/>
  <c r="S42" i="7"/>
  <c r="AC42" i="7" s="1"/>
  <c r="AM42" i="7" s="1"/>
  <c r="I22" i="17" s="1"/>
  <c r="R42" i="7"/>
  <c r="AB42" i="7" s="1"/>
  <c r="AL42" i="7" s="1"/>
  <c r="H22" i="17" s="1"/>
  <c r="AC47" i="7"/>
  <c r="AM47" i="7" s="1"/>
  <c r="AB47" i="7"/>
  <c r="AL47" i="7" s="1"/>
  <c r="Y67" i="16"/>
  <c r="AI36" i="16"/>
  <c r="AI40" i="16" s="1"/>
  <c r="Y57" i="16"/>
  <c r="Y62" i="16"/>
  <c r="Q72" i="16"/>
  <c r="AA72" i="16" s="1"/>
  <c r="AK72" i="16" s="1"/>
  <c r="Q82" i="16"/>
  <c r="AA82" i="16" s="1"/>
  <c r="AK82" i="16" s="1"/>
  <c r="AC13" i="16"/>
  <c r="AM13" i="16" s="1"/>
  <c r="S83" i="16"/>
  <c r="AC83" i="16" s="1"/>
  <c r="AM83" i="16" s="1"/>
  <c r="S73" i="16"/>
  <c r="AC73" i="16" s="1"/>
  <c r="AM73" i="16" s="1"/>
  <c r="S81" i="16"/>
  <c r="AC81" i="16" s="1"/>
  <c r="AM81" i="16" s="1"/>
  <c r="S71" i="16"/>
  <c r="AC71" i="16" s="1"/>
  <c r="AM71" i="16" s="1"/>
  <c r="AC12" i="16"/>
  <c r="AM12" i="16" s="1"/>
  <c r="S72" i="16"/>
  <c r="AC72" i="16" s="1"/>
  <c r="AM72" i="16" s="1"/>
  <c r="S82" i="16"/>
  <c r="AC82" i="16" s="1"/>
  <c r="AM82" i="16" s="1"/>
  <c r="S84" i="16"/>
  <c r="S74" i="16"/>
  <c r="Q84" i="16"/>
  <c r="Q74" i="16"/>
  <c r="AM8" i="16"/>
  <c r="X40" i="16"/>
  <c r="AH44" i="16"/>
  <c r="X48" i="16"/>
  <c r="X38" i="16"/>
  <c r="AH38" i="16" s="1"/>
  <c r="X46" i="16"/>
  <c r="X43" i="16"/>
  <c r="AH43" i="16" s="1"/>
  <c r="X37" i="16"/>
  <c r="AH37" i="16" s="1"/>
  <c r="X41" i="16"/>
  <c r="X45" i="16"/>
  <c r="X49" i="16"/>
  <c r="X42" i="16"/>
  <c r="AH42" i="16" s="1"/>
  <c r="X36" i="16"/>
  <c r="X39" i="16"/>
  <c r="AH39" i="16" s="1"/>
  <c r="X47" i="16"/>
  <c r="N44" i="7"/>
  <c r="AA14" i="16"/>
  <c r="AK14" i="16" s="1"/>
  <c r="AC14" i="16"/>
  <c r="AM14" i="16" s="1"/>
  <c r="Y15" i="16"/>
  <c r="AJ8" i="16"/>
  <c r="Y20" i="16"/>
  <c r="AI41" i="16"/>
  <c r="D13" i="17"/>
  <c r="Y9" i="7"/>
  <c r="Y10" i="7" s="1"/>
  <c r="AI18" i="7"/>
  <c r="D12" i="17"/>
  <c r="X21" i="7"/>
  <c r="AH21" i="7" s="1"/>
  <c r="X18" i="7"/>
  <c r="X19" i="7"/>
  <c r="AH19" i="7" s="1"/>
  <c r="AI48" i="16"/>
  <c r="AI47" i="16"/>
  <c r="AI49" i="16"/>
  <c r="Z25" i="16"/>
  <c r="AJ25" i="16" s="1"/>
  <c r="AB25" i="16"/>
  <c r="AC25" i="16"/>
  <c r="AA25" i="16"/>
  <c r="P42" i="7"/>
  <c r="Z42" i="7" s="1"/>
  <c r="AJ42" i="7" s="1"/>
  <c r="Z15" i="7"/>
  <c r="AJ15" i="7" s="1"/>
  <c r="AA42" i="7"/>
  <c r="AA15" i="7"/>
  <c r="AK15" i="7" s="1"/>
  <c r="I35" i="7"/>
  <c r="I21" i="7"/>
  <c r="H35" i="7"/>
  <c r="I34" i="7"/>
  <c r="H34" i="7"/>
  <c r="S9" i="7"/>
  <c r="S10" i="7" s="1"/>
  <c r="R9" i="7"/>
  <c r="R10" i="7" s="1"/>
  <c r="S47" i="16" l="1"/>
  <c r="R40" i="16"/>
  <c r="R57" i="16" s="1"/>
  <c r="R46" i="16"/>
  <c r="R47" i="16"/>
  <c r="R48" i="16"/>
  <c r="R49" i="16"/>
  <c r="P48" i="16"/>
  <c r="R45" i="16"/>
  <c r="R62" i="16" s="1"/>
  <c r="P45" i="16"/>
  <c r="Q15" i="16"/>
  <c r="P49" i="16"/>
  <c r="P40" i="16"/>
  <c r="P46" i="16"/>
  <c r="S46" i="16"/>
  <c r="S40" i="16"/>
  <c r="S75" i="16" s="1"/>
  <c r="S48" i="16"/>
  <c r="S45" i="16"/>
  <c r="S62" i="16" s="1"/>
  <c r="S80" i="16"/>
  <c r="S49" i="16"/>
  <c r="Q75" i="16"/>
  <c r="Q20" i="16"/>
  <c r="Q21" i="16" s="1"/>
  <c r="Q50" i="16"/>
  <c r="Q67" i="16" s="1"/>
  <c r="Q68" i="16" s="1"/>
  <c r="Q80" i="16"/>
  <c r="S14" i="7"/>
  <c r="S13" i="7"/>
  <c r="R14" i="7"/>
  <c r="AB14" i="7" s="1"/>
  <c r="AL14" i="7" s="1"/>
  <c r="R13" i="7"/>
  <c r="S20" i="7"/>
  <c r="AC20" i="7" s="1"/>
  <c r="AM20" i="7" s="1"/>
  <c r="AM25" i="16"/>
  <c r="AM65" i="16" s="1"/>
  <c r="AC65" i="16"/>
  <c r="AK25" i="16"/>
  <c r="AK65" i="16" s="1"/>
  <c r="AA65" i="16"/>
  <c r="AL25" i="16"/>
  <c r="AL65" i="16" s="1"/>
  <c r="AB65" i="16"/>
  <c r="AI57" i="16"/>
  <c r="X62" i="16"/>
  <c r="X67" i="16"/>
  <c r="AH36" i="16"/>
  <c r="AH40" i="16" s="1"/>
  <c r="X57" i="16"/>
  <c r="AC74" i="16"/>
  <c r="AM74" i="16" s="1"/>
  <c r="AA84" i="16"/>
  <c r="AK84" i="16" s="1"/>
  <c r="AA74" i="16"/>
  <c r="AK74" i="16" s="1"/>
  <c r="R20" i="7"/>
  <c r="AB20" i="7" s="1"/>
  <c r="AL20" i="7" s="1"/>
  <c r="AI75" i="16"/>
  <c r="E24" i="17" s="1"/>
  <c r="AI95" i="16"/>
  <c r="AI92" i="16"/>
  <c r="AK42" i="7"/>
  <c r="G22" i="17" s="1"/>
  <c r="F22" i="17"/>
  <c r="AI45" i="16"/>
  <c r="AI80" i="16" s="1"/>
  <c r="E25" i="17" s="1"/>
  <c r="Y85" i="16"/>
  <c r="Y86" i="16" s="1"/>
  <c r="AC84" i="16"/>
  <c r="AM84" i="16" s="1"/>
  <c r="Y75" i="16"/>
  <c r="Y80" i="16"/>
  <c r="AI46" i="16"/>
  <c r="AI9" i="7"/>
  <c r="AI10" i="7" s="1"/>
  <c r="AI113" i="16"/>
  <c r="AI112" i="16"/>
  <c r="AI111" i="16"/>
  <c r="G14" i="17"/>
  <c r="F14" i="17"/>
  <c r="AH41" i="16"/>
  <c r="X15" i="16"/>
  <c r="AH48" i="16"/>
  <c r="AH49" i="16"/>
  <c r="AH47" i="16"/>
  <c r="X20" i="16"/>
  <c r="Y48" i="7"/>
  <c r="AI48" i="7" s="1"/>
  <c r="AI15" i="16"/>
  <c r="E31" i="17"/>
  <c r="X48" i="7"/>
  <c r="AH48" i="7" s="1"/>
  <c r="AH18" i="7"/>
  <c r="X9" i="7"/>
  <c r="X10" i="7" s="1"/>
  <c r="AA23" i="16"/>
  <c r="AA26" i="16"/>
  <c r="AA24" i="16"/>
  <c r="AB26" i="16"/>
  <c r="AB23" i="16"/>
  <c r="Z26" i="16"/>
  <c r="AJ26" i="16" s="1"/>
  <c r="Z23" i="16"/>
  <c r="AJ23" i="16" s="1"/>
  <c r="AB24" i="16"/>
  <c r="Z24" i="16"/>
  <c r="AJ24" i="16" s="1"/>
  <c r="AC24" i="16"/>
  <c r="AC26" i="16"/>
  <c r="AC23" i="16"/>
  <c r="I43" i="7"/>
  <c r="H43" i="7"/>
  <c r="P50" i="16" l="1"/>
  <c r="S20" i="16"/>
  <c r="S21" i="16" s="1"/>
  <c r="R50" i="16"/>
  <c r="R67" i="16" s="1"/>
  <c r="R68" i="16" s="1"/>
  <c r="Q85" i="16"/>
  <c r="Q86" i="16" s="1"/>
  <c r="AA50" i="16" s="1"/>
  <c r="AA41" i="16" s="1"/>
  <c r="S57" i="16"/>
  <c r="S15" i="16"/>
  <c r="S50" i="16"/>
  <c r="S85" i="16" s="1"/>
  <c r="S86" i="16" s="1"/>
  <c r="AC50" i="16" s="1"/>
  <c r="AC46" i="16" s="1"/>
  <c r="AM23" i="16"/>
  <c r="AM63" i="16" s="1"/>
  <c r="AC63" i="16"/>
  <c r="AM26" i="16"/>
  <c r="AM66" i="16" s="1"/>
  <c r="AC66" i="16"/>
  <c r="AL26" i="16"/>
  <c r="AL66" i="16" s="1"/>
  <c r="AB66" i="16"/>
  <c r="AM24" i="16"/>
  <c r="AM64" i="16" s="1"/>
  <c r="AC64" i="16"/>
  <c r="AK26" i="16"/>
  <c r="AK66" i="16" s="1"/>
  <c r="AA66" i="16"/>
  <c r="AL24" i="16"/>
  <c r="AL64" i="16" s="1"/>
  <c r="AB64" i="16"/>
  <c r="AK24" i="16"/>
  <c r="AK64" i="16" s="1"/>
  <c r="AA64" i="16"/>
  <c r="AK23" i="16"/>
  <c r="AK63" i="16" s="1"/>
  <c r="AA63" i="16"/>
  <c r="AL23" i="16"/>
  <c r="AL63" i="16" s="1"/>
  <c r="AB63" i="16"/>
  <c r="AI110" i="16"/>
  <c r="AI114" i="16" s="1"/>
  <c r="E74" i="17" s="1"/>
  <c r="AI62" i="16"/>
  <c r="AH57" i="16"/>
  <c r="AH45" i="16"/>
  <c r="D32" i="17" s="1"/>
  <c r="AH15" i="16"/>
  <c r="AH89" i="16" s="1"/>
  <c r="AH95" i="16"/>
  <c r="AH92" i="16"/>
  <c r="E32" i="17"/>
  <c r="X85" i="16"/>
  <c r="X86" i="16" s="1"/>
  <c r="AI89" i="16"/>
  <c r="E15" i="17"/>
  <c r="AI20" i="16"/>
  <c r="AI50" i="16"/>
  <c r="AI98" i="16" s="1"/>
  <c r="AH9" i="7"/>
  <c r="AH10" i="7" s="1"/>
  <c r="AH113" i="16"/>
  <c r="AH112" i="16"/>
  <c r="AH111" i="16"/>
  <c r="AH46" i="16"/>
  <c r="AI102" i="16"/>
  <c r="E58" i="17" s="1"/>
  <c r="AI101" i="16"/>
  <c r="E57" i="17" s="1"/>
  <c r="H13" i="17"/>
  <c r="X80" i="16"/>
  <c r="X75" i="16"/>
  <c r="D31" i="17"/>
  <c r="AH75" i="16"/>
  <c r="D24" i="17" s="1"/>
  <c r="Y49" i="7"/>
  <c r="AI106" i="16"/>
  <c r="AI107" i="16"/>
  <c r="E68" i="17"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F47" i="7"/>
  <c r="G48" i="7"/>
  <c r="F48" i="7"/>
  <c r="S67" i="16" l="1"/>
  <c r="S68" i="16" s="1"/>
  <c r="AA36" i="16"/>
  <c r="AK36" i="16" s="1"/>
  <c r="AA42" i="16"/>
  <c r="AK42" i="16" s="1"/>
  <c r="AA37" i="16"/>
  <c r="AK37" i="16" s="1"/>
  <c r="AA49" i="16"/>
  <c r="AA40" i="16"/>
  <c r="AA44" i="16"/>
  <c r="AK44" i="16" s="1"/>
  <c r="AA48" i="16"/>
  <c r="AA47" i="16"/>
  <c r="AA38" i="16"/>
  <c r="AK38" i="16" s="1"/>
  <c r="AA45" i="16"/>
  <c r="AA46" i="16"/>
  <c r="AA43" i="16"/>
  <c r="AK43" i="16" s="1"/>
  <c r="AA39" i="16"/>
  <c r="F49" i="7"/>
  <c r="F50" i="7" s="1"/>
  <c r="F51" i="7" s="1"/>
  <c r="G49" i="7"/>
  <c r="G51" i="7" s="1"/>
  <c r="AH62" i="16"/>
  <c r="AH20" i="16"/>
  <c r="AH108" i="16" s="1"/>
  <c r="D69" i="17" s="1"/>
  <c r="P47" i="7"/>
  <c r="Q47" i="7"/>
  <c r="AH80" i="16"/>
  <c r="D25" i="17" s="1"/>
  <c r="AI67" i="16"/>
  <c r="AH110" i="16"/>
  <c r="AH114" i="16" s="1"/>
  <c r="D74" i="17" s="1"/>
  <c r="AC37" i="16"/>
  <c r="AM37" i="16" s="1"/>
  <c r="AC39" i="16"/>
  <c r="AM39" i="16" s="1"/>
  <c r="AC49" i="16"/>
  <c r="AC42" i="16"/>
  <c r="AM42" i="16" s="1"/>
  <c r="AC38" i="16"/>
  <c r="AM38" i="16" s="1"/>
  <c r="AC45" i="16"/>
  <c r="AC36" i="16"/>
  <c r="AC43" i="16"/>
  <c r="AM43" i="16" s="1"/>
  <c r="AC48" i="16"/>
  <c r="AC41" i="16"/>
  <c r="AC40" i="16"/>
  <c r="AC44" i="16"/>
  <c r="AM44" i="16" s="1"/>
  <c r="AC47" i="16"/>
  <c r="D15" i="17"/>
  <c r="AH102" i="16"/>
  <c r="D58" i="17" s="1"/>
  <c r="AH106" i="16"/>
  <c r="D67" i="17" s="1"/>
  <c r="AH107" i="16"/>
  <c r="D68" i="17" s="1"/>
  <c r="AH101" i="16"/>
  <c r="D57" i="17" s="1"/>
  <c r="AI108" i="16"/>
  <c r="E69" i="17" s="1"/>
  <c r="AB40" i="7"/>
  <c r="AL40" i="7" s="1"/>
  <c r="H20" i="17" s="1"/>
  <c r="E33" i="17"/>
  <c r="F10" i="26" s="1"/>
  <c r="J20" i="26" s="1"/>
  <c r="E51" i="17"/>
  <c r="AI103" i="16"/>
  <c r="E59" i="17" s="1"/>
  <c r="AI90" i="16"/>
  <c r="AI91" i="16" s="1"/>
  <c r="E38" i="17" s="1"/>
  <c r="AI94" i="16"/>
  <c r="E43" i="17" s="1"/>
  <c r="AI85" i="16"/>
  <c r="E26" i="17" s="1"/>
  <c r="F8" i="26" s="1"/>
  <c r="AH50" i="16"/>
  <c r="AH98" i="16" s="1"/>
  <c r="X49" i="7"/>
  <c r="AH49" i="7" s="1"/>
  <c r="AH50" i="7" s="1"/>
  <c r="AI97" i="16"/>
  <c r="E47" i="17" s="1"/>
  <c r="AH97" i="16"/>
  <c r="D47" i="17" s="1"/>
  <c r="AH94" i="16"/>
  <c r="D43" i="17" s="1"/>
  <c r="E67" i="17"/>
  <c r="I13" i="17"/>
  <c r="I12" i="17"/>
  <c r="H12" i="17"/>
  <c r="Y36" i="7"/>
  <c r="Y34" i="7"/>
  <c r="Y35" i="7"/>
  <c r="Y50" i="7"/>
  <c r="AI49" i="7"/>
  <c r="AI50" i="7" s="1"/>
  <c r="AK41" i="16"/>
  <c r="AM40" i="7"/>
  <c r="I20" i="17" s="1"/>
  <c r="S35" i="7"/>
  <c r="AC19" i="7"/>
  <c r="AM19" i="7" s="1"/>
  <c r="S34" i="7"/>
  <c r="AC18" i="7"/>
  <c r="R34" i="7"/>
  <c r="AB18" i="7"/>
  <c r="R35" i="7"/>
  <c r="AB19" i="7"/>
  <c r="AL19" i="7" s="1"/>
  <c r="S21" i="7"/>
  <c r="AC21" i="7" s="1"/>
  <c r="AM21" i="7" s="1"/>
  <c r="R21" i="7"/>
  <c r="AB21" i="7" s="1"/>
  <c r="AL21" i="7" s="1"/>
  <c r="AA15" i="16" l="1"/>
  <c r="AA67" i="16"/>
  <c r="AA57" i="16"/>
  <c r="AA75" i="16"/>
  <c r="AA20" i="16"/>
  <c r="AK39" i="16"/>
  <c r="AK49" i="16" s="1"/>
  <c r="AA62" i="16"/>
  <c r="AH90" i="16"/>
  <c r="AH91" i="16" s="1"/>
  <c r="D38" i="17" s="1"/>
  <c r="AH103" i="16"/>
  <c r="D59" i="17" s="1"/>
  <c r="AA47" i="7"/>
  <c r="AK47" i="7" s="1"/>
  <c r="Z47" i="7"/>
  <c r="AJ47" i="7" s="1"/>
  <c r="X34" i="7"/>
  <c r="AH34" i="7" s="1"/>
  <c r="X36" i="7"/>
  <c r="AH36" i="7" s="1"/>
  <c r="AC67" i="16"/>
  <c r="AH67" i="16"/>
  <c r="AM36" i="16"/>
  <c r="AM40" i="16" s="1"/>
  <c r="AC57" i="16"/>
  <c r="AM41" i="16"/>
  <c r="AC62" i="16"/>
  <c r="AC15" i="16"/>
  <c r="AC20" i="16"/>
  <c r="E77" i="17"/>
  <c r="AI109" i="16"/>
  <c r="R43" i="7"/>
  <c r="E36" i="17"/>
  <c r="D33" i="17"/>
  <c r="E10" i="26" s="1"/>
  <c r="D51" i="17"/>
  <c r="D77" i="17"/>
  <c r="AI86" i="16"/>
  <c r="AH85" i="16"/>
  <c r="D26" i="17" s="1"/>
  <c r="E8" i="26" s="1"/>
  <c r="X35" i="7"/>
  <c r="AH35" i="7" s="1"/>
  <c r="AH109" i="16"/>
  <c r="Y37" i="7"/>
  <c r="Y44" i="7" s="1"/>
  <c r="AI36" i="7"/>
  <c r="AI82" i="7" s="1"/>
  <c r="AI34" i="7"/>
  <c r="AI35" i="7"/>
  <c r="X50" i="7"/>
  <c r="AC80" i="16"/>
  <c r="AA80" i="16"/>
  <c r="AC75" i="16"/>
  <c r="AK45" i="16"/>
  <c r="AK80" i="16" s="1"/>
  <c r="G25" i="17" s="1"/>
  <c r="AK47" i="16"/>
  <c r="AK48" i="16"/>
  <c r="AA85" i="16"/>
  <c r="AA86" i="16" s="1"/>
  <c r="AC85" i="16"/>
  <c r="AC86" i="16" s="1"/>
  <c r="AM48" i="16"/>
  <c r="AK40" i="16"/>
  <c r="AK57" i="16" s="1"/>
  <c r="AK46" i="16"/>
  <c r="AM47" i="16"/>
  <c r="AM49" i="16"/>
  <c r="AM18" i="7"/>
  <c r="AC9" i="7"/>
  <c r="AC10" i="7" s="1"/>
  <c r="AB9" i="7"/>
  <c r="AB10" i="7" s="1"/>
  <c r="AL18" i="7"/>
  <c r="S43" i="7"/>
  <c r="AK75" i="16" l="1"/>
  <c r="G24" i="17" s="1"/>
  <c r="AM46" i="16"/>
  <c r="AM50" i="16" s="1"/>
  <c r="AM98" i="16" s="1"/>
  <c r="AM45" i="16"/>
  <c r="AM62" i="16" s="1"/>
  <c r="AM57" i="16"/>
  <c r="AK62" i="16"/>
  <c r="AH37" i="7"/>
  <c r="AH65" i="7" s="1"/>
  <c r="X37" i="7"/>
  <c r="AM75" i="16"/>
  <c r="I24" i="17" s="1"/>
  <c r="AM92" i="16"/>
  <c r="AM95" i="16"/>
  <c r="AK15" i="16"/>
  <c r="AK95" i="16"/>
  <c r="AK92" i="16"/>
  <c r="R44" i="7"/>
  <c r="R48" i="7" s="1"/>
  <c r="R49" i="7" s="1"/>
  <c r="R50" i="7" s="1"/>
  <c r="AH57" i="7"/>
  <c r="AH61" i="7"/>
  <c r="AI58" i="7"/>
  <c r="AI62" i="7"/>
  <c r="AH58" i="7"/>
  <c r="AH62" i="7"/>
  <c r="AI57" i="7"/>
  <c r="AI61" i="7"/>
  <c r="D36" i="17"/>
  <c r="S44" i="7"/>
  <c r="S48" i="7" s="1"/>
  <c r="S49" i="7" s="1"/>
  <c r="S50" i="7" s="1"/>
  <c r="AC36" i="7" s="1"/>
  <c r="AH55" i="7"/>
  <c r="AH82" i="7"/>
  <c r="AH85" i="7" s="1"/>
  <c r="D66" i="17" s="1"/>
  <c r="D72" i="17" s="1"/>
  <c r="AH78" i="7"/>
  <c r="AH86" i="16"/>
  <c r="AH53" i="7"/>
  <c r="AH54" i="7"/>
  <c r="AM9" i="7"/>
  <c r="AM10" i="7" s="1"/>
  <c r="AL9" i="7"/>
  <c r="AL10" i="7" s="1"/>
  <c r="AM113" i="16"/>
  <c r="AM112" i="16"/>
  <c r="AK113" i="16"/>
  <c r="AM111" i="16"/>
  <c r="AK112" i="16"/>
  <c r="AK111"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AK110" i="16"/>
  <c r="AM15" i="16"/>
  <c r="I31" i="17"/>
  <c r="AH87" i="7"/>
  <c r="D28" i="17"/>
  <c r="AK20" i="16"/>
  <c r="AK108" i="16" s="1"/>
  <c r="G32" i="17"/>
  <c r="AH86" i="7"/>
  <c r="D27" i="17"/>
  <c r="G31" i="17"/>
  <c r="AM110" i="16"/>
  <c r="AH88" i="7"/>
  <c r="D29" i="17"/>
  <c r="AH80" i="7"/>
  <c r="AH81" i="7"/>
  <c r="AH79" i="7"/>
  <c r="AK50" i="16"/>
  <c r="AK98" i="16" s="1"/>
  <c r="G20" i="7"/>
  <c r="AK101" i="16" l="1"/>
  <c r="G57" i="17" s="1"/>
  <c r="AK89" i="16"/>
  <c r="AK107" i="16"/>
  <c r="G68" i="17" s="1"/>
  <c r="AK106" i="16"/>
  <c r="AK102" i="16"/>
  <c r="G58" i="17" s="1"/>
  <c r="AM80" i="16"/>
  <c r="I25" i="17" s="1"/>
  <c r="I32" i="17"/>
  <c r="AM20" i="16"/>
  <c r="AM108" i="16" s="1"/>
  <c r="I69" i="17" s="1"/>
  <c r="AM67" i="16"/>
  <c r="AK67" i="16"/>
  <c r="AH83" i="7"/>
  <c r="D64" i="17" s="1"/>
  <c r="AH60" i="7"/>
  <c r="D42" i="17" s="1"/>
  <c r="D44" i="17" s="1"/>
  <c r="D45" i="17" s="1"/>
  <c r="G33" i="17"/>
  <c r="G36" i="17" s="1"/>
  <c r="G51" i="17"/>
  <c r="I33" i="17"/>
  <c r="I51" i="17"/>
  <c r="AI60" i="7"/>
  <c r="E42" i="17" s="1"/>
  <c r="E44" i="17" s="1"/>
  <c r="E45" i="17" s="1"/>
  <c r="AH64" i="7"/>
  <c r="D46" i="17" s="1"/>
  <c r="D48" i="17" s="1"/>
  <c r="D49" i="17" s="1"/>
  <c r="D23" i="17"/>
  <c r="E7" i="26" s="1"/>
  <c r="D50" i="17"/>
  <c r="D52" i="17" s="1"/>
  <c r="D53" i="17" s="1"/>
  <c r="E30" i="17"/>
  <c r="F9" i="26" s="1"/>
  <c r="J19" i="26" s="1"/>
  <c r="AI65" i="7"/>
  <c r="E50" i="17" s="1"/>
  <c r="E52" i="17" s="1"/>
  <c r="E53" i="17" s="1"/>
  <c r="AI64" i="7"/>
  <c r="E46" i="17" s="1"/>
  <c r="E48" i="17" s="1"/>
  <c r="E49" i="17" s="1"/>
  <c r="AK90" i="16"/>
  <c r="AM89" i="16"/>
  <c r="AM114" i="16"/>
  <c r="I74" i="17" s="1"/>
  <c r="AK114" i="16"/>
  <c r="G74" i="17" s="1"/>
  <c r="I15" i="17"/>
  <c r="AM102" i="16"/>
  <c r="I58" i="17" s="1"/>
  <c r="AM101" i="16"/>
  <c r="I57" i="17" s="1"/>
  <c r="G15" i="17"/>
  <c r="AI83" i="7"/>
  <c r="AI56" i="7"/>
  <c r="E37" i="17" s="1"/>
  <c r="E40" i="17" s="1"/>
  <c r="E41" i="17" s="1"/>
  <c r="AI73" i="7"/>
  <c r="E54" i="17" s="1"/>
  <c r="E60" i="17" s="1"/>
  <c r="AI74" i="7"/>
  <c r="E55" i="17" s="1"/>
  <c r="E61" i="17" s="1"/>
  <c r="AI89" i="7"/>
  <c r="E73" i="17" s="1"/>
  <c r="E75" i="17" s="1"/>
  <c r="AI84" i="7"/>
  <c r="E65" i="17" s="1"/>
  <c r="AM106" i="16"/>
  <c r="AM107" i="16"/>
  <c r="I68" i="17" s="1"/>
  <c r="AK85" i="16"/>
  <c r="AK86" i="16" s="1"/>
  <c r="AM85" i="16"/>
  <c r="AM86" i="16" s="1"/>
  <c r="D30" i="17"/>
  <c r="E9" i="26" s="1"/>
  <c r="AH89" i="7"/>
  <c r="D73" i="17" s="1"/>
  <c r="D75" i="17" s="1"/>
  <c r="AK103" i="16"/>
  <c r="G59" i="17" s="1"/>
  <c r="G69" i="17"/>
  <c r="AH84" i="7"/>
  <c r="D65" i="17" s="1"/>
  <c r="D71" i="17" s="1"/>
  <c r="AH74" i="7"/>
  <c r="D55" i="17" s="1"/>
  <c r="D61" i="17" s="1"/>
  <c r="AH56" i="7"/>
  <c r="D37" i="17" s="1"/>
  <c r="D40" i="17" s="1"/>
  <c r="D41" i="17" s="1"/>
  <c r="AH73" i="7"/>
  <c r="D54" i="17" s="1"/>
  <c r="D60" i="17" s="1"/>
  <c r="AB48" i="7"/>
  <c r="AL48" i="7" s="1"/>
  <c r="G18" i="7"/>
  <c r="G19" i="7"/>
  <c r="G36" i="7"/>
  <c r="F20" i="7"/>
  <c r="AK91" i="16" l="1"/>
  <c r="G38" i="17" s="1"/>
  <c r="C33" i="27" s="1"/>
  <c r="AC48" i="7"/>
  <c r="AM48" i="7" s="1"/>
  <c r="AM103" i="16"/>
  <c r="I59" i="17" s="1"/>
  <c r="AM90" i="16"/>
  <c r="AM91" i="16" s="1"/>
  <c r="I38" i="17" s="1"/>
  <c r="H10" i="26"/>
  <c r="C36" i="27"/>
  <c r="I36" i="17"/>
  <c r="J10" i="26"/>
  <c r="E63" i="17"/>
  <c r="F18" i="7"/>
  <c r="D63" i="17"/>
  <c r="C43" i="27"/>
  <c r="AB49" i="7"/>
  <c r="AB50" i="7" s="1"/>
  <c r="E23" i="17"/>
  <c r="F7" i="26" s="1"/>
  <c r="AI44" i="7"/>
  <c r="E34" i="17"/>
  <c r="D34" i="17"/>
  <c r="E64" i="17"/>
  <c r="E70" i="17" s="1"/>
  <c r="D76" i="17"/>
  <c r="D78" i="17" s="1"/>
  <c r="AM97" i="16"/>
  <c r="I47" i="17" s="1"/>
  <c r="E35" i="17"/>
  <c r="AH44" i="7"/>
  <c r="AK97" i="16"/>
  <c r="G47" i="17" s="1"/>
  <c r="AK94" i="16"/>
  <c r="G43" i="17" s="1"/>
  <c r="AM94" i="16"/>
  <c r="I43" i="17" s="1"/>
  <c r="G67" i="17"/>
  <c r="G77" i="17" s="1"/>
  <c r="AK109" i="16"/>
  <c r="I67" i="17"/>
  <c r="I77" i="17" s="1"/>
  <c r="AM109" i="16"/>
  <c r="E71" i="17"/>
  <c r="I26" i="17"/>
  <c r="D35" i="17"/>
  <c r="G26" i="17"/>
  <c r="D70" i="17"/>
  <c r="AC49" i="7"/>
  <c r="AC50" i="7" s="1"/>
  <c r="G35" i="7"/>
  <c r="F19" i="7"/>
  <c r="F36" i="7"/>
  <c r="G21" i="7"/>
  <c r="Q9" i="7"/>
  <c r="Q10" i="7" s="1"/>
  <c r="G34" i="7"/>
  <c r="C57" i="27" l="1"/>
  <c r="C55" i="27"/>
  <c r="Q14" i="7"/>
  <c r="Q13" i="7"/>
  <c r="J8" i="26"/>
  <c r="J24" i="26" s="1"/>
  <c r="Q20" i="7"/>
  <c r="G83" i="17"/>
  <c r="H20" i="26"/>
  <c r="H22" i="26" s="1"/>
  <c r="J22" i="26"/>
  <c r="H8" i="26"/>
  <c r="C46" i="27"/>
  <c r="F21" i="7"/>
  <c r="AL49" i="7"/>
  <c r="AL50" i="7" s="1"/>
  <c r="E76" i="17"/>
  <c r="E78" i="17" s="1"/>
  <c r="P9" i="7"/>
  <c r="AB36" i="7"/>
  <c r="AB34" i="7"/>
  <c r="AB35" i="7"/>
  <c r="AL35" i="7" s="1"/>
  <c r="AC34" i="7"/>
  <c r="AC35" i="7"/>
  <c r="AM49" i="7"/>
  <c r="AM50" i="7" s="1"/>
  <c r="F34" i="7"/>
  <c r="F35" i="7"/>
  <c r="G43" i="7"/>
  <c r="H24" i="26" l="1"/>
  <c r="H28" i="26" s="1"/>
  <c r="AA13" i="7"/>
  <c r="AK13" i="7" s="1"/>
  <c r="G12" i="17" s="1"/>
  <c r="Q40" i="7"/>
  <c r="J28" i="26"/>
  <c r="J26" i="26"/>
  <c r="P10" i="7"/>
  <c r="AL58" i="7"/>
  <c r="AL62" i="7"/>
  <c r="F43" i="7"/>
  <c r="AA20" i="7"/>
  <c r="AK20" i="7" s="1"/>
  <c r="Q18" i="7"/>
  <c r="Q34" i="7" s="1"/>
  <c r="AL54" i="7"/>
  <c r="AL71" i="7"/>
  <c r="AL69" i="7"/>
  <c r="AB37" i="7"/>
  <c r="AB43" i="7" s="1"/>
  <c r="AB44" i="7" s="1"/>
  <c r="H28" i="17"/>
  <c r="AL87" i="7"/>
  <c r="AL79" i="7"/>
  <c r="AL81" i="7"/>
  <c r="AL34" i="7"/>
  <c r="AL61" i="7" s="1"/>
  <c r="AL36" i="7"/>
  <c r="AL82" i="7" s="1"/>
  <c r="Q41" i="7"/>
  <c r="AA41" i="7" s="1"/>
  <c r="AK41" i="7" s="1"/>
  <c r="G21" i="17" s="1"/>
  <c r="AA14" i="7"/>
  <c r="AK14" i="7" s="1"/>
  <c r="AM35" i="7"/>
  <c r="AM36" i="7"/>
  <c r="AM82" i="7" s="1"/>
  <c r="AM34" i="7"/>
  <c r="AM61" i="7" s="1"/>
  <c r="AC37" i="7"/>
  <c r="Q36" i="7"/>
  <c r="Q19" i="7"/>
  <c r="H26" i="26" l="1"/>
  <c r="H30" i="26" s="1"/>
  <c r="P14" i="7"/>
  <c r="P13" i="7"/>
  <c r="Z13" i="7" s="1"/>
  <c r="AJ13" i="7" s="1"/>
  <c r="F12" i="17" s="1"/>
  <c r="AC43" i="7"/>
  <c r="AC44" i="7" s="1"/>
  <c r="AC38" i="7"/>
  <c r="P20" i="7"/>
  <c r="P19" i="7" s="1"/>
  <c r="J30" i="26"/>
  <c r="AM58" i="7"/>
  <c r="AM62" i="7"/>
  <c r="AL37" i="7"/>
  <c r="AL65" i="7" s="1"/>
  <c r="AA40" i="7"/>
  <c r="AK40" i="7" s="1"/>
  <c r="G20" i="17" s="1"/>
  <c r="AM57" i="7"/>
  <c r="AL57" i="7"/>
  <c r="AL60" i="7" s="1"/>
  <c r="AL64" i="7"/>
  <c r="AL53" i="7"/>
  <c r="AM53" i="7"/>
  <c r="AM55" i="7"/>
  <c r="AL55" i="7"/>
  <c r="AM54" i="7"/>
  <c r="AM71" i="7"/>
  <c r="AM69" i="7"/>
  <c r="AM68" i="7"/>
  <c r="AM70" i="7"/>
  <c r="AL68" i="7"/>
  <c r="AL73" i="7" s="1"/>
  <c r="H54" i="17" s="1"/>
  <c r="AL70" i="7"/>
  <c r="AL74" i="7" s="1"/>
  <c r="H55" i="17" s="1"/>
  <c r="G13" i="17"/>
  <c r="AL85" i="7"/>
  <c r="H66"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AL72" i="7"/>
  <c r="AL75" i="7" s="1"/>
  <c r="H56" i="17" s="1"/>
  <c r="AM72" i="7"/>
  <c r="AM75" i="7" s="1"/>
  <c r="I56" i="17" s="1"/>
  <c r="AM37" i="7"/>
  <c r="AM65" i="7" s="1"/>
  <c r="AA18" i="7"/>
  <c r="Q35" i="7"/>
  <c r="Q43" i="7" s="1"/>
  <c r="AA19" i="7"/>
  <c r="AK19" i="7" s="1"/>
  <c r="Q21" i="7"/>
  <c r="AA21" i="7" s="1"/>
  <c r="AK21" i="7" s="1"/>
  <c r="Q44" i="7" l="1"/>
  <c r="P36" i="7"/>
  <c r="G80" i="17"/>
  <c r="P18" i="7"/>
  <c r="P34" i="7" s="1"/>
  <c r="Z20" i="7"/>
  <c r="AJ20" i="7" s="1"/>
  <c r="P35" i="7"/>
  <c r="Z19" i="7"/>
  <c r="AJ19" i="7" s="1"/>
  <c r="P40" i="7"/>
  <c r="Z40" i="7" s="1"/>
  <c r="P41" i="7"/>
  <c r="Z41" i="7" s="1"/>
  <c r="AJ41" i="7" s="1"/>
  <c r="F21" i="17" s="1"/>
  <c r="Z14" i="7"/>
  <c r="AJ14" i="7" s="1"/>
  <c r="F13" i="17" s="1"/>
  <c r="I62" i="17"/>
  <c r="AM43" i="7"/>
  <c r="AM44" i="7" s="1"/>
  <c r="AL43" i="7"/>
  <c r="AL44" i="7" s="1"/>
  <c r="AM64" i="7"/>
  <c r="I46" i="17" s="1"/>
  <c r="I48" i="17" s="1"/>
  <c r="I49" i="17" s="1"/>
  <c r="AM60" i="7"/>
  <c r="I42" i="17" s="1"/>
  <c r="I44" i="17" s="1"/>
  <c r="I45" i="17" s="1"/>
  <c r="H46" i="17"/>
  <c r="I50" i="17"/>
  <c r="I52" i="17" s="1"/>
  <c r="I53" i="17" s="1"/>
  <c r="AL56" i="7"/>
  <c r="H37" i="17" s="1"/>
  <c r="H50" i="17"/>
  <c r="H42" i="17"/>
  <c r="AL89" i="7"/>
  <c r="H73" i="17" s="1"/>
  <c r="I30" i="17"/>
  <c r="AM89" i="7"/>
  <c r="I73" i="17" s="1"/>
  <c r="H30" i="17"/>
  <c r="AM84" i="7"/>
  <c r="I65" i="17" s="1"/>
  <c r="I71" i="17" s="1"/>
  <c r="AM83" i="7"/>
  <c r="I64" i="17" s="1"/>
  <c r="AM73" i="7"/>
  <c r="I54" i="17" s="1"/>
  <c r="AM74" i="7"/>
  <c r="I55" i="17" s="1"/>
  <c r="AM56" i="7"/>
  <c r="I37" i="17" s="1"/>
  <c r="I40" i="17" s="1"/>
  <c r="I41" i="17" s="1"/>
  <c r="AA9" i="7"/>
  <c r="AA10" i="7" s="1"/>
  <c r="AK18" i="7"/>
  <c r="G86" i="17" l="1"/>
  <c r="C48" i="27"/>
  <c r="Q48" i="7"/>
  <c r="Q49" i="7" s="1"/>
  <c r="Q50" i="7" s="1"/>
  <c r="AA34" i="7" s="1"/>
  <c r="Q56" i="7"/>
  <c r="Z18" i="7"/>
  <c r="AJ18" i="7" s="1"/>
  <c r="AJ9" i="7" s="1"/>
  <c r="AJ10" i="7" s="1"/>
  <c r="P21" i="7"/>
  <c r="Z21" i="7" s="1"/>
  <c r="AJ21" i="7" s="1"/>
  <c r="I75" i="17"/>
  <c r="I34" i="17"/>
  <c r="J9" i="26"/>
  <c r="H19" i="26" s="1"/>
  <c r="I9" i="26"/>
  <c r="P43" i="7"/>
  <c r="P44" i="7" s="1"/>
  <c r="P48" i="7" s="1"/>
  <c r="P49" i="7" s="1"/>
  <c r="P50" i="7" s="1"/>
  <c r="I61" i="17"/>
  <c r="I60" i="17"/>
  <c r="AJ40" i="7"/>
  <c r="F20" i="17" s="1"/>
  <c r="H76" i="17"/>
  <c r="AK9" i="7"/>
  <c r="AK10" i="7" s="1"/>
  <c r="H35" i="17"/>
  <c r="H23" i="17"/>
  <c r="I7" i="26" s="1"/>
  <c r="I23" i="26" s="1"/>
  <c r="I76" i="17"/>
  <c r="I78" i="17" s="1"/>
  <c r="I70" i="17"/>
  <c r="I35" i="17"/>
  <c r="I23" i="17"/>
  <c r="Z34" i="7" l="1"/>
  <c r="AA49" i="7"/>
  <c r="AA50" i="7" s="1"/>
  <c r="Z9" i="7"/>
  <c r="Z10" i="7" s="1"/>
  <c r="G19" i="26"/>
  <c r="I19" i="26"/>
  <c r="I21" i="26" s="1"/>
  <c r="J7" i="26"/>
  <c r="J23" i="26" s="1"/>
  <c r="J21" i="26"/>
  <c r="I63" i="17"/>
  <c r="AA48" i="7"/>
  <c r="AK48" i="7" s="1"/>
  <c r="AJ34" i="7" l="1"/>
  <c r="F27" i="17" s="1"/>
  <c r="Z48" i="7"/>
  <c r="AJ48" i="7" s="1"/>
  <c r="J27" i="26"/>
  <c r="J25" i="26"/>
  <c r="I25" i="26"/>
  <c r="I27" i="26"/>
  <c r="AK49" i="7"/>
  <c r="AK50" i="7" s="1"/>
  <c r="AA36" i="7"/>
  <c r="AA35" i="7"/>
  <c r="Z49" i="7"/>
  <c r="Z50" i="7" s="1"/>
  <c r="AJ61" i="7" l="1"/>
  <c r="AJ57" i="7"/>
  <c r="AA37" i="7"/>
  <c r="AA43" i="7" s="1"/>
  <c r="AA44" i="7" s="1"/>
  <c r="AK36" i="7"/>
  <c r="AK82" i="7" s="1"/>
  <c r="AK85" i="7" s="1"/>
  <c r="G66" i="17" s="1"/>
  <c r="G72" i="17" s="1"/>
  <c r="AK35" i="7"/>
  <c r="AK87" i="7" s="1"/>
  <c r="J29" i="26"/>
  <c r="J31" i="26" s="1"/>
  <c r="I29" i="26"/>
  <c r="Z36" i="7"/>
  <c r="Z35" i="7"/>
  <c r="AK34" i="7"/>
  <c r="AK61" i="7" s="1"/>
  <c r="AJ49" i="7"/>
  <c r="AJ50" i="7" s="1"/>
  <c r="Z37" i="7" l="1"/>
  <c r="Z43" i="7" s="1"/>
  <c r="Z44" i="7" s="1"/>
  <c r="AK58" i="7"/>
  <c r="AK79" i="7"/>
  <c r="G28" i="17"/>
  <c r="AK81" i="7"/>
  <c r="AK69" i="7"/>
  <c r="AK71" i="7"/>
  <c r="AK54" i="7"/>
  <c r="AK62" i="7"/>
  <c r="AK64" i="7" s="1"/>
  <c r="G46" i="17" s="1"/>
  <c r="G48" i="17" s="1"/>
  <c r="G49" i="17" s="1"/>
  <c r="AK88" i="7"/>
  <c r="G29" i="17"/>
  <c r="AK72" i="7"/>
  <c r="AK75" i="7" s="1"/>
  <c r="G56" i="17" s="1"/>
  <c r="G62" i="17" s="1"/>
  <c r="C40" i="27" s="1"/>
  <c r="AK55" i="7"/>
  <c r="AK57" i="7"/>
  <c r="AK53" i="7"/>
  <c r="AK70" i="7"/>
  <c r="AK68" i="7"/>
  <c r="AK86" i="7"/>
  <c r="AK80" i="7"/>
  <c r="G27" i="17"/>
  <c r="AK78" i="7"/>
  <c r="AK37" i="7"/>
  <c r="AK43" i="7" s="1"/>
  <c r="AK44" i="7" s="1"/>
  <c r="AJ35" i="7"/>
  <c r="AJ62" i="7" s="1"/>
  <c r="AJ36" i="7"/>
  <c r="AJ82" i="7" s="1"/>
  <c r="AJ85" i="7" s="1"/>
  <c r="F66" i="17" s="1"/>
  <c r="AK60" i="7" l="1"/>
  <c r="G42" i="17" s="1"/>
  <c r="G44" i="17" s="1"/>
  <c r="G45" i="17" s="1"/>
  <c r="AK83" i="7"/>
  <c r="G64" i="17" s="1"/>
  <c r="G70" i="17" s="1"/>
  <c r="AK74" i="7"/>
  <c r="G55" i="17" s="1"/>
  <c r="G61" i="17" s="1"/>
  <c r="C38" i="27" s="1"/>
  <c r="AK84" i="7"/>
  <c r="G65" i="17" s="1"/>
  <c r="G71" i="17" s="1"/>
  <c r="AK73" i="7"/>
  <c r="G54" i="17" s="1"/>
  <c r="G60" i="17" s="1"/>
  <c r="C39" i="27" s="1"/>
  <c r="AK56" i="7"/>
  <c r="G37" i="17" s="1"/>
  <c r="C32" i="27" s="1"/>
  <c r="G79" i="14" s="1"/>
  <c r="AK89" i="7"/>
  <c r="G73" i="17" s="1"/>
  <c r="G75" i="17" s="1"/>
  <c r="AJ58" i="7"/>
  <c r="AJ37" i="7"/>
  <c r="AJ43" i="7" s="1"/>
  <c r="AJ44" i="7" s="1"/>
  <c r="G30" i="17"/>
  <c r="C35" i="27" s="1"/>
  <c r="AK65" i="7"/>
  <c r="G50" i="17" s="1"/>
  <c r="G52" i="17" s="1"/>
  <c r="G53" i="17" s="1"/>
  <c r="AJ53" i="7"/>
  <c r="AJ55" i="7"/>
  <c r="AJ54" i="7"/>
  <c r="AJ70" i="7"/>
  <c r="AJ68" i="7"/>
  <c r="AJ69" i="7"/>
  <c r="AJ71" i="7"/>
  <c r="AJ88" i="7"/>
  <c r="F29" i="17"/>
  <c r="AJ86" i="7"/>
  <c r="AJ87" i="7"/>
  <c r="F28" i="17"/>
  <c r="AJ81" i="7"/>
  <c r="AJ79" i="7"/>
  <c r="AJ80" i="7"/>
  <c r="AJ78" i="7"/>
  <c r="AJ72" i="7"/>
  <c r="AJ75" i="7" s="1"/>
  <c r="F56" i="17" s="1"/>
  <c r="G40" i="17" l="1"/>
  <c r="G76" i="17"/>
  <c r="G82" i="17" s="1"/>
  <c r="G34" i="17"/>
  <c r="C37" i="27" s="1"/>
  <c r="H9" i="26"/>
  <c r="H21" i="26" s="1"/>
  <c r="G63" i="17"/>
  <c r="C41" i="27" s="1"/>
  <c r="C44" i="27" s="1"/>
  <c r="AJ65" i="7"/>
  <c r="F50" i="17" s="1"/>
  <c r="F30" i="17"/>
  <c r="G35" i="17"/>
  <c r="C42" i="27" s="1"/>
  <c r="AJ64" i="7"/>
  <c r="F46" i="17" s="1"/>
  <c r="AJ60" i="7"/>
  <c r="F42" i="17" s="1"/>
  <c r="G23" i="17"/>
  <c r="AJ89" i="7"/>
  <c r="F73" i="17" s="1"/>
  <c r="AJ84" i="7"/>
  <c r="F65" i="17" s="1"/>
  <c r="AJ73" i="7"/>
  <c r="F54" i="17" s="1"/>
  <c r="AJ83" i="7"/>
  <c r="F64" i="17" s="1"/>
  <c r="AJ74" i="7"/>
  <c r="F55" i="17" s="1"/>
  <c r="AJ56" i="7"/>
  <c r="F37" i="17" s="1"/>
  <c r="B32" i="27" s="1"/>
  <c r="G41" i="17" l="1"/>
  <c r="C34" i="27" s="1"/>
  <c r="C58" i="27"/>
  <c r="C45" i="27"/>
  <c r="C56" i="27"/>
  <c r="C54" i="27"/>
  <c r="G78" i="17"/>
  <c r="G84" i="17" s="1"/>
  <c r="C50" i="27" s="1"/>
  <c r="H7" i="26"/>
  <c r="H23" i="26" s="1"/>
  <c r="H25" i="26" s="1"/>
  <c r="G9" i="26"/>
  <c r="G21" i="26" s="1"/>
  <c r="B35" i="27"/>
  <c r="F76" i="17"/>
  <c r="F82" i="17" s="1"/>
  <c r="F35" i="17"/>
  <c r="B42" i="27" s="1"/>
  <c r="F23" i="17"/>
  <c r="H27" i="26" l="1"/>
  <c r="H29" i="26" s="1"/>
  <c r="H31" i="26" s="1"/>
  <c r="B45" i="27"/>
  <c r="G7" i="26"/>
  <c r="G23" i="26" s="1"/>
  <c r="G25" i="26" s="1"/>
  <c r="G27" i="26" l="1"/>
  <c r="G29" i="26" s="1"/>
  <c r="G79" i="17"/>
  <c r="C47" i="27" l="1"/>
  <c r="G85" i="17"/>
  <c r="G81" i="17"/>
  <c r="F79" i="17"/>
  <c r="G87" i="17" l="1"/>
  <c r="C51" i="27" s="1"/>
  <c r="C49" i="27"/>
  <c r="B47" i="27"/>
  <c r="F85" i="17"/>
  <c r="Z59" i="16"/>
  <c r="AJ59" i="16" s="1"/>
  <c r="Z60" i="16"/>
  <c r="AJ60" i="16" s="1"/>
  <c r="Z61" i="16"/>
  <c r="AJ61" i="16" s="1"/>
  <c r="Z53" i="16"/>
  <c r="Z58" i="16"/>
  <c r="AJ58" i="16" s="1"/>
  <c r="Z55" i="16"/>
  <c r="P64" i="16" l="1"/>
  <c r="P66" i="16"/>
  <c r="P62" i="16"/>
  <c r="Z54" i="16"/>
  <c r="Z64" i="16" s="1"/>
  <c r="Z56" i="16"/>
  <c r="AJ56" i="16" s="1"/>
  <c r="AJ66" i="16" s="1"/>
  <c r="P63" i="16"/>
  <c r="Z65" i="16"/>
  <c r="AJ55" i="16"/>
  <c r="AJ65" i="16" s="1"/>
  <c r="AJ53" i="16"/>
  <c r="Z63" i="16"/>
  <c r="P65" i="16"/>
  <c r="P57" i="16"/>
  <c r="Z66" i="16" l="1"/>
  <c r="P67" i="16"/>
  <c r="P68" i="16" s="1"/>
  <c r="AJ54" i="16"/>
  <c r="AJ64" i="16" s="1"/>
  <c r="AJ63" i="16"/>
  <c r="R76" i="16"/>
  <c r="Z12" i="16"/>
  <c r="AJ12" i="16" s="1"/>
  <c r="P77" i="16"/>
  <c r="Z77" i="16" s="1"/>
  <c r="AJ77" i="16" s="1"/>
  <c r="AB18" i="16"/>
  <c r="AL18" i="16" s="1"/>
  <c r="R81" i="16"/>
  <c r="R77" i="16"/>
  <c r="AB77" i="16" s="1"/>
  <c r="AL77" i="16" s="1"/>
  <c r="P76" i="16"/>
  <c r="P74" i="16"/>
  <c r="Z74" i="16" s="1"/>
  <c r="AJ74" i="16" s="1"/>
  <c r="AB19" i="16"/>
  <c r="AL19" i="16" s="1"/>
  <c r="Z18" i="16"/>
  <c r="AJ18" i="16" s="1"/>
  <c r="Z19" i="16"/>
  <c r="AJ19" i="16" s="1"/>
  <c r="R83" i="16"/>
  <c r="AB83" i="16" s="1"/>
  <c r="AL83" i="16" s="1"/>
  <c r="R72" i="16"/>
  <c r="AB72" i="16" s="1"/>
  <c r="AL72" i="16" s="1"/>
  <c r="R74" i="16"/>
  <c r="AB74" i="16" s="1"/>
  <c r="AL74" i="16" s="1"/>
  <c r="P73" i="16"/>
  <c r="Z73" i="16" s="1"/>
  <c r="AJ73" i="16" s="1"/>
  <c r="Z16" i="16" l="1"/>
  <c r="AJ16" i="16" s="1"/>
  <c r="F16" i="17" s="1"/>
  <c r="R78" i="16"/>
  <c r="AB78" i="16" s="1"/>
  <c r="AL78" i="16" s="1"/>
  <c r="Z17" i="16"/>
  <c r="AJ17" i="16" s="1"/>
  <c r="R20" i="16"/>
  <c r="R82" i="16"/>
  <c r="AB82" i="16" s="1"/>
  <c r="AL82" i="16" s="1"/>
  <c r="R84" i="16"/>
  <c r="AB84" i="16" s="1"/>
  <c r="AL84" i="16" s="1"/>
  <c r="AB17" i="16"/>
  <c r="AL17" i="16" s="1"/>
  <c r="AB81" i="16"/>
  <c r="Z76" i="16"/>
  <c r="Z71" i="16"/>
  <c r="Z14" i="16"/>
  <c r="AJ14" i="16" s="1"/>
  <c r="R71" i="16"/>
  <c r="P78" i="16"/>
  <c r="Z78" i="16" s="1"/>
  <c r="AJ78" i="16" s="1"/>
  <c r="P72" i="16"/>
  <c r="Z72" i="16" s="1"/>
  <c r="AJ72" i="16" s="1"/>
  <c r="AB76" i="16"/>
  <c r="P20" i="16"/>
  <c r="P84" i="16"/>
  <c r="Z84" i="16" s="1"/>
  <c r="AJ84" i="16" s="1"/>
  <c r="R79" i="16"/>
  <c r="AB79" i="16" s="1"/>
  <c r="AL79" i="16" s="1"/>
  <c r="AB14" i="16"/>
  <c r="AL14" i="16" s="1"/>
  <c r="P82" i="16"/>
  <c r="Z82" i="16" s="1"/>
  <c r="AJ82" i="16" s="1"/>
  <c r="AB11" i="16"/>
  <c r="Z11" i="16"/>
  <c r="R15" i="16"/>
  <c r="P83" i="16"/>
  <c r="Z83" i="16" s="1"/>
  <c r="AJ83" i="16" s="1"/>
  <c r="AB12" i="16"/>
  <c r="AL12" i="16" s="1"/>
  <c r="P79" i="16"/>
  <c r="Z79" i="16" s="1"/>
  <c r="AJ79" i="16" s="1"/>
  <c r="P81" i="16"/>
  <c r="Z13" i="16"/>
  <c r="AJ13" i="16" s="1"/>
  <c r="P15" i="16"/>
  <c r="R73" i="16"/>
  <c r="AB73" i="16" s="1"/>
  <c r="AL73" i="16" s="1"/>
  <c r="AB13" i="16"/>
  <c r="AL13" i="16" s="1"/>
  <c r="AB16" i="16"/>
  <c r="P75" i="16" l="1"/>
  <c r="R85" i="16"/>
  <c r="R86" i="16" s="1"/>
  <c r="AB50" i="16" s="1"/>
  <c r="AB36" i="16" s="1"/>
  <c r="AJ71" i="16"/>
  <c r="AJ76" i="16"/>
  <c r="AL16" i="16"/>
  <c r="AL76" i="16"/>
  <c r="P80" i="16"/>
  <c r="AJ11" i="16"/>
  <c r="AL11" i="16"/>
  <c r="AB71" i="16"/>
  <c r="R75" i="16"/>
  <c r="AL81" i="16"/>
  <c r="Z81" i="16"/>
  <c r="P85" i="16"/>
  <c r="P86" i="16" s="1"/>
  <c r="Z50" i="16" s="1"/>
  <c r="Z41" i="16" s="1"/>
  <c r="R80" i="16"/>
  <c r="AB40" i="16" l="1"/>
  <c r="AB47" i="16"/>
  <c r="AB39" i="16"/>
  <c r="AL39" i="16" s="1"/>
  <c r="AB46" i="16"/>
  <c r="AB42" i="16"/>
  <c r="AL42" i="16" s="1"/>
  <c r="AB48" i="16"/>
  <c r="AB37" i="16"/>
  <c r="AL37" i="16" s="1"/>
  <c r="AL47" i="16" s="1"/>
  <c r="AL111" i="16" s="1"/>
  <c r="AB45" i="16"/>
  <c r="AB41" i="16"/>
  <c r="AB49" i="16"/>
  <c r="AB38" i="16"/>
  <c r="AL38" i="16" s="1"/>
  <c r="AB43" i="16"/>
  <c r="AL43" i="16" s="1"/>
  <c r="AB44" i="16"/>
  <c r="AL44" i="16" s="1"/>
  <c r="AL49" i="16" s="1"/>
  <c r="AL113" i="16" s="1"/>
  <c r="AJ81" i="16"/>
  <c r="H16" i="17"/>
  <c r="AL36" i="16"/>
  <c r="AL71" i="16"/>
  <c r="Z37" i="16"/>
  <c r="AJ37" i="16" s="1"/>
  <c r="Z46" i="16"/>
  <c r="Z43" i="16"/>
  <c r="AJ43" i="16" s="1"/>
  <c r="Z49" i="16"/>
  <c r="Z36" i="16"/>
  <c r="Z40" i="16"/>
  <c r="Z38" i="16"/>
  <c r="AJ38" i="16" s="1"/>
  <c r="Z48" i="16"/>
  <c r="Z39" i="16"/>
  <c r="AJ39" i="16" s="1"/>
  <c r="Z44" i="16"/>
  <c r="AJ44" i="16" s="1"/>
  <c r="Z47" i="16"/>
  <c r="Z45" i="16"/>
  <c r="Z42" i="16"/>
  <c r="AJ42" i="16" s="1"/>
  <c r="AB67" i="16" l="1"/>
  <c r="AB62" i="16"/>
  <c r="AB20" i="16"/>
  <c r="AL41" i="16"/>
  <c r="AL48" i="16"/>
  <c r="AL112" i="16" s="1"/>
  <c r="AB85" i="16"/>
  <c r="AB86" i="16" s="1"/>
  <c r="AB15" i="16"/>
  <c r="AB80" i="16"/>
  <c r="AB57" i="16"/>
  <c r="AB75" i="16"/>
  <c r="AJ49" i="16"/>
  <c r="AJ113" i="16" s="1"/>
  <c r="Z67" i="16"/>
  <c r="AL40" i="16"/>
  <c r="AL57" i="16" s="1"/>
  <c r="AL46" i="16"/>
  <c r="AL45" i="16"/>
  <c r="AJ47" i="16"/>
  <c r="AJ111" i="16" s="1"/>
  <c r="Z62" i="16"/>
  <c r="AJ41" i="16"/>
  <c r="Z20" i="16"/>
  <c r="Z80" i="16"/>
  <c r="Z85" i="16"/>
  <c r="Z86" i="16" s="1"/>
  <c r="Z57" i="16"/>
  <c r="AJ36" i="16"/>
  <c r="Z75" i="16"/>
  <c r="Z15" i="16"/>
  <c r="AJ48" i="16"/>
  <c r="AJ112" i="16" s="1"/>
  <c r="AL15" i="16" l="1"/>
  <c r="AL89" i="16" s="1"/>
  <c r="AJ45" i="16"/>
  <c r="F32" i="17" s="1"/>
  <c r="AL95" i="16"/>
  <c r="AL97" i="16" s="1"/>
  <c r="H47" i="17" s="1"/>
  <c r="H48" i="17" s="1"/>
  <c r="H49" i="17" s="1"/>
  <c r="H31" i="17"/>
  <c r="AL92" i="16"/>
  <c r="AL94" i="16" s="1"/>
  <c r="H43" i="17" s="1"/>
  <c r="H44" i="17" s="1"/>
  <c r="H45" i="17" s="1"/>
  <c r="AL110" i="16"/>
  <c r="AL114" i="16" s="1"/>
  <c r="H74" i="17" s="1"/>
  <c r="H75" i="17" s="1"/>
  <c r="AL50" i="16"/>
  <c r="AL67" i="16" s="1"/>
  <c r="H32" i="17"/>
  <c r="AL80" i="16"/>
  <c r="H25" i="17" s="1"/>
  <c r="AL20" i="16"/>
  <c r="AL62" i="16"/>
  <c r="AJ46" i="16"/>
  <c r="AJ40" i="16"/>
  <c r="AJ57" i="16" s="1"/>
  <c r="AL75" i="16"/>
  <c r="H24" i="17" s="1"/>
  <c r="AL101" i="16" l="1"/>
  <c r="H57" i="17" s="1"/>
  <c r="H60" i="17" s="1"/>
  <c r="AL106" i="16"/>
  <c r="AL107" i="16"/>
  <c r="H68" i="17" s="1"/>
  <c r="H71" i="17" s="1"/>
  <c r="AL102" i="16"/>
  <c r="H58" i="17" s="1"/>
  <c r="H61" i="17" s="1"/>
  <c r="H15" i="17"/>
  <c r="AL85" i="16"/>
  <c r="H26" i="17" s="1"/>
  <c r="I8" i="26" s="1"/>
  <c r="I24" i="26" s="1"/>
  <c r="AJ80" i="16"/>
  <c r="F25" i="17" s="1"/>
  <c r="AL108" i="16"/>
  <c r="H69" i="17" s="1"/>
  <c r="H72" i="17" s="1"/>
  <c r="AL90" i="16"/>
  <c r="AL91" i="16" s="1"/>
  <c r="H38" i="17" s="1"/>
  <c r="H40" i="17" s="1"/>
  <c r="H41" i="17" s="1"/>
  <c r="AL103" i="16"/>
  <c r="H59" i="17" s="1"/>
  <c r="H62" i="17" s="1"/>
  <c r="AJ110" i="16"/>
  <c r="AJ114" i="16" s="1"/>
  <c r="F74" i="17" s="1"/>
  <c r="F75" i="17" s="1"/>
  <c r="AJ50" i="16"/>
  <c r="AJ85" i="16" s="1"/>
  <c r="AJ95" i="16"/>
  <c r="AJ97" i="16" s="1"/>
  <c r="F47" i="17" s="1"/>
  <c r="F48" i="17" s="1"/>
  <c r="F49" i="17" s="1"/>
  <c r="F31" i="17"/>
  <c r="AJ92" i="16"/>
  <c r="AJ94" i="16" s="1"/>
  <c r="F43" i="17" s="1"/>
  <c r="F44" i="17" s="1"/>
  <c r="F45" i="17" s="1"/>
  <c r="H67" i="17"/>
  <c r="AJ15" i="16"/>
  <c r="H33" i="17"/>
  <c r="AL98" i="16"/>
  <c r="H51" i="17" s="1"/>
  <c r="H52" i="17" s="1"/>
  <c r="H53" i="17" s="1"/>
  <c r="AJ62" i="16"/>
  <c r="AJ75" i="16"/>
  <c r="F24" i="17" s="1"/>
  <c r="AJ20" i="16"/>
  <c r="H63" i="17" l="1"/>
  <c r="AL86" i="16"/>
  <c r="AL109" i="16"/>
  <c r="AJ90" i="16"/>
  <c r="AJ103" i="16"/>
  <c r="F59" i="17" s="1"/>
  <c r="F62" i="17" s="1"/>
  <c r="B40" i="27" s="1"/>
  <c r="AJ108" i="16"/>
  <c r="F69" i="17" s="1"/>
  <c r="F72" i="17" s="1"/>
  <c r="F33" i="17"/>
  <c r="AJ98" i="16"/>
  <c r="F51" i="17" s="1"/>
  <c r="F52" i="17" s="1"/>
  <c r="F53" i="17" s="1"/>
  <c r="AJ86" i="16"/>
  <c r="F26" i="17"/>
  <c r="H77" i="17"/>
  <c r="H78" i="17" s="1"/>
  <c r="H70" i="17"/>
  <c r="AJ67" i="16"/>
  <c r="I10" i="26"/>
  <c r="H34" i="17"/>
  <c r="F15" i="17"/>
  <c r="AJ102" i="16"/>
  <c r="F58" i="17" s="1"/>
  <c r="F61" i="17" s="1"/>
  <c r="B38" i="27" s="1"/>
  <c r="AJ101" i="16"/>
  <c r="F57" i="17" s="1"/>
  <c r="F60" i="17" s="1"/>
  <c r="AJ89" i="16"/>
  <c r="AJ107" i="16"/>
  <c r="F68" i="17" s="1"/>
  <c r="F71" i="17" s="1"/>
  <c r="AJ106" i="16"/>
  <c r="H36" i="17"/>
  <c r="AJ91" i="16" l="1"/>
  <c r="F38" i="17" s="1"/>
  <c r="F40" i="17" s="1"/>
  <c r="G8" i="26"/>
  <c r="G24" i="26" s="1"/>
  <c r="B46" i="27"/>
  <c r="G10" i="26"/>
  <c r="B36" i="27"/>
  <c r="F34" i="17"/>
  <c r="B37" i="27" s="1"/>
  <c r="F36" i="17"/>
  <c r="B43" i="27" s="1"/>
  <c r="G20" i="26"/>
  <c r="I20" i="26"/>
  <c r="I22" i="26" s="1"/>
  <c r="F63" i="17"/>
  <c r="B44" i="27" s="1"/>
  <c r="B39" i="27"/>
  <c r="F67" i="17"/>
  <c r="AJ109" i="16"/>
  <c r="F41" i="17" l="1"/>
  <c r="B34" i="27" s="1"/>
  <c r="B33" i="27"/>
  <c r="I26" i="26"/>
  <c r="I28" i="26"/>
  <c r="F70" i="17"/>
  <c r="F77" i="17"/>
  <c r="G22" i="26"/>
  <c r="I30" i="26" l="1"/>
  <c r="I31" i="26" s="1"/>
  <c r="G26" i="26"/>
  <c r="G28" i="26"/>
  <c r="F83" i="17"/>
  <c r="F78" i="17"/>
  <c r="F84" i="17" s="1"/>
  <c r="B50" i="27" l="1"/>
  <c r="G30" i="26"/>
  <c r="G31" i="26" l="1"/>
  <c r="F80" i="17"/>
  <c r="F81" i="17" l="1"/>
  <c r="B48" i="27"/>
  <c r="F86" i="17"/>
  <c r="B49" i="27" l="1"/>
  <c r="F87" i="17"/>
  <c r="B51" i="27"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comments3.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4.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5.xml><?xml version="1.0" encoding="utf-8"?>
<comments xmlns="http://schemas.openxmlformats.org/spreadsheetml/2006/main">
  <authors>
    <author>Samuelsson, Sandra</author>
  </authors>
  <commentList>
    <comment ref="D11"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text>
        <r>
          <rPr>
            <b/>
            <sz val="9"/>
            <color indexed="81"/>
            <rFont val="Tahoma"/>
            <family val="2"/>
          </rPr>
          <t>Samuelsson, Sandra:</t>
        </r>
        <r>
          <rPr>
            <sz val="9"/>
            <color indexed="81"/>
            <rFont val="Tahoma"/>
            <family val="2"/>
          </rPr>
          <t xml:space="preserve">
Linjär utveckling antas mellan 2017 och 2040.</t>
        </r>
      </text>
    </comment>
    <comment ref="G12" authorId="0" shapeId="0">
      <text>
        <r>
          <rPr>
            <b/>
            <sz val="9"/>
            <color indexed="81"/>
            <rFont val="Tahoma"/>
            <family val="2"/>
          </rPr>
          <t>Samuelsson, Sandra:</t>
        </r>
        <r>
          <rPr>
            <sz val="9"/>
            <color indexed="81"/>
            <rFont val="Tahoma"/>
            <family val="2"/>
          </rPr>
          <t xml:space="preserve">
Linjär utveckling antas mellan 2017 och 2040.</t>
        </r>
      </text>
    </comment>
    <comment ref="I12"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E15" authorId="0" shapeId="0">
      <text>
        <r>
          <rPr>
            <b/>
            <sz val="9"/>
            <color indexed="81"/>
            <rFont val="Tahoma"/>
            <family val="2"/>
          </rPr>
          <t>Samuelsson, Sandra:</t>
        </r>
        <r>
          <rPr>
            <sz val="9"/>
            <color indexed="81"/>
            <rFont val="Tahoma"/>
            <family val="2"/>
          </rPr>
          <t xml:space="preserve">
Linjär utveckling antas mellan 2017 och 2040.</t>
        </r>
      </text>
    </comment>
    <comment ref="G15" authorId="0" shapeId="0">
      <text>
        <r>
          <rPr>
            <b/>
            <sz val="9"/>
            <color indexed="81"/>
            <rFont val="Tahoma"/>
            <family val="2"/>
          </rPr>
          <t>Samuelsson, Sandra:</t>
        </r>
        <r>
          <rPr>
            <sz val="9"/>
            <color indexed="81"/>
            <rFont val="Tahoma"/>
            <family val="2"/>
          </rPr>
          <t xml:space="preserve">
Linjär utveckling antas mellan 2017 och 2040.</t>
        </r>
      </text>
    </comment>
    <comment ref="I15" authorId="0" shapeId="0">
      <text>
        <r>
          <rPr>
            <b/>
            <sz val="9"/>
            <color indexed="81"/>
            <rFont val="Tahoma"/>
            <family val="2"/>
          </rPr>
          <t>Samuelsson, Sandra:</t>
        </r>
        <r>
          <rPr>
            <sz val="9"/>
            <color indexed="81"/>
            <rFont val="Tahoma"/>
            <family val="2"/>
          </rPr>
          <t xml:space="preserve">
Linjär utveckling antas mellan 2017 och 2040.</t>
        </r>
      </text>
    </comment>
    <comment ref="D3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text>
        <r>
          <rPr>
            <b/>
            <sz val="9"/>
            <color indexed="81"/>
            <rFont val="Tahoma"/>
            <family val="2"/>
          </rPr>
          <t>Samuelsson, Sandra:</t>
        </r>
        <r>
          <rPr>
            <sz val="9"/>
            <color indexed="81"/>
            <rFont val="Tahoma"/>
            <family val="2"/>
          </rPr>
          <t xml:space="preserve">
Linjär utveckling antas mellan 2017 och 2040.</t>
        </r>
      </text>
    </comment>
    <comment ref="G31" authorId="0" shapeId="0">
      <text>
        <r>
          <rPr>
            <b/>
            <sz val="9"/>
            <color indexed="81"/>
            <rFont val="Tahoma"/>
            <family val="2"/>
          </rPr>
          <t>Samuelsson, Sandra:</t>
        </r>
        <r>
          <rPr>
            <sz val="9"/>
            <color indexed="81"/>
            <rFont val="Tahoma"/>
            <family val="2"/>
          </rPr>
          <t xml:space="preserve">
Linjär utveckling antas mellan 2017 och 2040.</t>
        </r>
      </text>
    </comment>
    <comment ref="I31"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E34" authorId="0" shapeId="0">
      <text>
        <r>
          <rPr>
            <b/>
            <sz val="9"/>
            <color indexed="81"/>
            <rFont val="Tahoma"/>
            <family val="2"/>
          </rPr>
          <t>Samuelsson, Sandra:</t>
        </r>
        <r>
          <rPr>
            <sz val="9"/>
            <color indexed="81"/>
            <rFont val="Tahoma"/>
            <family val="2"/>
          </rPr>
          <t xml:space="preserve">
Linjär utveckling antas mellan 2017 och 2040.</t>
        </r>
      </text>
    </comment>
    <comment ref="G34" authorId="0" shapeId="0">
      <text>
        <r>
          <rPr>
            <b/>
            <sz val="9"/>
            <color indexed="81"/>
            <rFont val="Tahoma"/>
            <family val="2"/>
          </rPr>
          <t>Samuelsson, Sandra:</t>
        </r>
        <r>
          <rPr>
            <sz val="9"/>
            <color indexed="81"/>
            <rFont val="Tahoma"/>
            <family val="2"/>
          </rPr>
          <t xml:space="preserve">
Linjär utveckling antas mellan 2017 och 2040.</t>
        </r>
      </text>
    </comment>
    <comment ref="I34" authorId="0" shapeId="0">
      <text>
        <r>
          <rPr>
            <b/>
            <sz val="9"/>
            <color indexed="81"/>
            <rFont val="Tahoma"/>
            <family val="2"/>
          </rPr>
          <t>Samuelsson, Sandra:</t>
        </r>
        <r>
          <rPr>
            <sz val="9"/>
            <color indexed="81"/>
            <rFont val="Tahoma"/>
            <family val="2"/>
          </rPr>
          <t xml:space="preserve">
Linjär utveckling antas mellan 2017 och 2040.</t>
        </r>
      </text>
    </comment>
    <comment ref="D4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text>
        <r>
          <rPr>
            <b/>
            <sz val="9"/>
            <color indexed="81"/>
            <rFont val="Tahoma"/>
            <family val="2"/>
          </rPr>
          <t>Samuelsson, Sandra:</t>
        </r>
        <r>
          <rPr>
            <sz val="9"/>
            <color indexed="81"/>
            <rFont val="Tahoma"/>
            <family val="2"/>
          </rPr>
          <t xml:space="preserve">
Linjär utveckling antas mellan 2017 och 2040.</t>
        </r>
      </text>
    </comment>
    <comment ref="G50" authorId="0" shapeId="0">
      <text>
        <r>
          <rPr>
            <b/>
            <sz val="9"/>
            <color indexed="81"/>
            <rFont val="Tahoma"/>
            <family val="2"/>
          </rPr>
          <t>Samuelsson, Sandra:</t>
        </r>
        <r>
          <rPr>
            <sz val="9"/>
            <color indexed="81"/>
            <rFont val="Tahoma"/>
            <family val="2"/>
          </rPr>
          <t xml:space="preserve">
Linjär utveckling antas mellan 2017 och 2040.</t>
        </r>
      </text>
    </comment>
    <comment ref="I50"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53" authorId="0" shapeId="0">
      <text>
        <r>
          <rPr>
            <b/>
            <sz val="9"/>
            <color indexed="81"/>
            <rFont val="Tahoma"/>
            <family val="2"/>
          </rPr>
          <t>Samuelsson, Sandra:</t>
        </r>
        <r>
          <rPr>
            <sz val="9"/>
            <color indexed="81"/>
            <rFont val="Tahoma"/>
            <family val="2"/>
          </rPr>
          <t xml:space="preserve">
Linjär utveckling antas mellan 2017 och 2040.</t>
        </r>
      </text>
    </comment>
    <comment ref="G53" authorId="0" shapeId="0">
      <text>
        <r>
          <rPr>
            <b/>
            <sz val="9"/>
            <color indexed="81"/>
            <rFont val="Tahoma"/>
            <family val="2"/>
          </rPr>
          <t>Samuelsson, Sandra:</t>
        </r>
        <r>
          <rPr>
            <sz val="9"/>
            <color indexed="81"/>
            <rFont val="Tahoma"/>
            <family val="2"/>
          </rPr>
          <t xml:space="preserve">
Linjär utveckling antas mellan 2017 och 2040.</t>
        </r>
      </text>
    </comment>
    <comment ref="I53" authorId="0" shapeId="0">
      <text>
        <r>
          <rPr>
            <b/>
            <sz val="9"/>
            <color indexed="81"/>
            <rFont val="Tahoma"/>
            <family val="2"/>
          </rPr>
          <t>Samuelsson, Sandra:</t>
        </r>
        <r>
          <rPr>
            <sz val="9"/>
            <color indexed="81"/>
            <rFont val="Tahoma"/>
            <family val="2"/>
          </rPr>
          <t xml:space="preserve">
Linjär utveckling antas mellan 2017 och 2040.</t>
        </r>
      </text>
    </comment>
    <comment ref="E66" authorId="0" shapeId="0">
      <text>
        <r>
          <rPr>
            <b/>
            <sz val="9"/>
            <color indexed="81"/>
            <rFont val="Tahoma"/>
            <family val="2"/>
          </rPr>
          <t>Samuelsson, Sandra:</t>
        </r>
        <r>
          <rPr>
            <sz val="9"/>
            <color indexed="81"/>
            <rFont val="Tahoma"/>
            <family val="2"/>
          </rPr>
          <t xml:space="preserve">
Linjär utveckling antas mellan 2017 och 2040.</t>
        </r>
      </text>
    </comment>
    <comment ref="G66" authorId="0" shapeId="0">
      <text>
        <r>
          <rPr>
            <b/>
            <sz val="9"/>
            <color indexed="81"/>
            <rFont val="Tahoma"/>
            <family val="2"/>
          </rPr>
          <t>Samuelsson, Sandra:</t>
        </r>
        <r>
          <rPr>
            <sz val="9"/>
            <color indexed="81"/>
            <rFont val="Tahoma"/>
            <family val="2"/>
          </rPr>
          <t xml:space="preserve">
Linjär utveckling antas mellan 2017 och 2040.</t>
        </r>
      </text>
    </comment>
    <comment ref="I66" authorId="0" shapeId="0">
      <text>
        <r>
          <rPr>
            <b/>
            <sz val="9"/>
            <color indexed="81"/>
            <rFont val="Tahoma"/>
            <family val="2"/>
          </rPr>
          <t>Samuelsson, Sandra:</t>
        </r>
        <r>
          <rPr>
            <sz val="9"/>
            <color indexed="81"/>
            <rFont val="Tahoma"/>
            <family val="2"/>
          </rPr>
          <t xml:space="preserve">
Linjär utveckling antas mellan 2017 och 2040.</t>
        </r>
      </text>
    </comment>
    <comment ref="E79" authorId="0" shapeId="0">
      <text>
        <r>
          <rPr>
            <b/>
            <sz val="9"/>
            <color indexed="81"/>
            <rFont val="Tahoma"/>
            <family val="2"/>
          </rPr>
          <t>Samuelsson, Sandra:</t>
        </r>
        <r>
          <rPr>
            <sz val="9"/>
            <color indexed="81"/>
            <rFont val="Tahoma"/>
            <family val="2"/>
          </rPr>
          <t xml:space="preserve">
Linjär utveckling antas mellan 2017 och 2040.</t>
        </r>
      </text>
    </comment>
    <comment ref="G79" authorId="0" shapeId="0">
      <text>
        <r>
          <rPr>
            <b/>
            <sz val="9"/>
            <color indexed="81"/>
            <rFont val="Tahoma"/>
            <family val="2"/>
          </rPr>
          <t>Samuelsson, Sandra:</t>
        </r>
        <r>
          <rPr>
            <sz val="9"/>
            <color indexed="81"/>
            <rFont val="Tahoma"/>
            <family val="2"/>
          </rPr>
          <t xml:space="preserve">
Linjär utveckling antas mellan 2017 och 2040.</t>
        </r>
      </text>
    </comment>
    <comment ref="I79"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sharedStrings.xml><?xml version="1.0" encoding="utf-8"?>
<sst xmlns="http://schemas.openxmlformats.org/spreadsheetml/2006/main" count="2480" uniqueCount="697">
  <si>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</si>
  <si>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</si>
  <si>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</si>
  <si>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</si>
  <si>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</si>
  <si>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</si>
  <si>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</si>
  <si>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</si>
  <si>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</si>
  <si>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</si>
  <si>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</si>
  <si>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</si>
  <si>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</si>
  <si>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</si>
  <si>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</si>
  <si>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</si>
  <si>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</si>
  <si>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</si>
  <si>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</si>
  <si>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</si>
  <si>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</si>
  <si>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</si>
  <si>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</si>
  <si>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</si>
  <si>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</si>
  <si>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</si>
  <si>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</si>
  <si>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</si>
  <si>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</si>
  <si>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</si>
  <si>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</si>
  <si>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</si>
  <si>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</si>
  <si>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</si>
  <si>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</si>
  <si>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</si>
  <si>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</si>
  <si>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</si>
  <si>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</si>
  <si>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</si>
  <si>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</si>
  <si>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</si>
  <si>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</si>
  <si>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</si>
  <si>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</si>
  <si>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</si>
  <si>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</si>
  <si>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</si>
  <si>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</si>
  <si>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</si>
  <si>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</si>
  <si>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</si>
  <si>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</si>
  <si>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</si>
  <si>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</si>
  <si>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</si>
  <si>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</si>
  <si>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</si>
  <si>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</si>
  <si>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</si>
  <si>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</si>
  <si>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</si>
  <si>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</si>
  <si>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</si>
  <si>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</si>
  <si>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</si>
  <si>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</si>
  <si>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</si>
  <si>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</si>
  <si>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</si>
  <si>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</si>
  <si>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</si>
  <si>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</si>
  <si>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</si>
  <si>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</si>
  <si>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</si>
  <si>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</si>
  <si>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</si>
  <si>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</si>
  <si>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</si>
  <si>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</si>
  <si>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</si>
  <si>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</si>
  <si>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</si>
  <si>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</si>
  <si>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</si>
  <si>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</si>
  <si>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</si>
  <si>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</si>
  <si>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</si>
  <si>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</si>
  <si>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</si>
  <si>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</si>
  <si>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</si>
  <si>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</si>
  <si>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</si>
  <si>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</si>
  <si>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</si>
  <si>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</si>
  <si>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</si>
  <si>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</si>
  <si>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</si>
  <si>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</si>
  <si>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</si>
  <si>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</si>
  <si>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</si>
  <si>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</si>
  <si>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</si>
  <si>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</si>
  <si>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</si>
  <si>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</si>
  <si>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</si>
  <si>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</si>
  <si>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</si>
  <si>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</si>
  <si>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</si>
  <si>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</si>
  <si>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</si>
  <si>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</si>
  <si>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</si>
  <si>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</si>
  <si>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</si>
  <si>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</si>
  <si>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</si>
  <si>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</si>
  <si>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</si>
  <si>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</si>
  <si>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</si>
  <si>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</si>
  <si>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</si>
  <si>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</si>
  <si>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</si>
  <si>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</si>
  <si>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</si>
  <si>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</si>
  <si>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</si>
  <si>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</si>
  <si>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</si>
  <si>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</si>
  <si>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</si>
  <si>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</si>
  <si>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</si>
  <si>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</si>
  <si>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</si>
  <si>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</si>
  <si>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</si>
  <si>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</si>
  <si>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</si>
  <si>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</si>
  <si>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</si>
  <si>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</si>
  <si>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</si>
  <si>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</si>
  <si>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</si>
  <si>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</si>
  <si>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</si>
  <si>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</si>
  <si>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</si>
  <si>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</si>
  <si>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</si>
  <si>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</si>
  <si>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</si>
  <si>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</si>
  <si>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</si>
  <si>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</si>
  <si>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</si>
  <si>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</si>
  <si>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</si>
  <si>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</si>
  <si>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</si>
  <si>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</si>
  <si>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</si>
  <si>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</si>
  <si>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</si>
  <si>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</si>
  <si>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</si>
  <si>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</si>
  <si>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</si>
  <si>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</si>
  <si>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</si>
  <si>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</si>
  <si>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</si>
  <si>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</si>
  <si>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</si>
  <si>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</si>
  <si>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</si>
  <si>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</si>
  <si>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</si>
  <si>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</si>
  <si>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</si>
  <si>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</si>
  <si>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</si>
  <si>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</si>
  <si>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</si>
  <si>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</si>
  <si>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</si>
  <si>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</si>
  <si>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</si>
  <si>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</si>
  <si>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</si>
  <si>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</si>
  <si>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</si>
  <si>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</si>
  <si>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</si>
  <si>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</si>
  <si>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</si>
  <si>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</si>
  <si>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</si>
  <si>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</si>
  <si>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</si>
  <si>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</si>
  <si>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</si>
  <si>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</si>
  <si>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</si>
  <si>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</si>
  <si>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</si>
  <si>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</si>
  <si>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</si>
  <si>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</si>
  <si>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</si>
  <si>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</si>
  <si>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</si>
  <si>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</si>
  <si>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</si>
  <si>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</si>
  <si>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</si>
  <si>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</si>
  <si>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</si>
  <si>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</si>
  <si>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</si>
  <si>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</si>
  <si>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</si>
  <si>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</si>
  <si>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</si>
  <si>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</si>
  <si>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</si>
  <si>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</si>
  <si>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</si>
  <si>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</si>
  <si>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</si>
  <si>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</si>
  <si>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</si>
  <si>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</si>
  <si>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</si>
  <si>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</si>
  <si>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</si>
  <si>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</si>
  <si>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</si>
  <si>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</si>
  <si>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</si>
  <si>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</si>
  <si>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</si>
  <si>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</si>
  <si>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</si>
  <si>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</si>
  <si>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</si>
  <si>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</si>
  <si>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</si>
  <si>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</si>
  <si>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</si>
  <si>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</si>
  <si>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</si>
  <si>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</si>
  <si>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</si>
  <si>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</si>
  <si>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</si>
  <si>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</si>
  <si>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</si>
  <si>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</si>
  <si>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</si>
  <si>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</si>
  <si>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</si>
  <si>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</si>
  <si>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</si>
  <si>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</si>
  <si>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</si>
  <si>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</si>
  <si>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</si>
  <si>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</si>
  <si>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</si>
  <si>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</si>
  <si>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</si>
  <si>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</si>
  <si>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</si>
  <si>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</si>
  <si>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</si>
  <si>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</si>
  <si>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</si>
  <si>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</si>
  <si>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</si>
  <si>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</si>
  <si>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</si>
  <si>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</si>
  <si>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</si>
  <si>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</si>
  <si>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</si>
  <si>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</si>
  <si>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</si>
  <si>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</si>
  <si>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</si>
  <si>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</si>
  <si>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</si>
  <si>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</si>
  <si>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</si>
  <si>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</si>
  <si>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</si>
  <si>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</si>
  <si>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</si>
  <si>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</si>
  <si>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</si>
  <si>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</si>
  <si>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</si>
  <si>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</si>
  <si>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</si>
  <si>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</si>
  <si>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</si>
  <si>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</si>
  <si>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</si>
  <si>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</si>
  <si>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</si>
  <si>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</si>
  <si>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</si>
  <si>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</si>
  <si>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</si>
  <si>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</si>
  <si>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</si>
  <si>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</si>
  <si>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</si>
  <si>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</si>
  <si>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</si>
  <si>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</si>
  <si>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</si>
  <si>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</si>
  <si>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</si>
  <si>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</si>
  <si>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</si>
  <si>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</si>
  <si>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</si>
  <si>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</si>
  <si>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</si>
  <si>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</si>
  <si>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</si>
  <si>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</si>
  <si>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</si>
  <si>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</si>
  <si>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</si>
  <si>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</si>
  <si>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</si>
  <si>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</si>
  <si>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</si>
  <si>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</si>
  <si>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</si>
  <si>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</si>
  <si>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</si>
  <si>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</si>
  <si>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</si>
  <si>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</si>
  <si>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</si>
  <si>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</si>
  <si>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</si>
  <si>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</si>
  <si>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</si>
  <si>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</si>
  <si>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</si>
  <si>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</si>
  <si>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</si>
  <si>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</si>
  <si>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</si>
  <si>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</si>
  <si>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</si>
  <si>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</si>
  <si>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</si>
  <si>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</si>
  <si>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</si>
  <si>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</si>
  <si>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</si>
  <si>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</si>
  <si>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</si>
  <si>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</si>
  <si>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2 Mer ambitios politik</t>
  </si>
  <si>
    <t>Level 1</t>
  </si>
  <si>
    <t>Level 2</t>
  </si>
  <si>
    <t>Fossile fuel cost adjutment (before tax)</t>
  </si>
  <si>
    <t>Fossile gasoline cost is calculated "backwards" from product price for gas with 5% ethanol</t>
  </si>
  <si>
    <t>Electricity cost adjustment (before tax)</t>
  </si>
  <si>
    <t>Biofouel cost adjustment (before tax)</t>
  </si>
  <si>
    <t>Indata för beräkningar</t>
  </si>
  <si>
    <t>Körkostnad</t>
  </si>
  <si>
    <t xml:space="preserve">Trafikarbete referens justerat för transporteffektivt samhälle </t>
  </si>
  <si>
    <t>Beteckning</t>
  </si>
  <si>
    <t>c</t>
  </si>
  <si>
    <t>d</t>
  </si>
  <si>
    <t>d0</t>
  </si>
  <si>
    <t>d1-d0</t>
  </si>
  <si>
    <t>Förändring i trafikarbete jmfr referens</t>
  </si>
  <si>
    <t>Förändring i kostnad jmfr referens</t>
  </si>
  <si>
    <t>c1-c0</t>
  </si>
  <si>
    <t>Delta CS remaining/old users</t>
  </si>
  <si>
    <t>Delta CS diverted users/new users</t>
  </si>
  <si>
    <t>miljarder kronor</t>
  </si>
  <si>
    <t>Delta CS total</t>
  </si>
  <si>
    <t>Delta CS total bilar lastbilar</t>
  </si>
  <si>
    <t>Truck demand change</t>
  </si>
  <si>
    <t>Manipulates cell</t>
  </si>
  <si>
    <t xml:space="preserve">Light vehicle demand change </t>
  </si>
  <si>
    <t>Unit</t>
  </si>
  <si>
    <t>Deviation from base forecast [0,inf]</t>
  </si>
  <si>
    <t>Reference 2030</t>
  </si>
  <si>
    <t>Inputs (X) affecting both reference and policy scenario</t>
  </si>
  <si>
    <t>Policy scenario 2030</t>
  </si>
  <si>
    <t>Indata!F38</t>
  </si>
  <si>
    <t>Indata!F61</t>
  </si>
  <si>
    <t>Truck electrification share input</t>
  </si>
  <si>
    <t>Light vehicle electrification share input</t>
  </si>
  <si>
    <t>Indata!F28</t>
  </si>
  <si>
    <t>[0,1]</t>
  </si>
  <si>
    <t>Fossile price adjustment</t>
  </si>
  <si>
    <t>Biofuel price adjustment</t>
  </si>
  <si>
    <t>Electricity price adjustment</t>
  </si>
  <si>
    <t>Change in price before taxes (underlying market price)</t>
  </si>
  <si>
    <t>Comment</t>
  </si>
  <si>
    <t>Controls all truck types, i.e. no differentiation between truck sizes</t>
  </si>
  <si>
    <t>Own adjustments to model, se sheet "Modell - Drivmedelpriser"</t>
  </si>
  <si>
    <t>Inputs ® - parameter uncertainty</t>
  </si>
  <si>
    <t>Value (default reference value), controlled by EMA workbench</t>
  </si>
  <si>
    <t>Indata - Effektsamband-Faktorer'!D4</t>
  </si>
  <si>
    <t>Elasticity</t>
  </si>
  <si>
    <t>Indata - Effektsamband-Faktorer'!D7</t>
  </si>
  <si>
    <t>Indata - Effektsamband-Faktorer'!D9</t>
  </si>
  <si>
    <t>Indata - Effektsamband-Faktorer'!D8</t>
  </si>
  <si>
    <t>Outputs (M)</t>
  </si>
  <si>
    <t>From cell</t>
  </si>
  <si>
    <t>Value</t>
  </si>
  <si>
    <t>Calculation</t>
  </si>
  <si>
    <t>Relative change compared to 2010</t>
  </si>
  <si>
    <t>Resultat!F41</t>
  </si>
  <si>
    <t>VKT light vehicles</t>
  </si>
  <si>
    <t>VKT trucks</t>
  </si>
  <si>
    <t>VKT total</t>
  </si>
  <si>
    <t>Resultat!F33</t>
  </si>
  <si>
    <t>Billion VKT</t>
  </si>
  <si>
    <t>Resultat!F30</t>
  </si>
  <si>
    <t>Resultat!F34</t>
  </si>
  <si>
    <t>Energy total</t>
  </si>
  <si>
    <t>Resultat!F61</t>
  </si>
  <si>
    <t>Resultat!F60</t>
  </si>
  <si>
    <t>Resultat!F62</t>
  </si>
  <si>
    <t>Resultat!F63</t>
  </si>
  <si>
    <t>TWh per year</t>
  </si>
  <si>
    <t>Electrified VKT share light vehicles</t>
  </si>
  <si>
    <t>Electrified VKT share trucks</t>
  </si>
  <si>
    <t>Electric share of total energy</t>
  </si>
  <si>
    <t>Resultat!F35</t>
  </si>
  <si>
    <t>Resultat!F36</t>
  </si>
  <si>
    <t>Driving cost light vehicles relative reference</t>
  </si>
  <si>
    <t>Driving cost trucks vehicles relative reference</t>
  </si>
  <si>
    <t>Delta CS light vehicles</t>
  </si>
  <si>
    <t>Delta CS trucks</t>
  </si>
  <si>
    <t>Billion SEK per year</t>
  </si>
  <si>
    <t>Delta CS + Delta tax income</t>
  </si>
  <si>
    <t>Delta tax income</t>
  </si>
  <si>
    <t>Resultat!F79</t>
  </si>
  <si>
    <t>Resultat!F80</t>
  </si>
  <si>
    <t>Resultat!F81</t>
  </si>
  <si>
    <t>Resultat!F84</t>
  </si>
  <si>
    <t>Resultat!F87</t>
  </si>
  <si>
    <t>Share</t>
  </si>
  <si>
    <t>Relative change</t>
  </si>
  <si>
    <t>Policy scenario (EMA)</t>
  </si>
  <si>
    <t>Reference scenario (EMA -beslutad politik, varierande X)</t>
  </si>
  <si>
    <t>Reference 2040</t>
  </si>
  <si>
    <t>Policy scenario 2040</t>
  </si>
  <si>
    <t>EMA policy</t>
  </si>
  <si>
    <t>EMA reference</t>
  </si>
  <si>
    <t>Baseline (Trafikverkets basscenario, beslutad politik)</t>
  </si>
  <si>
    <t>Beslutad politik - Trafikverkets basscenario, ändras ej av EMA!</t>
  </si>
  <si>
    <t>Beräkning konsumentöverskott - jämför mellan scenario 1 och 2.</t>
  </si>
  <si>
    <t>Indata!H38</t>
  </si>
  <si>
    <t>Indata!H61</t>
  </si>
  <si>
    <t>Indata!H28</t>
  </si>
  <si>
    <t>Indata!H45</t>
  </si>
  <si>
    <t>Indata!F45</t>
  </si>
  <si>
    <t>Modell - Drivmedelpriser!G5</t>
  </si>
  <si>
    <t>Modell - Drivmedelpriser!G6</t>
  </si>
  <si>
    <t>Modell - Drivmedelpriser!G4</t>
  </si>
  <si>
    <t>Modell - Drivmedelpriser!H5</t>
  </si>
  <si>
    <t>Modell - Drivmedelpriser!H6</t>
  </si>
  <si>
    <t>Modell - Drivmedelpriser!H4</t>
  </si>
  <si>
    <t>External electrification rate?</t>
  </si>
  <si>
    <t>Förändrat konsumentöverskott scenario 1 - scenario 2</t>
  </si>
  <si>
    <t>Förändring skatteinteäkter Scenario 1 - Scenario 2</t>
  </si>
  <si>
    <t>Summa skatteintäkter, konsumentöverskott, scenario 1 - scenario 2</t>
  </si>
  <si>
    <t>Resultat!G30</t>
  </si>
  <si>
    <t>Resultat!G33</t>
  </si>
  <si>
    <t>Resultat!G34</t>
  </si>
  <si>
    <t>Resultat!G61</t>
  </si>
  <si>
    <t>Resultat!G60</t>
  </si>
  <si>
    <t>Resultat!G62</t>
  </si>
  <si>
    <t>Resultat!G63</t>
  </si>
  <si>
    <t>Resultat!G35</t>
  </si>
  <si>
    <t>Resultat!G36</t>
  </si>
  <si>
    <t>Resultat!G41</t>
  </si>
  <si>
    <t>Resultat!G79</t>
  </si>
  <si>
    <t>Resultat!G80</t>
  </si>
  <si>
    <t>Resultat!G81</t>
  </si>
  <si>
    <t>Resultat!G84</t>
  </si>
  <si>
    <t>Resultat!G87</t>
  </si>
  <si>
    <t>Indata - Effektsamband-Faktorer'!E4</t>
  </si>
  <si>
    <t>Indata - Effektsamband-Faktorer'!E7</t>
  </si>
  <si>
    <t>Indata - Effektsamband-Faktorer'!E8</t>
  </si>
  <si>
    <t>Indata - Effektsamband-Faktorer'!E9</t>
  </si>
  <si>
    <t>Levers (L)</t>
  </si>
  <si>
    <t>CO2 reduction ambition level</t>
  </si>
  <si>
    <t>Bus energy consumption</t>
  </si>
  <si>
    <t>Share HVO diesel</t>
  </si>
  <si>
    <t>Share FAME diesel</t>
  </si>
  <si>
    <t>Share HVO gasoline</t>
  </si>
  <si>
    <t>Share ethanol gasoline</t>
  </si>
  <si>
    <t>km-tax light vehicles</t>
  </si>
  <si>
    <t>km-tax trucks</t>
  </si>
  <si>
    <t>Change in fuel tax gasoline</t>
  </si>
  <si>
    <t>Change in fuel tax diesel</t>
  </si>
  <si>
    <t>Additional energy efficiency light vehicles</t>
  </si>
  <si>
    <t>Additional energy efficiency trucks</t>
  </si>
  <si>
    <t>Transport efficient society light vehicles</t>
  </si>
  <si>
    <t>Transport efficient society trucks</t>
  </si>
  <si>
    <t>Indata!H17</t>
  </si>
  <si>
    <t>Indata!F17</t>
  </si>
  <si>
    <t>Indata!G17</t>
  </si>
  <si>
    <t>Indata!I17</t>
  </si>
  <si>
    <t>Indata!H23</t>
  </si>
  <si>
    <t>Indata!F23</t>
  </si>
  <si>
    <t>Indata!G23</t>
  </si>
  <si>
    <t>Indata!I23</t>
  </si>
  <si>
    <t>Indata!F12</t>
  </si>
  <si>
    <t>Indata!H12</t>
  </si>
  <si>
    <t>Indata!G12</t>
  </si>
  <si>
    <t>Indata!I12</t>
  </si>
  <si>
    <t>Indata!F11</t>
  </si>
  <si>
    <t>Indata!H11</t>
  </si>
  <si>
    <t>Indata!G11</t>
  </si>
  <si>
    <t>Indata!I11</t>
  </si>
  <si>
    <t>Indata!H10</t>
  </si>
  <si>
    <t>Indata!F10</t>
  </si>
  <si>
    <t>Indata!I10</t>
  </si>
  <si>
    <t>Indata!G10</t>
  </si>
  <si>
    <t>Indata!H9</t>
  </si>
  <si>
    <t>Indata!F9</t>
  </si>
  <si>
    <t>Indata!I9</t>
  </si>
  <si>
    <t>Indata!G9</t>
  </si>
  <si>
    <t>Indata!F15</t>
  </si>
  <si>
    <t>Indata!G15</t>
  </si>
  <si>
    <t>Indata!H15</t>
  </si>
  <si>
    <t>Indata!I15</t>
  </si>
  <si>
    <t>Indata!H16</t>
  </si>
  <si>
    <t>Indata!F16</t>
  </si>
  <si>
    <t>Indata!I16</t>
  </si>
  <si>
    <t>Indata!G16</t>
  </si>
  <si>
    <t>Annual change</t>
  </si>
  <si>
    <t>SEK</t>
  </si>
  <si>
    <t>Indata!H13</t>
  </si>
  <si>
    <t>Indata!F13</t>
  </si>
  <si>
    <t>Indata!I13</t>
  </si>
  <si>
    <t>Indata!G13</t>
  </si>
  <si>
    <t>Indata!H14</t>
  </si>
  <si>
    <t>Indata!F14</t>
  </si>
  <si>
    <t>Indata!I14</t>
  </si>
  <si>
    <t>Indata!G14</t>
  </si>
  <si>
    <t>Indata!F19</t>
  </si>
  <si>
    <t>Indata!H19</t>
  </si>
  <si>
    <t>Indata!I19</t>
  </si>
  <si>
    <t>Indata!G19</t>
  </si>
  <si>
    <t>Indata!H20</t>
  </si>
  <si>
    <t>Indata!F20</t>
  </si>
  <si>
    <t>Indata!I20</t>
  </si>
  <si>
    <t>Indata!G20</t>
  </si>
  <si>
    <t>Indata!H21</t>
  </si>
  <si>
    <t>Indata!F21</t>
  </si>
  <si>
    <t>Indata!I21</t>
  </si>
  <si>
    <t>Indata!G21</t>
  </si>
  <si>
    <t>Indata!H22</t>
  </si>
  <si>
    <t>Indata!F22</t>
  </si>
  <si>
    <t>Indata!I22</t>
  </si>
  <si>
    <t>Indata!G22</t>
  </si>
  <si>
    <t>%</t>
  </si>
  <si>
    <t>Change in fossile fuel price compared to reference light vehicles</t>
  </si>
  <si>
    <t>Drifttimmar</t>
  </si>
  <si>
    <t>Körda km</t>
  </si>
  <si>
    <t>Tabell 14.8</t>
  </si>
  <si>
    <t>Beräknat</t>
  </si>
  <si>
    <t>MD</t>
  </si>
  <si>
    <t>Diesel price</t>
  </si>
  <si>
    <t>Fuel cons</t>
  </si>
  <si>
    <t>Veh type</t>
  </si>
  <si>
    <t>Variable</t>
  </si>
  <si>
    <t>Fuel cost</t>
  </si>
  <si>
    <t>l/mil</t>
  </si>
  <si>
    <t>SEK/mil (excl. Moms)</t>
  </si>
  <si>
    <t>Other costs</t>
  </si>
  <si>
    <t>SEK/mil</t>
  </si>
  <si>
    <t>Total cost</t>
  </si>
  <si>
    <t>Max fuel cons reduction</t>
  </si>
  <si>
    <t>Max other cost reduction</t>
  </si>
  <si>
    <t>AV benefits [0-1]</t>
  </si>
  <si>
    <t>AV</t>
  </si>
  <si>
    <t>All</t>
  </si>
  <si>
    <t>Fuel cons reduction</t>
  </si>
  <si>
    <t>Other cost reduction</t>
  </si>
  <si>
    <t>AV penetration rate</t>
  </si>
  <si>
    <t>Example calculation, fleet impact rel. Cost saving</t>
  </si>
  <si>
    <t>Värden från Asek 7</t>
  </si>
  <si>
    <t>SEK/l (excl.VAT)</t>
  </si>
  <si>
    <t>SEK/mil (excl. VAT)</t>
  </si>
  <si>
    <t>Rel. Diff cost saving AV vs MD (total cost)</t>
  </si>
  <si>
    <t>Diff</t>
  </si>
  <si>
    <t xml:space="preserve">Total </t>
  </si>
  <si>
    <t>mil/timme</t>
  </si>
  <si>
    <t>Teknikosäkerhet</t>
  </si>
  <si>
    <t>Change in fuel consumption</t>
  </si>
  <si>
    <t>Change in other costs</t>
  </si>
  <si>
    <t>Övrig körkostnad 2030 &amp; 2040 (samtliga kostnader förutom energi). Beräknat baserat på ASEK 7, ASEK antar oförändrade realkostnader 2030-2040</t>
  </si>
  <si>
    <t>UTGÅNGLÄGE 7a. ÖVRIG KÖRKOSTNAD</t>
  </si>
  <si>
    <t>FÖRBEARBETNING 2b. JUSTERAR DRIVMEDELSFÖRBRUKNING m.h.t. DRIVMEDELSPRIS och YTTERLIGARE ENERGIEFFEKTIV ANVÄNDNING Samt AVS</t>
  </si>
  <si>
    <t>AV energy cons change</t>
  </si>
  <si>
    <t>Boolean (Yes/No). Whether if electrification rate should be set using an (X) paramter (Yes) or using the default high/low scenarios</t>
  </si>
  <si>
    <t>The penetration rate of Avs in the truck fleet [0,1]</t>
  </si>
  <si>
    <t>The relative change in energy consumption for Avs relative conventional vehicles [-1,inf]</t>
  </si>
  <si>
    <t>Övrig körkostnad lastbilar - utgångsläge (manuella fordon)</t>
  </si>
  <si>
    <t>förändring i procent</t>
  </si>
  <si>
    <t>SAV andel av adresserbar population</t>
  </si>
  <si>
    <t xml:space="preserve">UTGÅNGLÄGE 8a. TOTAL KÖRKOSTNAD </t>
  </si>
  <si>
    <t>FÖRBEARBETNING 8b. JUSTERAR TOTAL KÖRKOSTNAD m.h.t. NYA DRIVMEDELSPRISER och  NY DRIVMEDELSFÖRBRUKNING</t>
  </si>
  <si>
    <t>FÖRBEARBETNING 7b. ÖVRIG KÖRKOSTNAD JUSTERAD FÖR Avs</t>
  </si>
  <si>
    <t>MODELL 7c. ÖVRIG KÖRKOSTNAD JUSTERAD FÖR Avs (ingen justering)</t>
  </si>
  <si>
    <t>BACKUP KÖRKOSTAND LASTBIL</t>
  </si>
  <si>
    <t>Andel SAV i fordonsflottan</t>
  </si>
  <si>
    <t>andel SAV i procent</t>
  </si>
  <si>
    <t xml:space="preserve">Förändrad energiförbrukning SAV </t>
  </si>
  <si>
    <t>Förändring av övrig körkostnad SAV</t>
  </si>
  <si>
    <t>Antal privatbilsekvivalenter per SAV</t>
  </si>
  <si>
    <t>antal bilar</t>
  </si>
  <si>
    <t>FÖRBEARBETNING 2b. JUSTERAR DRIVMEDELSFÖRBRUKNING m.h.t. DRIVMEDELSPRIS och YTTERLIGARE ENERGIEFFEKTIV ANVÄNDNING inkl justering SAV</t>
  </si>
  <si>
    <t>FÖRBEARBETNING 5b.  ÖVRIG KÖRKOSTNAD inkl justering SAV</t>
  </si>
  <si>
    <t>UTGÅNGLÄGE 8a. BILINNEHAV inkl justering SAV</t>
  </si>
  <si>
    <t>Antal personbilsekvivalenter</t>
  </si>
  <si>
    <t>Bilinnehav ej SAV</t>
  </si>
  <si>
    <t>Bilinnehav inkl SAV</t>
  </si>
  <si>
    <t>Antal bilar i fordonsflottan</t>
  </si>
  <si>
    <t>bilar</t>
  </si>
  <si>
    <t>personbilsekvivalenter/befolkning</t>
  </si>
  <si>
    <t>Procentuell ökning av övrig körkostnad för SAV (plustecken)</t>
  </si>
  <si>
    <t>The penetration rate of SAVs in the private car fleet</t>
  </si>
  <si>
    <t>Share of transport work a SAV performs comapred to a regular car</t>
  </si>
  <si>
    <t>Change in utilization</t>
  </si>
  <si>
    <t>Genomsnittlig hastighet,  körda km / drifttimmar</t>
  </si>
  <si>
    <t xml:space="preserve">Andel förarlösa fordon i lastbilsflottan </t>
  </si>
  <si>
    <t>0% penetration</t>
  </si>
  <si>
    <t>100% penetration</t>
  </si>
  <si>
    <t>VKT share</t>
  </si>
  <si>
    <t>Truck fleet</t>
  </si>
  <si>
    <t>Relative utilization</t>
  </si>
  <si>
    <t>Share of driverless trucks in fleet</t>
  </si>
  <si>
    <t>Penetration rate driverless trucks</t>
  </si>
  <si>
    <t>Förändrad körkostnad förarlös lastbil (exc.</t>
  </si>
  <si>
    <t>Förändrad energiförbrukning förarlös lastbil</t>
  </si>
  <si>
    <t>Förändrad nyttjandegrad av fordon</t>
  </si>
  <si>
    <t>AV VKT increase per truck</t>
  </si>
  <si>
    <t>AV other cost change</t>
  </si>
  <si>
    <t>All trucks</t>
  </si>
  <si>
    <t>Absolute change in driving cost light vehicle</t>
  </si>
  <si>
    <t>Absolute change in driving cost trucks</t>
  </si>
  <si>
    <t>Antagande, ej med i ursprunglig version av scenarioverktyget</t>
  </si>
  <si>
    <t>Driving cost light vehicles</t>
  </si>
  <si>
    <t>Driving cost trucks</t>
  </si>
  <si>
    <t>Överflyttning till elfordon för lastbilar map drivmedelspris</t>
  </si>
  <si>
    <t>FÖRBEARBETNING 6b. TRAFIKARBETE PER FORDONSLAG, UPPDATERAD MHT NY FÖRDELNING</t>
  </si>
  <si>
    <t>CO2 TTW change light vehicles</t>
  </si>
  <si>
    <t>CO2 TTW change trucks</t>
  </si>
  <si>
    <t>CO2 TTW change total</t>
  </si>
  <si>
    <t>Energy bio total</t>
  </si>
  <si>
    <t>Energy fossile total</t>
  </si>
  <si>
    <t>Energy el total</t>
  </si>
  <si>
    <t>Change in fossile fuel price compared to reference heavy trucks</t>
  </si>
  <si>
    <t>SAV andel personbilsekvivalenter, alltså VKT SAV andel av total</t>
  </si>
  <si>
    <t>andel SAV VKT av total VKT</t>
  </si>
  <si>
    <t>yes</t>
  </si>
  <si>
    <t>CO2 TTW total [miljon tons / year]</t>
  </si>
  <si>
    <t>P1 Överflyttning till elbilar för personbilar map drivmedelspris</t>
  </si>
  <si>
    <t>P2 Överflyttning till elfordon för lastbilar map drivmedelspris</t>
  </si>
  <si>
    <t>P4 Förändrat bilinnehav map körkostnad</t>
  </si>
  <si>
    <t>P5 Förändrat trafikarbete för lätta fordon map körkostnad (exkl. effekt av bilinnehav)</t>
  </si>
  <si>
    <t>P6 Förändrat trafikarbete för tunga fordon map körkostnad</t>
  </si>
  <si>
    <t>P3  förändrad bränsleförbrukning bilar map drivmedelspris</t>
  </si>
  <si>
    <t>Share biofuel diesel</t>
  </si>
  <si>
    <t>Share biofuel gasoline</t>
  </si>
  <si>
    <t>Fuel cost share</t>
  </si>
  <si>
    <t>Total tax revenues [B SEK /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</si>
</sst>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 #,##0.00\ &quot;kr&quot;_-;\-* #,##0.00\ &quot;kr&quot;_-;_-* &quot;-&quot;??\ &quot;kr&quot;_-;_-@_-"/>
    <numFmt numFmtId="43" formatCode="_-* #,##0.00_-;\-* #,##0.00_-;_-* &quot;-&quot;??_-;_-@_-"/>
    <numFmt numFmtId="164" formatCode="0.000"/>
    <numFmt numFmtId="165" formatCode="0.0%"/>
    <numFmt numFmtId="166" formatCode="0.0"/>
    <numFmt numFmtId="167" formatCode="_-* #,##0.00\ _k_r_-;\-* #,##0.00\ _k_r_-;_-* &quot;-&quot;??\ _k_r_-;_-@_-"/>
    <numFmt numFmtId="168" formatCode="#,##0.0"/>
    <numFmt numFmtId="169" formatCode="#,##0.000"/>
  </numFmts>
  <fonts count="46"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
      <b/>
      <sz val="18"/>
      <color theme="1"/>
      <name val="Calibri"/>
      <family val="2"/>
      <scheme val="minor"/>
    </font>
    <font>
      <b/>
      <sz val="10"/>
      <color theme="1"/>
      <name val="Arial"/>
      <family val="2"/>
    </font>
    <font>
      <b/>
      <i/>
      <sz val="11"/>
      <color theme="1"/>
      <name val="Calibri"/>
      <family val="2"/>
      <scheme val="minor"/>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
      <patternFill patternType="solid">
        <fgColor theme="7"/>
        <bgColor indexed="64"/>
      </patternFill>
    </fill>
    <fill>
      <patternFill patternType="solid">
        <fgColor rgb="FFFFC000"/>
        <bgColor indexed="64"/>
      </patternFill>
    </fill>
    <fill>
      <patternFill patternType="solid">
        <fgColor theme="5" tint="0.59999389629810485"/>
        <bgColor indexed="64"/>
      </patternFill>
    </fill>
  </fills>
  <borders count="93">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thin">
        <color rgb="FF7F7F7F"/>
      </bottom>
      <diagonal/>
    </border>
    <border>
      <left/>
      <right style="medium">
        <color indexed="64"/>
      </right>
      <top style="thin">
        <color rgb="FF7F7F7F"/>
      </top>
      <bottom style="thin">
        <color rgb="FF7F7F7F"/>
      </bottom>
      <diagonal/>
    </border>
    <border>
      <left style="medium">
        <color indexed="64"/>
      </left>
      <right style="thin">
        <color rgb="FF7F7F7F"/>
      </right>
      <top style="thin">
        <color rgb="FF7F7F7F"/>
      </top>
      <bottom style="thin">
        <color indexed="64"/>
      </bottom>
      <diagonal/>
    </border>
    <border>
      <left/>
      <right style="medium">
        <color indexed="64"/>
      </right>
      <top style="thin">
        <color rgb="FF7F7F7F"/>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29">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867">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xf numFmtId="0" fontId="0" fillId="3" borderId="0" xfId="0" applyFill="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xf numFmtId="0" fontId="17" fillId="3" borderId="16" xfId="0" applyFont="1" applyFill="1" applyBorder="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Font="1" applyFill="1" applyBorder="1" applyAlignment="1">
      <alignment horizontal="center"/>
    </xf>
    <xf numFmtId="9" fontId="10" fillId="3" borderId="32" xfId="1" applyFont="1" applyFill="1" applyBorder="1" applyAlignment="1">
      <alignment horizontal="center"/>
    </xf>
    <xf numFmtId="9" fontId="10" fillId="3" borderId="35" xfId="1" applyFont="1" applyFill="1" applyBorder="1" applyAlignment="1">
      <alignment horizontal="center"/>
    </xf>
    <xf numFmtId="9" fontId="10" fillId="3" borderId="46" xfId="1" applyFont="1" applyFill="1" applyBorder="1" applyAlignment="1">
      <alignment horizontal="center"/>
    </xf>
    <xf numFmtId="9" fontId="10" fillId="3" borderId="55" xfId="1" applyFont="1" applyFill="1" applyBorder="1" applyAlignment="1">
      <alignment horizontal="center"/>
    </xf>
    <xf numFmtId="9" fontId="10" fillId="3" borderId="33" xfId="1" applyFont="1" applyFill="1" applyBorder="1" applyAlignment="1">
      <alignment horizontal="center"/>
    </xf>
    <xf numFmtId="9" fontId="10" fillId="3" borderId="34" xfId="1" applyFont="1"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9" fontId="12" fillId="3" borderId="0" xfId="0" applyNumberFormat="1" applyFont="1" applyFill="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Protection="1"/>
    <xf numFmtId="0" fontId="8" fillId="3" borderId="0" xfId="3" applyFont="1" applyFill="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35" xfId="2" applyNumberFormat="1" applyFont="1" applyFill="1" applyBorder="1" applyAlignment="1">
      <alignment horizontal="center"/>
    </xf>
    <xf numFmtId="0" fontId="30" fillId="0" borderId="0" xfId="0" applyFont="1"/>
    <xf numFmtId="0" fontId="10" fillId="0" borderId="6" xfId="0" applyFont="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0" fillId="0" borderId="5" xfId="0" applyFont="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xf numFmtId="0" fontId="12" fillId="3" borderId="67" xfId="0" applyFont="1" applyFill="1" applyBorder="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Border="1"/>
    <xf numFmtId="0" fontId="10" fillId="3" borderId="12" xfId="0" applyFont="1" applyFill="1" applyBorder="1" applyAlignment="1">
      <alignment horizontal="center"/>
    </xf>
    <xf numFmtId="0" fontId="19" fillId="3" borderId="0" xfId="0" applyFont="1" applyFill="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xf numFmtId="0" fontId="10" fillId="0" borderId="0" xfId="0" applyFont="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Border="1"/>
    <xf numFmtId="0" fontId="20" fillId="0" borderId="0" xfId="0" applyFont="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0" fontId="8" fillId="5" borderId="0" xfId="3" applyFont="1" applyFill="1" applyAlignment="1">
      <alignment horizontal="left"/>
    </xf>
    <xf numFmtId="0" fontId="43" fillId="0" borderId="0" xfId="0" applyFont="1"/>
    <xf numFmtId="1" fontId="0" fillId="0" borderId="0" xfId="28" applyNumberFormat="1" applyFont="1"/>
    <xf numFmtId="2" fontId="0" fillId="0" borderId="0" xfId="0" applyNumberFormat="1"/>
    <xf numFmtId="166" fontId="0" fillId="0" borderId="0" xfId="0" applyNumberFormat="1"/>
    <xf numFmtId="1" fontId="0" fillId="0" borderId="0" xfId="0" applyNumberFormat="1"/>
    <xf numFmtId="3" fontId="12" fillId="3" borderId="30" xfId="2" applyNumberFormat="1" applyFont="1" applyFill="1" applyBorder="1" applyAlignment="1">
      <alignment horizontal="center"/>
    </xf>
    <xf numFmtId="3" fontId="12" fillId="3" borderId="64" xfId="2" applyNumberFormat="1" applyFont="1" applyFill="1" applyBorder="1" applyAlignment="1">
      <alignment horizontal="center"/>
    </xf>
    <xf numFmtId="3" fontId="12" fillId="3" borderId="27" xfId="2" applyNumberFormat="1" applyFont="1" applyFill="1" applyBorder="1" applyAlignment="1">
      <alignment horizontal="center"/>
    </xf>
    <xf numFmtId="3" fontId="12" fillId="3" borderId="65" xfId="2" applyNumberFormat="1" applyFont="1" applyFill="1" applyBorder="1" applyAlignment="1">
      <alignment horizontal="center"/>
    </xf>
    <xf numFmtId="1" fontId="0" fillId="3" borderId="14" xfId="0" applyNumberFormat="1" applyFill="1" applyBorder="1"/>
    <xf numFmtId="1" fontId="0" fillId="3" borderId="18" xfId="0" applyNumberFormat="1" applyFill="1" applyBorder="1"/>
    <xf numFmtId="0" fontId="0" fillId="3" borderId="52" xfId="0" applyFill="1" applyBorder="1"/>
    <xf numFmtId="3" fontId="0" fillId="3" borderId="14" xfId="0" applyNumberFormat="1" applyFill="1" applyBorder="1"/>
    <xf numFmtId="0" fontId="0" fillId="3" borderId="53" xfId="0" applyFill="1" applyBorder="1"/>
    <xf numFmtId="3" fontId="0" fillId="3" borderId="18" xfId="0" applyNumberFormat="1" applyFill="1" applyBorder="1"/>
    <xf numFmtId="0" fontId="0" fillId="3" borderId="54" xfId="0" applyFill="1" applyBorder="1"/>
    <xf numFmtId="0" fontId="0" fillId="3" borderId="56" xfId="0" applyFill="1" applyBorder="1"/>
    <xf numFmtId="4" fontId="0" fillId="3" borderId="22" xfId="0" applyNumberFormat="1" applyFill="1" applyBorder="1"/>
    <xf numFmtId="0" fontId="0" fillId="3" borderId="60" xfId="0" applyFill="1" applyBorder="1"/>
    <xf numFmtId="0" fontId="0" fillId="3" borderId="22" xfId="0" applyFill="1" applyBorder="1"/>
    <xf numFmtId="0" fontId="0" fillId="3" borderId="57" xfId="0" applyFill="1" applyBorder="1"/>
    <xf numFmtId="1" fontId="0" fillId="3" borderId="52" xfId="0" applyNumberFormat="1" applyFill="1" applyBorder="1"/>
    <xf numFmtId="1" fontId="0" fillId="3" borderId="53" xfId="0" applyNumberFormat="1" applyFill="1" applyBorder="1"/>
    <xf numFmtId="3" fontId="0" fillId="3" borderId="52" xfId="0" applyNumberFormat="1" applyFill="1" applyBorder="1"/>
    <xf numFmtId="3" fontId="0" fillId="3" borderId="53" xfId="0" applyNumberFormat="1" applyFill="1" applyBorder="1"/>
    <xf numFmtId="1" fontId="21" fillId="3" borderId="59" xfId="0" applyNumberFormat="1" applyFont="1" applyFill="1" applyBorder="1"/>
    <xf numFmtId="1" fontId="21" fillId="3" borderId="61" xfId="0" applyNumberFormat="1" applyFont="1" applyFill="1" applyBorder="1"/>
    <xf numFmtId="0" fontId="0" fillId="3" borderId="69" xfId="0" applyFill="1" applyBorder="1"/>
    <xf numFmtId="0" fontId="0" fillId="3" borderId="72" xfId="0" applyFill="1" applyBorder="1"/>
    <xf numFmtId="3" fontId="0" fillId="3" borderId="69" xfId="0" applyNumberFormat="1" applyFill="1" applyBorder="1"/>
    <xf numFmtId="3" fontId="0" fillId="3" borderId="70" xfId="0" applyNumberFormat="1" applyFill="1" applyBorder="1"/>
    <xf numFmtId="3" fontId="0" fillId="3" borderId="15" xfId="0" applyNumberFormat="1" applyFill="1" applyBorder="1"/>
    <xf numFmtId="1" fontId="0" fillId="3" borderId="13" xfId="0" applyNumberFormat="1" applyFill="1" applyBorder="1"/>
    <xf numFmtId="1" fontId="0" fillId="3" borderId="17" xfId="0" applyNumberFormat="1" applyFill="1" applyBorder="1"/>
    <xf numFmtId="3" fontId="0" fillId="3" borderId="17" xfId="0" applyNumberFormat="1" applyFill="1" applyBorder="1"/>
    <xf numFmtId="3" fontId="0" fillId="3" borderId="20" xfId="0" applyNumberFormat="1" applyFill="1" applyBorder="1"/>
    <xf numFmtId="3" fontId="0" fillId="3" borderId="54" xfId="0" applyNumberFormat="1" applyFill="1" applyBorder="1"/>
    <xf numFmtId="4" fontId="0" fillId="3" borderId="59" xfId="0" applyNumberFormat="1" applyFill="1" applyBorder="1"/>
    <xf numFmtId="1" fontId="21" fillId="3" borderId="62" xfId="0" applyNumberFormat="1" applyFont="1" applyFill="1" applyBorder="1"/>
    <xf numFmtId="3" fontId="0" fillId="3" borderId="71" xfId="0" applyNumberFormat="1" applyFill="1" applyBorder="1"/>
    <xf numFmtId="3" fontId="0" fillId="3" borderId="13" xfId="0" applyNumberFormat="1" applyFill="1" applyBorder="1"/>
    <xf numFmtId="0" fontId="44" fillId="3" borderId="0" xfId="3" applyFont="1" applyFill="1"/>
    <xf numFmtId="0" fontId="0" fillId="0" borderId="73" xfId="0" applyBorder="1"/>
    <xf numFmtId="0" fontId="21" fillId="0" borderId="74" xfId="0" applyFont="1" applyBorder="1"/>
    <xf numFmtId="0" fontId="0" fillId="0" borderId="62" xfId="0" applyBorder="1"/>
    <xf numFmtId="0" fontId="0" fillId="0" borderId="75" xfId="0" applyBorder="1"/>
    <xf numFmtId="0" fontId="0" fillId="0" borderId="77" xfId="0" applyBorder="1"/>
    <xf numFmtId="2" fontId="20" fillId="0" borderId="75" xfId="2" applyNumberFormat="1" applyFont="1" applyFill="1" applyBorder="1" applyAlignment="1">
      <alignment horizontal="center"/>
    </xf>
    <xf numFmtId="9" fontId="0" fillId="0" borderId="77" xfId="1" applyFont="1" applyBorder="1"/>
    <xf numFmtId="2" fontId="0" fillId="0" borderId="77" xfId="0" applyNumberFormat="1" applyBorder="1"/>
    <xf numFmtId="2" fontId="0" fillId="0" borderId="75" xfId="0" applyNumberFormat="1" applyBorder="1"/>
    <xf numFmtId="1" fontId="0" fillId="0" borderId="77" xfId="0" applyNumberFormat="1" applyBorder="1"/>
    <xf numFmtId="3" fontId="0" fillId="0" borderId="77" xfId="0" applyNumberFormat="1" applyBorder="1"/>
    <xf numFmtId="2" fontId="0" fillId="0" borderId="77" xfId="0" quotePrefix="1" applyNumberFormat="1" applyBorder="1"/>
    <xf numFmtId="2" fontId="0" fillId="0" borderId="0" xfId="0" quotePrefix="1" applyNumberFormat="1"/>
    <xf numFmtId="9" fontId="0" fillId="0" borderId="77" xfId="0" applyNumberFormat="1" applyBorder="1"/>
    <xf numFmtId="9" fontId="0" fillId="0" borderId="0" xfId="0" applyNumberFormat="1"/>
    <xf numFmtId="0" fontId="0" fillId="0" borderId="71" xfId="0" applyBorder="1"/>
    <xf numFmtId="0" fontId="21" fillId="0" borderId="72" xfId="0" applyFont="1" applyBorder="1"/>
    <xf numFmtId="0" fontId="21" fillId="0" borderId="71" xfId="0" applyFont="1" applyBorder="1"/>
    <xf numFmtId="0" fontId="21" fillId="0" borderId="73" xfId="0" applyFont="1" applyBorder="1"/>
    <xf numFmtId="0" fontId="21" fillId="0" borderId="76" xfId="0" applyFont="1" applyBorder="1"/>
    <xf numFmtId="0" fontId="0" fillId="0" borderId="79" xfId="0" applyBorder="1"/>
    <xf numFmtId="0" fontId="0" fillId="0" borderId="78" xfId="0" applyBorder="1"/>
    <xf numFmtId="0" fontId="0" fillId="0" borderId="22" xfId="0" applyBorder="1"/>
    <xf numFmtId="0" fontId="0" fillId="0" borderId="17" xfId="0" applyBorder="1"/>
    <xf numFmtId="0" fontId="21" fillId="0" borderId="72" xfId="0" applyFont="1" applyBorder="1" applyAlignment="1">
      <alignment horizontal="center" vertical="center"/>
    </xf>
    <xf numFmtId="0" fontId="21" fillId="0" borderId="71" xfId="0" applyFont="1" applyBorder="1" applyAlignment="1">
      <alignment horizontal="center" vertical="center"/>
    </xf>
    <xf numFmtId="10" fontId="0" fillId="0" borderId="77" xfId="0" applyNumberFormat="1" applyBorder="1"/>
    <xf numFmtId="0" fontId="21" fillId="0" borderId="0" xfId="0" applyFont="1"/>
    <xf numFmtId="0" fontId="0" fillId="0" borderId="8" xfId="0" applyBorder="1"/>
    <xf numFmtId="0" fontId="0" fillId="0" borderId="9" xfId="0" applyBorder="1"/>
    <xf numFmtId="44" fontId="0" fillId="0" borderId="0" xfId="0" applyNumberFormat="1"/>
    <xf numFmtId="9" fontId="0" fillId="0" borderId="0" xfId="1" applyFont="1"/>
    <xf numFmtId="9" fontId="2" fillId="2" borderId="1" xfId="2" applyNumberFormat="1"/>
    <xf numFmtId="43" fontId="0" fillId="0" borderId="0" xfId="27" applyFont="1"/>
    <xf numFmtId="167" fontId="0" fillId="0" borderId="0" xfId="0" applyNumberFormat="1"/>
    <xf numFmtId="0" fontId="0" fillId="0" borderId="74" xfId="0" applyBorder="1"/>
    <xf numFmtId="166" fontId="10" fillId="0" borderId="46" xfId="2" applyNumberFormat="1" applyFont="1" applyFill="1" applyBorder="1" applyAlignment="1">
      <alignment horizontal="center"/>
    </xf>
    <xf numFmtId="166" fontId="10" fillId="0" borderId="33" xfId="2" applyNumberFormat="1" applyFont="1" applyFill="1" applyBorder="1" applyAlignment="1">
      <alignment horizontal="center"/>
    </xf>
    <xf numFmtId="0" fontId="0" fillId="3" borderId="11" xfId="0" applyFill="1" applyBorder="1"/>
    <xf numFmtId="0" fontId="0" fillId="3" borderId="12" xfId="0" applyFill="1" applyBorder="1"/>
    <xf numFmtId="0" fontId="0" fillId="3" borderId="6" xfId="0" applyFill="1" applyBorder="1"/>
    <xf numFmtId="9" fontId="0" fillId="0" borderId="74" xfId="1" applyFont="1" applyBorder="1"/>
    <xf numFmtId="166" fontId="9" fillId="0" borderId="10" xfId="19" applyNumberFormat="1" applyBorder="1" applyAlignment="1">
      <alignment horizontal="center" vertical="center"/>
    </xf>
    <xf numFmtId="166" fontId="9" fillId="0" borderId="12" xfId="19" applyNumberFormat="1" applyBorder="1" applyAlignment="1">
      <alignment horizontal="center" vertical="center"/>
    </xf>
    <xf numFmtId="166" fontId="9" fillId="0" borderId="5" xfId="19" applyNumberFormat="1" applyBorder="1" applyAlignment="1">
      <alignment horizontal="center" vertical="center"/>
    </xf>
    <xf numFmtId="166" fontId="9" fillId="0" borderId="6" xfId="19" applyNumberFormat="1" applyBorder="1" applyAlignment="1">
      <alignment horizontal="center" vertical="center"/>
    </xf>
    <xf numFmtId="166" fontId="9" fillId="0" borderId="7" xfId="19" applyNumberFormat="1" applyBorder="1" applyAlignment="1">
      <alignment horizontal="center" vertical="center"/>
    </xf>
    <xf numFmtId="166" fontId="9" fillId="0" borderId="9" xfId="19" applyNumberFormat="1" applyBorder="1" applyAlignment="1">
      <alignment horizontal="center" vertical="center"/>
    </xf>
    <xf numFmtId="166" fontId="9" fillId="0" borderId="11" xfId="19" applyNumberFormat="1" applyBorder="1" applyAlignment="1">
      <alignment horizontal="center" vertical="center"/>
    </xf>
    <xf numFmtId="166" fontId="9" fillId="0" borderId="0" xfId="19" applyNumberFormat="1" applyAlignment="1">
      <alignment horizontal="center" vertical="center"/>
    </xf>
    <xf numFmtId="166" fontId="9" fillId="0" borderId="8" xfId="19" applyNumberFormat="1" applyBorder="1" applyAlignment="1">
      <alignment horizontal="center" vertical="center"/>
    </xf>
    <xf numFmtId="9" fontId="10" fillId="3" borderId="2" xfId="0" applyNumberFormat="1" applyFont="1" applyFill="1" applyBorder="1" applyAlignment="1">
      <alignment horizontal="center" vertical="center"/>
    </xf>
    <xf numFmtId="9" fontId="10" fillId="3" borderId="3" xfId="0" applyNumberFormat="1" applyFont="1" applyFill="1" applyBorder="1"/>
    <xf numFmtId="9" fontId="10" fillId="3" borderId="4" xfId="0" applyNumberFormat="1" applyFont="1" applyFill="1" applyBorder="1"/>
    <xf numFmtId="9" fontId="10" fillId="3" borderId="4" xfId="0" applyNumberFormat="1" applyFont="1" applyFill="1" applyBorder="1" applyAlignment="1">
      <alignment horizontal="center" vertical="center"/>
    </xf>
    <xf numFmtId="9" fontId="10" fillId="3" borderId="12" xfId="0" applyNumberFormat="1" applyFont="1" applyFill="1" applyBorder="1" applyAlignment="1">
      <alignment horizontal="center" vertical="center"/>
    </xf>
    <xf numFmtId="0" fontId="22" fillId="6" borderId="0" xfId="0" applyFont="1" applyFill="1" applyAlignment="1">
      <alignment horizontal="center" vertical="center" wrapText="1"/>
    </xf>
    <xf numFmtId="2" fontId="19" fillId="3" borderId="0" xfId="7" applyNumberFormat="1" applyFont="1" applyFill="1" applyBorder="1" applyAlignment="1">
      <alignment horizontal="center" vertical="center"/>
    </xf>
    <xf numFmtId="0" fontId="12" fillId="8" borderId="2" xfId="0" applyFont="1" applyFill="1" applyBorder="1" applyAlignment="1">
      <alignment horizontal="center" vertical="center" wrapText="1"/>
    </xf>
    <xf numFmtId="0" fontId="20" fillId="8" borderId="11" xfId="0" applyFont="1" applyFill="1" applyBorder="1"/>
    <xf numFmtId="0" fontId="20" fillId="8" borderId="0" xfId="0" applyFont="1" applyFill="1"/>
    <xf numFmtId="0" fontId="19" fillId="8" borderId="0" xfId="0" applyFont="1" applyFill="1"/>
    <xf numFmtId="0" fontId="31" fillId="8" borderId="8" xfId="0" applyFont="1" applyFill="1" applyBorder="1"/>
    <xf numFmtId="0" fontId="19" fillId="8" borderId="8" xfId="0" applyFont="1" applyFill="1" applyBorder="1"/>
    <xf numFmtId="10" fontId="31" fillId="3" borderId="15" xfId="1" applyNumberFormat="1" applyFont="1" applyFill="1" applyBorder="1" applyAlignment="1">
      <alignment horizontal="center" vertical="center"/>
    </xf>
    <xf numFmtId="9" fontId="20" fillId="3" borderId="0" xfId="1" applyFont="1" applyFill="1" applyAlignment="1">
      <alignment horizontal="center" vertical="center"/>
    </xf>
    <xf numFmtId="3" fontId="30" fillId="3" borderId="0" xfId="0" applyNumberFormat="1" applyFont="1" applyFill="1"/>
    <xf numFmtId="0" fontId="28" fillId="9" borderId="11" xfId="0" applyFont="1" applyFill="1" applyBorder="1"/>
    <xf numFmtId="0" fontId="28" fillId="9" borderId="0" xfId="0" applyFont="1" applyFill="1"/>
    <xf numFmtId="0" fontId="28" fillId="9" borderId="8" xfId="0" applyFont="1" applyFill="1" applyBorder="1"/>
    <xf numFmtId="2" fontId="20" fillId="9" borderId="52" xfId="7" applyNumberFormat="1" applyFont="1" applyFill="1" applyBorder="1" applyAlignment="1">
      <alignment horizontal="center" vertical="center"/>
    </xf>
    <xf numFmtId="2" fontId="20" fillId="9" borderId="14" xfId="7" applyNumberFormat="1" applyFont="1" applyFill="1" applyBorder="1" applyAlignment="1">
      <alignment horizontal="center" vertical="center"/>
    </xf>
    <xf numFmtId="2" fontId="20" fillId="9" borderId="18" xfId="7" applyNumberFormat="1" applyFont="1" applyFill="1" applyBorder="1" applyAlignment="1">
      <alignment horizontal="center" vertical="center"/>
    </xf>
    <xf numFmtId="2" fontId="20" fillId="9" borderId="15" xfId="7" applyNumberFormat="1" applyFont="1" applyFill="1" applyBorder="1" applyAlignment="1">
      <alignment horizontal="center" vertical="center"/>
    </xf>
    <xf numFmtId="10" fontId="31" fillId="3" borderId="54" xfId="1" applyNumberFormat="1" applyFont="1" applyFill="1" applyBorder="1" applyAlignment="1">
      <alignment horizontal="center" vertical="center"/>
    </xf>
    <xf numFmtId="10" fontId="31" fillId="3" borderId="20" xfId="1" applyNumberFormat="1" applyFont="1" applyFill="1" applyBorder="1" applyAlignment="1">
      <alignment horizontal="center" vertical="center"/>
    </xf>
    <xf numFmtId="0" fontId="28" fillId="9" borderId="12" xfId="0" applyFont="1" applyFill="1" applyBorder="1"/>
    <xf numFmtId="0" fontId="28" fillId="9" borderId="6" xfId="0" applyFont="1" applyFill="1" applyBorder="1"/>
    <xf numFmtId="0" fontId="28" fillId="9" borderId="9" xfId="0" applyFont="1" applyFill="1" applyBorder="1"/>
    <xf numFmtId="9" fontId="20" fillId="3" borderId="15" xfId="1" applyFont="1" applyFill="1" applyBorder="1" applyAlignment="1">
      <alignment horizontal="center" vertical="center"/>
    </xf>
    <xf numFmtId="9" fontId="20" fillId="3" borderId="54" xfId="1" applyFont="1" applyFill="1" applyBorder="1" applyAlignment="1">
      <alignment horizontal="center" vertical="center"/>
    </xf>
    <xf numFmtId="9" fontId="20" fillId="3" borderId="20" xfId="1" applyFont="1" applyFill="1" applyBorder="1" applyAlignment="1">
      <alignment horizontal="center" vertical="center"/>
    </xf>
    <xf numFmtId="164" fontId="20" fillId="9" borderId="53" xfId="7" applyNumberFormat="1" applyFont="1" applyFill="1" applyBorder="1" applyAlignment="1">
      <alignment horizontal="center"/>
    </xf>
    <xf numFmtId="3" fontId="20" fillId="9" borderId="53" xfId="7" applyNumberFormat="1" applyFont="1" applyFill="1" applyBorder="1" applyAlignment="1">
      <alignment horizontal="center" vertical="center"/>
    </xf>
    <xf numFmtId="10" fontId="20" fillId="3" borderId="0" xfId="1" applyNumberFormat="1" applyFont="1" applyFill="1"/>
    <xf numFmtId="10" fontId="20" fillId="9" borderId="54" xfId="1" applyNumberFormat="1" applyFont="1" applyFill="1" applyBorder="1" applyAlignment="1">
      <alignment horizontal="center" vertical="center"/>
    </xf>
    <xf numFmtId="10" fontId="20" fillId="9" borderId="15" xfId="1" applyNumberFormat="1" applyFont="1" applyFill="1" applyBorder="1" applyAlignment="1">
      <alignment horizontal="center" vertical="center"/>
    </xf>
    <xf numFmtId="10" fontId="20" fillId="9" borderId="20" xfId="1" applyNumberFormat="1" applyFont="1" applyFill="1" applyBorder="1" applyAlignment="1">
      <alignment horizontal="center" vertical="center"/>
    </xf>
    <xf numFmtId="3" fontId="20" fillId="0" borderId="52" xfId="7" applyNumberFormat="1" applyFont="1" applyFill="1" applyBorder="1" applyAlignment="1">
      <alignment horizontal="center"/>
    </xf>
    <xf numFmtId="3" fontId="20" fillId="0" borderId="56" xfId="7" applyNumberFormat="1" applyFont="1" applyFill="1" applyBorder="1" applyAlignment="1">
      <alignment horizontal="center"/>
    </xf>
    <xf numFmtId="3" fontId="20" fillId="0" borderId="14" xfId="7" applyNumberFormat="1" applyFont="1" applyFill="1" applyBorder="1" applyAlignment="1">
      <alignment horizontal="center"/>
    </xf>
    <xf numFmtId="3" fontId="20" fillId="0" borderId="13" xfId="7" applyNumberFormat="1" applyFont="1" applyFill="1" applyBorder="1" applyAlignment="1">
      <alignment horizontal="center"/>
    </xf>
    <xf numFmtId="3" fontId="20" fillId="0" borderId="53" xfId="7" applyNumberFormat="1" applyFont="1" applyFill="1" applyBorder="1" applyAlignment="1">
      <alignment horizontal="center" vertical="center"/>
    </xf>
    <xf numFmtId="164" fontId="20" fillId="0" borderId="53" xfId="7" applyNumberFormat="1" applyFont="1" applyFill="1" applyBorder="1" applyAlignment="1">
      <alignment horizontal="center"/>
    </xf>
    <xf numFmtId="164" fontId="20" fillId="0" borderId="18" xfId="7" applyNumberFormat="1" applyFont="1" applyFill="1" applyBorder="1" applyAlignment="1">
      <alignment horizontal="center"/>
    </xf>
    <xf numFmtId="1" fontId="0" fillId="3" borderId="0" xfId="0" applyNumberFormat="1" applyFill="1" applyAlignment="1">
      <alignment horizontal="center" vertical="center"/>
    </xf>
    <xf numFmtId="0" fontId="0" fillId="9" borderId="7" xfId="0" applyFill="1" applyBorder="1"/>
    <xf numFmtId="164" fontId="20" fillId="0" borderId="74" xfId="7" applyNumberFormat="1" applyFont="1" applyFill="1" applyBorder="1" applyAlignment="1">
      <alignment horizontal="center"/>
    </xf>
    <xf numFmtId="3" fontId="20" fillId="0" borderId="74" xfId="7" applyNumberFormat="1" applyFont="1" applyFill="1" applyBorder="1" applyAlignment="1">
      <alignment horizontal="center" vertical="center"/>
    </xf>
    <xf numFmtId="3" fontId="20" fillId="9" borderId="74" xfId="7" applyNumberFormat="1" applyFont="1" applyFill="1" applyBorder="1" applyAlignment="1">
      <alignment horizontal="center" vertical="center"/>
    </xf>
    <xf numFmtId="3" fontId="20" fillId="0" borderId="80" xfId="7" applyNumberFormat="1" applyFont="1" applyFill="1" applyBorder="1" applyAlignment="1">
      <alignment horizontal="center"/>
    </xf>
    <xf numFmtId="3" fontId="20" fillId="0" borderId="18" xfId="7" applyNumberFormat="1" applyFont="1" applyFill="1" applyBorder="1" applyAlignment="1">
      <alignment horizontal="center" vertical="center"/>
    </xf>
    <xf numFmtId="3" fontId="20" fillId="9" borderId="18" xfId="7" applyNumberFormat="1" applyFont="1" applyFill="1" applyBorder="1" applyAlignment="1">
      <alignment horizontal="center" vertical="center"/>
    </xf>
    <xf numFmtId="169" fontId="20" fillId="9" borderId="54" xfId="7" applyNumberFormat="1" applyFont="1" applyFill="1" applyBorder="1" applyAlignment="1">
      <alignment horizontal="center"/>
    </xf>
    <xf numFmtId="169" fontId="20" fillId="9" borderId="81" xfId="7" applyNumberFormat="1" applyFont="1" applyFill="1" applyBorder="1" applyAlignment="1">
      <alignment horizontal="center"/>
    </xf>
    <xf numFmtId="169" fontId="20" fillId="9" borderId="15" xfId="7" applyNumberFormat="1" applyFont="1" applyFill="1" applyBorder="1" applyAlignment="1">
      <alignment horizontal="center"/>
    </xf>
    <xf numFmtId="0" fontId="12" fillId="9" borderId="10" xfId="0" applyFont="1" applyFill="1" applyBorder="1"/>
    <xf numFmtId="0" fontId="12" fillId="9" borderId="5" xfId="0" applyFont="1" applyFill="1" applyBorder="1"/>
    <xf numFmtId="0" fontId="12" fillId="9" borderId="7" xfId="0" applyFont="1" applyFill="1" applyBorder="1"/>
    <xf numFmtId="9" fontId="0" fillId="3" borderId="12" xfId="0" applyNumberFormat="1" applyFill="1" applyBorder="1" applyAlignment="1">
      <alignment horizontal="center" vertical="center"/>
    </xf>
    <xf numFmtId="9" fontId="0" fillId="3" borderId="6" xfId="0" applyNumberFormat="1" applyFill="1" applyBorder="1" applyAlignment="1">
      <alignment horizontal="center"/>
    </xf>
    <xf numFmtId="9" fontId="0" fillId="3" borderId="6" xfId="0" applyNumberFormat="1" applyFill="1" applyBorder="1" applyAlignment="1">
      <alignment horizontal="center" vertical="center"/>
    </xf>
    <xf numFmtId="0" fontId="0" fillId="3" borderId="9" xfId="0" applyFill="1" applyBorder="1" applyAlignment="1">
      <alignment horizontal="center" vertical="center"/>
    </xf>
    <xf numFmtId="9" fontId="0" fillId="3" borderId="0" xfId="0" applyNumberFormat="1" applyFill="1" applyAlignment="1">
      <alignment horizontal="center"/>
    </xf>
    <xf numFmtId="9" fontId="0" fillId="3" borderId="0" xfId="0" applyNumberFormat="1" applyFill="1" applyAlignment="1">
      <alignment horizontal="center" vertical="center"/>
    </xf>
    <xf numFmtId="0" fontId="0" fillId="3" borderId="8" xfId="0" applyFill="1" applyBorder="1" applyAlignment="1">
      <alignment horizontal="center" vertical="center"/>
    </xf>
    <xf numFmtId="9" fontId="0" fillId="3" borderId="11" xfId="0" applyNumberFormat="1" applyFill="1" applyBorder="1" applyAlignment="1">
      <alignment horizontal="center" vertical="center"/>
    </xf>
    <xf numFmtId="9" fontId="0" fillId="3" borderId="0" xfId="0" applyNumberFormat="1" applyFill="1" applyBorder="1" applyAlignment="1">
      <alignment horizontal="center"/>
    </xf>
    <xf numFmtId="9" fontId="0" fillId="3" borderId="0" xfId="0" applyNumberFormat="1" applyFill="1" applyBorder="1" applyAlignment="1">
      <alignment horizontal="center" vertical="center"/>
    </xf>
    <xf numFmtId="0" fontId="10" fillId="3" borderId="0" xfId="0" applyFont="1" applyFill="1" applyBorder="1"/>
    <xf numFmtId="9" fontId="20" fillId="3" borderId="0" xfId="1" applyFont="1" applyFill="1"/>
    <xf numFmtId="9" fontId="20" fillId="3" borderId="0" xfId="0" applyNumberFormat="1" applyFont="1" applyFill="1"/>
    <xf numFmtId="0" fontId="12" fillId="8" borderId="10"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45" fillId="0" borderId="0" xfId="0" applyFont="1"/>
    <xf numFmtId="0" fontId="10" fillId="3" borderId="74" xfId="0" applyFont="1" applyFill="1" applyBorder="1"/>
    <xf numFmtId="0" fontId="0" fillId="3" borderId="74" xfId="0" applyFill="1" applyBorder="1"/>
    <xf numFmtId="9" fontId="10" fillId="3" borderId="11" xfId="0" applyNumberFormat="1" applyFont="1" applyFill="1" applyBorder="1"/>
    <xf numFmtId="9" fontId="10" fillId="3" borderId="12" xfId="0" applyNumberFormat="1" applyFont="1" applyFill="1" applyBorder="1"/>
    <xf numFmtId="0" fontId="45" fillId="0" borderId="19" xfId="0" applyFont="1" applyBorder="1"/>
    <xf numFmtId="0" fontId="0" fillId="0" borderId="80" xfId="0" applyBorder="1"/>
    <xf numFmtId="9" fontId="0" fillId="0" borderId="82" xfId="1" applyFont="1" applyBorder="1"/>
    <xf numFmtId="0" fontId="0" fillId="0" borderId="3" xfId="0" applyBorder="1"/>
    <xf numFmtId="9" fontId="0" fillId="0" borderId="83" xfId="0" applyNumberFormat="1" applyBorder="1"/>
    <xf numFmtId="9" fontId="0" fillId="0" borderId="84" xfId="0" applyNumberFormat="1" applyBorder="1"/>
    <xf numFmtId="0" fontId="45" fillId="0" borderId="10" xfId="0" applyFont="1" applyBorder="1"/>
    <xf numFmtId="0" fontId="45" fillId="0" borderId="2" xfId="0" applyFont="1" applyBorder="1"/>
    <xf numFmtId="0" fontId="10" fillId="3" borderId="85" xfId="0" applyFont="1" applyFill="1" applyBorder="1"/>
    <xf numFmtId="9" fontId="0" fillId="0" borderId="83" xfId="1" applyFont="1" applyBorder="1"/>
    <xf numFmtId="9" fontId="0" fillId="0" borderId="84" xfId="1" applyFont="1" applyBorder="1"/>
    <xf numFmtId="0" fontId="0" fillId="0" borderId="75" xfId="0" applyFill="1" applyBorder="1"/>
    <xf numFmtId="9" fontId="10" fillId="3" borderId="2" xfId="0" applyNumberFormat="1" applyFont="1" applyFill="1" applyBorder="1"/>
    <xf numFmtId="9" fontId="10" fillId="3" borderId="10" xfId="0" applyNumberFormat="1" applyFont="1" applyFill="1" applyBorder="1"/>
    <xf numFmtId="9" fontId="10" fillId="3" borderId="10" xfId="0" applyNumberFormat="1" applyFont="1" applyFill="1" applyBorder="1" applyAlignment="1">
      <alignment horizontal="center" vertical="center"/>
    </xf>
    <xf numFmtId="2" fontId="20" fillId="0" borderId="86" xfId="2" applyNumberFormat="1" applyFont="1" applyFill="1" applyBorder="1" applyAlignment="1">
      <alignment horizontal="center"/>
    </xf>
    <xf numFmtId="2" fontId="20" fillId="0" borderId="87" xfId="2" applyNumberFormat="1" applyFont="1" applyFill="1" applyBorder="1" applyAlignment="1">
      <alignment horizontal="center"/>
    </xf>
    <xf numFmtId="2" fontId="20" fillId="0" borderId="28" xfId="2" applyNumberFormat="1" applyFont="1" applyFill="1" applyBorder="1" applyAlignment="1">
      <alignment horizontal="center"/>
    </xf>
    <xf numFmtId="2" fontId="20" fillId="0" borderId="29" xfId="2" applyNumberFormat="1" applyFont="1" applyFill="1" applyBorder="1" applyAlignment="1">
      <alignment horizontal="center"/>
    </xf>
    <xf numFmtId="2" fontId="20" fillId="0" borderId="88" xfId="2" applyNumberFormat="1" applyFont="1" applyFill="1" applyBorder="1" applyAlignment="1">
      <alignment horizontal="center"/>
    </xf>
    <xf numFmtId="2" fontId="20" fillId="0" borderId="89" xfId="2" applyNumberFormat="1" applyFont="1" applyFill="1" applyBorder="1" applyAlignment="1">
      <alignment horizontal="center"/>
    </xf>
    <xf numFmtId="2" fontId="20" fillId="8" borderId="15" xfId="2" applyNumberFormat="1" applyFont="1" applyFill="1" applyBorder="1" applyAlignment="1">
      <alignment horizontal="center"/>
    </xf>
    <xf numFmtId="2" fontId="20" fillId="8" borderId="7" xfId="2" applyNumberFormat="1" applyFont="1" applyFill="1" applyBorder="1" applyAlignment="1">
      <alignment horizontal="center"/>
    </xf>
    <xf numFmtId="0" fontId="28" fillId="8" borderId="11" xfId="0" applyFont="1" applyFill="1" applyBorder="1"/>
    <xf numFmtId="0" fontId="28" fillId="8" borderId="0" xfId="0" applyFont="1" applyFill="1"/>
    <xf numFmtId="0" fontId="28" fillId="8" borderId="8" xfId="0" applyFont="1" applyFill="1" applyBorder="1"/>
    <xf numFmtId="9" fontId="20" fillId="3" borderId="68" xfId="7" applyNumberFormat="1" applyFont="1" applyFill="1" applyBorder="1" applyAlignment="1">
      <alignment horizontal="center" vertical="center"/>
    </xf>
    <xf numFmtId="9" fontId="20" fillId="3" borderId="16" xfId="7" applyNumberFormat="1" applyFont="1" applyFill="1" applyBorder="1" applyAlignment="1">
      <alignment horizontal="center" vertical="center"/>
    </xf>
    <xf numFmtId="9" fontId="20" fillId="3" borderId="90" xfId="7" applyNumberFormat="1" applyFont="1" applyFill="1" applyBorder="1" applyAlignment="1">
      <alignment horizontal="center" vertical="center"/>
    </xf>
    <xf numFmtId="9" fontId="20" fillId="3" borderId="69" xfId="7" applyNumberFormat="1" applyFont="1" applyFill="1" applyBorder="1" applyAlignment="1">
      <alignment horizontal="center" vertical="center"/>
    </xf>
    <xf numFmtId="9" fontId="20" fillId="3" borderId="91" xfId="7" applyNumberFormat="1" applyFont="1" applyFill="1" applyBorder="1" applyAlignment="1">
      <alignment horizontal="center" vertical="center"/>
    </xf>
    <xf numFmtId="9" fontId="20" fillId="3" borderId="92" xfId="7" applyNumberFormat="1" applyFont="1" applyFill="1" applyBorder="1" applyAlignment="1">
      <alignment horizontal="center" vertical="center"/>
    </xf>
    <xf numFmtId="2" fontId="20" fillId="3" borderId="72" xfId="7" applyNumberFormat="1" applyFont="1" applyFill="1" applyBorder="1" applyAlignment="1">
      <alignment horizontal="center" vertical="center"/>
    </xf>
    <xf numFmtId="0" fontId="22" fillId="8" borderId="0" xfId="0" applyFont="1" applyFill="1"/>
    <xf numFmtId="0" fontId="22" fillId="8" borderId="8" xfId="0" applyFont="1" applyFill="1" applyBorder="1"/>
    <xf numFmtId="0" fontId="12" fillId="0" borderId="5" xfId="0" applyFont="1" applyFill="1" applyBorder="1"/>
    <xf numFmtId="9" fontId="0" fillId="3" borderId="10" xfId="0" applyNumberFormat="1" applyFill="1" applyBorder="1" applyAlignment="1">
      <alignment horizontal="center" vertical="center"/>
    </xf>
    <xf numFmtId="9" fontId="0" fillId="3" borderId="5" xfId="0" applyNumberFormat="1" applyFill="1" applyBorder="1" applyAlignment="1">
      <alignment horizontal="center" vertical="center"/>
    </xf>
    <xf numFmtId="0" fontId="0" fillId="3" borderId="7" xfId="0" applyFill="1" applyBorder="1" applyAlignment="1">
      <alignment horizontal="center" vertical="center"/>
    </xf>
    <xf numFmtId="166" fontId="0" fillId="0" borderId="77" xfId="0" applyNumberFormat="1" applyBorder="1"/>
    <xf numFmtId="2" fontId="0" fillId="0" borderId="60" xfId="0" applyNumberFormat="1" applyBorder="1"/>
    <xf numFmtId="2" fontId="0" fillId="0" borderId="62" xfId="0" applyNumberFormat="1" applyBorder="1"/>
    <xf numFmtId="2" fontId="0" fillId="10" borderId="75" xfId="1" applyNumberFormat="1" applyFont="1" applyFill="1" applyBorder="1"/>
    <xf numFmtId="2" fontId="0" fillId="0" borderId="75" xfId="1" applyNumberFormat="1" applyFont="1" applyBorder="1"/>
    <xf numFmtId="9" fontId="0" fillId="0" borderId="75" xfId="0" applyNumberFormat="1" applyBorder="1"/>
    <xf numFmtId="9" fontId="0" fillId="3" borderId="0" xfId="1" applyFont="1" applyFill="1"/>
    <xf numFmtId="0" fontId="8" fillId="3" borderId="0" xfId="0" applyFont="1" applyFill="1" applyAlignment="1">
      <alignment horizontal="left" vertical="top"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12" fillId="3" borderId="10" xfId="0" applyFont="1" applyFill="1" applyBorder="1" applyAlignment="1">
      <alignment horizontal="center" vertical="center"/>
    </xf>
    <xf numFmtId="0" fontId="12" fillId="3" borderId="5" xfId="0" applyFont="1" applyFill="1" applyBorder="1" applyAlignment="1">
      <alignment horizontal="center" vertical="center"/>
    </xf>
    <xf numFmtId="0" fontId="0" fillId="0" borderId="5" xfId="0" applyBorder="1" applyAlignment="1">
      <alignment horizontal="center" vertical="center"/>
    </xf>
    <xf numFmtId="0" fontId="12" fillId="0" borderId="10" xfId="0" applyFont="1" applyBorder="1" applyAlignment="1">
      <alignment horizontal="center" vertical="center" wrapText="1"/>
    </xf>
    <xf numFmtId="0" fontId="12" fillId="0" borderId="7" xfId="0" applyFont="1" applyBorder="1" applyAlignment="1">
      <alignment horizontal="center" vertical="center" wrapText="1"/>
    </xf>
    <xf numFmtId="0" fontId="12" fillId="3" borderId="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7" xfId="0" applyFont="1" applyFill="1" applyBorder="1" applyAlignment="1">
      <alignment horizontal="center" vertical="center"/>
    </xf>
    <xf numFmtId="0" fontId="0" fillId="0" borderId="7" xfId="0" applyBorder="1" applyAlignment="1">
      <alignment horizontal="center" vertical="center"/>
    </xf>
    <xf numFmtId="0" fontId="21" fillId="8" borderId="10" xfId="0" applyFont="1" applyFill="1" applyBorder="1" applyAlignment="1">
      <alignment horizontal="center" vertical="center" wrapText="1"/>
    </xf>
    <xf numFmtId="0" fontId="21" fillId="8" borderId="5" xfId="0" applyFont="1" applyFill="1" applyBorder="1" applyAlignment="1">
      <alignment horizontal="center" vertical="center" wrapText="1"/>
    </xf>
    <xf numFmtId="0" fontId="21" fillId="8"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2" fillId="9" borderId="10" xfId="0" applyFont="1" applyFill="1" applyBorder="1" applyAlignment="1">
      <alignment horizontal="center" vertical="center"/>
    </xf>
    <xf numFmtId="0" fontId="22" fillId="9" borderId="5" xfId="0" applyFont="1" applyFill="1" applyBorder="1" applyAlignment="1">
      <alignment horizontal="center" vertical="center"/>
    </xf>
    <xf numFmtId="0" fontId="22" fillId="9" borderId="7" xfId="0" applyFont="1" applyFill="1" applyBorder="1" applyAlignment="1">
      <alignment horizontal="center" vertical="center"/>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19" fillId="8" borderId="10"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8" borderId="7"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8" borderId="5"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9" fillId="3" borderId="10"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9" fillId="0" borderId="10" xfId="0" applyFont="1" applyBorder="1" applyAlignment="1">
      <alignment horizontal="center" vertical="center"/>
    </xf>
    <xf numFmtId="0" fontId="19" fillId="0" borderId="5" xfId="0" applyFont="1" applyBorder="1" applyAlignment="1">
      <alignment horizontal="center" vertical="center"/>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1" fillId="3" borderId="5"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21" fillId="3" borderId="11" xfId="0" applyFont="1" applyFill="1" applyBorder="1" applyAlignment="1">
      <alignment horizontal="center" vertical="center" wrapText="1"/>
    </xf>
    <xf numFmtId="0" fontId="21" fillId="3" borderId="0" xfId="0" applyFont="1" applyFill="1" applyAlignment="1">
      <alignment horizontal="center" vertical="center" wrapText="1"/>
    </xf>
    <xf numFmtId="0" fontId="21" fillId="3" borderId="8" xfId="0" applyFont="1" applyFill="1" applyBorder="1" applyAlignment="1">
      <alignment horizontal="center" vertical="center" wrapText="1"/>
    </xf>
    <xf numFmtId="0" fontId="26" fillId="6" borderId="2" xfId="0" applyFont="1" applyFill="1" applyBorder="1" applyAlignment="1">
      <alignment horizontal="center"/>
    </xf>
    <xf numFmtId="0" fontId="26" fillId="6" borderId="4" xfId="0" applyFont="1" applyFill="1" applyBorder="1" applyAlignment="1">
      <alignment horizontal="center"/>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21" fillId="0" borderId="60" xfId="0" applyFont="1" applyBorder="1" applyAlignment="1">
      <alignment horizontal="center" vertical="center"/>
    </xf>
    <xf numFmtId="0" fontId="21" fillId="0" borderId="72" xfId="0" applyFont="1" applyBorder="1" applyAlignment="1">
      <alignment horizontal="center" vertical="center"/>
    </xf>
    <xf numFmtId="0" fontId="21" fillId="0" borderId="76" xfId="0" applyFont="1" applyBorder="1" applyAlignment="1">
      <alignment horizontal="center" vertical="center"/>
    </xf>
    <xf numFmtId="0" fontId="21" fillId="0" borderId="78" xfId="0" applyFont="1" applyBorder="1" applyAlignment="1">
      <alignment horizontal="center" vertical="center"/>
    </xf>
    <xf numFmtId="0" fontId="21" fillId="0" borderId="62" xfId="0" applyFont="1" applyBorder="1" applyAlignment="1">
      <alignment horizontal="center" vertical="center"/>
    </xf>
    <xf numFmtId="0" fontId="21" fillId="0" borderId="71" xfId="0" applyFont="1" applyBorder="1" applyAlignment="1">
      <alignment horizontal="center" vertical="center"/>
    </xf>
    <xf numFmtId="0" fontId="21" fillId="0" borderId="74" xfId="0" applyFont="1" applyBorder="1" applyAlignment="1">
      <alignment horizontal="center"/>
    </xf>
    <xf numFmtId="0" fontId="21" fillId="0" borderId="60" xfId="0" applyFont="1" applyBorder="1" applyAlignment="1">
      <alignment horizontal="center"/>
    </xf>
    <xf numFmtId="0" fontId="21" fillId="0" borderId="62" xfId="0" applyFont="1" applyBorder="1" applyAlignment="1">
      <alignment horizontal="center"/>
    </xf>
    <xf numFmtId="0" fontId="21" fillId="0" borderId="79" xfId="0" applyFont="1" applyBorder="1" applyAlignment="1">
      <alignment horizontal="center" vertical="center"/>
    </xf>
    <xf numFmtId="0" fontId="21" fillId="0" borderId="73" xfId="0" applyFont="1" applyBorder="1" applyAlignment="1">
      <alignment horizontal="center" vertical="center"/>
    </xf>
    <xf numFmtId="0" fontId="21" fillId="0" borderId="22" xfId="0" applyFont="1" applyBorder="1" applyAlignment="1">
      <alignment horizontal="center"/>
    </xf>
    <xf numFmtId="0" fontId="21" fillId="0" borderId="17" xfId="0" applyFont="1" applyBorder="1" applyAlignment="1">
      <alignment horizontal="center"/>
    </xf>
    <xf numFmtId="0" fontId="21" fillId="0" borderId="79" xfId="0" applyFont="1" applyBorder="1" applyAlignment="1">
      <alignment horizontal="center"/>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12" fillId="0" borderId="5" xfId="0" applyFont="1" applyBorder="1" applyAlignment="1">
      <alignment horizontal="center" vertical="center" wrapText="1"/>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23" fillId="6" borderId="10" xfId="0" applyFont="1" applyFill="1" applyBorder="1" applyAlignment="1">
      <alignment horizontal="center"/>
    </xf>
    <xf numFmtId="0" fontId="23" fillId="6" borderId="12" xfId="0" applyFont="1" applyFill="1" applyBorder="1" applyAlignment="1">
      <alignment horizontal="center"/>
    </xf>
    <xf numFmtId="0" fontId="23" fillId="6" borderId="11" xfId="0" applyFont="1" applyFill="1" applyBorder="1" applyAlignment="1">
      <alignment horizontal="center"/>
    </xf>
    <xf numFmtId="0" fontId="7" fillId="3" borderId="0" xfId="3" applyFill="1" applyAlignment="1" applyProtection="1">
      <alignment horizontal="left"/>
    </xf>
    <xf numFmtId="0" fontId="8" fillId="5" borderId="5" xfId="3" applyFont="1" applyFill="1" applyBorder="1" applyAlignment="1">
      <alignment horizontal="left"/>
    </xf>
    <xf numFmtId="0" fontId="8" fillId="5" borderId="0" xfId="3" applyFont="1" applyFill="1" applyAlignment="1">
      <alignment horizontal="left"/>
    </xf>
  </cellXfs>
  <cellStyles count="29">
    <cellStyle name="Beräkning 2" xfId="13"/>
    <cellStyle name="Calculation" xfId="7" builtinId="22"/>
    <cellStyle name="Comma" xfId="27" builtinId="3"/>
    <cellStyle name="Currency" xfId="28" builtinId="4"/>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0.16043102663443456</c:v>
                </c:pt>
                <c:pt idx="1">
                  <c:v>0.16279143211652328</c:v>
                </c:pt>
                <c:pt idx="2">
                  <c:v>0.16279143211652328</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0.13265678749753124</c:v>
                </c:pt>
                <c:pt idx="1">
                  <c:v>7.7822752954387245E-2</c:v>
                </c:pt>
                <c:pt idx="2">
                  <c:v>0.1273132219446956</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19.022468857387942</c:v>
                </c:pt>
                <c:pt idx="2">
                  <c:v>19.022468857387942</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21.29684350319264</c:v>
                </c:pt>
                <c:pt idx="1">
                  <c:v>21.818348515130403</c:v>
                </c:pt>
                <c:pt idx="2">
                  <c:v>21.449618900335345</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9.8222848467547585</c:v>
                </c:pt>
                <c:pt idx="1">
                  <c:v>9.967195710585889</c:v>
                </c:pt>
                <c:pt idx="2">
                  <c:v>9.967195710585889</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6.2800218895486593</c:v>
                </c:pt>
                <c:pt idx="1">
                  <c:v>3.7993607180226698</c:v>
                </c:pt>
                <c:pt idx="2">
                  <c:v>5.9366389628454703</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11.21232171264937</c:v>
                </c:pt>
                <c:pt idx="1">
                  <c:v>11.301315449405333</c:v>
                </c:pt>
                <c:pt idx="2">
                  <c:v>11.301315449405333</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8.2160084747964586</c:v>
                </c:pt>
                <c:pt idx="1">
                  <c:v>4.9902258335554439</c:v>
                </c:pt>
                <c:pt idx="2">
                  <c:v>7.7332785890108529</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363683</xdr:colOff>
      <xdr:row>13</xdr:row>
      <xdr:rowOff>34636</xdr:rowOff>
    </xdr:from>
    <xdr:to>
      <xdr:col>18</xdr:col>
      <xdr:colOff>349999</xdr:colOff>
      <xdr:row>29</xdr:row>
      <xdr:rowOff>21363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1152910" y="2978727"/>
          <a:ext cx="4835407" cy="32079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J26"/>
  <sheetViews>
    <sheetView zoomScale="70" zoomScaleNormal="70" workbookViewId="0">
      <selection activeCell="A3" sqref="A3:I3"/>
    </sheetView>
  </sheetViews>
  <sheetFormatPr defaultColWidth="8.85546875" defaultRowHeight="15" x14ac:dyDescent="0.25"/>
  <cols>
    <col min="1" max="1" width="25" style="26" customWidth="1"/>
    <col min="2" max="2" width="54.5703125" style="26" customWidth="1"/>
    <col min="3" max="16384" width="8.85546875" style="26"/>
  </cols>
  <sheetData>
    <row r="1" spans="1:10" ht="18" x14ac:dyDescent="0.25">
      <c r="A1" s="117" t="s">
        <v>378</v>
      </c>
    </row>
    <row r="2" spans="1:10" ht="16.5" customHeight="1" x14ac:dyDescent="0.25"/>
    <row r="3" spans="1:10" ht="308.25" customHeight="1" x14ac:dyDescent="0.25">
      <c r="A3" s="769" t="s">
        <v>376</v>
      </c>
      <c r="B3" s="769"/>
      <c r="C3" s="769"/>
      <c r="D3" s="769"/>
      <c r="E3" s="769"/>
      <c r="F3" s="769"/>
      <c r="G3" s="769"/>
      <c r="H3" s="769"/>
      <c r="I3" s="769"/>
      <c r="J3" s="18"/>
    </row>
    <row r="4" spans="1:10" ht="15.75" customHeight="1" thickBot="1" x14ac:dyDescent="0.3"/>
    <row r="5" spans="1:10" ht="15.75" thickBot="1" x14ac:dyDescent="0.3">
      <c r="A5" s="105" t="s">
        <v>244</v>
      </c>
      <c r="B5" s="147" t="s">
        <v>67</v>
      </c>
      <c r="C5" s="38"/>
    </row>
    <row r="6" spans="1:10" x14ac:dyDescent="0.25">
      <c r="A6" s="284" t="s">
        <v>177</v>
      </c>
      <c r="B6" s="285" t="s">
        <v>277</v>
      </c>
      <c r="C6" s="38"/>
    </row>
    <row r="7" spans="1:10" x14ac:dyDescent="0.25">
      <c r="A7" s="286" t="s">
        <v>339</v>
      </c>
      <c r="B7" s="287" t="s">
        <v>340</v>
      </c>
      <c r="C7" s="38"/>
    </row>
    <row r="8" spans="1:10" x14ac:dyDescent="0.25">
      <c r="A8" s="286" t="s">
        <v>278</v>
      </c>
      <c r="B8" s="287" t="s">
        <v>276</v>
      </c>
      <c r="C8" s="38"/>
    </row>
    <row r="9" spans="1:10" x14ac:dyDescent="0.25">
      <c r="A9" s="286" t="s">
        <v>367</v>
      </c>
      <c r="B9" s="287" t="s">
        <v>368</v>
      </c>
      <c r="C9" s="38"/>
    </row>
    <row r="10" spans="1:10" x14ac:dyDescent="0.25">
      <c r="A10" s="286" t="s">
        <v>241</v>
      </c>
      <c r="B10" s="287" t="s">
        <v>208</v>
      </c>
      <c r="C10" s="38"/>
    </row>
    <row r="11" spans="1:10" x14ac:dyDescent="0.25">
      <c r="A11" s="286" t="s">
        <v>242</v>
      </c>
      <c r="B11" s="287" t="s">
        <v>245</v>
      </c>
      <c r="C11" s="38"/>
    </row>
    <row r="12" spans="1:10" x14ac:dyDescent="0.25">
      <c r="A12" s="286" t="s">
        <v>243</v>
      </c>
      <c r="B12" s="287" t="s">
        <v>246</v>
      </c>
      <c r="C12" s="38"/>
    </row>
    <row r="13" spans="1:10" ht="15.75" thickBot="1" x14ac:dyDescent="0.3">
      <c r="A13" s="288" t="s">
        <v>176</v>
      </c>
      <c r="B13" s="289" t="s">
        <v>247</v>
      </c>
      <c r="C13" s="38"/>
    </row>
    <row r="15" spans="1:10" x14ac:dyDescent="0.25">
      <c r="A15" s="361" t="s">
        <v>341</v>
      </c>
      <c r="B15" s="205"/>
    </row>
    <row r="16" spans="1:10" x14ac:dyDescent="0.25">
      <c r="A16" s="205" t="s">
        <v>342</v>
      </c>
      <c r="B16" s="205"/>
    </row>
    <row r="17" spans="1:2" x14ac:dyDescent="0.25">
      <c r="A17" s="205" t="s">
        <v>343</v>
      </c>
      <c r="B17" s="205"/>
    </row>
    <row r="18" spans="1:2" x14ac:dyDescent="0.25">
      <c r="A18" s="205" t="s">
        <v>344</v>
      </c>
      <c r="B18" s="205"/>
    </row>
    <row r="19" spans="1:2" x14ac:dyDescent="0.25">
      <c r="A19" s="205" t="s">
        <v>345</v>
      </c>
      <c r="B19" s="205"/>
    </row>
    <row r="20" spans="1:2" x14ac:dyDescent="0.25">
      <c r="A20" s="205" t="s">
        <v>346</v>
      </c>
      <c r="B20" s="205"/>
    </row>
    <row r="21" spans="1:2" x14ac:dyDescent="0.25">
      <c r="A21" s="205"/>
      <c r="B21" s="205"/>
    </row>
    <row r="22" spans="1:2" x14ac:dyDescent="0.25">
      <c r="A22" s="205"/>
      <c r="B22" s="205"/>
    </row>
    <row r="23" spans="1:2" x14ac:dyDescent="0.25">
      <c r="A23" s="205"/>
      <c r="B23" s="205"/>
    </row>
    <row r="24" spans="1:2" x14ac:dyDescent="0.25">
      <c r="A24" s="205"/>
      <c r="B24" s="205"/>
    </row>
    <row r="25" spans="1:2" x14ac:dyDescent="0.25">
      <c r="A25" s="205"/>
      <c r="B25" s="205"/>
    </row>
    <row r="26" spans="1:2" x14ac:dyDescent="0.25">
      <c r="A26" s="205"/>
      <c r="B26" s="205"/>
    </row>
  </sheetData>
  <mergeCells count="1">
    <mergeCell ref="A3:I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2"/>
  <sheetViews>
    <sheetView workbookViewId="0">
      <selection activeCell="B16" sqref="B16"/>
    </sheetView>
  </sheetViews>
  <sheetFormatPr defaultColWidth="8.85546875" defaultRowHeight="15" x14ac:dyDescent="0.25"/>
  <cols>
    <col min="1" max="1" width="18.28515625" style="26" customWidth="1"/>
    <col min="2" max="16384" width="8.85546875" style="26"/>
  </cols>
  <sheetData>
    <row r="1" spans="1:10" ht="18" x14ac:dyDescent="0.25">
      <c r="A1" s="117" t="s">
        <v>377</v>
      </c>
    </row>
    <row r="2" spans="1:10" x14ac:dyDescent="0.25">
      <c r="A2" s="38" t="s">
        <v>336</v>
      </c>
      <c r="B2" s="38"/>
    </row>
    <row r="3" spans="1:10" x14ac:dyDescent="0.25">
      <c r="A3" s="38" t="s">
        <v>335</v>
      </c>
      <c r="B3" s="38"/>
    </row>
    <row r="5" spans="1:10" s="38" customFormat="1" ht="12" x14ac:dyDescent="0.2">
      <c r="A5" s="175" t="s">
        <v>362</v>
      </c>
      <c r="B5" s="175">
        <v>2010</v>
      </c>
      <c r="C5" s="175">
        <v>2011</v>
      </c>
      <c r="D5" s="175">
        <v>2012</v>
      </c>
      <c r="E5" s="175">
        <v>2013</v>
      </c>
      <c r="F5" s="175">
        <v>2014</v>
      </c>
      <c r="G5" s="175">
        <v>2015</v>
      </c>
      <c r="H5" s="175">
        <v>2016</v>
      </c>
      <c r="I5" s="175">
        <v>2017</v>
      </c>
      <c r="J5" s="175">
        <v>2018</v>
      </c>
    </row>
    <row r="6" spans="1:10" s="38" customFormat="1" ht="12" x14ac:dyDescent="0.2">
      <c r="A6" s="38" t="s">
        <v>333</v>
      </c>
      <c r="B6" s="410">
        <v>11892</v>
      </c>
      <c r="C6" s="410">
        <v>11545</v>
      </c>
      <c r="D6" s="410">
        <v>10994</v>
      </c>
      <c r="E6" s="410">
        <v>10775</v>
      </c>
      <c r="F6" s="410">
        <v>10646</v>
      </c>
      <c r="G6" s="410">
        <v>10764</v>
      </c>
      <c r="H6" s="410">
        <v>10508</v>
      </c>
      <c r="I6" s="410">
        <v>10252</v>
      </c>
      <c r="J6" s="410">
        <v>10007</v>
      </c>
    </row>
    <row r="7" spans="1:10" s="38" customFormat="1" ht="12" x14ac:dyDescent="0.2">
      <c r="A7" s="38" t="s">
        <v>334</v>
      </c>
      <c r="B7" s="410">
        <v>1656</v>
      </c>
      <c r="C7" s="410">
        <v>1701</v>
      </c>
      <c r="D7" s="410">
        <v>1653</v>
      </c>
      <c r="E7" s="410">
        <v>1630</v>
      </c>
      <c r="F7" s="410">
        <v>1587</v>
      </c>
      <c r="G7" s="410">
        <v>1600</v>
      </c>
      <c r="H7" s="410">
        <v>1526</v>
      </c>
      <c r="I7" s="410">
        <v>1536</v>
      </c>
      <c r="J7" s="410">
        <v>1471</v>
      </c>
    </row>
    <row r="8" spans="1:10" s="38" customFormat="1" ht="12" x14ac:dyDescent="0.2">
      <c r="A8" s="38" t="s">
        <v>188</v>
      </c>
      <c r="B8" s="410">
        <v>764</v>
      </c>
      <c r="C8" s="410">
        <v>757</v>
      </c>
      <c r="D8" s="410">
        <v>593</v>
      </c>
      <c r="E8" s="410">
        <v>512</v>
      </c>
      <c r="F8" s="410">
        <v>458</v>
      </c>
      <c r="G8" s="410">
        <v>381</v>
      </c>
      <c r="H8" s="410">
        <v>256</v>
      </c>
      <c r="I8" s="410">
        <v>188</v>
      </c>
      <c r="J8" s="410">
        <v>213</v>
      </c>
    </row>
    <row r="9" spans="1:10" s="38" customFormat="1" ht="12" x14ac:dyDescent="0.2">
      <c r="A9" s="38" t="s">
        <v>189</v>
      </c>
      <c r="B9" s="410">
        <v>4488</v>
      </c>
      <c r="C9" s="410">
        <v>4365</v>
      </c>
      <c r="D9" s="410">
        <v>4065</v>
      </c>
      <c r="E9" s="410">
        <v>3928</v>
      </c>
      <c r="F9" s="410">
        <v>3793</v>
      </c>
      <c r="G9" s="410">
        <v>3707</v>
      </c>
      <c r="H9" s="410">
        <v>3448</v>
      </c>
      <c r="I9" s="410">
        <v>3338</v>
      </c>
      <c r="J9" s="410">
        <v>3211</v>
      </c>
    </row>
    <row r="10" spans="1:10" s="38" customFormat="1" ht="12" x14ac:dyDescent="0.2">
      <c r="A10" s="38" t="s">
        <v>190</v>
      </c>
      <c r="B10" s="410">
        <v>96</v>
      </c>
      <c r="C10" s="410">
        <v>91</v>
      </c>
      <c r="D10" s="410">
        <v>79</v>
      </c>
      <c r="E10" s="410">
        <v>85</v>
      </c>
      <c r="F10" s="410">
        <v>83</v>
      </c>
      <c r="G10" s="410">
        <v>85</v>
      </c>
      <c r="H10" s="410">
        <v>80</v>
      </c>
      <c r="I10" s="410">
        <v>77</v>
      </c>
      <c r="J10" s="410">
        <v>79</v>
      </c>
    </row>
    <row r="11" spans="1:10" s="38" customFormat="1" ht="12" x14ac:dyDescent="0.2">
      <c r="A11" s="38" t="s">
        <v>338</v>
      </c>
      <c r="B11" s="410">
        <f>SUM(B6:B10)</f>
        <v>18896</v>
      </c>
      <c r="C11" s="410">
        <f t="shared" ref="C11:J11" si="0">SUM(C6:C10)</f>
        <v>18459</v>
      </c>
      <c r="D11" s="410">
        <f t="shared" si="0"/>
        <v>17384</v>
      </c>
      <c r="E11" s="410">
        <f t="shared" si="0"/>
        <v>16930</v>
      </c>
      <c r="F11" s="410">
        <f t="shared" si="0"/>
        <v>16567</v>
      </c>
      <c r="G11" s="410">
        <f t="shared" si="0"/>
        <v>16537</v>
      </c>
      <c r="H11" s="410">
        <f t="shared" si="0"/>
        <v>15818</v>
      </c>
      <c r="I11" s="410">
        <f t="shared" si="0"/>
        <v>15391</v>
      </c>
      <c r="J11" s="410">
        <f t="shared" si="0"/>
        <v>14981</v>
      </c>
    </row>
    <row r="12" spans="1:10" s="38" customFormat="1" ht="12" x14ac:dyDescent="0.2">
      <c r="A12" s="40" t="s">
        <v>337</v>
      </c>
      <c r="B12" s="409">
        <f>B11/1000</f>
        <v>18.896000000000001</v>
      </c>
      <c r="C12" s="409">
        <f t="shared" ref="C12:J12" si="1">C11/1000</f>
        <v>18.459</v>
      </c>
      <c r="D12" s="409">
        <f t="shared" si="1"/>
        <v>17.384</v>
      </c>
      <c r="E12" s="409">
        <f t="shared" si="1"/>
        <v>16.93</v>
      </c>
      <c r="F12" s="409">
        <f t="shared" si="1"/>
        <v>16.567</v>
      </c>
      <c r="G12" s="409">
        <f t="shared" si="1"/>
        <v>16.536999999999999</v>
      </c>
      <c r="H12" s="409">
        <f t="shared" si="1"/>
        <v>15.818</v>
      </c>
      <c r="I12" s="409">
        <f t="shared" si="1"/>
        <v>15.391</v>
      </c>
      <c r="J12" s="409">
        <f t="shared" si="1"/>
        <v>14.981</v>
      </c>
    </row>
    <row r="13" spans="1:10" s="38" customFormat="1" ht="12" x14ac:dyDescent="0.2">
      <c r="B13" s="164"/>
      <c r="C13" s="164"/>
      <c r="D13" s="164"/>
      <c r="E13" s="164"/>
      <c r="F13" s="164"/>
      <c r="G13" s="164"/>
      <c r="H13" s="164"/>
      <c r="I13" s="164"/>
      <c r="J13" s="164"/>
    </row>
    <row r="14" spans="1:10" s="38" customFormat="1" ht="12" x14ac:dyDescent="0.2">
      <c r="A14" s="175" t="s">
        <v>362</v>
      </c>
      <c r="B14" s="175">
        <v>2010</v>
      </c>
      <c r="C14" s="175">
        <v>2011</v>
      </c>
      <c r="D14" s="175">
        <v>2012</v>
      </c>
      <c r="E14" s="175">
        <v>2013</v>
      </c>
      <c r="F14" s="175">
        <v>2014</v>
      </c>
      <c r="G14" s="175">
        <v>2015</v>
      </c>
      <c r="H14" s="175">
        <v>2016</v>
      </c>
      <c r="I14" s="175">
        <v>2017</v>
      </c>
      <c r="J14" s="175">
        <v>2018</v>
      </c>
    </row>
    <row r="15" spans="1:10" s="38" customFormat="1" ht="12" x14ac:dyDescent="0.2">
      <c r="A15" s="38" t="s">
        <v>183</v>
      </c>
      <c r="B15" s="164">
        <f>(B6+B7+B10)/1000</f>
        <v>13.644</v>
      </c>
      <c r="C15" s="164">
        <f t="shared" ref="C15:J15" si="2">(C6+C7+C10)/1000</f>
        <v>13.337</v>
      </c>
      <c r="D15" s="164">
        <f t="shared" si="2"/>
        <v>12.726000000000001</v>
      </c>
      <c r="E15" s="164">
        <f t="shared" si="2"/>
        <v>12.49</v>
      </c>
      <c r="F15" s="164">
        <f t="shared" si="2"/>
        <v>12.316000000000001</v>
      </c>
      <c r="G15" s="164">
        <f t="shared" si="2"/>
        <v>12.449</v>
      </c>
      <c r="H15" s="164">
        <f t="shared" si="2"/>
        <v>12.114000000000001</v>
      </c>
      <c r="I15" s="164">
        <f t="shared" si="2"/>
        <v>11.865</v>
      </c>
      <c r="J15" s="164">
        <f t="shared" si="2"/>
        <v>11.557</v>
      </c>
    </row>
    <row r="16" spans="1:10" s="38" customFormat="1" ht="12" x14ac:dyDescent="0.2">
      <c r="A16" s="38" t="s">
        <v>252</v>
      </c>
      <c r="B16" s="164">
        <f>B9/1000</f>
        <v>4.4880000000000004</v>
      </c>
      <c r="C16" s="164">
        <f t="shared" ref="C16:J16" si="3">C9/1000</f>
        <v>4.3650000000000002</v>
      </c>
      <c r="D16" s="164">
        <f t="shared" si="3"/>
        <v>4.0650000000000004</v>
      </c>
      <c r="E16" s="164">
        <f t="shared" si="3"/>
        <v>3.9279999999999999</v>
      </c>
      <c r="F16" s="164">
        <f t="shared" si="3"/>
        <v>3.7930000000000001</v>
      </c>
      <c r="G16" s="164">
        <f t="shared" si="3"/>
        <v>3.7069999999999999</v>
      </c>
      <c r="H16" s="164">
        <f t="shared" si="3"/>
        <v>3.448</v>
      </c>
      <c r="I16" s="164">
        <f t="shared" si="3"/>
        <v>3.3380000000000001</v>
      </c>
      <c r="J16" s="164">
        <f t="shared" si="3"/>
        <v>3.2109999999999999</v>
      </c>
    </row>
    <row r="17" spans="1:10" s="38" customFormat="1" ht="12" x14ac:dyDescent="0.2">
      <c r="A17" s="38" t="s">
        <v>191</v>
      </c>
      <c r="B17" s="164">
        <f>B8/1000</f>
        <v>0.76400000000000001</v>
      </c>
      <c r="C17" s="164">
        <f t="shared" ref="C17:J17" si="4">C8/1000</f>
        <v>0.75700000000000001</v>
      </c>
      <c r="D17" s="164">
        <f t="shared" si="4"/>
        <v>0.59299999999999997</v>
      </c>
      <c r="E17" s="164">
        <f t="shared" si="4"/>
        <v>0.51200000000000001</v>
      </c>
      <c r="F17" s="164">
        <f t="shared" si="4"/>
        <v>0.45800000000000002</v>
      </c>
      <c r="G17" s="164">
        <f t="shared" si="4"/>
        <v>0.38100000000000001</v>
      </c>
      <c r="H17" s="164">
        <f t="shared" si="4"/>
        <v>0.25600000000000001</v>
      </c>
      <c r="I17" s="164">
        <f t="shared" si="4"/>
        <v>0.188</v>
      </c>
      <c r="J17" s="164">
        <f t="shared" si="4"/>
        <v>0.21299999999999999</v>
      </c>
    </row>
    <row r="18" spans="1:10" s="38" customFormat="1" ht="12" x14ac:dyDescent="0.2">
      <c r="A18" s="40" t="s">
        <v>16</v>
      </c>
      <c r="B18" s="291">
        <f>SUM(B15:B17)</f>
        <v>18.896000000000001</v>
      </c>
      <c r="C18" s="291">
        <f t="shared" ref="C18:J18" si="5">SUM(C15:C17)</f>
        <v>18.459</v>
      </c>
      <c r="D18" s="291">
        <f t="shared" si="5"/>
        <v>17.384</v>
      </c>
      <c r="E18" s="291">
        <f t="shared" si="5"/>
        <v>16.93</v>
      </c>
      <c r="F18" s="291">
        <f t="shared" si="5"/>
        <v>16.567</v>
      </c>
      <c r="G18" s="291">
        <f t="shared" si="5"/>
        <v>16.536999999999999</v>
      </c>
      <c r="H18" s="291">
        <f t="shared" si="5"/>
        <v>15.818000000000001</v>
      </c>
      <c r="I18" s="291">
        <f t="shared" si="5"/>
        <v>15.391</v>
      </c>
      <c r="J18" s="291">
        <f t="shared" si="5"/>
        <v>14.981</v>
      </c>
    </row>
    <row r="19" spans="1:10" ht="12" customHeight="1" x14ac:dyDescent="0.25"/>
    <row r="20" spans="1:10" ht="12" customHeight="1" x14ac:dyDescent="0.25">
      <c r="A20" s="38" t="s">
        <v>365</v>
      </c>
    </row>
    <row r="21" spans="1:10" ht="12" customHeight="1" x14ac:dyDescent="0.25">
      <c r="A21" s="38" t="s">
        <v>366</v>
      </c>
    </row>
    <row r="22" spans="1:10" ht="12" customHeight="1" x14ac:dyDescent="0.25"/>
    <row r="23" spans="1:10" ht="12" customHeight="1" x14ac:dyDescent="0.25">
      <c r="A23" s="175" t="s">
        <v>363</v>
      </c>
      <c r="B23" s="175">
        <v>2010</v>
      </c>
      <c r="C23" s="175">
        <v>2011</v>
      </c>
      <c r="D23" s="175">
        <v>2012</v>
      </c>
      <c r="E23" s="175">
        <v>2013</v>
      </c>
      <c r="F23" s="175">
        <v>2014</v>
      </c>
      <c r="G23" s="175">
        <v>2015</v>
      </c>
      <c r="H23" s="175">
        <v>2016</v>
      </c>
      <c r="I23" s="175">
        <v>2017</v>
      </c>
      <c r="J23" s="175">
        <v>2018</v>
      </c>
    </row>
    <row r="24" spans="1:10" ht="12" customHeight="1" x14ac:dyDescent="0.25">
      <c r="A24" s="38" t="s">
        <v>350</v>
      </c>
      <c r="B24" s="164">
        <f>B31/1000</f>
        <v>1.3952000000000002</v>
      </c>
      <c r="C24" s="164">
        <f t="shared" ref="C24:J24" si="6">C31/1000</f>
        <v>1.2692000000000019</v>
      </c>
      <c r="D24" s="164">
        <f t="shared" si="6"/>
        <v>1.0711999999999995</v>
      </c>
      <c r="E24" s="164">
        <f t="shared" si="6"/>
        <v>0.96049999999999935</v>
      </c>
      <c r="F24" s="164">
        <f t="shared" si="6"/>
        <v>0.87380000000000113</v>
      </c>
      <c r="G24" s="164">
        <f t="shared" si="6"/>
        <v>0.74280000000000079</v>
      </c>
      <c r="H24" s="164">
        <f t="shared" si="6"/>
        <v>0.65099999999999969</v>
      </c>
      <c r="I24" s="164">
        <f t="shared" si="6"/>
        <v>0.57449999999999934</v>
      </c>
      <c r="J24" s="164">
        <f t="shared" si="6"/>
        <v>0.50379999999999991</v>
      </c>
    </row>
    <row r="25" spans="1:10" ht="12" customHeight="1" x14ac:dyDescent="0.25">
      <c r="A25" s="38" t="s">
        <v>364</v>
      </c>
      <c r="B25" s="164">
        <f>B28/1000-B24</f>
        <v>13.957799999999999</v>
      </c>
      <c r="C25" s="164">
        <f t="shared" ref="C25:J25" si="7">C28/1000-C24</f>
        <v>16.1812</v>
      </c>
      <c r="D25" s="164">
        <f t="shared" si="7"/>
        <v>14.269300000000001</v>
      </c>
      <c r="E25" s="164">
        <f t="shared" si="7"/>
        <v>16.5778</v>
      </c>
      <c r="F25" s="164">
        <f t="shared" si="7"/>
        <v>15.182399999999999</v>
      </c>
      <c r="G25" s="164">
        <f t="shared" si="7"/>
        <v>15.541400000000001</v>
      </c>
      <c r="H25" s="164">
        <f t="shared" si="7"/>
        <v>16.030799999999999</v>
      </c>
      <c r="I25" s="164">
        <f t="shared" si="7"/>
        <v>16.3413</v>
      </c>
      <c r="J25" s="164">
        <f t="shared" si="7"/>
        <v>16.589200000000002</v>
      </c>
    </row>
    <row r="26" spans="1:10" ht="12" customHeight="1" x14ac:dyDescent="0.25">
      <c r="A26" s="38" t="s">
        <v>351</v>
      </c>
      <c r="B26" s="164">
        <v>59.854699999999994</v>
      </c>
      <c r="C26" s="164">
        <v>55.862499999999997</v>
      </c>
      <c r="D26" s="164">
        <v>53.195500000000003</v>
      </c>
      <c r="E26" s="164">
        <v>51.203099999999999</v>
      </c>
      <c r="F26" s="164">
        <v>50.199599999999997</v>
      </c>
      <c r="G26" s="164">
        <v>47.358699999999999</v>
      </c>
      <c r="H26" s="164">
        <v>44.657699999999998</v>
      </c>
      <c r="I26" s="164">
        <v>41.268900000000002</v>
      </c>
      <c r="J26" s="164">
        <v>38.866199999999999</v>
      </c>
    </row>
    <row r="27" spans="1:10" ht="12" customHeight="1" x14ac:dyDescent="0.25">
      <c r="A27" s="38"/>
      <c r="B27" s="164"/>
      <c r="C27" s="164"/>
      <c r="D27" s="164"/>
      <c r="E27" s="164"/>
      <c r="F27" s="164"/>
      <c r="G27" s="164"/>
      <c r="H27" s="164"/>
      <c r="I27" s="164"/>
      <c r="J27" s="164"/>
    </row>
    <row r="28" spans="1:10" ht="12" customHeight="1" x14ac:dyDescent="0.25">
      <c r="A28" s="38" t="s">
        <v>361</v>
      </c>
      <c r="B28" s="410">
        <v>15353</v>
      </c>
      <c r="C28" s="410">
        <v>17450.400000000001</v>
      </c>
      <c r="D28" s="410">
        <v>15340.5</v>
      </c>
      <c r="E28" s="410">
        <v>17538.3</v>
      </c>
      <c r="F28" s="410">
        <v>16056.2</v>
      </c>
      <c r="G28" s="410">
        <v>16284.2</v>
      </c>
      <c r="H28" s="410">
        <v>16681.8</v>
      </c>
      <c r="I28" s="410">
        <v>16915.8</v>
      </c>
      <c r="J28" s="410">
        <v>17093</v>
      </c>
    </row>
    <row r="29" spans="1:10" ht="12" customHeight="1" x14ac:dyDescent="0.25">
      <c r="A29" s="38" t="s">
        <v>359</v>
      </c>
      <c r="B29" s="410">
        <v>13189.4</v>
      </c>
      <c r="C29" s="410">
        <v>15403.4</v>
      </c>
      <c r="D29" s="410">
        <v>13497.1</v>
      </c>
      <c r="E29" s="410">
        <v>15805</v>
      </c>
      <c r="F29" s="410">
        <v>14397.4</v>
      </c>
      <c r="G29" s="410">
        <v>14740</v>
      </c>
      <c r="H29" s="410">
        <v>15207.9</v>
      </c>
      <c r="I29" s="410">
        <v>15507</v>
      </c>
      <c r="J29" s="410">
        <v>15751</v>
      </c>
    </row>
    <row r="30" spans="1:10" ht="12" customHeight="1" x14ac:dyDescent="0.25">
      <c r="A30" s="38" t="s">
        <v>360</v>
      </c>
      <c r="B30" s="410">
        <v>768.4</v>
      </c>
      <c r="C30" s="410">
        <v>777.8</v>
      </c>
      <c r="D30" s="410">
        <v>772.2</v>
      </c>
      <c r="E30" s="410">
        <v>772.8</v>
      </c>
      <c r="F30" s="410">
        <v>785</v>
      </c>
      <c r="G30" s="410">
        <v>801.4</v>
      </c>
      <c r="H30" s="410">
        <v>822.9</v>
      </c>
      <c r="I30" s="410">
        <v>834.3</v>
      </c>
      <c r="J30" s="410">
        <v>838.2</v>
      </c>
    </row>
    <row r="31" spans="1:10" ht="12" customHeight="1" x14ac:dyDescent="0.25">
      <c r="A31" s="38" t="s">
        <v>350</v>
      </c>
      <c r="B31" s="410">
        <f>B28-B29-B30</f>
        <v>1395.2000000000003</v>
      </c>
      <c r="C31" s="410">
        <f t="shared" ref="C31:J31" si="8">C28-C29-C30</f>
        <v>1269.2000000000019</v>
      </c>
      <c r="D31" s="410">
        <f t="shared" si="8"/>
        <v>1071.1999999999996</v>
      </c>
      <c r="E31" s="410">
        <f t="shared" si="8"/>
        <v>960.49999999999932</v>
      </c>
      <c r="F31" s="410">
        <f t="shared" si="8"/>
        <v>873.80000000000109</v>
      </c>
      <c r="G31" s="410">
        <f t="shared" si="8"/>
        <v>742.80000000000075</v>
      </c>
      <c r="H31" s="410">
        <f t="shared" si="8"/>
        <v>650.99999999999966</v>
      </c>
      <c r="I31" s="410">
        <f t="shared" si="8"/>
        <v>574.49999999999932</v>
      </c>
      <c r="J31" s="410">
        <f t="shared" si="8"/>
        <v>503.79999999999995</v>
      </c>
    </row>
    <row r="32" spans="1:10" x14ac:dyDescent="0.25">
      <c r="A32"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zoomScale="90" zoomScaleNormal="90" workbookViewId="0">
      <selection activeCell="F30" sqref="F30"/>
    </sheetView>
  </sheetViews>
  <sheetFormatPr defaultColWidth="8.85546875" defaultRowHeight="15" x14ac:dyDescent="0.25"/>
  <cols>
    <col min="1" max="1" width="37.85546875" style="26" customWidth="1"/>
    <col min="2" max="4" width="8.7109375" style="26" customWidth="1"/>
    <col min="5" max="5" width="11.7109375" style="93"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17" t="s">
        <v>292</v>
      </c>
      <c r="B1" s="412"/>
      <c r="C1" s="412"/>
      <c r="D1" s="412"/>
      <c r="E1" s="413"/>
      <c r="F1" s="412"/>
      <c r="G1" s="18"/>
      <c r="H1" s="18"/>
      <c r="I1" s="18"/>
    </row>
    <row r="2" spans="1:16" x14ac:dyDescent="0.25">
      <c r="A2" s="411" t="s">
        <v>347</v>
      </c>
      <c r="B2" s="18"/>
      <c r="C2" s="18"/>
      <c r="D2" s="18"/>
      <c r="E2" s="170"/>
      <c r="F2" s="18"/>
      <c r="G2" s="18"/>
      <c r="H2" s="18"/>
      <c r="I2" s="18"/>
    </row>
    <row r="3" spans="1:16" ht="15.75" thickBot="1" x14ac:dyDescent="0.3">
      <c r="A3" s="836" t="s">
        <v>61</v>
      </c>
      <c r="B3" s="836"/>
      <c r="C3" s="836"/>
      <c r="D3" s="836"/>
      <c r="E3" s="80"/>
      <c r="F3" s="836" t="s">
        <v>253</v>
      </c>
      <c r="G3" s="836"/>
      <c r="H3" s="836"/>
      <c r="I3" s="836"/>
      <c r="M3" s="836" t="s">
        <v>305</v>
      </c>
      <c r="N3" s="837"/>
      <c r="O3" s="837"/>
      <c r="P3" s="837"/>
    </row>
    <row r="4" spans="1:16" s="39" customFormat="1" ht="13.5" thickBot="1" x14ac:dyDescent="0.25">
      <c r="A4" s="838" t="s">
        <v>54</v>
      </c>
      <c r="B4" s="838"/>
      <c r="C4" s="838"/>
      <c r="D4" s="838"/>
      <c r="E4" s="171"/>
      <c r="F4" s="838" t="s">
        <v>254</v>
      </c>
      <c r="G4" s="838"/>
      <c r="H4" s="838"/>
      <c r="I4" s="838"/>
      <c r="K4" s="61" t="s">
        <v>63</v>
      </c>
      <c r="M4" s="358" t="s">
        <v>306</v>
      </c>
      <c r="N4" s="346"/>
      <c r="O4" s="346"/>
      <c r="P4" s="346"/>
    </row>
    <row r="5" spans="1:16" ht="15.75" thickBot="1" x14ac:dyDescent="0.3">
      <c r="A5" s="839" t="s">
        <v>55</v>
      </c>
      <c r="B5" s="839"/>
      <c r="C5" s="839"/>
      <c r="D5" s="839"/>
      <c r="E5" s="41"/>
      <c r="F5" s="839" t="s">
        <v>56</v>
      </c>
      <c r="G5" s="839"/>
      <c r="H5" s="839"/>
      <c r="I5" s="839"/>
      <c r="K5" s="59" t="s">
        <v>61</v>
      </c>
      <c r="M5" s="347"/>
      <c r="N5" s="347"/>
      <c r="O5" s="347"/>
      <c r="P5" s="347"/>
    </row>
    <row r="6" spans="1:16" ht="15.75" thickBot="1" x14ac:dyDescent="0.3">
      <c r="A6" s="32" t="s">
        <v>126</v>
      </c>
      <c r="B6" s="32">
        <v>2017</v>
      </c>
      <c r="C6" s="35">
        <v>2030</v>
      </c>
      <c r="D6" s="36">
        <v>2040</v>
      </c>
      <c r="E6" s="94"/>
      <c r="F6" s="32" t="s">
        <v>126</v>
      </c>
      <c r="G6" s="32">
        <v>2017</v>
      </c>
      <c r="H6" s="35">
        <v>2030</v>
      </c>
      <c r="I6" s="36">
        <v>2040</v>
      </c>
      <c r="K6" s="60" t="s">
        <v>379</v>
      </c>
      <c r="M6" s="32" t="s">
        <v>304</v>
      </c>
      <c r="N6" s="32">
        <v>2017</v>
      </c>
      <c r="O6" s="35">
        <v>2030</v>
      </c>
      <c r="P6" s="36">
        <v>2040</v>
      </c>
    </row>
    <row r="7" spans="1:16" ht="15.75" thickBot="1" x14ac:dyDescent="0.3">
      <c r="A7" s="31" t="s">
        <v>101</v>
      </c>
      <c r="B7" s="150">
        <v>0.51897550619022437</v>
      </c>
      <c r="C7" s="151">
        <v>0.39627461007293346</v>
      </c>
      <c r="D7" s="152">
        <v>0.30878176598734658</v>
      </c>
      <c r="E7" s="41"/>
      <c r="F7" s="31" t="s">
        <v>8</v>
      </c>
      <c r="G7" s="150">
        <v>0.51897550619022437</v>
      </c>
      <c r="H7" s="151">
        <v>0.35761367250484238</v>
      </c>
      <c r="I7" s="152">
        <v>0.17452833971320139</v>
      </c>
      <c r="M7" s="31" t="s">
        <v>302</v>
      </c>
      <c r="N7" s="163"/>
      <c r="O7" s="164">
        <v>3.04</v>
      </c>
      <c r="P7" s="165">
        <v>1.89</v>
      </c>
    </row>
    <row r="8" spans="1:16" ht="15.75" thickBot="1" x14ac:dyDescent="0.3">
      <c r="A8" s="31" t="s">
        <v>102</v>
      </c>
      <c r="B8" s="150">
        <v>0.47713411257965044</v>
      </c>
      <c r="C8" s="151">
        <v>0.42372538992706654</v>
      </c>
      <c r="D8" s="152">
        <v>0.31121823401265342</v>
      </c>
      <c r="E8" s="41"/>
      <c r="F8" s="31" t="s">
        <v>9</v>
      </c>
      <c r="G8" s="150">
        <v>0.47713411257965044</v>
      </c>
      <c r="H8" s="151">
        <v>0.38238632749515761</v>
      </c>
      <c r="I8" s="152">
        <v>0.15547166028679862</v>
      </c>
      <c r="K8" s="360" t="s">
        <v>63</v>
      </c>
      <c r="M8" s="31" t="s">
        <v>7</v>
      </c>
      <c r="N8" s="163"/>
      <c r="O8" s="164">
        <v>0.26</v>
      </c>
      <c r="P8" s="165">
        <v>0.56000000000000005</v>
      </c>
    </row>
    <row r="9" spans="1:16" ht="15.75" thickBot="1" x14ac:dyDescent="0.3">
      <c r="A9" s="31" t="s">
        <v>103</v>
      </c>
      <c r="B9" s="150">
        <v>3.8903812301252496E-3</v>
      </c>
      <c r="C9" s="151">
        <v>0.18</v>
      </c>
      <c r="D9" s="368">
        <v>0.38</v>
      </c>
      <c r="E9" s="41"/>
      <c r="F9" s="31" t="s">
        <v>7</v>
      </c>
      <c r="G9" s="150">
        <v>3.8903812301252496E-3</v>
      </c>
      <c r="H9" s="151">
        <v>0.26</v>
      </c>
      <c r="I9" s="152">
        <v>0.67</v>
      </c>
      <c r="K9" s="359" t="s">
        <v>331</v>
      </c>
      <c r="M9" s="32" t="s">
        <v>16</v>
      </c>
      <c r="N9" s="157"/>
      <c r="O9" s="158">
        <f t="shared" ref="O9" si="0">SUM(O7:O8)</f>
        <v>3.3</v>
      </c>
      <c r="P9" s="159">
        <f t="shared" ref="P9" si="1">SUM(P7:P8)</f>
        <v>2.4500000000000002</v>
      </c>
    </row>
    <row r="10" spans="1:16" ht="15.75" thickBot="1" x14ac:dyDescent="0.3">
      <c r="A10" s="32" t="s">
        <v>16</v>
      </c>
      <c r="B10" s="153">
        <f t="shared" ref="B10:D10" si="2">SUM(B7:B9)</f>
        <v>1</v>
      </c>
      <c r="C10" s="154">
        <f>SUM(C7:C9)</f>
        <v>1</v>
      </c>
      <c r="D10" s="155">
        <f t="shared" si="2"/>
        <v>1</v>
      </c>
      <c r="F10" s="32" t="s">
        <v>16</v>
      </c>
      <c r="G10" s="153">
        <f>SUM(G7:G9)</f>
        <v>1</v>
      </c>
      <c r="H10" s="154">
        <f t="shared" ref="H10" si="3">SUM(H7:H9)</f>
        <v>1</v>
      </c>
      <c r="I10" s="155">
        <f t="shared" ref="I10" si="4">SUM(I7:I9)</f>
        <v>1</v>
      </c>
      <c r="K10" s="59" t="s">
        <v>380</v>
      </c>
    </row>
    <row r="11" spans="1:16" ht="15.75" thickBot="1" x14ac:dyDescent="0.3">
      <c r="A11" s="40"/>
      <c r="B11" s="156"/>
      <c r="C11" s="156"/>
      <c r="D11" s="156"/>
      <c r="F11" s="40"/>
      <c r="G11" s="156"/>
      <c r="H11" s="156"/>
      <c r="I11" s="156"/>
      <c r="K11" s="60" t="s">
        <v>381</v>
      </c>
      <c r="M11" s="836" t="s">
        <v>330</v>
      </c>
      <c r="N11" s="837"/>
      <c r="O11" s="837"/>
      <c r="P11" s="837"/>
    </row>
    <row r="12" spans="1:16" ht="15.75" thickBot="1" x14ac:dyDescent="0.3">
      <c r="A12" s="32" t="s">
        <v>209</v>
      </c>
      <c r="B12" s="32">
        <v>2017</v>
      </c>
      <c r="C12" s="35">
        <v>2030</v>
      </c>
      <c r="D12" s="36">
        <v>2040</v>
      </c>
      <c r="F12" s="32" t="s">
        <v>209</v>
      </c>
      <c r="G12" s="32">
        <v>2017</v>
      </c>
      <c r="H12" s="35">
        <v>2030</v>
      </c>
      <c r="I12" s="36">
        <v>2040</v>
      </c>
      <c r="M12" s="358" t="s">
        <v>303</v>
      </c>
      <c r="N12" s="346"/>
      <c r="O12" s="346"/>
      <c r="P12" s="346"/>
    </row>
    <row r="13" spans="1:16" ht="15.75" thickBot="1" x14ac:dyDescent="0.3">
      <c r="A13" s="32" t="s">
        <v>104</v>
      </c>
      <c r="B13" s="319">
        <v>77.400000000000006</v>
      </c>
      <c r="C13" s="320">
        <f>86.10160831527*1.025</f>
        <v>88.254148523151741</v>
      </c>
      <c r="D13" s="321">
        <v>99.5</v>
      </c>
      <c r="E13" s="41"/>
      <c r="F13" s="32" t="s">
        <v>104</v>
      </c>
      <c r="G13" s="319">
        <f>B13</f>
        <v>77.400000000000006</v>
      </c>
      <c r="H13" s="320">
        <f>C13</f>
        <v>88.254148523151741</v>
      </c>
      <c r="I13" s="321">
        <f>D13</f>
        <v>99.5</v>
      </c>
      <c r="M13" s="347"/>
      <c r="N13" s="347"/>
      <c r="O13" s="347"/>
      <c r="P13" s="347"/>
    </row>
    <row r="14" spans="1:16" ht="15.75" thickBot="1" x14ac:dyDescent="0.3">
      <c r="A14" s="35"/>
      <c r="B14" s="158"/>
      <c r="C14" s="158"/>
      <c r="D14" s="158"/>
      <c r="F14" s="38"/>
      <c r="G14" s="38"/>
      <c r="H14" s="38"/>
      <c r="I14" s="38"/>
      <c r="M14" s="32" t="s">
        <v>304</v>
      </c>
      <c r="N14" s="32">
        <v>2017</v>
      </c>
      <c r="O14" s="35">
        <v>2030</v>
      </c>
      <c r="P14" s="36">
        <v>2040</v>
      </c>
    </row>
    <row r="15" spans="1:16" ht="15.75" thickBot="1" x14ac:dyDescent="0.3">
      <c r="A15" s="32" t="s">
        <v>125</v>
      </c>
      <c r="B15" s="32">
        <v>2017</v>
      </c>
      <c r="C15" s="35">
        <v>2030</v>
      </c>
      <c r="D15" s="36">
        <v>2040</v>
      </c>
      <c r="F15" s="32" t="s">
        <v>125</v>
      </c>
      <c r="G15" s="32">
        <v>2017</v>
      </c>
      <c r="H15" s="35">
        <v>2030</v>
      </c>
      <c r="I15" s="36">
        <v>2040</v>
      </c>
      <c r="M15" s="31" t="s">
        <v>302</v>
      </c>
      <c r="N15" s="163"/>
      <c r="O15" s="164">
        <v>1.33</v>
      </c>
      <c r="P15" s="165">
        <v>0.97</v>
      </c>
    </row>
    <row r="16" spans="1:16" ht="15.75" thickBot="1" x14ac:dyDescent="0.3">
      <c r="A16" s="28" t="s">
        <v>101</v>
      </c>
      <c r="B16" s="160">
        <f>0.716252875334414</f>
        <v>0.71625287533441395</v>
      </c>
      <c r="C16" s="161">
        <v>0.60765334265455651</v>
      </c>
      <c r="D16" s="162">
        <v>0.49219920755019081</v>
      </c>
      <c r="E16" s="41"/>
      <c r="F16" s="28" t="s">
        <v>101</v>
      </c>
      <c r="G16" s="160">
        <f t="shared" ref="G16:H18" si="5">B16</f>
        <v>0.71625287533441395</v>
      </c>
      <c r="H16" s="161">
        <f t="shared" si="5"/>
        <v>0.60765334265455651</v>
      </c>
      <c r="I16" s="162">
        <f t="shared" ref="I16" si="6">D16</f>
        <v>0.49219920755019081</v>
      </c>
      <c r="M16" s="31" t="s">
        <v>7</v>
      </c>
      <c r="N16" s="163"/>
      <c r="O16" s="164">
        <v>0.88</v>
      </c>
      <c r="P16" s="165">
        <v>1.1200000000000001</v>
      </c>
    </row>
    <row r="17" spans="1:20" ht="15.75" thickBot="1" x14ac:dyDescent="0.3">
      <c r="A17" s="31" t="s">
        <v>102</v>
      </c>
      <c r="B17" s="163">
        <v>0.723548191862601</v>
      </c>
      <c r="C17" s="164">
        <v>0.60691454404542722</v>
      </c>
      <c r="D17" s="165">
        <v>0.49160078067679608</v>
      </c>
      <c r="E17" s="41"/>
      <c r="F17" s="31" t="s">
        <v>102</v>
      </c>
      <c r="G17" s="163">
        <f t="shared" si="5"/>
        <v>0.723548191862601</v>
      </c>
      <c r="H17" s="164">
        <f t="shared" si="5"/>
        <v>0.60691454404542722</v>
      </c>
      <c r="I17" s="165">
        <f>D17</f>
        <v>0.49160078067679608</v>
      </c>
      <c r="M17" s="32" t="s">
        <v>16</v>
      </c>
      <c r="N17" s="157"/>
      <c r="O17" s="158">
        <f t="shared" ref="O17:P17" si="7">SUM(O15:O16)</f>
        <v>2.21</v>
      </c>
      <c r="P17" s="159">
        <f t="shared" si="7"/>
        <v>2.09</v>
      </c>
    </row>
    <row r="18" spans="1:20" ht="15.75" thickBot="1" x14ac:dyDescent="0.3">
      <c r="A18" s="29" t="s">
        <v>103</v>
      </c>
      <c r="B18" s="166">
        <v>1.615</v>
      </c>
      <c r="C18" s="167">
        <v>1.6150000000000002</v>
      </c>
      <c r="D18" s="168">
        <v>1.6150000000000002</v>
      </c>
      <c r="E18" s="41"/>
      <c r="F18" s="29" t="s">
        <v>103</v>
      </c>
      <c r="G18" s="166">
        <f t="shared" si="5"/>
        <v>1.615</v>
      </c>
      <c r="H18" s="167">
        <f>C18</f>
        <v>1.6150000000000002</v>
      </c>
      <c r="I18" s="168">
        <f>D18</f>
        <v>1.6150000000000002</v>
      </c>
    </row>
    <row r="19" spans="1:20" ht="15.75" thickBot="1" x14ac:dyDescent="0.3">
      <c r="F19" s="174"/>
      <c r="G19" s="174"/>
      <c r="H19" s="174"/>
      <c r="I19" s="174"/>
      <c r="M19" s="836" t="s">
        <v>329</v>
      </c>
      <c r="N19" s="837"/>
      <c r="O19" s="837"/>
      <c r="P19" s="837"/>
    </row>
    <row r="20" spans="1:20" ht="15.75" thickBot="1" x14ac:dyDescent="0.3">
      <c r="A20" s="32" t="s">
        <v>272</v>
      </c>
      <c r="B20" s="32">
        <v>2017</v>
      </c>
      <c r="C20" s="35">
        <v>2030</v>
      </c>
      <c r="D20" s="36">
        <v>2040</v>
      </c>
      <c r="E20" s="172"/>
      <c r="F20" s="32" t="s">
        <v>272</v>
      </c>
      <c r="G20" s="32">
        <v>2017</v>
      </c>
      <c r="H20" s="35">
        <v>2030</v>
      </c>
      <c r="I20" s="36">
        <v>2040</v>
      </c>
      <c r="M20" s="358" t="s">
        <v>303</v>
      </c>
      <c r="N20" s="346"/>
      <c r="O20" s="346"/>
      <c r="P20" s="346"/>
    </row>
    <row r="21" spans="1:20" ht="15.75" thickBot="1" x14ac:dyDescent="0.3">
      <c r="A21" s="28" t="s">
        <v>106</v>
      </c>
      <c r="B21" s="160"/>
      <c r="C21" s="296">
        <v>0.15</v>
      </c>
      <c r="D21" s="297">
        <v>0.6</v>
      </c>
      <c r="E21" s="173"/>
      <c r="F21" s="28" t="s">
        <v>106</v>
      </c>
      <c r="G21" s="160"/>
      <c r="H21" s="296">
        <v>0.5</v>
      </c>
      <c r="I21" s="297">
        <v>0.85</v>
      </c>
      <c r="M21" s="347"/>
      <c r="N21" s="347"/>
      <c r="O21" s="347"/>
      <c r="P21" s="347"/>
    </row>
    <row r="22" spans="1:20" ht="15.75" thickBot="1" x14ac:dyDescent="0.3">
      <c r="A22" s="31" t="s">
        <v>107</v>
      </c>
      <c r="B22" s="163"/>
      <c r="C22" s="298">
        <v>0.15</v>
      </c>
      <c r="D22" s="299">
        <v>0.6</v>
      </c>
      <c r="E22" s="173"/>
      <c r="F22" s="31" t="s">
        <v>107</v>
      </c>
      <c r="G22" s="163"/>
      <c r="H22" s="298">
        <v>0.5</v>
      </c>
      <c r="I22" s="299">
        <v>0.85</v>
      </c>
      <c r="M22" s="32" t="s">
        <v>304</v>
      </c>
      <c r="N22" s="32">
        <v>2017</v>
      </c>
      <c r="O22" s="35">
        <v>2030</v>
      </c>
      <c r="P22" s="36">
        <v>2040</v>
      </c>
    </row>
    <row r="23" spans="1:20" x14ac:dyDescent="0.25">
      <c r="A23" s="31" t="s">
        <v>108</v>
      </c>
      <c r="B23" s="163"/>
      <c r="C23" s="298">
        <v>4.0427955013328291E-2</v>
      </c>
      <c r="D23" s="299">
        <v>0.16171182005331317</v>
      </c>
      <c r="E23" s="173"/>
      <c r="F23" s="31" t="s">
        <v>108</v>
      </c>
      <c r="G23" s="163"/>
      <c r="H23" s="298">
        <v>0.14936945604265053</v>
      </c>
      <c r="I23" s="299">
        <v>0.36423060055908874</v>
      </c>
      <c r="M23" s="31" t="s">
        <v>302</v>
      </c>
      <c r="N23" s="163"/>
      <c r="O23" s="164">
        <v>2.0649999999999999</v>
      </c>
      <c r="P23" s="165">
        <v>1.6099999999999999</v>
      </c>
    </row>
    <row r="24" spans="1:20" ht="15.75" thickBot="1" x14ac:dyDescent="0.3">
      <c r="A24" s="169" t="s">
        <v>109</v>
      </c>
      <c r="B24" s="163"/>
      <c r="C24" s="298">
        <v>0</v>
      </c>
      <c r="D24" s="300">
        <v>0</v>
      </c>
      <c r="E24" s="173"/>
      <c r="F24" s="169" t="s">
        <v>109</v>
      </c>
      <c r="G24" s="163"/>
      <c r="H24" s="298">
        <v>0.02</v>
      </c>
      <c r="I24" s="300">
        <v>0.185</v>
      </c>
      <c r="M24" s="31" t="s">
        <v>7</v>
      </c>
      <c r="N24" s="163"/>
      <c r="O24" s="164">
        <v>1.365</v>
      </c>
      <c r="P24" s="165">
        <v>2.17</v>
      </c>
    </row>
    <row r="25" spans="1:20" ht="15.75" thickBot="1" x14ac:dyDescent="0.3">
      <c r="A25" s="32" t="s">
        <v>105</v>
      </c>
      <c r="B25" s="157"/>
      <c r="C25" s="301">
        <v>2.4891587356064358E-2</v>
      </c>
      <c r="D25" s="302">
        <v>9.9566349424257433E-2</v>
      </c>
      <c r="E25" s="173"/>
      <c r="F25" s="32" t="s">
        <v>105</v>
      </c>
      <c r="G25" s="157"/>
      <c r="H25" s="301">
        <v>9.9653079539405998E-2</v>
      </c>
      <c r="I25" s="302">
        <v>0.29535270394521862</v>
      </c>
      <c r="L25" s="361"/>
      <c r="M25" s="32" t="s">
        <v>16</v>
      </c>
      <c r="N25" s="157"/>
      <c r="O25" s="158">
        <f t="shared" ref="O25" si="8">SUM(O23:O24)</f>
        <v>3.4299999999999997</v>
      </c>
      <c r="P25" s="159">
        <f t="shared" ref="P25" si="9">SUM(P23:P24)</f>
        <v>3.78</v>
      </c>
    </row>
    <row r="26" spans="1:20" ht="15.75" thickBot="1" x14ac:dyDescent="0.3">
      <c r="F26" s="174"/>
      <c r="G26" s="174"/>
      <c r="H26" s="174"/>
      <c r="I26" s="174"/>
      <c r="L26" s="361"/>
      <c r="M26" s="361"/>
      <c r="N26" s="361"/>
      <c r="O26" s="361"/>
      <c r="P26" s="361"/>
      <c r="Q26" s="361"/>
      <c r="R26" s="361"/>
      <c r="S26" s="361"/>
      <c r="T26" s="361"/>
    </row>
    <row r="27" spans="1:20" ht="15.75" thickBot="1" x14ac:dyDescent="0.3">
      <c r="A27" s="32" t="s">
        <v>209</v>
      </c>
      <c r="B27" s="32">
        <v>2017</v>
      </c>
      <c r="C27" s="35">
        <v>2030</v>
      </c>
      <c r="D27" s="36">
        <v>2040</v>
      </c>
      <c r="E27" s="172"/>
      <c r="F27" s="32" t="s">
        <v>209</v>
      </c>
      <c r="G27" s="322">
        <v>2017</v>
      </c>
      <c r="H27" s="323">
        <v>2030</v>
      </c>
      <c r="I27" s="324">
        <v>2040</v>
      </c>
      <c r="L27" s="362"/>
      <c r="M27" s="362"/>
    </row>
    <row r="28" spans="1:20" x14ac:dyDescent="0.25">
      <c r="A28" s="28" t="s">
        <v>106</v>
      </c>
      <c r="B28" s="160"/>
      <c r="C28" s="328">
        <v>0.22095243940171372</v>
      </c>
      <c r="D28" s="331">
        <v>0.25817023575597681</v>
      </c>
      <c r="E28" s="41"/>
      <c r="F28" s="28" t="s">
        <v>106</v>
      </c>
      <c r="G28" s="160"/>
      <c r="H28" s="328">
        <f>C28</f>
        <v>0.22095243940171372</v>
      </c>
      <c r="I28" s="331">
        <f>D28</f>
        <v>0.25817023575597681</v>
      </c>
      <c r="L28" s="362"/>
      <c r="M28" s="362"/>
    </row>
    <row r="29" spans="1:20" x14ac:dyDescent="0.25">
      <c r="A29" s="31" t="s">
        <v>107</v>
      </c>
      <c r="B29" s="163"/>
      <c r="C29" s="329">
        <v>0.24048713697194765</v>
      </c>
      <c r="D29" s="332">
        <v>0.2809954079549577</v>
      </c>
      <c r="E29" s="41"/>
      <c r="F29" s="31" t="s">
        <v>107</v>
      </c>
      <c r="G29" s="163"/>
      <c r="H29" s="329">
        <f t="shared" ref="H29:I31" si="10">C29</f>
        <v>0.24048713697194765</v>
      </c>
      <c r="I29" s="332">
        <f t="shared" si="10"/>
        <v>0.2809954079549577</v>
      </c>
    </row>
    <row r="30" spans="1:20" x14ac:dyDescent="0.25">
      <c r="A30" s="31" t="s">
        <v>108</v>
      </c>
      <c r="B30" s="163"/>
      <c r="C30" s="329">
        <v>1.9682018403049411</v>
      </c>
      <c r="D30" s="332">
        <v>2.2997308131232739</v>
      </c>
      <c r="E30" s="41"/>
      <c r="F30" s="31" t="s">
        <v>108</v>
      </c>
      <c r="G30" s="163"/>
      <c r="H30" s="329">
        <f t="shared" si="10"/>
        <v>1.9682018403049411</v>
      </c>
      <c r="I30" s="332">
        <f t="shared" si="10"/>
        <v>2.2997308131232739</v>
      </c>
    </row>
    <row r="31" spans="1:20" ht="15.75" thickBot="1" x14ac:dyDescent="0.3">
      <c r="A31" s="169" t="s">
        <v>109</v>
      </c>
      <c r="B31" s="163"/>
      <c r="C31" s="329">
        <v>3.5477319739661044</v>
      </c>
      <c r="D31" s="333">
        <v>4.1453210591289906</v>
      </c>
      <c r="E31" s="41"/>
      <c r="F31" s="29" t="s">
        <v>109</v>
      </c>
      <c r="G31" s="166"/>
      <c r="H31" s="330">
        <f t="shared" si="10"/>
        <v>3.5477319739661044</v>
      </c>
      <c r="I31" s="333">
        <f t="shared" si="10"/>
        <v>4.1453210591289906</v>
      </c>
    </row>
    <row r="32" spans="1:20" ht="15.75" thickBot="1" x14ac:dyDescent="0.3">
      <c r="A32" s="32" t="s">
        <v>105</v>
      </c>
      <c r="B32" s="157"/>
      <c r="C32" s="320">
        <f t="shared" ref="C32" si="11">SUM(C28:C31)</f>
        <v>5.9773733906447069</v>
      </c>
      <c r="D32" s="321">
        <f>SUM(D28:D31)</f>
        <v>6.9842175159631985</v>
      </c>
      <c r="E32" s="173"/>
      <c r="F32" s="32" t="s">
        <v>105</v>
      </c>
      <c r="G32" s="325"/>
      <c r="H32" s="326">
        <f t="shared" ref="H32" si="12">SUM(H28:H31)</f>
        <v>5.9773733906447069</v>
      </c>
      <c r="I32" s="327">
        <f>SUM(I28:I31)</f>
        <v>6.9842175159631985</v>
      </c>
    </row>
    <row r="33" spans="1:9" ht="15.75" thickBot="1" x14ac:dyDescent="0.3">
      <c r="C33" s="521"/>
      <c r="D33" s="521"/>
    </row>
    <row r="34" spans="1:9" ht="15.75" thickBot="1" x14ac:dyDescent="0.3">
      <c r="A34" s="32" t="s">
        <v>125</v>
      </c>
      <c r="B34" s="32">
        <v>2017</v>
      </c>
      <c r="C34" s="320">
        <v>2030</v>
      </c>
      <c r="D34" s="321">
        <v>2040</v>
      </c>
      <c r="F34" s="32" t="s">
        <v>125</v>
      </c>
      <c r="G34" s="322">
        <v>2017</v>
      </c>
      <c r="H34" s="323">
        <v>2030</v>
      </c>
      <c r="I34" s="324">
        <v>2040</v>
      </c>
    </row>
    <row r="35" spans="1:9" x14ac:dyDescent="0.25">
      <c r="A35" s="28" t="s">
        <v>111</v>
      </c>
      <c r="B35" s="160"/>
      <c r="C35" s="328">
        <v>1.409627347092486</v>
      </c>
      <c r="D35" s="331">
        <v>1.0975404858629165</v>
      </c>
      <c r="E35" s="172"/>
      <c r="F35" s="28" t="s">
        <v>111</v>
      </c>
      <c r="G35" s="160"/>
      <c r="H35" s="328">
        <f>C35</f>
        <v>1.409627347092486</v>
      </c>
      <c r="I35" s="331">
        <f>D35</f>
        <v>1.0975404858629165</v>
      </c>
    </row>
    <row r="36" spans="1:9" x14ac:dyDescent="0.25">
      <c r="A36" s="31" t="s">
        <v>112</v>
      </c>
      <c r="B36" s="163"/>
      <c r="C36" s="329">
        <v>1.8521521959043132</v>
      </c>
      <c r="D36" s="332">
        <v>1.4301687678393367</v>
      </c>
      <c r="E36" s="172"/>
      <c r="F36" s="31" t="s">
        <v>112</v>
      </c>
      <c r="G36" s="163"/>
      <c r="H36" s="329">
        <f t="shared" ref="H36:I38" si="13">C36</f>
        <v>1.8521521959043132</v>
      </c>
      <c r="I36" s="332">
        <f t="shared" si="13"/>
        <v>1.4301687678393367</v>
      </c>
    </row>
    <row r="37" spans="1:9" x14ac:dyDescent="0.25">
      <c r="A37" s="31" t="s">
        <v>113</v>
      </c>
      <c r="B37" s="163"/>
      <c r="C37" s="329">
        <v>2.2765487554982271</v>
      </c>
      <c r="D37" s="332">
        <v>1.7743995375527619</v>
      </c>
      <c r="E37" s="172"/>
      <c r="F37" s="31" t="s">
        <v>113</v>
      </c>
      <c r="G37" s="163"/>
      <c r="H37" s="329">
        <f t="shared" si="13"/>
        <v>2.2765487554982271</v>
      </c>
      <c r="I37" s="332">
        <f t="shared" si="13"/>
        <v>1.7743995375527619</v>
      </c>
    </row>
    <row r="38" spans="1:9" ht="15.75" thickBot="1" x14ac:dyDescent="0.3">
      <c r="A38" s="169" t="s">
        <v>114</v>
      </c>
      <c r="B38" s="166"/>
      <c r="C38" s="330">
        <v>2.9364819147657566</v>
      </c>
      <c r="D38" s="333">
        <v>2.3008116808806713</v>
      </c>
      <c r="E38" s="172"/>
      <c r="F38" s="29" t="s">
        <v>114</v>
      </c>
      <c r="G38" s="166"/>
      <c r="H38" s="330">
        <f t="shared" si="13"/>
        <v>2.9364819147657566</v>
      </c>
      <c r="I38" s="333">
        <f t="shared" si="13"/>
        <v>2.3008116808806713</v>
      </c>
    </row>
    <row r="39" spans="1:9" x14ac:dyDescent="0.25">
      <c r="A39" s="28" t="s">
        <v>121</v>
      </c>
      <c r="B39" s="160"/>
      <c r="C39" s="328">
        <v>8.4732522945626005</v>
      </c>
      <c r="D39" s="331">
        <v>8.4732522945626005</v>
      </c>
      <c r="E39" s="172"/>
      <c r="F39" s="28" t="s">
        <v>121</v>
      </c>
      <c r="G39" s="163"/>
      <c r="H39" s="329">
        <v>8.4732522945626005</v>
      </c>
      <c r="I39" s="332">
        <v>8.4732522945626005</v>
      </c>
    </row>
    <row r="40" spans="1:9" x14ac:dyDescent="0.25">
      <c r="A40" s="31" t="s">
        <v>122</v>
      </c>
      <c r="B40" s="163"/>
      <c r="C40" s="329">
        <v>8.4732522945626005</v>
      </c>
      <c r="D40" s="332">
        <v>8.4732522945626005</v>
      </c>
      <c r="E40" s="172"/>
      <c r="F40" s="31" t="s">
        <v>122</v>
      </c>
      <c r="G40" s="163"/>
      <c r="H40" s="329">
        <v>8.4732522945626005</v>
      </c>
      <c r="I40" s="332">
        <v>8.4732522945626005</v>
      </c>
    </row>
    <row r="41" spans="1:9" x14ac:dyDescent="0.25">
      <c r="A41" s="31" t="s">
        <v>123</v>
      </c>
      <c r="B41" s="163"/>
      <c r="C41" s="329">
        <v>13.374188060932356</v>
      </c>
      <c r="D41" s="332">
        <v>13.374188060932356</v>
      </c>
      <c r="E41" s="172"/>
      <c r="F41" s="31" t="s">
        <v>123</v>
      </c>
      <c r="G41" s="163"/>
      <c r="H41" s="329">
        <v>13.374188060932356</v>
      </c>
      <c r="I41" s="332">
        <v>13.374188060932356</v>
      </c>
    </row>
    <row r="42" spans="1:9" ht="15.75" thickBot="1" x14ac:dyDescent="0.3">
      <c r="A42" s="169" t="s">
        <v>124</v>
      </c>
      <c r="B42" s="166"/>
      <c r="C42" s="330">
        <v>15.182448650666799</v>
      </c>
      <c r="D42" s="333">
        <v>15.182448650666799</v>
      </c>
      <c r="E42" s="172"/>
      <c r="F42" s="169" t="s">
        <v>124</v>
      </c>
      <c r="G42" s="166"/>
      <c r="H42" s="330">
        <v>15.182448650666799</v>
      </c>
      <c r="I42" s="333">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277"/>
  <sheetViews>
    <sheetView tabSelected="1" topLeftCell="A30" zoomScale="115" zoomScaleNormal="115" workbookViewId="0">
      <pane xSplit="1" topLeftCell="B1" activePane="topRight" state="frozen"/>
      <selection activeCell="A6" sqref="A6"/>
      <selection pane="topRight" activeCell="A59" sqref="A59"/>
    </sheetView>
  </sheetViews>
  <sheetFormatPr defaultRowHeight="15" x14ac:dyDescent="0.25"/>
  <cols>
    <col min="1" max="1" width="75.5703125" bestFit="1" customWidth="1"/>
    <col min="2" max="2" width="32.140625" customWidth="1"/>
    <col min="3" max="3" width="29.42578125" customWidth="1"/>
    <col min="4" max="4" width="33.85546875" bestFit="1" customWidth="1"/>
    <col min="5" max="7" width="26.85546875" bestFit="1" customWidth="1"/>
    <col min="8" max="8" width="33" bestFit="1" customWidth="1"/>
  </cols>
  <sheetData>
    <row r="1" spans="1:9" x14ac:dyDescent="0.25">
      <c r="A1" s="842" t="s">
        <v>408</v>
      </c>
      <c r="B1" s="846" t="s">
        <v>424</v>
      </c>
      <c r="C1" s="846"/>
      <c r="D1" s="846" t="s">
        <v>403</v>
      </c>
      <c r="E1" s="846"/>
      <c r="F1" s="846"/>
      <c r="G1" s="846"/>
      <c r="H1" s="840" t="s">
        <v>405</v>
      </c>
      <c r="I1" s="844" t="s">
        <v>420</v>
      </c>
    </row>
    <row r="2" spans="1:9" x14ac:dyDescent="0.25">
      <c r="A2" s="843"/>
      <c r="B2" s="593">
        <v>2030</v>
      </c>
      <c r="C2" s="593">
        <v>2040</v>
      </c>
      <c r="D2" s="593" t="s">
        <v>407</v>
      </c>
      <c r="E2" s="593" t="s">
        <v>409</v>
      </c>
      <c r="F2" s="593" t="s">
        <v>470</v>
      </c>
      <c r="G2" s="593" t="s">
        <v>471</v>
      </c>
      <c r="H2" s="841"/>
      <c r="I2" s="845"/>
    </row>
    <row r="3" spans="1:9" x14ac:dyDescent="0.25">
      <c r="A3" s="594" t="s">
        <v>404</v>
      </c>
      <c r="B3" s="763">
        <v>0</v>
      </c>
      <c r="C3" s="764">
        <v>0</v>
      </c>
      <c r="D3" s="596" t="s">
        <v>477</v>
      </c>
      <c r="E3" t="s">
        <v>410</v>
      </c>
      <c r="G3" s="595"/>
      <c r="H3" t="s">
        <v>406</v>
      </c>
      <c r="I3" s="595"/>
    </row>
    <row r="4" spans="1:9" x14ac:dyDescent="0.25">
      <c r="A4" s="595" t="s">
        <v>402</v>
      </c>
      <c r="B4" s="599">
        <v>0</v>
      </c>
      <c r="C4" s="600">
        <v>0</v>
      </c>
      <c r="D4" s="596" t="s">
        <v>478</v>
      </c>
      <c r="E4" t="s">
        <v>411</v>
      </c>
      <c r="G4" s="595"/>
      <c r="H4" t="s">
        <v>406</v>
      </c>
      <c r="I4" s="595"/>
    </row>
    <row r="5" spans="1:9" x14ac:dyDescent="0.25">
      <c r="A5" s="595" t="s">
        <v>413</v>
      </c>
      <c r="B5" s="599">
        <v>0.18</v>
      </c>
      <c r="C5" s="600">
        <v>0.68</v>
      </c>
      <c r="D5" s="596" t="s">
        <v>479</v>
      </c>
      <c r="E5" t="s">
        <v>414</v>
      </c>
      <c r="G5" s="595"/>
      <c r="H5" t="s">
        <v>415</v>
      </c>
      <c r="I5" s="595"/>
    </row>
    <row r="6" spans="1:9" x14ac:dyDescent="0.25">
      <c r="A6" s="595" t="s">
        <v>412</v>
      </c>
      <c r="B6" s="599">
        <v>0.02</v>
      </c>
      <c r="C6" s="600">
        <v>0.3</v>
      </c>
      <c r="D6" s="596" t="s">
        <v>480</v>
      </c>
      <c r="E6" t="s">
        <v>481</v>
      </c>
      <c r="G6" s="595"/>
      <c r="H6" t="s">
        <v>415</v>
      </c>
      <c r="I6" s="595" t="s">
        <v>421</v>
      </c>
    </row>
    <row r="7" spans="1:9" x14ac:dyDescent="0.25">
      <c r="A7" s="595" t="s">
        <v>416</v>
      </c>
      <c r="B7" s="599">
        <v>1</v>
      </c>
      <c r="C7" s="600">
        <v>1</v>
      </c>
      <c r="D7" s="596" t="s">
        <v>482</v>
      </c>
      <c r="E7" t="s">
        <v>482</v>
      </c>
      <c r="F7" s="595" t="s">
        <v>485</v>
      </c>
      <c r="G7" t="s">
        <v>485</v>
      </c>
      <c r="H7" t="s">
        <v>419</v>
      </c>
      <c r="I7" s="595" t="s">
        <v>422</v>
      </c>
    </row>
    <row r="8" spans="1:9" x14ac:dyDescent="0.25">
      <c r="A8" s="595" t="s">
        <v>417</v>
      </c>
      <c r="B8" s="599">
        <v>1</v>
      </c>
      <c r="C8" s="600">
        <v>1</v>
      </c>
      <c r="D8" s="596" t="s">
        <v>483</v>
      </c>
      <c r="E8" t="s">
        <v>483</v>
      </c>
      <c r="F8" s="595" t="s">
        <v>486</v>
      </c>
      <c r="G8" t="s">
        <v>486</v>
      </c>
      <c r="H8" t="s">
        <v>419</v>
      </c>
      <c r="I8" s="595" t="s">
        <v>422</v>
      </c>
    </row>
    <row r="9" spans="1:9" x14ac:dyDescent="0.25">
      <c r="A9" s="595" t="s">
        <v>418</v>
      </c>
      <c r="B9" s="599">
        <v>1</v>
      </c>
      <c r="C9" s="600">
        <v>1</v>
      </c>
      <c r="D9" s="596" t="s">
        <v>484</v>
      </c>
      <c r="E9" t="s">
        <v>484</v>
      </c>
      <c r="F9" s="595" t="s">
        <v>487</v>
      </c>
      <c r="G9" t="s">
        <v>487</v>
      </c>
      <c r="H9" t="s">
        <v>419</v>
      </c>
      <c r="I9" s="595" t="s">
        <v>422</v>
      </c>
    </row>
    <row r="10" spans="1:9" x14ac:dyDescent="0.25">
      <c r="A10" s="595" t="s">
        <v>488</v>
      </c>
      <c r="B10" s="599" t="s">
        <v>685</v>
      </c>
      <c r="C10" s="600" t="s">
        <v>685</v>
      </c>
      <c r="D10" s="596"/>
      <c r="H10" t="s">
        <v>624</v>
      </c>
      <c r="I10" s="595"/>
    </row>
    <row r="11" spans="1:9" x14ac:dyDescent="0.25">
      <c r="A11" s="595" t="s">
        <v>662</v>
      </c>
      <c r="B11" s="599">
        <v>0.5</v>
      </c>
      <c r="C11" s="600">
        <v>0</v>
      </c>
      <c r="D11" s="596"/>
      <c r="H11" t="s">
        <v>625</v>
      </c>
      <c r="I11" s="595"/>
    </row>
    <row r="12" spans="1:9" x14ac:dyDescent="0.25">
      <c r="A12" s="595" t="s">
        <v>623</v>
      </c>
      <c r="B12" s="599">
        <v>-0.05</v>
      </c>
      <c r="C12" s="600">
        <v>0</v>
      </c>
      <c r="D12" s="596"/>
      <c r="H12" t="s">
        <v>626</v>
      </c>
      <c r="I12" s="595"/>
    </row>
    <row r="13" spans="1:9" x14ac:dyDescent="0.25">
      <c r="A13" s="734" t="s">
        <v>666</v>
      </c>
      <c r="B13" s="552">
        <v>0.2</v>
      </c>
      <c r="C13" s="552">
        <v>0</v>
      </c>
    </row>
    <row r="14" spans="1:9" x14ac:dyDescent="0.25">
      <c r="A14" s="734" t="s">
        <v>667</v>
      </c>
      <c r="B14" s="552">
        <v>-0.4</v>
      </c>
      <c r="C14" s="552">
        <v>0</v>
      </c>
    </row>
    <row r="15" spans="1:9" x14ac:dyDescent="0.25">
      <c r="A15" t="s">
        <v>635</v>
      </c>
      <c r="B15" s="599">
        <v>0</v>
      </c>
      <c r="C15" s="600">
        <v>0</v>
      </c>
      <c r="D15" s="596"/>
      <c r="G15" s="595"/>
      <c r="H15" t="s">
        <v>651</v>
      </c>
      <c r="I15" s="595"/>
    </row>
    <row r="16" spans="1:9" x14ac:dyDescent="0.25">
      <c r="A16" t="s">
        <v>639</v>
      </c>
      <c r="B16" s="599">
        <v>0</v>
      </c>
      <c r="C16" s="600">
        <v>0</v>
      </c>
      <c r="D16" s="596"/>
      <c r="G16" s="595"/>
      <c r="H16" t="s">
        <v>652</v>
      </c>
      <c r="I16" s="595"/>
    </row>
    <row r="17" spans="1:9" x14ac:dyDescent="0.25">
      <c r="A17" s="611" t="s">
        <v>423</v>
      </c>
      <c r="B17" s="840" t="s">
        <v>424</v>
      </c>
      <c r="C17" s="844"/>
      <c r="D17" s="847" t="s">
        <v>403</v>
      </c>
      <c r="E17" s="848"/>
      <c r="F17" s="612"/>
      <c r="G17" s="594"/>
      <c r="H17" s="840" t="s">
        <v>405</v>
      </c>
      <c r="I17" s="844" t="s">
        <v>420</v>
      </c>
    </row>
    <row r="18" spans="1:9" x14ac:dyDescent="0.25">
      <c r="A18" s="613"/>
      <c r="B18" s="616">
        <v>2030</v>
      </c>
      <c r="C18" s="617">
        <v>2040</v>
      </c>
      <c r="D18" s="608">
        <v>2030</v>
      </c>
      <c r="E18" s="609">
        <v>2040</v>
      </c>
      <c r="F18" s="592"/>
      <c r="G18" s="607"/>
      <c r="H18" s="841"/>
      <c r="I18" s="845"/>
    </row>
    <row r="19" spans="1:9" x14ac:dyDescent="0.25">
      <c r="A19" s="595" t="s">
        <v>687</v>
      </c>
      <c r="B19" s="596">
        <v>7.0000000000000007E-2</v>
      </c>
      <c r="C19" s="597">
        <v>0.19</v>
      </c>
      <c r="D19" s="603" t="s">
        <v>425</v>
      </c>
      <c r="E19" s="604" t="s">
        <v>507</v>
      </c>
      <c r="G19" s="595"/>
      <c r="H19" t="s">
        <v>426</v>
      </c>
      <c r="I19" s="595"/>
    </row>
    <row r="20" spans="1:9" ht="15" customHeight="1" x14ac:dyDescent="0.25">
      <c r="A20" s="595" t="s">
        <v>689</v>
      </c>
      <c r="B20" s="596">
        <v>-0.1</v>
      </c>
      <c r="C20" s="597">
        <v>-0.1</v>
      </c>
      <c r="D20" s="603" t="s">
        <v>427</v>
      </c>
      <c r="E20" s="604" t="s">
        <v>508</v>
      </c>
      <c r="G20" s="595"/>
      <c r="H20" t="s">
        <v>426</v>
      </c>
      <c r="I20" s="595"/>
    </row>
    <row r="21" spans="1:9" x14ac:dyDescent="0.25">
      <c r="A21" s="595" t="s">
        <v>690</v>
      </c>
      <c r="B21" s="596">
        <v>-0.2</v>
      </c>
      <c r="C21" s="597">
        <v>-0.2</v>
      </c>
      <c r="D21" s="603" t="s">
        <v>429</v>
      </c>
      <c r="E21" s="604" t="s">
        <v>509</v>
      </c>
      <c r="G21" s="595"/>
      <c r="H21" t="s">
        <v>426</v>
      </c>
      <c r="I21" s="595"/>
    </row>
    <row r="22" spans="1:9" x14ac:dyDescent="0.25">
      <c r="A22" s="595" t="s">
        <v>691</v>
      </c>
      <c r="B22" s="596">
        <v>-0.22</v>
      </c>
      <c r="C22" s="597">
        <v>-1.1439999999999999</v>
      </c>
      <c r="D22" s="603" t="s">
        <v>428</v>
      </c>
      <c r="E22" s="604" t="s">
        <v>510</v>
      </c>
      <c r="G22" s="595"/>
      <c r="H22" t="s">
        <v>426</v>
      </c>
      <c r="I22" s="595"/>
    </row>
    <row r="23" spans="1:9" x14ac:dyDescent="0.25">
      <c r="A23" s="595" t="s">
        <v>688</v>
      </c>
      <c r="B23" s="596">
        <v>0</v>
      </c>
      <c r="C23" s="600">
        <v>0</v>
      </c>
      <c r="D23" s="596"/>
      <c r="G23" s="595"/>
      <c r="I23" s="595"/>
    </row>
    <row r="24" spans="1:9" x14ac:dyDescent="0.25">
      <c r="A24" s="595" t="s">
        <v>692</v>
      </c>
      <c r="B24" s="741">
        <v>-0.05</v>
      </c>
      <c r="C24" s="739">
        <v>-0.05</v>
      </c>
      <c r="D24" s="596"/>
      <c r="G24" s="595"/>
      <c r="I24" s="595"/>
    </row>
    <row r="25" spans="1:9" x14ac:dyDescent="0.25">
      <c r="A25" s="595"/>
      <c r="B25" s="596"/>
      <c r="C25" s="600"/>
      <c r="D25" s="596"/>
      <c r="G25" s="595"/>
      <c r="I25" s="595"/>
    </row>
    <row r="26" spans="1:9" x14ac:dyDescent="0.25">
      <c r="A26" s="595"/>
      <c r="B26" s="596"/>
      <c r="C26" s="600">
        <f>Indata!G75</f>
        <v>0</v>
      </c>
      <c r="D26" s="596"/>
      <c r="G26" s="595"/>
      <c r="I26" s="595"/>
    </row>
    <row r="27" spans="1:9" x14ac:dyDescent="0.25">
      <c r="A27" s="595"/>
      <c r="B27" s="596"/>
      <c r="C27" s="600"/>
      <c r="D27" s="596"/>
      <c r="G27" s="595"/>
      <c r="I27" s="595"/>
    </row>
    <row r="28" spans="1:9" x14ac:dyDescent="0.25">
      <c r="A28" s="595"/>
      <c r="B28" s="596"/>
      <c r="C28" s="595"/>
      <c r="D28" s="596"/>
      <c r="G28" s="595"/>
      <c r="I28" s="595"/>
    </row>
    <row r="29" spans="1:9" x14ac:dyDescent="0.25">
      <c r="A29" s="595"/>
      <c r="B29" s="596"/>
      <c r="C29" s="595"/>
      <c r="D29" s="596"/>
      <c r="G29" s="595"/>
      <c r="I29" s="595"/>
    </row>
    <row r="30" spans="1:9" x14ac:dyDescent="0.25">
      <c r="A30" s="611" t="s">
        <v>430</v>
      </c>
      <c r="B30" s="847" t="s">
        <v>432</v>
      </c>
      <c r="C30" s="848"/>
      <c r="D30" s="851" t="s">
        <v>431</v>
      </c>
      <c r="E30" s="852"/>
      <c r="F30" s="612"/>
      <c r="G30" s="594"/>
      <c r="H30" s="840" t="s">
        <v>405</v>
      </c>
      <c r="I30" s="844" t="s">
        <v>420</v>
      </c>
    </row>
    <row r="31" spans="1:9" x14ac:dyDescent="0.25">
      <c r="A31" s="613"/>
      <c r="B31" s="608">
        <v>2030</v>
      </c>
      <c r="C31" s="609">
        <v>2040</v>
      </c>
      <c r="D31" s="614">
        <v>2030</v>
      </c>
      <c r="E31" s="615">
        <v>2040</v>
      </c>
      <c r="F31" s="592"/>
      <c r="G31" s="607"/>
      <c r="H31" s="841"/>
      <c r="I31" s="845"/>
    </row>
    <row r="32" spans="1:9" x14ac:dyDescent="0.25">
      <c r="A32" s="595" t="s">
        <v>676</v>
      </c>
      <c r="B32" s="598">
        <f>Resultat!F37/'Indata - Utsläpp'!B15-1</f>
        <v>-0.36809526755446753</v>
      </c>
      <c r="C32" s="765">
        <f>Resultat!G37/'Indata - Utsläpp'!B15-1</f>
        <v>-0.7776630952987782</v>
      </c>
      <c r="D32" s="596" t="s">
        <v>433</v>
      </c>
      <c r="E32" t="s">
        <v>433</v>
      </c>
      <c r="G32" s="595"/>
      <c r="H32" t="s">
        <v>434</v>
      </c>
      <c r="I32" s="595"/>
    </row>
    <row r="33" spans="1:9" x14ac:dyDescent="0.25">
      <c r="A33" s="595" t="s">
        <v>677</v>
      </c>
      <c r="B33" s="598">
        <f>Resultat!F38/'Indata - Utsläpp'!B16-1</f>
        <v>-0.40293955438536377</v>
      </c>
      <c r="C33" s="766">
        <f>Resultat!G38/'Indata - Utsläpp'!B16-1</f>
        <v>-0.56402381777808097</v>
      </c>
      <c r="D33" s="596" t="s">
        <v>433</v>
      </c>
      <c r="E33" t="s">
        <v>433</v>
      </c>
      <c r="G33" s="595"/>
      <c r="H33" t="s">
        <v>434</v>
      </c>
      <c r="I33" s="595"/>
    </row>
    <row r="34" spans="1:9" x14ac:dyDescent="0.25">
      <c r="A34" s="595" t="s">
        <v>678</v>
      </c>
      <c r="B34" s="598">
        <f>Resultat!F41</f>
        <v>-0.40192022388837145</v>
      </c>
      <c r="C34" s="766">
        <f>Resultat!G41</f>
        <v>-0.73591099526061377</v>
      </c>
      <c r="D34" s="605" t="s">
        <v>435</v>
      </c>
      <c r="E34" s="606" t="s">
        <v>501</v>
      </c>
      <c r="G34" s="595"/>
      <c r="H34" t="s">
        <v>434</v>
      </c>
      <c r="I34" s="595"/>
    </row>
    <row r="35" spans="1:9" x14ac:dyDescent="0.25">
      <c r="A35" s="595" t="s">
        <v>436</v>
      </c>
      <c r="B35" s="599">
        <f>Resultat!F30</f>
        <v>88.898554948656667</v>
      </c>
      <c r="C35" s="600">
        <f>Resultat!G30</f>
        <v>101.9234418708363</v>
      </c>
      <c r="D35" s="596" t="s">
        <v>441</v>
      </c>
      <c r="E35" t="s">
        <v>492</v>
      </c>
      <c r="G35" s="595"/>
      <c r="H35" t="s">
        <v>440</v>
      </c>
      <c r="I35" s="595"/>
    </row>
    <row r="36" spans="1:9" x14ac:dyDescent="0.25">
      <c r="A36" s="595" t="s">
        <v>437</v>
      </c>
      <c r="B36" s="599">
        <f>Resultat!F33</f>
        <v>6.2137893382830338</v>
      </c>
      <c r="C36" s="600">
        <f>Resultat!G33</f>
        <v>7.1683007048156986</v>
      </c>
      <c r="D36" s="596" t="s">
        <v>439</v>
      </c>
      <c r="E36" t="s">
        <v>493</v>
      </c>
      <c r="G36" s="595"/>
      <c r="H36" t="s">
        <v>440</v>
      </c>
      <c r="I36" s="595"/>
    </row>
    <row r="37" spans="1:9" x14ac:dyDescent="0.25">
      <c r="A37" s="595" t="s">
        <v>438</v>
      </c>
      <c r="B37" s="599">
        <f>Resultat!F34</f>
        <v>95.112344286939702</v>
      </c>
      <c r="C37" s="600">
        <f>Resultat!G34</f>
        <v>109.09174257565199</v>
      </c>
      <c r="D37" s="596" t="s">
        <v>442</v>
      </c>
      <c r="E37" t="s">
        <v>494</v>
      </c>
      <c r="G37" s="595"/>
      <c r="H37" t="s">
        <v>440</v>
      </c>
      <c r="I37" s="595"/>
    </row>
    <row r="38" spans="1:9" x14ac:dyDescent="0.25">
      <c r="A38" s="595" t="s">
        <v>679</v>
      </c>
      <c r="B38" s="599">
        <f>Resultat!F61</f>
        <v>15.500842116001753</v>
      </c>
      <c r="C38" s="600">
        <f>Resultat!G61</f>
        <v>6.4344622960898761</v>
      </c>
      <c r="D38" s="596" t="s">
        <v>444</v>
      </c>
      <c r="E38" t="s">
        <v>495</v>
      </c>
      <c r="G38" s="595"/>
      <c r="H38" t="s">
        <v>448</v>
      </c>
      <c r="I38" s="595"/>
    </row>
    <row r="39" spans="1:9" x14ac:dyDescent="0.25">
      <c r="A39" s="595" t="s">
        <v>680</v>
      </c>
      <c r="B39" s="599">
        <f>Resultat!F60</f>
        <v>43.592586579399914</v>
      </c>
      <c r="C39" s="600">
        <f>Resultat!G60</f>
        <v>19.250112409732207</v>
      </c>
      <c r="D39" s="596" t="s">
        <v>445</v>
      </c>
      <c r="E39" t="s">
        <v>496</v>
      </c>
      <c r="G39" s="595"/>
      <c r="H39" t="s">
        <v>448</v>
      </c>
      <c r="I39" s="595"/>
    </row>
    <row r="40" spans="1:9" x14ac:dyDescent="0.25">
      <c r="A40" s="595" t="s">
        <v>681</v>
      </c>
      <c r="B40" s="599">
        <f>Resultat!F62</f>
        <v>3.014357323569878</v>
      </c>
      <c r="C40" s="600">
        <f>Resultat!G62</f>
        <v>15.349791713802713</v>
      </c>
      <c r="D40" s="596" t="s">
        <v>446</v>
      </c>
      <c r="E40" t="s">
        <v>497</v>
      </c>
      <c r="G40" s="595"/>
      <c r="H40" t="s">
        <v>448</v>
      </c>
      <c r="I40" s="595"/>
    </row>
    <row r="41" spans="1:9" x14ac:dyDescent="0.25">
      <c r="A41" s="595" t="s">
        <v>443</v>
      </c>
      <c r="B41" s="599"/>
      <c r="C41" s="600">
        <f>Resultat!G63</f>
        <v>41.034366419624796</v>
      </c>
      <c r="D41" s="596" t="s">
        <v>447</v>
      </c>
      <c r="E41" t="s">
        <v>498</v>
      </c>
      <c r="G41" s="595"/>
      <c r="H41" t="s">
        <v>448</v>
      </c>
      <c r="I41" s="595"/>
    </row>
    <row r="42" spans="1:9" x14ac:dyDescent="0.25">
      <c r="A42" s="595" t="s">
        <v>449</v>
      </c>
      <c r="B42" s="598">
        <f>Resultat!F35</f>
        <v>0.18</v>
      </c>
      <c r="C42" s="766">
        <f>Resultat!G35</f>
        <v>0.68076098365848836</v>
      </c>
      <c r="D42" s="596" t="s">
        <v>452</v>
      </c>
      <c r="E42" t="s">
        <v>499</v>
      </c>
      <c r="G42" s="595"/>
      <c r="H42" t="s">
        <v>466</v>
      </c>
      <c r="I42" s="595"/>
    </row>
    <row r="43" spans="1:9" x14ac:dyDescent="0.25">
      <c r="A43" s="595" t="s">
        <v>450</v>
      </c>
      <c r="B43" s="598">
        <f>Resultat!F36</f>
        <v>0.02</v>
      </c>
      <c r="C43" s="766">
        <f>Resultat!G36</f>
        <v>0.3</v>
      </c>
      <c r="D43" s="596" t="s">
        <v>453</v>
      </c>
      <c r="E43" t="s">
        <v>500</v>
      </c>
      <c r="G43" s="595"/>
      <c r="H43" t="s">
        <v>466</v>
      </c>
      <c r="I43" s="595"/>
    </row>
    <row r="44" spans="1:9" x14ac:dyDescent="0.25">
      <c r="A44" s="595" t="s">
        <v>451</v>
      </c>
      <c r="B44" s="598" t="e">
        <f>B40/B41</f>
        <v>#DIV/0!</v>
      </c>
      <c r="C44" s="766">
        <f>C40/C41</f>
        <v>0.37407161491986957</v>
      </c>
      <c r="D44" s="596" t="s">
        <v>433</v>
      </c>
      <c r="E44" s="596" t="s">
        <v>433</v>
      </c>
      <c r="G44" s="595"/>
      <c r="H44" t="s">
        <v>466</v>
      </c>
      <c r="I44" s="595"/>
    </row>
    <row r="45" spans="1:9" x14ac:dyDescent="0.25">
      <c r="A45" s="595" t="s">
        <v>454</v>
      </c>
      <c r="B45" s="599">
        <f>Resultat!F23/Resultat!H23</f>
        <v>1</v>
      </c>
      <c r="C45" s="600">
        <f>Resultat!G23/Resultat!I23</f>
        <v>0.93857289617619311</v>
      </c>
      <c r="D45" s="596" t="s">
        <v>433</v>
      </c>
      <c r="E45" s="596" t="s">
        <v>433</v>
      </c>
      <c r="G45" s="595"/>
      <c r="H45" t="s">
        <v>467</v>
      </c>
      <c r="I45" s="595"/>
    </row>
    <row r="46" spans="1:9" x14ac:dyDescent="0.25">
      <c r="A46" s="595" t="s">
        <v>455</v>
      </c>
      <c r="B46" s="599">
        <f>Resultat!F26/Resultat!H26</f>
        <v>1</v>
      </c>
      <c r="C46" s="600">
        <f>Resultat!G26/Resultat!I26</f>
        <v>0.99545110528292324</v>
      </c>
      <c r="D46" s="596" t="s">
        <v>433</v>
      </c>
      <c r="E46" s="596" t="s">
        <v>433</v>
      </c>
      <c r="G46" s="595"/>
      <c r="H46" t="s">
        <v>467</v>
      </c>
      <c r="I46" s="595"/>
    </row>
    <row r="47" spans="1:9" x14ac:dyDescent="0.25">
      <c r="A47" s="595" t="s">
        <v>456</v>
      </c>
      <c r="B47" s="601">
        <f>Resultat!F79</f>
        <v>0</v>
      </c>
      <c r="C47" s="600">
        <f>Resultat!G79</f>
        <v>11.731669538627239</v>
      </c>
      <c r="D47" s="596" t="s">
        <v>461</v>
      </c>
      <c r="E47" t="s">
        <v>502</v>
      </c>
      <c r="G47" s="595"/>
      <c r="H47" t="s">
        <v>458</v>
      </c>
      <c r="I47" s="595"/>
    </row>
    <row r="48" spans="1:9" x14ac:dyDescent="0.25">
      <c r="A48" s="595" t="s">
        <v>457</v>
      </c>
      <c r="B48" s="601">
        <f>Resultat!F80</f>
        <v>0</v>
      </c>
      <c r="C48" s="600">
        <f>Resultat!G80</f>
        <v>0.54120928192460505</v>
      </c>
      <c r="D48" s="596" t="s">
        <v>462</v>
      </c>
      <c r="E48" t="s">
        <v>503</v>
      </c>
      <c r="G48" s="595"/>
      <c r="H48" t="s">
        <v>458</v>
      </c>
      <c r="I48" s="595"/>
    </row>
    <row r="49" spans="1:9" x14ac:dyDescent="0.25">
      <c r="A49" s="595" t="s">
        <v>400</v>
      </c>
      <c r="B49" s="601">
        <f>Resultat!F81</f>
        <v>0</v>
      </c>
      <c r="C49" s="600">
        <f>Resultat!G81</f>
        <v>12.272878820551844</v>
      </c>
      <c r="D49" s="596" t="s">
        <v>463</v>
      </c>
      <c r="E49" t="s">
        <v>504</v>
      </c>
      <c r="G49" s="595"/>
      <c r="H49" t="s">
        <v>458</v>
      </c>
      <c r="I49" s="595"/>
    </row>
    <row r="50" spans="1:9" x14ac:dyDescent="0.25">
      <c r="A50" s="595" t="s">
        <v>460</v>
      </c>
      <c r="B50" s="602">
        <f>Resultat!F84</f>
        <v>0</v>
      </c>
      <c r="C50" s="600">
        <f>Resultat!G84</f>
        <v>-10.294906976946486</v>
      </c>
      <c r="D50" s="596" t="s">
        <v>464</v>
      </c>
      <c r="E50" t="s">
        <v>505</v>
      </c>
      <c r="G50" s="595"/>
      <c r="H50" t="s">
        <v>458</v>
      </c>
      <c r="I50" s="595"/>
    </row>
    <row r="51" spans="1:9" x14ac:dyDescent="0.25">
      <c r="A51" s="595" t="s">
        <v>459</v>
      </c>
      <c r="B51" s="602">
        <f>Resultat!F87</f>
        <v>0</v>
      </c>
      <c r="C51" s="600">
        <f>Resultat!G87</f>
        <v>1.9779718436053582</v>
      </c>
      <c r="D51" s="596" t="s">
        <v>465</v>
      </c>
      <c r="E51" t="s">
        <v>506</v>
      </c>
      <c r="G51" s="595"/>
      <c r="H51" t="s">
        <v>458</v>
      </c>
      <c r="I51" s="595"/>
    </row>
    <row r="52" spans="1:9" x14ac:dyDescent="0.25">
      <c r="A52" s="595" t="s">
        <v>682</v>
      </c>
      <c r="B52" s="596"/>
      <c r="C52" s="600">
        <f>Resultat!G10/Resultat!I10</f>
        <v>0.96815710533710175</v>
      </c>
      <c r="D52" s="596" t="s">
        <v>433</v>
      </c>
      <c r="E52" s="596" t="s">
        <v>433</v>
      </c>
      <c r="G52" s="595"/>
      <c r="H52" t="s">
        <v>467</v>
      </c>
      <c r="I52" s="595"/>
    </row>
    <row r="53" spans="1:9" x14ac:dyDescent="0.25">
      <c r="A53" s="595" t="s">
        <v>585</v>
      </c>
      <c r="B53" s="596"/>
      <c r="C53" s="599">
        <f>AVERAGE(Resultat!G7/Resultat!I7,Resultat!G8/Resultat!I8)</f>
        <v>1.0135888908080024</v>
      </c>
      <c r="D53" s="596" t="s">
        <v>433</v>
      </c>
      <c r="E53" s="596" t="s">
        <v>433</v>
      </c>
      <c r="G53" s="595"/>
      <c r="I53" s="595"/>
    </row>
    <row r="54" spans="1:9" x14ac:dyDescent="0.25">
      <c r="A54" s="595" t="s">
        <v>672</v>
      </c>
      <c r="B54" s="596"/>
      <c r="C54" s="600">
        <f>Resultat!G23</f>
        <v>18.067825305008299</v>
      </c>
      <c r="D54" s="596"/>
      <c r="G54" s="595"/>
      <c r="H54" t="s">
        <v>599</v>
      </c>
      <c r="I54" s="595"/>
    </row>
    <row r="55" spans="1:9" x14ac:dyDescent="0.25">
      <c r="A55" s="595" t="s">
        <v>673</v>
      </c>
      <c r="B55" s="596"/>
      <c r="C55" s="600">
        <f>Resultat!G26</f>
        <v>166.46267820109932</v>
      </c>
      <c r="D55" s="596"/>
      <c r="G55" s="595"/>
      <c r="H55" t="s">
        <v>599</v>
      </c>
      <c r="I55" s="595"/>
    </row>
    <row r="56" spans="1:9" x14ac:dyDescent="0.25">
      <c r="A56" s="595" t="s">
        <v>669</v>
      </c>
      <c r="B56" s="596"/>
      <c r="C56" s="600">
        <f>Resultat!G23-Resultat!E23</f>
        <v>-1.5871939083364381</v>
      </c>
      <c r="D56" s="596"/>
      <c r="G56" s="595"/>
      <c r="H56" t="s">
        <v>599</v>
      </c>
      <c r="I56" s="595"/>
    </row>
    <row r="57" spans="1:9" x14ac:dyDescent="0.25">
      <c r="A57" s="595" t="s">
        <v>670</v>
      </c>
      <c r="B57" s="596"/>
      <c r="C57" s="600">
        <f>Resultat!G26-Resultat!E26</f>
        <v>-3.9256371691528216</v>
      </c>
      <c r="D57" s="596"/>
      <c r="G57" s="595"/>
      <c r="H57" t="s">
        <v>599</v>
      </c>
      <c r="I57" s="595"/>
    </row>
    <row r="58" spans="1:9" x14ac:dyDescent="0.25">
      <c r="A58" s="595" t="s">
        <v>686</v>
      </c>
      <c r="B58" s="762">
        <f>Resultat!F40</f>
        <v>11.301315449405333</v>
      </c>
      <c r="C58" s="599">
        <f>Resultat!G40</f>
        <v>4.9902258335554439</v>
      </c>
      <c r="D58" s="596"/>
      <c r="G58" s="595"/>
      <c r="I58" s="595"/>
    </row>
    <row r="59" spans="1:9" x14ac:dyDescent="0.25">
      <c r="A59" s="595" t="s">
        <v>696</v>
      </c>
      <c r="B59" s="602">
        <f>Resultat!F78</f>
        <v>39.576689794488466</v>
      </c>
      <c r="C59" s="602">
        <f>Resultat!G78</f>
        <v>25.083524522303286</v>
      </c>
      <c r="D59" s="601"/>
      <c r="G59" s="595"/>
      <c r="I59" s="595"/>
    </row>
    <row r="60" spans="1:9" x14ac:dyDescent="0.25">
      <c r="A60" s="611" t="s">
        <v>511</v>
      </c>
      <c r="B60" s="847" t="s">
        <v>424</v>
      </c>
      <c r="C60" s="848"/>
      <c r="D60" s="847" t="s">
        <v>403</v>
      </c>
      <c r="E60" s="853"/>
      <c r="F60" s="853"/>
      <c r="G60" s="848"/>
      <c r="H60" s="849" t="s">
        <v>405</v>
      </c>
      <c r="I60" s="844" t="s">
        <v>420</v>
      </c>
    </row>
    <row r="61" spans="1:9" x14ac:dyDescent="0.25">
      <c r="A61" s="613"/>
      <c r="B61" s="608">
        <v>2030</v>
      </c>
      <c r="C61" s="609">
        <v>2040</v>
      </c>
      <c r="D61" s="608" t="s">
        <v>407</v>
      </c>
      <c r="E61" s="610" t="s">
        <v>409</v>
      </c>
      <c r="F61" s="610" t="s">
        <v>470</v>
      </c>
      <c r="G61" s="609" t="s">
        <v>471</v>
      </c>
      <c r="H61" s="850"/>
      <c r="I61" s="845"/>
    </row>
    <row r="62" spans="1:9" x14ac:dyDescent="0.25">
      <c r="A62" s="595" t="s">
        <v>512</v>
      </c>
      <c r="B62" s="596" t="s">
        <v>61</v>
      </c>
      <c r="C62" s="596" t="s">
        <v>61</v>
      </c>
      <c r="D62" s="596" t="s">
        <v>526</v>
      </c>
      <c r="E62" t="s">
        <v>527</v>
      </c>
      <c r="F62" s="595" t="s">
        <v>529</v>
      </c>
      <c r="G62" t="s">
        <v>528</v>
      </c>
      <c r="I62" s="595"/>
    </row>
    <row r="63" spans="1:9" x14ac:dyDescent="0.25">
      <c r="A63" s="595" t="s">
        <v>513</v>
      </c>
      <c r="B63" s="596" t="s">
        <v>331</v>
      </c>
      <c r="C63" s="596" t="s">
        <v>380</v>
      </c>
      <c r="D63" s="596" t="s">
        <v>530</v>
      </c>
      <c r="E63" t="s">
        <v>531</v>
      </c>
      <c r="F63" s="595" t="s">
        <v>533</v>
      </c>
      <c r="G63" t="s">
        <v>532</v>
      </c>
      <c r="I63" s="595"/>
    </row>
    <row r="64" spans="1:9" x14ac:dyDescent="0.25">
      <c r="A64" s="595" t="s">
        <v>514</v>
      </c>
      <c r="B64" s="605">
        <v>0.25</v>
      </c>
      <c r="C64" s="600">
        <v>0.25</v>
      </c>
      <c r="D64" s="596" t="s">
        <v>535</v>
      </c>
      <c r="E64" t="s">
        <v>534</v>
      </c>
      <c r="F64" s="595" t="s">
        <v>537</v>
      </c>
      <c r="G64" t="s">
        <v>536</v>
      </c>
      <c r="H64" t="s">
        <v>466</v>
      </c>
      <c r="I64" s="595"/>
    </row>
    <row r="65" spans="1:9" x14ac:dyDescent="0.25">
      <c r="A65" s="595" t="s">
        <v>515</v>
      </c>
      <c r="B65" s="605">
        <v>7.0000000000000007E-2</v>
      </c>
      <c r="C65" s="600">
        <v>7.0000000000000007E-2</v>
      </c>
      <c r="D65" s="596" t="s">
        <v>539</v>
      </c>
      <c r="E65" t="s">
        <v>538</v>
      </c>
      <c r="F65" s="595" t="s">
        <v>541</v>
      </c>
      <c r="G65" t="s">
        <v>540</v>
      </c>
      <c r="H65" t="s">
        <v>466</v>
      </c>
      <c r="I65" s="595"/>
    </row>
    <row r="66" spans="1:9" x14ac:dyDescent="0.25">
      <c r="A66" s="595" t="s">
        <v>516</v>
      </c>
      <c r="B66" s="605">
        <v>0</v>
      </c>
      <c r="C66" s="600">
        <v>0</v>
      </c>
      <c r="D66" s="596" t="s">
        <v>542</v>
      </c>
      <c r="E66" t="s">
        <v>543</v>
      </c>
      <c r="F66" t="s">
        <v>544</v>
      </c>
      <c r="G66" t="s">
        <v>545</v>
      </c>
      <c r="H66" t="s">
        <v>466</v>
      </c>
      <c r="I66" s="595"/>
    </row>
    <row r="67" spans="1:9" x14ac:dyDescent="0.25">
      <c r="A67" s="595" t="s">
        <v>517</v>
      </c>
      <c r="B67" s="618">
        <v>7.4999999999999997E-2</v>
      </c>
      <c r="C67" s="600">
        <v>7.4999999999999997E-2</v>
      </c>
      <c r="D67" s="596" t="s">
        <v>546</v>
      </c>
      <c r="E67" t="s">
        <v>547</v>
      </c>
      <c r="F67" t="s">
        <v>548</v>
      </c>
      <c r="G67" t="s">
        <v>549</v>
      </c>
      <c r="H67" t="s">
        <v>466</v>
      </c>
      <c r="I67" s="595"/>
    </row>
    <row r="68" spans="1:9" x14ac:dyDescent="0.25">
      <c r="A68" s="595" t="s">
        <v>518</v>
      </c>
      <c r="B68" s="596">
        <v>0</v>
      </c>
      <c r="C68" s="600">
        <v>0</v>
      </c>
      <c r="D68" s="596" t="s">
        <v>552</v>
      </c>
      <c r="E68" t="s">
        <v>550</v>
      </c>
      <c r="F68" t="s">
        <v>553</v>
      </c>
      <c r="G68" t="s">
        <v>551</v>
      </c>
      <c r="H68" t="s">
        <v>559</v>
      </c>
      <c r="I68" s="595"/>
    </row>
    <row r="69" spans="1:9" x14ac:dyDescent="0.25">
      <c r="A69" s="595" t="s">
        <v>519</v>
      </c>
      <c r="B69" s="596">
        <v>0</v>
      </c>
      <c r="C69" s="600">
        <v>0</v>
      </c>
      <c r="D69" s="596" t="s">
        <v>554</v>
      </c>
      <c r="E69" t="s">
        <v>555</v>
      </c>
      <c r="F69" t="s">
        <v>556</v>
      </c>
      <c r="G69" t="s">
        <v>557</v>
      </c>
      <c r="H69" t="s">
        <v>559</v>
      </c>
      <c r="I69" s="595"/>
    </row>
    <row r="70" spans="1:9" x14ac:dyDescent="0.25">
      <c r="A70" s="595" t="s">
        <v>520</v>
      </c>
      <c r="B70" s="605">
        <v>0.02</v>
      </c>
      <c r="C70" s="600">
        <v>0.02</v>
      </c>
      <c r="D70" s="596" t="s">
        <v>560</v>
      </c>
      <c r="E70" t="s">
        <v>561</v>
      </c>
      <c r="F70" t="s">
        <v>562</v>
      </c>
      <c r="G70" t="s">
        <v>563</v>
      </c>
      <c r="H70" t="s">
        <v>558</v>
      </c>
      <c r="I70" s="595"/>
    </row>
    <row r="71" spans="1:9" x14ac:dyDescent="0.25">
      <c r="A71" s="595" t="s">
        <v>521</v>
      </c>
      <c r="B71" s="605">
        <v>0.02</v>
      </c>
      <c r="C71" s="600">
        <v>0.02</v>
      </c>
      <c r="D71" s="596" t="s">
        <v>564</v>
      </c>
      <c r="E71" t="s">
        <v>565</v>
      </c>
      <c r="F71" t="s">
        <v>566</v>
      </c>
      <c r="G71" t="s">
        <v>567</v>
      </c>
      <c r="H71" t="s">
        <v>558</v>
      </c>
      <c r="I71" s="595"/>
    </row>
    <row r="72" spans="1:9" x14ac:dyDescent="0.25">
      <c r="A72" s="595" t="s">
        <v>522</v>
      </c>
      <c r="B72" s="605">
        <v>0</v>
      </c>
      <c r="C72" s="600">
        <v>0</v>
      </c>
      <c r="D72" s="596" t="s">
        <v>569</v>
      </c>
      <c r="E72" t="s">
        <v>568</v>
      </c>
      <c r="F72" t="s">
        <v>570</v>
      </c>
      <c r="G72" s="595" t="s">
        <v>571</v>
      </c>
      <c r="H72" t="s">
        <v>584</v>
      </c>
      <c r="I72" s="595"/>
    </row>
    <row r="73" spans="1:9" x14ac:dyDescent="0.25">
      <c r="A73" s="595" t="s">
        <v>523</v>
      </c>
      <c r="B73" s="605">
        <v>0</v>
      </c>
      <c r="C73" s="600">
        <v>5.0000000000000001E-4</v>
      </c>
      <c r="D73" s="596" t="s">
        <v>572</v>
      </c>
      <c r="E73" t="s">
        <v>573</v>
      </c>
      <c r="F73" t="s">
        <v>574</v>
      </c>
      <c r="G73" s="595" t="s">
        <v>575</v>
      </c>
      <c r="H73" t="s">
        <v>584</v>
      </c>
      <c r="I73" s="595"/>
    </row>
    <row r="74" spans="1:9" x14ac:dyDescent="0.25">
      <c r="A74" s="595" t="s">
        <v>524</v>
      </c>
      <c r="B74" s="605">
        <v>0</v>
      </c>
      <c r="C74" s="600">
        <v>0</v>
      </c>
      <c r="D74" s="596" t="s">
        <v>576</v>
      </c>
      <c r="E74" t="s">
        <v>577</v>
      </c>
      <c r="F74" t="s">
        <v>578</v>
      </c>
      <c r="G74" s="595" t="s">
        <v>579</v>
      </c>
      <c r="H74" t="s">
        <v>584</v>
      </c>
      <c r="I74" s="595"/>
    </row>
    <row r="75" spans="1:9" x14ac:dyDescent="0.25">
      <c r="A75" s="595" t="s">
        <v>525</v>
      </c>
      <c r="B75" s="605">
        <v>0</v>
      </c>
      <c r="C75" s="600">
        <v>0</v>
      </c>
      <c r="D75" s="596" t="s">
        <v>580</v>
      </c>
      <c r="E75" t="s">
        <v>581</v>
      </c>
      <c r="F75" t="s">
        <v>582</v>
      </c>
      <c r="G75" s="595" t="s">
        <v>583</v>
      </c>
      <c r="H75" t="s">
        <v>584</v>
      </c>
      <c r="I75" s="595"/>
    </row>
    <row r="76" spans="1:9" x14ac:dyDescent="0.25">
      <c r="A76" s="595" t="s">
        <v>693</v>
      </c>
      <c r="B76" s="596"/>
      <c r="C76" s="767">
        <v>0.25</v>
      </c>
      <c r="D76" s="596"/>
      <c r="G76" s="595"/>
      <c r="I76" s="595"/>
    </row>
    <row r="77" spans="1:9" x14ac:dyDescent="0.25">
      <c r="A77" s="595" t="s">
        <v>694</v>
      </c>
      <c r="B77" s="596"/>
      <c r="C77" s="767">
        <v>0.2</v>
      </c>
      <c r="D77" s="596"/>
      <c r="G77" s="595"/>
      <c r="I77" s="595"/>
    </row>
    <row r="78" spans="1:9" x14ac:dyDescent="0.25">
      <c r="A78" s="595"/>
      <c r="B78" s="596"/>
      <c r="C78" s="595"/>
      <c r="D78" s="596"/>
      <c r="G78" s="595"/>
      <c r="I78" s="595"/>
    </row>
    <row r="79" spans="1:9" x14ac:dyDescent="0.25">
      <c r="A79" s="842" t="s">
        <v>408</v>
      </c>
      <c r="B79" s="846" t="s">
        <v>424</v>
      </c>
      <c r="C79" s="846"/>
      <c r="D79" s="846" t="s">
        <v>403</v>
      </c>
      <c r="E79" s="846"/>
      <c r="F79" s="846"/>
      <c r="G79" s="846"/>
      <c r="I79" s="595"/>
    </row>
    <row r="80" spans="1:9" x14ac:dyDescent="0.25">
      <c r="A80" s="843"/>
      <c r="B80" s="593">
        <v>2030</v>
      </c>
      <c r="C80" s="593">
        <v>2040</v>
      </c>
      <c r="D80" s="593" t="s">
        <v>407</v>
      </c>
      <c r="E80" s="593" t="s">
        <v>409</v>
      </c>
      <c r="F80" s="593" t="s">
        <v>470</v>
      </c>
      <c r="G80" s="593" t="s">
        <v>471</v>
      </c>
      <c r="I80" s="595"/>
    </row>
    <row r="81" spans="1:9" x14ac:dyDescent="0.25">
      <c r="A81" s="758" t="s">
        <v>637</v>
      </c>
      <c r="B81" s="605">
        <v>0</v>
      </c>
      <c r="C81" s="600">
        <v>0</v>
      </c>
      <c r="D81" s="596"/>
      <c r="G81" s="595"/>
      <c r="I81" s="595"/>
    </row>
    <row r="82" spans="1:9" x14ac:dyDescent="0.25">
      <c r="A82" s="758" t="s">
        <v>638</v>
      </c>
      <c r="B82" s="605">
        <v>0</v>
      </c>
      <c r="C82" s="600">
        <v>0</v>
      </c>
      <c r="D82" s="596"/>
      <c r="G82" s="595"/>
      <c r="I82" s="595"/>
    </row>
    <row r="83" spans="1:9" x14ac:dyDescent="0.25">
      <c r="A83" s="595"/>
      <c r="B83" s="596"/>
      <c r="C83" s="595"/>
      <c r="D83" s="596"/>
      <c r="G83" s="595"/>
      <c r="I83" s="595"/>
    </row>
    <row r="84" spans="1:9" x14ac:dyDescent="0.25">
      <c r="A84" s="595"/>
      <c r="B84" s="596"/>
      <c r="C84" s="595"/>
      <c r="D84" s="596"/>
      <c r="G84" s="595"/>
      <c r="I84" s="595"/>
    </row>
    <row r="85" spans="1:9" x14ac:dyDescent="0.25">
      <c r="A85" s="595"/>
      <c r="B85" s="596"/>
      <c r="C85" s="595"/>
      <c r="D85" s="596"/>
      <c r="G85" s="595"/>
      <c r="I85" s="595"/>
    </row>
    <row r="86" spans="1:9" x14ac:dyDescent="0.25">
      <c r="A86" s="595"/>
      <c r="B86" s="596"/>
      <c r="C86" s="595"/>
      <c r="D86" s="596"/>
      <c r="G86" s="595"/>
      <c r="I86" s="595"/>
    </row>
    <row r="87" spans="1:9" x14ac:dyDescent="0.25">
      <c r="A87" s="595"/>
      <c r="B87" s="596"/>
      <c r="C87" s="595"/>
      <c r="D87" s="596"/>
      <c r="G87" s="595"/>
      <c r="I87" s="595"/>
    </row>
    <row r="88" spans="1:9" x14ac:dyDescent="0.25">
      <c r="A88" s="595"/>
      <c r="B88" s="596"/>
      <c r="C88" s="595"/>
      <c r="D88" s="596"/>
      <c r="G88" s="595"/>
      <c r="I88" s="595"/>
    </row>
    <row r="89" spans="1:9" x14ac:dyDescent="0.25">
      <c r="A89" s="595"/>
      <c r="B89" s="596"/>
      <c r="C89" s="595"/>
      <c r="D89" s="596"/>
      <c r="G89" s="595"/>
      <c r="I89" s="595"/>
    </row>
    <row r="90" spans="1:9" x14ac:dyDescent="0.25">
      <c r="A90" s="595"/>
      <c r="B90" s="596"/>
      <c r="C90" s="595"/>
      <c r="D90" s="596"/>
      <c r="G90" s="595"/>
      <c r="I90" s="595"/>
    </row>
    <row r="91" spans="1:9" x14ac:dyDescent="0.25">
      <c r="A91" s="595"/>
      <c r="B91" s="596"/>
      <c r="C91" s="595"/>
      <c r="D91" s="596"/>
      <c r="G91" s="595"/>
      <c r="I91" s="595"/>
    </row>
    <row r="92" spans="1:9" x14ac:dyDescent="0.25">
      <c r="A92" s="595"/>
      <c r="B92" s="596"/>
      <c r="C92" s="595"/>
      <c r="D92" s="596"/>
      <c r="G92" s="595"/>
      <c r="I92" s="595"/>
    </row>
    <row r="93" spans="1:9" x14ac:dyDescent="0.25">
      <c r="A93" s="595"/>
      <c r="B93" s="596"/>
      <c r="C93" s="595"/>
      <c r="D93" s="596"/>
      <c r="G93" s="595"/>
      <c r="I93" s="595"/>
    </row>
    <row r="94" spans="1:9" x14ac:dyDescent="0.25">
      <c r="A94" s="595"/>
      <c r="B94" s="596"/>
      <c r="C94" s="595"/>
      <c r="D94" s="596"/>
      <c r="G94" s="595"/>
      <c r="I94" s="595"/>
    </row>
    <row r="95" spans="1:9" x14ac:dyDescent="0.25">
      <c r="A95" s="595"/>
      <c r="B95" s="596"/>
      <c r="C95" s="595"/>
      <c r="D95" s="596"/>
      <c r="G95" s="595"/>
      <c r="I95" s="595"/>
    </row>
    <row r="96" spans="1:9" x14ac:dyDescent="0.25">
      <c r="A96" s="595"/>
      <c r="B96" s="596"/>
      <c r="C96" s="595"/>
      <c r="D96" s="596"/>
      <c r="G96" s="595"/>
      <c r="I96" s="595"/>
    </row>
    <row r="97" spans="1:9" x14ac:dyDescent="0.25">
      <c r="A97" s="595"/>
      <c r="B97" s="596"/>
      <c r="C97" s="595"/>
      <c r="D97" s="596"/>
      <c r="G97" s="595"/>
      <c r="I97" s="595"/>
    </row>
    <row r="98" spans="1:9" x14ac:dyDescent="0.25">
      <c r="A98" s="595"/>
      <c r="B98" s="596"/>
      <c r="C98" s="595"/>
      <c r="D98" s="596"/>
      <c r="G98" s="595"/>
      <c r="I98" s="595"/>
    </row>
    <row r="99" spans="1:9" x14ac:dyDescent="0.25">
      <c r="A99" s="595"/>
      <c r="B99" s="596"/>
      <c r="C99" s="595"/>
      <c r="D99" s="596"/>
      <c r="G99" s="595"/>
      <c r="I99" s="595"/>
    </row>
    <row r="100" spans="1:9" x14ac:dyDescent="0.25">
      <c r="A100" s="595"/>
      <c r="B100" s="596"/>
      <c r="C100" s="595"/>
      <c r="D100" s="596"/>
      <c r="G100" s="595"/>
      <c r="I100" s="595"/>
    </row>
    <row r="101" spans="1:9" x14ac:dyDescent="0.25">
      <c r="A101" s="595"/>
      <c r="B101" s="596"/>
      <c r="C101" s="595"/>
      <c r="D101" s="596"/>
      <c r="G101" s="595"/>
      <c r="I101" s="595"/>
    </row>
    <row r="102" spans="1:9" x14ac:dyDescent="0.25">
      <c r="A102" s="595"/>
      <c r="B102" s="596"/>
      <c r="C102" s="595"/>
      <c r="D102" s="596"/>
      <c r="G102" s="595"/>
      <c r="I102" s="595"/>
    </row>
    <row r="103" spans="1:9" x14ac:dyDescent="0.25">
      <c r="A103" s="595"/>
      <c r="B103" s="596"/>
      <c r="C103" s="595"/>
      <c r="D103" s="596"/>
      <c r="G103" s="595"/>
      <c r="I103" s="595"/>
    </row>
    <row r="104" spans="1:9" x14ac:dyDescent="0.25">
      <c r="A104" s="595"/>
      <c r="B104" s="596"/>
      <c r="C104" s="595"/>
      <c r="D104" s="596"/>
      <c r="G104" s="595"/>
      <c r="I104" s="595"/>
    </row>
    <row r="105" spans="1:9" x14ac:dyDescent="0.25">
      <c r="A105" s="595"/>
      <c r="B105" s="596"/>
      <c r="C105" s="595"/>
      <c r="D105" s="596"/>
      <c r="G105" s="595"/>
      <c r="I105" s="595"/>
    </row>
    <row r="106" spans="1:9" x14ac:dyDescent="0.25">
      <c r="A106" s="595"/>
      <c r="B106" s="596"/>
      <c r="C106" s="595"/>
      <c r="D106" s="596"/>
      <c r="G106" s="595"/>
      <c r="I106" s="595"/>
    </row>
    <row r="107" spans="1:9" x14ac:dyDescent="0.25">
      <c r="A107" s="595"/>
      <c r="B107" s="596"/>
      <c r="C107" s="595"/>
      <c r="D107" s="596"/>
      <c r="G107" s="595"/>
      <c r="I107" s="595"/>
    </row>
    <row r="108" spans="1:9" x14ac:dyDescent="0.25">
      <c r="A108" s="595"/>
      <c r="B108" s="596"/>
      <c r="C108" s="595"/>
      <c r="D108" s="596"/>
      <c r="G108" s="595"/>
      <c r="I108" s="595"/>
    </row>
    <row r="109" spans="1:9" x14ac:dyDescent="0.25">
      <c r="A109" s="595"/>
      <c r="B109" s="596"/>
      <c r="C109" s="595"/>
      <c r="D109" s="596"/>
      <c r="G109" s="595"/>
      <c r="I109" s="595"/>
    </row>
    <row r="110" spans="1:9" x14ac:dyDescent="0.25">
      <c r="A110" s="595"/>
      <c r="B110" s="596"/>
      <c r="C110" s="595"/>
      <c r="D110" s="596"/>
      <c r="G110" s="595"/>
      <c r="I110" s="595"/>
    </row>
    <row r="111" spans="1:9" x14ac:dyDescent="0.25">
      <c r="A111" s="595"/>
      <c r="B111" s="596"/>
      <c r="C111" s="595"/>
      <c r="D111" s="596"/>
      <c r="G111" s="595"/>
      <c r="I111" s="595"/>
    </row>
    <row r="112" spans="1:9" x14ac:dyDescent="0.25">
      <c r="A112" s="595"/>
      <c r="B112" s="596"/>
      <c r="C112" s="595"/>
      <c r="D112" s="596"/>
      <c r="G112" s="595"/>
      <c r="I112" s="595"/>
    </row>
    <row r="113" spans="1:9" x14ac:dyDescent="0.25">
      <c r="A113" s="595"/>
      <c r="B113" s="596"/>
      <c r="C113" s="595"/>
      <c r="D113" s="596"/>
      <c r="G113" s="595"/>
      <c r="I113" s="595"/>
    </row>
    <row r="114" spans="1:9" x14ac:dyDescent="0.25">
      <c r="A114" s="595"/>
      <c r="B114" s="596"/>
      <c r="C114" s="595"/>
      <c r="D114" s="596"/>
      <c r="G114" s="595"/>
      <c r="I114" s="595"/>
    </row>
    <row r="115" spans="1:9" x14ac:dyDescent="0.25">
      <c r="A115" s="595"/>
      <c r="B115" s="596"/>
      <c r="C115" s="595"/>
      <c r="D115" s="596"/>
      <c r="G115" s="595"/>
      <c r="I115" s="595"/>
    </row>
    <row r="116" spans="1:9" x14ac:dyDescent="0.25">
      <c r="A116" s="595"/>
      <c r="B116" s="596"/>
      <c r="C116" s="595"/>
      <c r="D116" s="596"/>
      <c r="G116" s="595"/>
      <c r="I116" s="595"/>
    </row>
    <row r="117" spans="1:9" x14ac:dyDescent="0.25">
      <c r="A117" s="595"/>
      <c r="B117" s="596"/>
      <c r="C117" s="595"/>
      <c r="D117" s="596"/>
      <c r="G117" s="595"/>
      <c r="I117" s="595"/>
    </row>
    <row r="118" spans="1:9" x14ac:dyDescent="0.25">
      <c r="A118" s="595"/>
      <c r="B118" s="596"/>
      <c r="C118" s="595"/>
      <c r="D118" s="596"/>
      <c r="G118" s="595"/>
      <c r="I118" s="595"/>
    </row>
    <row r="119" spans="1:9" x14ac:dyDescent="0.25">
      <c r="A119" s="595"/>
      <c r="B119" s="596"/>
      <c r="C119" s="595"/>
      <c r="D119" s="596"/>
      <c r="G119" s="595"/>
      <c r="I119" s="595"/>
    </row>
    <row r="120" spans="1:9" x14ac:dyDescent="0.25">
      <c r="A120" s="595"/>
      <c r="B120" s="596"/>
      <c r="C120" s="595"/>
      <c r="D120" s="596"/>
      <c r="G120" s="595"/>
      <c r="I120" s="595"/>
    </row>
    <row r="121" spans="1:9" x14ac:dyDescent="0.25">
      <c r="A121" s="595"/>
      <c r="B121" s="596"/>
      <c r="C121" s="595"/>
      <c r="D121" s="596"/>
      <c r="G121" s="595"/>
      <c r="I121" s="595"/>
    </row>
    <row r="122" spans="1:9" x14ac:dyDescent="0.25">
      <c r="A122" s="595"/>
      <c r="B122" s="596"/>
      <c r="C122" s="595"/>
      <c r="D122" s="596"/>
      <c r="G122" s="595"/>
      <c r="I122" s="595"/>
    </row>
    <row r="123" spans="1:9" x14ac:dyDescent="0.25">
      <c r="A123" s="595"/>
      <c r="B123" s="596"/>
      <c r="C123" s="595"/>
      <c r="D123" s="596"/>
      <c r="G123" s="595"/>
      <c r="I123" s="595"/>
    </row>
    <row r="124" spans="1:9" x14ac:dyDescent="0.25">
      <c r="A124" s="595"/>
      <c r="B124" s="596"/>
      <c r="C124" s="595"/>
      <c r="D124" s="596"/>
      <c r="G124" s="595"/>
      <c r="I124" s="595"/>
    </row>
    <row r="125" spans="1:9" x14ac:dyDescent="0.25">
      <c r="A125" s="595"/>
      <c r="B125" s="596"/>
      <c r="C125" s="595"/>
      <c r="D125" s="596"/>
      <c r="G125" s="595"/>
      <c r="I125" s="595"/>
    </row>
    <row r="126" spans="1:9" x14ac:dyDescent="0.25">
      <c r="A126" s="595"/>
      <c r="B126" s="596"/>
      <c r="C126" s="595"/>
      <c r="D126" s="596"/>
      <c r="G126" s="595"/>
      <c r="I126" s="595"/>
    </row>
    <row r="127" spans="1:9" x14ac:dyDescent="0.25">
      <c r="A127" s="595"/>
      <c r="B127" s="596"/>
      <c r="C127" s="595"/>
      <c r="D127" s="596"/>
      <c r="G127" s="595"/>
      <c r="I127" s="595"/>
    </row>
    <row r="128" spans="1:9" x14ac:dyDescent="0.25">
      <c r="A128" s="595"/>
      <c r="B128" s="596"/>
      <c r="C128" s="595"/>
      <c r="D128" s="596"/>
      <c r="G128" s="595"/>
      <c r="I128" s="595"/>
    </row>
    <row r="129" spans="1:9" x14ac:dyDescent="0.25">
      <c r="A129" s="595"/>
      <c r="B129" s="596"/>
      <c r="C129" s="595"/>
      <c r="D129" s="596"/>
      <c r="G129" s="595"/>
      <c r="I129" s="595"/>
    </row>
    <row r="130" spans="1:9" x14ac:dyDescent="0.25">
      <c r="A130" s="595"/>
      <c r="B130" s="596"/>
      <c r="C130" s="595"/>
      <c r="D130" s="596"/>
      <c r="G130" s="595"/>
      <c r="I130" s="595"/>
    </row>
    <row r="131" spans="1:9" x14ac:dyDescent="0.25">
      <c r="A131" s="595"/>
      <c r="B131" s="596"/>
      <c r="C131" s="595"/>
      <c r="D131" s="596"/>
      <c r="G131" s="595"/>
      <c r="I131" s="595"/>
    </row>
    <row r="132" spans="1:9" x14ac:dyDescent="0.25">
      <c r="A132" s="595"/>
      <c r="B132" s="596"/>
      <c r="C132" s="595"/>
      <c r="D132" s="596"/>
      <c r="G132" s="595"/>
      <c r="I132" s="595"/>
    </row>
    <row r="133" spans="1:9" x14ac:dyDescent="0.25">
      <c r="A133" s="595"/>
      <c r="B133" s="596"/>
      <c r="C133" s="595"/>
      <c r="D133" s="596"/>
      <c r="G133" s="595"/>
      <c r="I133" s="595"/>
    </row>
    <row r="134" spans="1:9" x14ac:dyDescent="0.25">
      <c r="A134" s="595"/>
      <c r="B134" s="596"/>
      <c r="C134" s="595"/>
      <c r="D134" s="596"/>
      <c r="G134" s="595"/>
      <c r="I134" s="595"/>
    </row>
    <row r="135" spans="1:9" x14ac:dyDescent="0.25">
      <c r="A135" s="595"/>
      <c r="B135" s="596"/>
      <c r="C135" s="595"/>
      <c r="D135" s="596"/>
      <c r="G135" s="595"/>
      <c r="I135" s="595"/>
    </row>
    <row r="136" spans="1:9" x14ac:dyDescent="0.25">
      <c r="A136" s="595"/>
      <c r="B136" s="596"/>
      <c r="C136" s="595"/>
      <c r="D136" s="596"/>
      <c r="G136" s="595"/>
      <c r="I136" s="595"/>
    </row>
    <row r="137" spans="1:9" x14ac:dyDescent="0.25">
      <c r="A137" s="595"/>
      <c r="B137" s="596"/>
      <c r="C137" s="595"/>
      <c r="D137" s="596"/>
      <c r="G137" s="595"/>
      <c r="I137" s="595"/>
    </row>
    <row r="138" spans="1:9" x14ac:dyDescent="0.25">
      <c r="A138" s="595"/>
      <c r="B138" s="596"/>
      <c r="C138" s="595"/>
      <c r="D138" s="596"/>
      <c r="G138" s="595"/>
      <c r="I138" s="595"/>
    </row>
    <row r="139" spans="1:9" x14ac:dyDescent="0.25">
      <c r="A139" s="595"/>
      <c r="B139" s="596"/>
      <c r="C139" s="595"/>
      <c r="D139" s="596"/>
      <c r="G139" s="595"/>
      <c r="I139" s="595"/>
    </row>
    <row r="140" spans="1:9" x14ac:dyDescent="0.25">
      <c r="A140" s="595"/>
      <c r="B140" s="596"/>
      <c r="C140" s="595"/>
      <c r="D140" s="596"/>
      <c r="G140" s="595"/>
      <c r="I140" s="595"/>
    </row>
    <row r="141" spans="1:9" x14ac:dyDescent="0.25">
      <c r="A141" s="595"/>
      <c r="B141" s="596"/>
      <c r="C141" s="595"/>
      <c r="D141" s="596"/>
      <c r="G141" s="595"/>
      <c r="I141" s="595"/>
    </row>
    <row r="142" spans="1:9" x14ac:dyDescent="0.25">
      <c r="A142" s="595"/>
      <c r="B142" s="596"/>
      <c r="C142" s="595"/>
      <c r="D142" s="596"/>
      <c r="G142" s="595"/>
      <c r="I142" s="595"/>
    </row>
    <row r="143" spans="1:9" x14ac:dyDescent="0.25">
      <c r="A143" s="595"/>
      <c r="B143" s="596"/>
      <c r="C143" s="595"/>
      <c r="D143" s="596"/>
      <c r="G143" s="595"/>
      <c r="I143" s="595"/>
    </row>
    <row r="144" spans="1:9" x14ac:dyDescent="0.25">
      <c r="A144" s="595"/>
      <c r="B144" s="596"/>
      <c r="C144" s="595"/>
      <c r="D144" s="596"/>
      <c r="G144" s="595"/>
      <c r="I144" s="595"/>
    </row>
    <row r="145" spans="1:9" x14ac:dyDescent="0.25">
      <c r="A145" s="595"/>
      <c r="B145" s="596"/>
      <c r="C145" s="595"/>
      <c r="D145" s="596"/>
      <c r="G145" s="595"/>
      <c r="I145" s="595"/>
    </row>
    <row r="146" spans="1:9" x14ac:dyDescent="0.25">
      <c r="A146" s="595"/>
      <c r="B146" s="596"/>
      <c r="C146" s="595"/>
      <c r="D146" s="596"/>
      <c r="G146" s="595"/>
      <c r="I146" s="595"/>
    </row>
    <row r="147" spans="1:9" x14ac:dyDescent="0.25">
      <c r="A147" s="595"/>
      <c r="B147" s="596"/>
      <c r="C147" s="595"/>
      <c r="D147" s="596"/>
      <c r="G147" s="595"/>
      <c r="I147" s="595"/>
    </row>
    <row r="148" spans="1:9" x14ac:dyDescent="0.25">
      <c r="A148" s="595"/>
      <c r="B148" s="596"/>
      <c r="C148" s="595"/>
      <c r="D148" s="596"/>
      <c r="G148" s="595"/>
      <c r="I148" s="595"/>
    </row>
    <row r="149" spans="1:9" x14ac:dyDescent="0.25">
      <c r="A149" s="595"/>
      <c r="B149" s="596"/>
      <c r="C149" s="595"/>
      <c r="D149" s="596"/>
      <c r="G149" s="595"/>
      <c r="I149" s="595"/>
    </row>
    <row r="150" spans="1:9" x14ac:dyDescent="0.25">
      <c r="A150" s="595"/>
      <c r="B150" s="596"/>
      <c r="C150" s="595"/>
      <c r="D150" s="596"/>
      <c r="G150" s="595"/>
      <c r="I150" s="595"/>
    </row>
    <row r="151" spans="1:9" x14ac:dyDescent="0.25">
      <c r="A151" s="595"/>
      <c r="B151" s="596"/>
      <c r="C151" s="595"/>
      <c r="D151" s="596"/>
      <c r="G151" s="595"/>
      <c r="I151" s="595"/>
    </row>
    <row r="152" spans="1:9" x14ac:dyDescent="0.25">
      <c r="A152" s="595"/>
      <c r="B152" s="596"/>
      <c r="C152" s="595"/>
      <c r="D152" s="596"/>
      <c r="G152" s="595"/>
      <c r="I152" s="595"/>
    </row>
    <row r="153" spans="1:9" x14ac:dyDescent="0.25">
      <c r="A153" s="595"/>
      <c r="B153" s="596"/>
      <c r="C153" s="595"/>
      <c r="D153" s="596"/>
      <c r="G153" s="595"/>
      <c r="I153" s="595"/>
    </row>
    <row r="154" spans="1:9" x14ac:dyDescent="0.25">
      <c r="A154" s="595"/>
      <c r="B154" s="596"/>
      <c r="C154" s="595"/>
      <c r="D154" s="596"/>
      <c r="G154" s="595"/>
      <c r="I154" s="595"/>
    </row>
    <row r="155" spans="1:9" x14ac:dyDescent="0.25">
      <c r="A155" s="595"/>
      <c r="B155" s="596"/>
      <c r="C155" s="595"/>
      <c r="D155" s="596"/>
      <c r="G155" s="595"/>
      <c r="I155" s="595"/>
    </row>
    <row r="156" spans="1:9" x14ac:dyDescent="0.25">
      <c r="A156" s="595"/>
      <c r="B156" s="596"/>
      <c r="C156" s="595"/>
      <c r="D156" s="596"/>
      <c r="G156" s="595"/>
      <c r="I156" s="595"/>
    </row>
    <row r="157" spans="1:9" x14ac:dyDescent="0.25">
      <c r="A157" s="595"/>
      <c r="B157" s="596"/>
      <c r="C157" s="595"/>
      <c r="D157" s="596"/>
      <c r="G157" s="595"/>
      <c r="I157" s="595"/>
    </row>
    <row r="158" spans="1:9" x14ac:dyDescent="0.25">
      <c r="A158" s="595"/>
      <c r="B158" s="596"/>
      <c r="C158" s="595"/>
      <c r="D158" s="596"/>
      <c r="G158" s="595"/>
      <c r="I158" s="595"/>
    </row>
    <row r="159" spans="1:9" x14ac:dyDescent="0.25">
      <c r="A159" s="595"/>
      <c r="B159" s="596"/>
      <c r="C159" s="595"/>
      <c r="D159" s="596"/>
      <c r="G159" s="595"/>
      <c r="I159" s="595"/>
    </row>
    <row r="160" spans="1:9" x14ac:dyDescent="0.25">
      <c r="A160" s="595"/>
      <c r="B160" s="596"/>
      <c r="C160" s="595"/>
      <c r="D160" s="596"/>
      <c r="G160" s="595"/>
      <c r="I160" s="595"/>
    </row>
    <row r="161" spans="1:9" x14ac:dyDescent="0.25">
      <c r="A161" s="595"/>
      <c r="B161" s="596"/>
      <c r="C161" s="595"/>
      <c r="D161" s="596"/>
      <c r="G161" s="595"/>
      <c r="I161" s="595"/>
    </row>
    <row r="162" spans="1:9" x14ac:dyDescent="0.25">
      <c r="A162" s="595"/>
      <c r="B162" s="596"/>
      <c r="C162" s="595"/>
      <c r="D162" s="596"/>
      <c r="G162" s="595"/>
      <c r="I162" s="595"/>
    </row>
    <row r="163" spans="1:9" x14ac:dyDescent="0.25">
      <c r="A163" s="595"/>
      <c r="B163" s="596"/>
      <c r="C163" s="595"/>
      <c r="D163" s="596"/>
      <c r="G163" s="595"/>
      <c r="I163" s="595"/>
    </row>
    <row r="164" spans="1:9" x14ac:dyDescent="0.25">
      <c r="A164" s="595"/>
      <c r="B164" s="596"/>
      <c r="C164" s="595"/>
      <c r="D164" s="596"/>
      <c r="G164" s="595"/>
      <c r="I164" s="595"/>
    </row>
    <row r="165" spans="1:9" x14ac:dyDescent="0.25">
      <c r="A165" s="595"/>
      <c r="B165" s="596"/>
      <c r="C165" s="595"/>
      <c r="D165" s="596"/>
      <c r="G165" s="595"/>
      <c r="I165" s="595"/>
    </row>
    <row r="166" spans="1:9" x14ac:dyDescent="0.25">
      <c r="A166" s="595"/>
      <c r="B166" s="596"/>
      <c r="C166" s="595"/>
      <c r="D166" s="596"/>
      <c r="G166" s="595"/>
      <c r="I166" s="595"/>
    </row>
    <row r="167" spans="1:9" x14ac:dyDescent="0.25">
      <c r="A167" s="595"/>
      <c r="B167" s="596"/>
      <c r="C167" s="595"/>
      <c r="D167" s="596"/>
      <c r="G167" s="595"/>
      <c r="I167" s="595"/>
    </row>
    <row r="168" spans="1:9" x14ac:dyDescent="0.25">
      <c r="A168" s="595"/>
      <c r="B168" s="596"/>
      <c r="C168" s="595"/>
      <c r="D168" s="596"/>
      <c r="G168" s="595"/>
      <c r="I168" s="595"/>
    </row>
    <row r="169" spans="1:9" x14ac:dyDescent="0.25">
      <c r="A169" s="595"/>
      <c r="B169" s="596"/>
      <c r="C169" s="595"/>
      <c r="D169" s="596"/>
      <c r="G169" s="595"/>
      <c r="I169" s="595"/>
    </row>
    <row r="170" spans="1:9" x14ac:dyDescent="0.25">
      <c r="A170" s="595"/>
      <c r="B170" s="596"/>
      <c r="C170" s="595"/>
      <c r="D170" s="596"/>
      <c r="G170" s="595"/>
      <c r="I170" s="595"/>
    </row>
    <row r="171" spans="1:9" x14ac:dyDescent="0.25">
      <c r="A171" s="595"/>
      <c r="B171" s="596"/>
      <c r="C171" s="595"/>
      <c r="D171" s="596"/>
      <c r="G171" s="595"/>
      <c r="I171" s="595"/>
    </row>
    <row r="172" spans="1:9" x14ac:dyDescent="0.25">
      <c r="A172" s="595"/>
      <c r="B172" s="596"/>
      <c r="C172" s="595"/>
      <c r="D172" s="596"/>
      <c r="G172" s="595"/>
      <c r="I172" s="595"/>
    </row>
    <row r="173" spans="1:9" x14ac:dyDescent="0.25">
      <c r="A173" s="595"/>
      <c r="B173" s="596"/>
      <c r="C173" s="595"/>
      <c r="D173" s="596"/>
      <c r="G173" s="595"/>
      <c r="I173" s="595"/>
    </row>
    <row r="174" spans="1:9" x14ac:dyDescent="0.25">
      <c r="A174" s="595"/>
      <c r="B174" s="596"/>
      <c r="C174" s="595"/>
      <c r="D174" s="596"/>
      <c r="G174" s="595"/>
      <c r="I174" s="595"/>
    </row>
    <row r="175" spans="1:9" x14ac:dyDescent="0.25">
      <c r="A175" s="595"/>
      <c r="B175" s="596"/>
      <c r="C175" s="595"/>
      <c r="D175" s="596"/>
      <c r="G175" s="595"/>
      <c r="I175" s="595"/>
    </row>
    <row r="176" spans="1:9" x14ac:dyDescent="0.25">
      <c r="A176" s="595"/>
      <c r="B176" s="596"/>
      <c r="C176" s="595"/>
      <c r="D176" s="596"/>
      <c r="G176" s="595"/>
      <c r="I176" s="595"/>
    </row>
    <row r="177" spans="1:9" x14ac:dyDescent="0.25">
      <c r="A177" s="595"/>
      <c r="B177" s="596"/>
      <c r="C177" s="595"/>
      <c r="D177" s="596"/>
      <c r="G177" s="595"/>
      <c r="I177" s="595"/>
    </row>
    <row r="178" spans="1:9" x14ac:dyDescent="0.25">
      <c r="A178" s="595"/>
      <c r="B178" s="596"/>
      <c r="C178" s="595"/>
      <c r="D178" s="596"/>
      <c r="G178" s="595"/>
      <c r="I178" s="595"/>
    </row>
    <row r="179" spans="1:9" x14ac:dyDescent="0.25">
      <c r="A179" s="595"/>
      <c r="B179" s="596"/>
      <c r="C179" s="595"/>
      <c r="D179" s="596"/>
      <c r="G179" s="595"/>
      <c r="I179" s="595"/>
    </row>
    <row r="180" spans="1:9" x14ac:dyDescent="0.25">
      <c r="A180" s="595"/>
      <c r="B180" s="596"/>
      <c r="C180" s="595"/>
      <c r="D180" s="596"/>
      <c r="G180" s="595"/>
      <c r="I180" s="595"/>
    </row>
    <row r="181" spans="1:9" x14ac:dyDescent="0.25">
      <c r="A181" s="595"/>
      <c r="B181" s="596"/>
      <c r="C181" s="595"/>
      <c r="D181" s="596"/>
      <c r="G181" s="595"/>
      <c r="I181" s="595"/>
    </row>
    <row r="182" spans="1:9" x14ac:dyDescent="0.25">
      <c r="A182" s="595"/>
      <c r="B182" s="596"/>
      <c r="C182" s="595"/>
      <c r="D182" s="596"/>
      <c r="G182" s="595"/>
      <c r="I182" s="595"/>
    </row>
    <row r="183" spans="1:9" x14ac:dyDescent="0.25">
      <c r="A183" s="595"/>
      <c r="B183" s="596"/>
      <c r="C183" s="595"/>
      <c r="D183" s="596"/>
      <c r="G183" s="595"/>
      <c r="I183" s="595"/>
    </row>
    <row r="184" spans="1:9" x14ac:dyDescent="0.25">
      <c r="A184" s="595"/>
      <c r="B184" s="596"/>
      <c r="C184" s="595"/>
      <c r="D184" s="596"/>
      <c r="G184" s="595"/>
      <c r="I184" s="595"/>
    </row>
    <row r="185" spans="1:9" x14ac:dyDescent="0.25">
      <c r="A185" s="595"/>
      <c r="B185" s="596"/>
      <c r="C185" s="595"/>
      <c r="D185" s="596"/>
      <c r="G185" s="595"/>
      <c r="I185" s="595"/>
    </row>
    <row r="186" spans="1:9" x14ac:dyDescent="0.25">
      <c r="A186" s="595"/>
      <c r="B186" s="596"/>
      <c r="C186" s="595"/>
      <c r="D186" s="596"/>
      <c r="G186" s="595"/>
      <c r="I186" s="595"/>
    </row>
    <row r="187" spans="1:9" x14ac:dyDescent="0.25">
      <c r="A187" s="595"/>
      <c r="B187" s="596"/>
      <c r="C187" s="595"/>
      <c r="D187" s="596"/>
      <c r="G187" s="595"/>
      <c r="I187" s="595"/>
    </row>
    <row r="188" spans="1:9" x14ac:dyDescent="0.25">
      <c r="A188" s="595"/>
      <c r="B188" s="596"/>
      <c r="C188" s="595"/>
      <c r="D188" s="596"/>
      <c r="G188" s="595"/>
      <c r="I188" s="595"/>
    </row>
    <row r="189" spans="1:9" x14ac:dyDescent="0.25">
      <c r="A189" s="595"/>
      <c r="B189" s="596"/>
      <c r="C189" s="595"/>
      <c r="D189" s="596"/>
      <c r="G189" s="595"/>
      <c r="I189" s="595"/>
    </row>
    <row r="190" spans="1:9" x14ac:dyDescent="0.25">
      <c r="A190" s="595"/>
      <c r="B190" s="596"/>
      <c r="C190" s="595"/>
      <c r="D190" s="596"/>
      <c r="G190" s="595"/>
      <c r="I190" s="595"/>
    </row>
    <row r="191" spans="1:9" x14ac:dyDescent="0.25">
      <c r="A191" s="595"/>
      <c r="B191" s="596"/>
      <c r="C191" s="595"/>
      <c r="D191" s="596"/>
      <c r="G191" s="595"/>
      <c r="I191" s="595"/>
    </row>
    <row r="192" spans="1:9" x14ac:dyDescent="0.25">
      <c r="A192" s="595"/>
      <c r="B192" s="596"/>
      <c r="C192" s="595"/>
      <c r="D192" s="596"/>
      <c r="G192" s="595"/>
      <c r="I192" s="595"/>
    </row>
    <row r="193" spans="1:9" x14ac:dyDescent="0.25">
      <c r="A193" s="595"/>
      <c r="B193" s="596"/>
      <c r="C193" s="595"/>
      <c r="D193" s="596"/>
      <c r="G193" s="595"/>
      <c r="I193" s="595"/>
    </row>
    <row r="194" spans="1:9" x14ac:dyDescent="0.25">
      <c r="A194" s="595"/>
      <c r="B194" s="596"/>
      <c r="C194" s="595"/>
      <c r="D194" s="596"/>
      <c r="G194" s="595"/>
      <c r="I194" s="595"/>
    </row>
    <row r="195" spans="1:9" x14ac:dyDescent="0.25">
      <c r="A195" s="595"/>
      <c r="B195" s="596"/>
      <c r="C195" s="595"/>
      <c r="D195" s="596"/>
      <c r="G195" s="595"/>
      <c r="I195" s="595"/>
    </row>
    <row r="196" spans="1:9" x14ac:dyDescent="0.25">
      <c r="A196" s="595"/>
      <c r="B196" s="596"/>
      <c r="C196" s="595"/>
      <c r="D196" s="596"/>
      <c r="G196" s="595"/>
      <c r="I196" s="595"/>
    </row>
    <row r="197" spans="1:9" x14ac:dyDescent="0.25">
      <c r="A197" s="595"/>
      <c r="B197" s="596"/>
      <c r="C197" s="595"/>
      <c r="D197" s="596"/>
      <c r="G197" s="595"/>
      <c r="I197" s="595"/>
    </row>
    <row r="198" spans="1:9" x14ac:dyDescent="0.25">
      <c r="A198" s="595"/>
      <c r="B198" s="596"/>
      <c r="C198" s="595"/>
      <c r="D198" s="596"/>
      <c r="G198" s="595"/>
      <c r="I198" s="595"/>
    </row>
    <row r="199" spans="1:9" x14ac:dyDescent="0.25">
      <c r="A199" s="595"/>
      <c r="B199" s="596"/>
      <c r="C199" s="595"/>
      <c r="D199" s="596"/>
      <c r="G199" s="595"/>
      <c r="I199" s="595"/>
    </row>
    <row r="200" spans="1:9" x14ac:dyDescent="0.25">
      <c r="A200" s="595"/>
      <c r="B200" s="596"/>
      <c r="C200" s="595"/>
      <c r="D200" s="596"/>
      <c r="G200" s="595"/>
      <c r="I200" s="595"/>
    </row>
    <row r="201" spans="1:9" x14ac:dyDescent="0.25">
      <c r="A201" s="595"/>
      <c r="B201" s="596"/>
      <c r="C201" s="595"/>
      <c r="D201" s="596"/>
      <c r="G201" s="595"/>
      <c r="I201" s="595"/>
    </row>
    <row r="202" spans="1:9" x14ac:dyDescent="0.25">
      <c r="A202" s="595"/>
      <c r="B202" s="596"/>
      <c r="C202" s="595"/>
      <c r="D202" s="596"/>
      <c r="G202" s="595"/>
      <c r="I202" s="595"/>
    </row>
    <row r="203" spans="1:9" x14ac:dyDescent="0.25">
      <c r="A203" s="595"/>
      <c r="B203" s="596"/>
      <c r="C203" s="595"/>
      <c r="D203" s="596"/>
      <c r="G203" s="595"/>
      <c r="I203" s="595"/>
    </row>
    <row r="204" spans="1:9" x14ac:dyDescent="0.25">
      <c r="A204" s="595"/>
      <c r="B204" s="596"/>
      <c r="C204" s="595"/>
      <c r="D204" s="596"/>
      <c r="G204" s="595"/>
      <c r="I204" s="595"/>
    </row>
    <row r="205" spans="1:9" x14ac:dyDescent="0.25">
      <c r="A205" s="595"/>
      <c r="B205" s="596"/>
      <c r="C205" s="595"/>
      <c r="D205" s="596"/>
      <c r="G205" s="595"/>
      <c r="I205" s="595"/>
    </row>
    <row r="206" spans="1:9" x14ac:dyDescent="0.25">
      <c r="A206" s="595"/>
      <c r="B206" s="596"/>
      <c r="C206" s="595"/>
      <c r="D206" s="596"/>
      <c r="G206" s="595"/>
      <c r="I206" s="595"/>
    </row>
    <row r="207" spans="1:9" x14ac:dyDescent="0.25">
      <c r="A207" s="595"/>
      <c r="B207" s="596"/>
      <c r="C207" s="595"/>
      <c r="D207" s="596"/>
      <c r="G207" s="595"/>
      <c r="I207" s="595"/>
    </row>
    <row r="208" spans="1:9" x14ac:dyDescent="0.25">
      <c r="A208" s="595"/>
      <c r="B208" s="596"/>
      <c r="C208" s="595"/>
      <c r="D208" s="596"/>
      <c r="G208" s="595"/>
      <c r="I208" s="595"/>
    </row>
    <row r="209" spans="1:9" x14ac:dyDescent="0.25">
      <c r="A209" s="595"/>
      <c r="B209" s="596"/>
      <c r="C209" s="595"/>
      <c r="D209" s="596"/>
      <c r="G209" s="595"/>
      <c r="I209" s="595"/>
    </row>
    <row r="210" spans="1:9" x14ac:dyDescent="0.25">
      <c r="A210" s="595"/>
      <c r="B210" s="596"/>
      <c r="C210" s="595"/>
      <c r="D210" s="596"/>
      <c r="G210" s="595"/>
      <c r="I210" s="595"/>
    </row>
    <row r="211" spans="1:9" x14ac:dyDescent="0.25">
      <c r="A211" s="595"/>
      <c r="B211" s="596"/>
      <c r="C211" s="595"/>
      <c r="D211" s="596"/>
      <c r="G211" s="595"/>
      <c r="I211" s="595"/>
    </row>
    <row r="212" spans="1:9" x14ac:dyDescent="0.25">
      <c r="A212" s="595"/>
      <c r="B212" s="596"/>
      <c r="C212" s="595"/>
      <c r="D212" s="596"/>
      <c r="G212" s="595"/>
      <c r="I212" s="595"/>
    </row>
    <row r="213" spans="1:9" x14ac:dyDescent="0.25">
      <c r="A213" s="595"/>
      <c r="B213" s="596"/>
      <c r="C213" s="595"/>
      <c r="D213" s="596"/>
      <c r="G213" s="595"/>
      <c r="I213" s="595"/>
    </row>
    <row r="214" spans="1:9" x14ac:dyDescent="0.25">
      <c r="A214" s="595"/>
      <c r="B214" s="596"/>
      <c r="C214" s="595"/>
      <c r="D214" s="596"/>
      <c r="G214" s="595"/>
      <c r="I214" s="595"/>
    </row>
    <row r="215" spans="1:9" x14ac:dyDescent="0.25">
      <c r="A215" s="595"/>
      <c r="B215" s="596"/>
      <c r="C215" s="595"/>
      <c r="D215" s="596"/>
      <c r="G215" s="595"/>
      <c r="I215" s="595"/>
    </row>
    <row r="216" spans="1:9" x14ac:dyDescent="0.25">
      <c r="A216" s="595"/>
      <c r="B216" s="596"/>
      <c r="C216" s="595"/>
      <c r="D216" s="596"/>
      <c r="G216" s="595"/>
      <c r="I216" s="595"/>
    </row>
    <row r="217" spans="1:9" x14ac:dyDescent="0.25">
      <c r="A217" s="595"/>
      <c r="B217" s="596"/>
      <c r="C217" s="595"/>
      <c r="D217" s="596"/>
      <c r="G217" s="595"/>
      <c r="I217" s="595"/>
    </row>
    <row r="218" spans="1:9" x14ac:dyDescent="0.25">
      <c r="A218" s="595"/>
      <c r="B218" s="596"/>
      <c r="C218" s="595"/>
      <c r="D218" s="596"/>
      <c r="G218" s="595"/>
      <c r="I218" s="595"/>
    </row>
    <row r="219" spans="1:9" x14ac:dyDescent="0.25">
      <c r="A219" s="595"/>
      <c r="B219" s="596"/>
      <c r="C219" s="595"/>
      <c r="D219" s="596"/>
      <c r="G219" s="595"/>
      <c r="I219" s="595"/>
    </row>
    <row r="220" spans="1:9" x14ac:dyDescent="0.25">
      <c r="A220" s="595"/>
      <c r="B220" s="596"/>
      <c r="C220" s="595"/>
      <c r="D220" s="596"/>
      <c r="G220" s="595"/>
      <c r="I220" s="595"/>
    </row>
    <row r="221" spans="1:9" x14ac:dyDescent="0.25">
      <c r="A221" s="595"/>
      <c r="B221" s="596"/>
      <c r="C221" s="595"/>
      <c r="D221" s="596"/>
      <c r="G221" s="595"/>
      <c r="I221" s="595"/>
    </row>
    <row r="222" spans="1:9" x14ac:dyDescent="0.25">
      <c r="A222" s="595"/>
      <c r="B222" s="596"/>
      <c r="C222" s="595"/>
      <c r="D222" s="596"/>
      <c r="G222" s="595"/>
      <c r="I222" s="595"/>
    </row>
    <row r="223" spans="1:9" x14ac:dyDescent="0.25">
      <c r="A223" s="595"/>
      <c r="B223" s="596"/>
      <c r="C223" s="595"/>
      <c r="D223" s="596"/>
      <c r="G223" s="595"/>
      <c r="I223" s="595"/>
    </row>
    <row r="224" spans="1:9" x14ac:dyDescent="0.25">
      <c r="A224" s="595"/>
      <c r="B224" s="596"/>
      <c r="C224" s="595"/>
      <c r="D224" s="596"/>
      <c r="G224" s="595"/>
      <c r="I224" s="595"/>
    </row>
    <row r="225" spans="1:9" x14ac:dyDescent="0.25">
      <c r="A225" s="595"/>
      <c r="B225" s="596"/>
      <c r="C225" s="595"/>
      <c r="D225" s="596"/>
      <c r="G225" s="595"/>
      <c r="I225" s="595"/>
    </row>
    <row r="226" spans="1:9" x14ac:dyDescent="0.25">
      <c r="A226" s="595"/>
      <c r="B226" s="596"/>
      <c r="C226" s="595"/>
      <c r="D226" s="596"/>
      <c r="G226" s="595"/>
      <c r="I226" s="595"/>
    </row>
    <row r="227" spans="1:9" x14ac:dyDescent="0.25">
      <c r="A227" s="595"/>
      <c r="B227" s="596"/>
      <c r="C227" s="595"/>
      <c r="D227" s="596"/>
      <c r="G227" s="595"/>
      <c r="I227" s="595"/>
    </row>
    <row r="228" spans="1:9" x14ac:dyDescent="0.25">
      <c r="A228" s="595"/>
      <c r="B228" s="596"/>
      <c r="C228" s="595"/>
      <c r="D228" s="596"/>
      <c r="G228" s="595"/>
      <c r="I228" s="595"/>
    </row>
    <row r="229" spans="1:9" x14ac:dyDescent="0.25">
      <c r="A229" s="595"/>
      <c r="B229" s="596"/>
      <c r="C229" s="595"/>
      <c r="D229" s="596"/>
      <c r="G229" s="595"/>
      <c r="I229" s="595"/>
    </row>
    <row r="230" spans="1:9" x14ac:dyDescent="0.25">
      <c r="A230" s="595"/>
      <c r="B230" s="596"/>
      <c r="C230" s="595"/>
      <c r="D230" s="596"/>
      <c r="G230" s="595"/>
      <c r="I230" s="595"/>
    </row>
    <row r="231" spans="1:9" x14ac:dyDescent="0.25">
      <c r="A231" s="595"/>
      <c r="B231" s="596"/>
      <c r="C231" s="595"/>
      <c r="D231" s="596"/>
      <c r="G231" s="595"/>
      <c r="I231" s="595"/>
    </row>
    <row r="232" spans="1:9" x14ac:dyDescent="0.25">
      <c r="A232" s="595"/>
      <c r="B232" s="596"/>
      <c r="C232" s="595"/>
      <c r="D232" s="596"/>
      <c r="G232" s="595"/>
      <c r="I232" s="595"/>
    </row>
    <row r="233" spans="1:9" x14ac:dyDescent="0.25">
      <c r="A233" s="595"/>
      <c r="B233" s="596"/>
      <c r="C233" s="595"/>
      <c r="D233" s="596"/>
      <c r="G233" s="595"/>
      <c r="I233" s="595"/>
    </row>
    <row r="234" spans="1:9" x14ac:dyDescent="0.25">
      <c r="A234" s="595"/>
      <c r="B234" s="596"/>
      <c r="C234" s="595"/>
      <c r="D234" s="596"/>
      <c r="G234" s="595"/>
      <c r="I234" s="595"/>
    </row>
    <row r="235" spans="1:9" x14ac:dyDescent="0.25">
      <c r="A235" s="595"/>
      <c r="B235" s="596"/>
      <c r="C235" s="595"/>
      <c r="D235" s="596"/>
      <c r="G235" s="595"/>
      <c r="I235" s="595"/>
    </row>
    <row r="236" spans="1:9" x14ac:dyDescent="0.25">
      <c r="A236" s="595"/>
      <c r="B236" s="596"/>
      <c r="C236" s="595"/>
      <c r="D236" s="596"/>
      <c r="G236" s="595"/>
      <c r="I236" s="595"/>
    </row>
    <row r="237" spans="1:9" x14ac:dyDescent="0.25">
      <c r="A237" s="595"/>
      <c r="B237" s="596"/>
      <c r="C237" s="595"/>
      <c r="D237" s="596"/>
      <c r="G237" s="595"/>
      <c r="I237" s="595"/>
    </row>
    <row r="238" spans="1:9" x14ac:dyDescent="0.25">
      <c r="A238" s="595"/>
      <c r="B238" s="596"/>
      <c r="C238" s="595"/>
      <c r="D238" s="596"/>
      <c r="G238" s="595"/>
      <c r="I238" s="595"/>
    </row>
    <row r="239" spans="1:9" x14ac:dyDescent="0.25">
      <c r="A239" s="595"/>
      <c r="B239" s="596"/>
      <c r="C239" s="595"/>
      <c r="D239" s="596"/>
      <c r="G239" s="595"/>
      <c r="I239" s="595"/>
    </row>
    <row r="240" spans="1:9" x14ac:dyDescent="0.25">
      <c r="A240" s="595"/>
      <c r="B240" s="596"/>
      <c r="C240" s="595"/>
      <c r="D240" s="596"/>
      <c r="G240" s="595"/>
      <c r="I240" s="595"/>
    </row>
    <row r="241" spans="1:9" x14ac:dyDescent="0.25">
      <c r="A241" s="595"/>
      <c r="B241" s="596"/>
      <c r="C241" s="595"/>
      <c r="D241" s="596"/>
      <c r="G241" s="595"/>
      <c r="I241" s="595"/>
    </row>
    <row r="242" spans="1:9" x14ac:dyDescent="0.25">
      <c r="A242" s="595"/>
      <c r="B242" s="596"/>
      <c r="C242" s="595"/>
      <c r="D242" s="596"/>
      <c r="G242" s="595"/>
      <c r="I242" s="595"/>
    </row>
    <row r="243" spans="1:9" x14ac:dyDescent="0.25">
      <c r="A243" s="595"/>
      <c r="B243" s="596"/>
      <c r="C243" s="595"/>
      <c r="D243" s="596"/>
      <c r="G243" s="595"/>
      <c r="I243" s="595"/>
    </row>
    <row r="244" spans="1:9" x14ac:dyDescent="0.25">
      <c r="A244" s="595"/>
      <c r="B244" s="596"/>
      <c r="C244" s="595"/>
      <c r="D244" s="596"/>
      <c r="G244" s="595"/>
      <c r="I244" s="595"/>
    </row>
    <row r="245" spans="1:9" x14ac:dyDescent="0.25">
      <c r="A245" s="595"/>
      <c r="B245" s="596"/>
      <c r="C245" s="595"/>
      <c r="D245" s="596"/>
      <c r="G245" s="595"/>
      <c r="I245" s="595"/>
    </row>
    <row r="246" spans="1:9" x14ac:dyDescent="0.25">
      <c r="A246" s="595"/>
      <c r="B246" s="596"/>
      <c r="C246" s="595"/>
      <c r="D246" s="596"/>
      <c r="G246" s="595"/>
      <c r="I246" s="595"/>
    </row>
    <row r="247" spans="1:9" x14ac:dyDescent="0.25">
      <c r="A247" s="595"/>
      <c r="B247" s="596"/>
      <c r="C247" s="595"/>
      <c r="D247" s="596"/>
      <c r="G247" s="595"/>
      <c r="I247" s="595"/>
    </row>
    <row r="248" spans="1:9" x14ac:dyDescent="0.25">
      <c r="A248" s="595"/>
      <c r="B248" s="596"/>
      <c r="C248" s="595"/>
      <c r="D248" s="596"/>
      <c r="G248" s="595"/>
      <c r="I248" s="595"/>
    </row>
    <row r="249" spans="1:9" x14ac:dyDescent="0.25">
      <c r="A249" s="595"/>
      <c r="B249" s="596"/>
      <c r="C249" s="595"/>
      <c r="D249" s="596"/>
      <c r="G249" s="595"/>
      <c r="I249" s="595"/>
    </row>
    <row r="250" spans="1:9" x14ac:dyDescent="0.25">
      <c r="A250" s="595"/>
      <c r="B250" s="596"/>
      <c r="C250" s="595"/>
      <c r="D250" s="596"/>
      <c r="G250" s="595"/>
      <c r="I250" s="595"/>
    </row>
    <row r="251" spans="1:9" x14ac:dyDescent="0.25">
      <c r="A251" s="595"/>
      <c r="B251" s="596"/>
      <c r="C251" s="595"/>
      <c r="D251" s="596"/>
      <c r="G251" s="595"/>
      <c r="I251" s="595"/>
    </row>
    <row r="252" spans="1:9" x14ac:dyDescent="0.25">
      <c r="A252" s="595"/>
      <c r="B252" s="596"/>
      <c r="C252" s="595"/>
      <c r="D252" s="596"/>
      <c r="G252" s="595"/>
      <c r="I252" s="595"/>
    </row>
    <row r="253" spans="1:9" x14ac:dyDescent="0.25">
      <c r="A253" s="595"/>
      <c r="B253" s="596"/>
      <c r="C253" s="595"/>
      <c r="D253" s="596"/>
      <c r="G253" s="595"/>
      <c r="I253" s="595"/>
    </row>
    <row r="254" spans="1:9" x14ac:dyDescent="0.25">
      <c r="A254" s="595"/>
      <c r="B254" s="596"/>
      <c r="C254" s="595"/>
      <c r="D254" s="596"/>
      <c r="G254" s="595"/>
      <c r="I254" s="595"/>
    </row>
    <row r="255" spans="1:9" x14ac:dyDescent="0.25">
      <c r="A255" s="595"/>
      <c r="B255" s="596"/>
      <c r="C255" s="595"/>
      <c r="D255" s="596"/>
      <c r="G255" s="595"/>
      <c r="I255" s="595"/>
    </row>
    <row r="256" spans="1:9" x14ac:dyDescent="0.25">
      <c r="A256" s="595"/>
      <c r="B256" s="596"/>
      <c r="C256" s="595"/>
      <c r="D256" s="596"/>
      <c r="G256" s="595"/>
      <c r="I256" s="595"/>
    </row>
    <row r="257" spans="1:9" x14ac:dyDescent="0.25">
      <c r="A257" s="595"/>
      <c r="B257" s="596"/>
      <c r="C257" s="595"/>
      <c r="D257" s="596"/>
      <c r="G257" s="595"/>
      <c r="I257" s="595"/>
    </row>
    <row r="258" spans="1:9" x14ac:dyDescent="0.25">
      <c r="A258" s="595"/>
      <c r="B258" s="596"/>
      <c r="C258" s="595"/>
      <c r="D258" s="596"/>
      <c r="G258" s="595"/>
      <c r="I258" s="595"/>
    </row>
    <row r="259" spans="1:9" x14ac:dyDescent="0.25">
      <c r="A259" s="595"/>
      <c r="B259" s="596"/>
      <c r="C259" s="595"/>
      <c r="D259" s="596"/>
      <c r="G259" s="595"/>
      <c r="I259" s="595"/>
    </row>
    <row r="260" spans="1:9" x14ac:dyDescent="0.25">
      <c r="A260" s="595"/>
      <c r="B260" s="596"/>
      <c r="C260" s="595"/>
      <c r="D260" s="596"/>
      <c r="G260" s="595"/>
      <c r="I260" s="595"/>
    </row>
    <row r="261" spans="1:9" x14ac:dyDescent="0.25">
      <c r="A261" s="595"/>
      <c r="B261" s="596"/>
      <c r="C261" s="595"/>
      <c r="D261" s="596"/>
      <c r="G261" s="595"/>
      <c r="I261" s="595"/>
    </row>
    <row r="262" spans="1:9" x14ac:dyDescent="0.25">
      <c r="A262" s="595"/>
      <c r="B262" s="596"/>
      <c r="C262" s="595"/>
      <c r="D262" s="596"/>
      <c r="G262" s="595"/>
      <c r="I262" s="595"/>
    </row>
    <row r="263" spans="1:9" x14ac:dyDescent="0.25">
      <c r="A263" s="595"/>
      <c r="B263" s="596"/>
      <c r="C263" s="595"/>
      <c r="D263" s="596"/>
      <c r="G263" s="595"/>
      <c r="I263" s="595"/>
    </row>
    <row r="264" spans="1:9" x14ac:dyDescent="0.25">
      <c r="A264" s="595"/>
      <c r="B264" s="596"/>
      <c r="C264" s="595"/>
      <c r="D264" s="596"/>
      <c r="G264" s="595"/>
      <c r="I264" s="595"/>
    </row>
    <row r="265" spans="1:9" x14ac:dyDescent="0.25">
      <c r="A265" s="595"/>
      <c r="B265" s="596"/>
      <c r="C265" s="595"/>
      <c r="D265" s="596"/>
      <c r="G265" s="595"/>
      <c r="I265" s="595"/>
    </row>
    <row r="266" spans="1:9" x14ac:dyDescent="0.25">
      <c r="A266" s="595"/>
      <c r="B266" s="596"/>
      <c r="C266" s="595"/>
      <c r="D266" s="596"/>
      <c r="G266" s="595"/>
      <c r="I266" s="595"/>
    </row>
    <row r="267" spans="1:9" x14ac:dyDescent="0.25">
      <c r="A267" s="595"/>
      <c r="B267" s="596"/>
      <c r="C267" s="595"/>
      <c r="D267" s="596"/>
      <c r="G267" s="595"/>
      <c r="I267" s="595"/>
    </row>
    <row r="268" spans="1:9" x14ac:dyDescent="0.25">
      <c r="A268" s="595"/>
      <c r="B268" s="596"/>
      <c r="C268" s="595"/>
      <c r="D268" s="596"/>
      <c r="G268" s="595"/>
      <c r="I268" s="595"/>
    </row>
    <row r="269" spans="1:9" x14ac:dyDescent="0.25">
      <c r="A269" s="595"/>
      <c r="B269" s="596"/>
      <c r="C269" s="595"/>
      <c r="D269" s="596"/>
      <c r="G269" s="595"/>
      <c r="I269" s="595"/>
    </row>
    <row r="270" spans="1:9" x14ac:dyDescent="0.25">
      <c r="A270" s="595"/>
      <c r="B270" s="596"/>
      <c r="C270" s="595"/>
      <c r="D270" s="596"/>
      <c r="G270" s="595"/>
      <c r="I270" s="595"/>
    </row>
    <row r="271" spans="1:9" x14ac:dyDescent="0.25">
      <c r="A271" s="595"/>
      <c r="B271" s="596"/>
      <c r="C271" s="595"/>
      <c r="D271" s="596"/>
      <c r="G271" s="595"/>
      <c r="I271" s="595"/>
    </row>
    <row r="272" spans="1:9" x14ac:dyDescent="0.25">
      <c r="A272" s="595"/>
      <c r="B272" s="596"/>
      <c r="C272" s="595"/>
      <c r="D272" s="596"/>
      <c r="G272" s="595"/>
    </row>
    <row r="273" spans="1:7" x14ac:dyDescent="0.25">
      <c r="A273" s="595"/>
      <c r="B273" s="596"/>
      <c r="C273" s="595"/>
      <c r="D273" s="596"/>
      <c r="G273" s="595"/>
    </row>
    <row r="274" spans="1:7" x14ac:dyDescent="0.25">
      <c r="A274" s="595"/>
      <c r="B274" s="596"/>
      <c r="C274" s="595"/>
      <c r="D274" s="596"/>
      <c r="G274" s="595"/>
    </row>
    <row r="275" spans="1:7" x14ac:dyDescent="0.25">
      <c r="A275" s="595"/>
      <c r="B275" s="596"/>
      <c r="C275" s="595"/>
      <c r="D275" s="596"/>
      <c r="G275" s="595"/>
    </row>
    <row r="276" spans="1:7" x14ac:dyDescent="0.25">
      <c r="A276" s="595"/>
      <c r="B276" s="596"/>
      <c r="C276" s="595"/>
    </row>
    <row r="277" spans="1:7" x14ac:dyDescent="0.25">
      <c r="A277" s="595"/>
      <c r="B277" s="596"/>
      <c r="C277" s="595"/>
    </row>
  </sheetData>
  <mergeCells count="20">
    <mergeCell ref="A79:A80"/>
    <mergeCell ref="B79:C79"/>
    <mergeCell ref="D79:G79"/>
    <mergeCell ref="H30:H31"/>
    <mergeCell ref="I30:I31"/>
    <mergeCell ref="H60:H61"/>
    <mergeCell ref="I60:I61"/>
    <mergeCell ref="B30:C30"/>
    <mergeCell ref="D30:E30"/>
    <mergeCell ref="D60:G60"/>
    <mergeCell ref="B60:C60"/>
    <mergeCell ref="H1:H2"/>
    <mergeCell ref="A1:A2"/>
    <mergeCell ref="I1:I2"/>
    <mergeCell ref="H17:H18"/>
    <mergeCell ref="I17:I18"/>
    <mergeCell ref="B17:C17"/>
    <mergeCell ref="B1:C1"/>
    <mergeCell ref="D1:G1"/>
    <mergeCell ref="D17:E1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7"/>
  <sheetViews>
    <sheetView zoomScale="130" zoomScaleNormal="130" workbookViewId="0">
      <selection activeCell="E9" sqref="E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17" t="s">
        <v>259</v>
      </c>
      <c r="D1" s="205"/>
      <c r="E1" s="205"/>
      <c r="F1" s="312"/>
    </row>
    <row r="2" spans="1:15" ht="15.75" thickBot="1" x14ac:dyDescent="0.3">
      <c r="A2" s="411" t="s">
        <v>348</v>
      </c>
    </row>
    <row r="3" spans="1:15" s="119" customFormat="1" ht="16.5" thickBot="1" x14ac:dyDescent="0.3">
      <c r="A3" s="305" t="s">
        <v>259</v>
      </c>
      <c r="B3" s="306" t="s">
        <v>18</v>
      </c>
      <c r="C3" s="307" t="s">
        <v>14</v>
      </c>
      <c r="D3" s="122">
        <v>2030</v>
      </c>
      <c r="E3" s="123">
        <v>2040</v>
      </c>
      <c r="F3" s="120" t="s">
        <v>15</v>
      </c>
      <c r="G3" s="26"/>
      <c r="H3" s="118"/>
      <c r="I3" s="118"/>
      <c r="J3" s="118"/>
      <c r="K3" s="118"/>
      <c r="L3" s="118"/>
      <c r="M3" s="118"/>
      <c r="N3" s="118"/>
      <c r="O3" s="118"/>
    </row>
    <row r="4" spans="1:15" ht="15" customHeight="1" x14ac:dyDescent="0.25">
      <c r="A4" s="775" t="s">
        <v>289</v>
      </c>
      <c r="B4" s="859" t="s">
        <v>206</v>
      </c>
      <c r="C4" s="860"/>
      <c r="D4" s="740">
        <f>EMA!B19</f>
        <v>7.0000000000000007E-2</v>
      </c>
      <c r="E4" s="738">
        <f>EMA!C19</f>
        <v>0.19</v>
      </c>
      <c r="F4" s="102" t="s">
        <v>324</v>
      </c>
      <c r="G4" s="38"/>
      <c r="H4" s="38"/>
      <c r="I4" s="38"/>
      <c r="J4" s="38"/>
      <c r="K4" s="38"/>
      <c r="L4" s="38"/>
      <c r="M4" s="38"/>
      <c r="N4" s="38"/>
      <c r="O4" s="38"/>
    </row>
    <row r="5" spans="1:15" ht="15" customHeight="1" x14ac:dyDescent="0.25">
      <c r="A5" s="856"/>
      <c r="B5" s="854" t="s">
        <v>171</v>
      </c>
      <c r="C5" s="855"/>
      <c r="D5" s="741">
        <f>EMA!B24</f>
        <v>-0.05</v>
      </c>
      <c r="E5" s="741">
        <f>EMA!C24</f>
        <v>-0.05</v>
      </c>
      <c r="F5" s="711" t="s">
        <v>70</v>
      </c>
      <c r="G5" s="38"/>
      <c r="H5" s="38"/>
      <c r="I5" s="38"/>
      <c r="J5" s="38"/>
      <c r="K5" s="38"/>
      <c r="L5" s="38"/>
      <c r="M5" s="38"/>
      <c r="N5" s="38"/>
      <c r="O5" s="38"/>
    </row>
    <row r="6" spans="1:15" ht="15" customHeight="1" x14ac:dyDescent="0.25">
      <c r="A6" s="856"/>
      <c r="B6" s="854" t="s">
        <v>172</v>
      </c>
      <c r="C6" s="855"/>
      <c r="D6" s="741">
        <v>0</v>
      </c>
      <c r="E6" s="739">
        <v>0</v>
      </c>
      <c r="F6" s="711" t="s">
        <v>71</v>
      </c>
      <c r="G6" s="38"/>
      <c r="H6" s="38"/>
      <c r="I6" s="38"/>
      <c r="J6" s="38"/>
      <c r="K6" s="38"/>
      <c r="L6" s="38"/>
      <c r="M6" s="38"/>
      <c r="N6" s="38"/>
      <c r="O6" s="38"/>
    </row>
    <row r="7" spans="1:15" ht="15" customHeight="1" x14ac:dyDescent="0.25">
      <c r="A7" s="856"/>
      <c r="B7" s="854" t="s">
        <v>173</v>
      </c>
      <c r="C7" s="855"/>
      <c r="D7" s="741">
        <f>EMA!B20</f>
        <v>-0.1</v>
      </c>
      <c r="E7" s="739">
        <f>EMA!C20</f>
        <v>-0.1</v>
      </c>
      <c r="F7" s="711" t="s">
        <v>69</v>
      </c>
      <c r="G7" s="38"/>
      <c r="H7" s="38"/>
      <c r="I7" s="38"/>
      <c r="J7" s="38"/>
      <c r="K7" s="38"/>
      <c r="L7" s="38"/>
      <c r="M7" s="38"/>
      <c r="N7" s="38"/>
      <c r="O7" s="38"/>
    </row>
    <row r="8" spans="1:15" ht="15" customHeight="1" x14ac:dyDescent="0.25">
      <c r="A8" s="856"/>
      <c r="B8" s="854" t="s">
        <v>174</v>
      </c>
      <c r="C8" s="855"/>
      <c r="D8" s="741">
        <f>EMA!B21</f>
        <v>-0.2</v>
      </c>
      <c r="E8" s="739">
        <f>EMA!C21</f>
        <v>-0.2</v>
      </c>
      <c r="F8" s="711" t="s">
        <v>207</v>
      </c>
      <c r="G8" s="38"/>
      <c r="H8" s="38"/>
      <c r="I8" s="38"/>
      <c r="J8" s="38"/>
      <c r="K8" s="38"/>
      <c r="L8" s="38"/>
      <c r="M8" s="38"/>
      <c r="N8" s="38"/>
      <c r="O8" s="38"/>
    </row>
    <row r="9" spans="1:15" ht="15" customHeight="1" x14ac:dyDescent="0.25">
      <c r="A9" s="856"/>
      <c r="B9" s="854" t="s">
        <v>175</v>
      </c>
      <c r="C9" s="855"/>
      <c r="D9" s="742">
        <f>EMA!B22</f>
        <v>-0.22</v>
      </c>
      <c r="E9" s="743">
        <f>EMA!C22</f>
        <v>-1.1439999999999999</v>
      </c>
      <c r="F9" s="711" t="s">
        <v>323</v>
      </c>
      <c r="G9" s="38"/>
      <c r="H9" s="38"/>
      <c r="I9" s="38"/>
      <c r="J9" s="38"/>
      <c r="K9" s="38"/>
      <c r="L9" s="38"/>
      <c r="M9" s="38"/>
      <c r="N9" s="38"/>
      <c r="O9" s="38"/>
    </row>
    <row r="10" spans="1:15" ht="15" customHeight="1" thickBot="1" x14ac:dyDescent="0.3">
      <c r="A10" s="776"/>
      <c r="B10" s="857" t="s">
        <v>674</v>
      </c>
      <c r="C10" s="858"/>
      <c r="D10" s="745">
        <f>EMA!B23</f>
        <v>0</v>
      </c>
      <c r="E10" s="744">
        <f>EMA!C23</f>
        <v>0</v>
      </c>
      <c r="F10" s="711" t="s">
        <v>671</v>
      </c>
      <c r="G10" s="38"/>
      <c r="H10" s="38"/>
      <c r="I10" s="38"/>
      <c r="J10" s="38"/>
      <c r="K10" s="38"/>
      <c r="L10" s="38"/>
      <c r="M10" s="38"/>
      <c r="N10" s="38"/>
      <c r="O10" s="38"/>
    </row>
    <row r="11" spans="1:15" ht="15" customHeight="1" x14ac:dyDescent="0.25">
      <c r="A11" s="777" t="s">
        <v>260</v>
      </c>
      <c r="B11" s="711" t="s">
        <v>8</v>
      </c>
      <c r="C11" s="132" t="s">
        <v>93</v>
      </c>
      <c r="D11" s="76">
        <v>2.36</v>
      </c>
      <c r="E11" s="77">
        <v>2.36</v>
      </c>
      <c r="F11" s="318" t="s">
        <v>286</v>
      </c>
      <c r="G11" s="38"/>
      <c r="H11" s="38"/>
      <c r="I11" s="38"/>
      <c r="J11" s="38"/>
      <c r="K11" s="38"/>
      <c r="L11" s="38"/>
      <c r="M11" s="38"/>
      <c r="N11" s="38"/>
      <c r="O11" s="38"/>
    </row>
    <row r="12" spans="1:15" ht="15" customHeight="1" x14ac:dyDescent="0.25">
      <c r="A12" s="777"/>
      <c r="B12" s="38" t="s">
        <v>9</v>
      </c>
      <c r="C12" s="132" t="s">
        <v>93</v>
      </c>
      <c r="D12" s="308">
        <v>2.54</v>
      </c>
      <c r="E12" s="309">
        <v>2.54</v>
      </c>
      <c r="F12" s="390" t="s">
        <v>287</v>
      </c>
      <c r="G12" s="38"/>
      <c r="H12" s="38"/>
      <c r="I12" s="38"/>
      <c r="J12" s="38"/>
      <c r="K12" s="38"/>
      <c r="L12" s="38"/>
      <c r="M12" s="38"/>
      <c r="N12" s="38"/>
      <c r="O12" s="38"/>
    </row>
    <row r="13" spans="1:15" ht="15" customHeight="1" thickBot="1" x14ac:dyDescent="0.3">
      <c r="A13" s="777" t="s">
        <v>68</v>
      </c>
      <c r="B13" s="38" t="s">
        <v>7</v>
      </c>
      <c r="C13" s="313" t="s">
        <v>269</v>
      </c>
      <c r="D13" s="55">
        <v>0</v>
      </c>
      <c r="E13" s="56">
        <v>0</v>
      </c>
      <c r="F13" s="390" t="s">
        <v>288</v>
      </c>
      <c r="G13" s="38"/>
      <c r="H13" s="38"/>
      <c r="I13" s="38"/>
      <c r="J13" s="38"/>
      <c r="K13" s="38"/>
      <c r="L13" s="38"/>
      <c r="M13" s="38"/>
      <c r="N13" s="38"/>
      <c r="O13" s="38"/>
    </row>
    <row r="14" spans="1:15" ht="15" customHeight="1" x14ac:dyDescent="0.25">
      <c r="A14" s="778" t="s">
        <v>261</v>
      </c>
      <c r="B14" s="102" t="s">
        <v>280</v>
      </c>
      <c r="C14" s="136" t="s">
        <v>279</v>
      </c>
      <c r="D14" s="383">
        <v>4.5343745220062293E-2</v>
      </c>
      <c r="E14" s="386">
        <v>4.305849450376794E-2</v>
      </c>
      <c r="F14" s="390" t="s">
        <v>322</v>
      </c>
      <c r="G14" s="38"/>
      <c r="H14" s="38"/>
      <c r="I14" s="38"/>
      <c r="J14" s="38"/>
      <c r="K14" s="38"/>
      <c r="L14" s="38"/>
      <c r="M14" s="38"/>
      <c r="N14" s="38"/>
      <c r="O14" s="38"/>
    </row>
    <row r="15" spans="1:15" ht="15" customHeight="1" x14ac:dyDescent="0.25">
      <c r="A15" s="777"/>
      <c r="B15" s="38" t="s">
        <v>281</v>
      </c>
      <c r="C15" s="132" t="s">
        <v>279</v>
      </c>
      <c r="D15" s="384">
        <v>0.16801178495160743</v>
      </c>
      <c r="E15" s="389">
        <v>0.10192945628188775</v>
      </c>
      <c r="F15" s="390" t="s">
        <v>322</v>
      </c>
      <c r="G15" s="38"/>
      <c r="H15" s="38"/>
      <c r="I15" s="38"/>
      <c r="J15" s="38"/>
      <c r="K15" s="38"/>
      <c r="L15" s="38"/>
      <c r="M15" s="38"/>
      <c r="N15" s="38"/>
      <c r="O15" s="38"/>
    </row>
    <row r="16" spans="1:15" ht="15" customHeight="1" thickBot="1" x14ac:dyDescent="0.3">
      <c r="A16" s="777" t="s">
        <v>68</v>
      </c>
      <c r="B16" s="38" t="s">
        <v>282</v>
      </c>
      <c r="C16" s="313" t="s">
        <v>279</v>
      </c>
      <c r="D16" s="311">
        <v>0.33517469769539487</v>
      </c>
      <c r="E16" s="82">
        <v>0.28633849671341383</v>
      </c>
      <c r="F16" s="390" t="s">
        <v>322</v>
      </c>
      <c r="G16" s="38"/>
      <c r="H16" s="38"/>
      <c r="I16" s="38"/>
      <c r="J16" s="38"/>
      <c r="K16" s="38"/>
      <c r="L16" s="38"/>
      <c r="M16" s="38"/>
      <c r="N16" s="38"/>
      <c r="O16" s="38"/>
    </row>
    <row r="17" spans="1:15" ht="15" customHeight="1" x14ac:dyDescent="0.25">
      <c r="A17" s="778" t="s">
        <v>267</v>
      </c>
      <c r="B17" s="102" t="s">
        <v>280</v>
      </c>
      <c r="C17" s="136" t="s">
        <v>279</v>
      </c>
      <c r="D17" s="391">
        <v>1.3642232621532513E-3</v>
      </c>
      <c r="E17" s="387">
        <v>1.3330213232088282E-3</v>
      </c>
      <c r="F17" s="390" t="s">
        <v>322</v>
      </c>
      <c r="G17" s="38"/>
      <c r="H17" s="38"/>
      <c r="I17" s="38"/>
      <c r="J17" s="38"/>
      <c r="K17" s="38"/>
      <c r="L17" s="38"/>
      <c r="M17" s="38"/>
      <c r="N17" s="38"/>
      <c r="O17" s="38"/>
    </row>
    <row r="18" spans="1:15" ht="15" customHeight="1" x14ac:dyDescent="0.25">
      <c r="A18" s="777"/>
      <c r="B18" s="38" t="s">
        <v>281</v>
      </c>
      <c r="C18" s="132" t="s">
        <v>279</v>
      </c>
      <c r="D18" s="392">
        <v>2.1656152389582938E-3</v>
      </c>
      <c r="E18" s="388">
        <v>2.0235364797492605E-3</v>
      </c>
      <c r="F18" s="390" t="s">
        <v>322</v>
      </c>
      <c r="G18" s="38"/>
      <c r="H18" s="38"/>
      <c r="I18" s="38"/>
      <c r="J18" s="38"/>
      <c r="K18" s="38"/>
      <c r="L18" s="38"/>
      <c r="M18" s="38"/>
      <c r="N18" s="38"/>
      <c r="O18" s="38"/>
    </row>
    <row r="19" spans="1:15" ht="15" customHeight="1" thickBot="1" x14ac:dyDescent="0.3">
      <c r="A19" s="779" t="s">
        <v>68</v>
      </c>
      <c r="B19" s="103" t="s">
        <v>282</v>
      </c>
      <c r="C19" s="394" t="s">
        <v>279</v>
      </c>
      <c r="D19" s="393">
        <v>5.4448696643841941E-3</v>
      </c>
      <c r="E19" s="385">
        <v>4.6177249632949353E-3</v>
      </c>
      <c r="F19" s="390" t="s">
        <v>322</v>
      </c>
      <c r="G19" s="38"/>
      <c r="H19" s="38"/>
      <c r="I19" s="38"/>
      <c r="J19" s="38"/>
      <c r="K19" s="38"/>
      <c r="L19" s="38"/>
      <c r="M19" s="38"/>
      <c r="N19" s="38"/>
      <c r="O19" s="38"/>
    </row>
    <row r="20" spans="1:15" ht="15" customHeight="1" x14ac:dyDescent="0.25">
      <c r="A20" s="826" t="s">
        <v>268</v>
      </c>
      <c r="B20" s="75" t="s">
        <v>290</v>
      </c>
      <c r="C20" s="75" t="s">
        <v>279</v>
      </c>
      <c r="D20" s="314">
        <v>0.2</v>
      </c>
      <c r="E20" s="315">
        <v>0.2</v>
      </c>
      <c r="F20" s="75" t="s">
        <v>321</v>
      </c>
      <c r="G20" s="38"/>
      <c r="H20" s="38"/>
      <c r="I20" s="38"/>
      <c r="J20" s="38"/>
      <c r="K20" s="38"/>
      <c r="L20" s="38"/>
      <c r="M20" s="38"/>
      <c r="N20" s="38"/>
      <c r="O20" s="38"/>
    </row>
    <row r="21" spans="1:15" ht="15" customHeight="1" thickBot="1" x14ac:dyDescent="0.3">
      <c r="A21" s="826"/>
      <c r="B21" s="75" t="s">
        <v>291</v>
      </c>
      <c r="C21" s="75" t="s">
        <v>279</v>
      </c>
      <c r="D21" s="316">
        <v>0.2</v>
      </c>
      <c r="E21" s="317">
        <v>0.2</v>
      </c>
      <c r="F21" s="75" t="s">
        <v>321</v>
      </c>
      <c r="G21" s="38"/>
      <c r="H21" s="38"/>
      <c r="I21" s="38"/>
      <c r="J21" s="38"/>
      <c r="K21" s="38"/>
      <c r="L21" s="38"/>
      <c r="M21" s="38"/>
      <c r="N21" s="38"/>
      <c r="O21" s="38"/>
    </row>
    <row r="22" spans="1:15" x14ac:dyDescent="0.25">
      <c r="A22" s="772" t="s">
        <v>94</v>
      </c>
      <c r="B22" s="102" t="s">
        <v>95</v>
      </c>
      <c r="C22" s="136" t="s">
        <v>98</v>
      </c>
      <c r="D22" s="76">
        <v>9.1</v>
      </c>
      <c r="E22" s="77">
        <v>9.1</v>
      </c>
      <c r="F22" s="390" t="s">
        <v>283</v>
      </c>
      <c r="G22" s="38"/>
      <c r="H22" s="38"/>
      <c r="I22" s="38"/>
      <c r="J22" s="38"/>
      <c r="K22" s="38"/>
      <c r="L22" s="38"/>
      <c r="M22" s="38"/>
      <c r="N22" s="38"/>
      <c r="O22" s="38"/>
    </row>
    <row r="23" spans="1:15" ht="15" customHeight="1" x14ac:dyDescent="0.25">
      <c r="A23" s="773"/>
      <c r="B23" s="38" t="s">
        <v>96</v>
      </c>
      <c r="C23" s="132" t="s">
        <v>98</v>
      </c>
      <c r="D23" s="53">
        <v>9.8000000000000007</v>
      </c>
      <c r="E23" s="54">
        <v>9.8000000000000007</v>
      </c>
      <c r="F23" s="390" t="s">
        <v>283</v>
      </c>
      <c r="G23" s="38"/>
      <c r="H23" s="38"/>
      <c r="I23" s="38"/>
      <c r="J23" s="38"/>
      <c r="K23" s="38"/>
      <c r="L23" s="38"/>
      <c r="M23" s="38"/>
      <c r="N23" s="38"/>
      <c r="O23" s="38"/>
    </row>
    <row r="24" spans="1:15" ht="15" customHeight="1" x14ac:dyDescent="0.25">
      <c r="A24" s="773"/>
      <c r="B24" s="38" t="s">
        <v>133</v>
      </c>
      <c r="C24" s="132" t="s">
        <v>98</v>
      </c>
      <c r="D24" s="53">
        <v>5.86</v>
      </c>
      <c r="E24" s="54">
        <v>5.86</v>
      </c>
      <c r="F24" s="390" t="s">
        <v>283</v>
      </c>
      <c r="G24" s="38"/>
      <c r="H24" s="38"/>
      <c r="I24" s="38"/>
      <c r="J24" s="38"/>
      <c r="K24" s="38"/>
      <c r="L24" s="38"/>
      <c r="M24" s="38"/>
      <c r="N24" s="38"/>
      <c r="O24" s="38"/>
    </row>
    <row r="25" spans="1:15" x14ac:dyDescent="0.25">
      <c r="A25" s="773"/>
      <c r="B25" s="38" t="s">
        <v>97</v>
      </c>
      <c r="C25" s="132" t="s">
        <v>98</v>
      </c>
      <c r="D25" s="53">
        <v>8.9600000000000009</v>
      </c>
      <c r="E25" s="54">
        <v>8.9600000000000009</v>
      </c>
      <c r="F25" s="390" t="s">
        <v>283</v>
      </c>
      <c r="G25" s="38"/>
      <c r="H25" s="38"/>
      <c r="I25" s="38"/>
      <c r="J25" s="38"/>
      <c r="K25" s="38"/>
      <c r="L25" s="38"/>
      <c r="M25" s="38"/>
      <c r="N25" s="38"/>
      <c r="O25" s="38"/>
    </row>
    <row r="26" spans="1:15" x14ac:dyDescent="0.25">
      <c r="A26" s="773"/>
      <c r="B26" s="38" t="s">
        <v>134</v>
      </c>
      <c r="C26" s="132" t="s">
        <v>98</v>
      </c>
      <c r="D26" s="53">
        <v>9.17</v>
      </c>
      <c r="E26" s="54">
        <v>9.17</v>
      </c>
      <c r="F26" s="390" t="s">
        <v>283</v>
      </c>
      <c r="G26" s="38"/>
      <c r="H26" s="38"/>
      <c r="I26" s="38"/>
      <c r="J26" s="38"/>
      <c r="K26" s="38"/>
      <c r="L26" s="38"/>
      <c r="M26" s="38"/>
      <c r="N26" s="38"/>
      <c r="O26" s="38"/>
    </row>
    <row r="27" spans="1:15" ht="15.75" thickBot="1" x14ac:dyDescent="0.3">
      <c r="A27" s="780"/>
      <c r="B27" s="103" t="s">
        <v>99</v>
      </c>
      <c r="C27" s="133" t="s">
        <v>98</v>
      </c>
      <c r="D27" s="57">
        <v>9.44</v>
      </c>
      <c r="E27" s="58">
        <v>9.44</v>
      </c>
      <c r="F27" s="318" t="s">
        <v>283</v>
      </c>
      <c r="G27" s="38"/>
      <c r="H27" s="38"/>
      <c r="I27" s="38"/>
      <c r="J27" s="38"/>
      <c r="K27" s="38"/>
      <c r="L27" s="38"/>
      <c r="M27" s="38"/>
      <c r="N27" s="38"/>
      <c r="O27" s="38"/>
    </row>
  </sheetData>
  <mergeCells count="13">
    <mergeCell ref="A14:A16"/>
    <mergeCell ref="A20:A21"/>
    <mergeCell ref="A17:A19"/>
    <mergeCell ref="A22:A27"/>
    <mergeCell ref="B9:C9"/>
    <mergeCell ref="A11:A13"/>
    <mergeCell ref="A4:A10"/>
    <mergeCell ref="B10:C10"/>
    <mergeCell ref="B4:C4"/>
    <mergeCell ref="B5:C5"/>
    <mergeCell ref="B6:C6"/>
    <mergeCell ref="B7:C7"/>
    <mergeCell ref="B8:C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zoomScale="90" zoomScaleNormal="90" workbookViewId="0">
      <selection activeCell="H25" sqref="H25"/>
    </sheetView>
  </sheetViews>
  <sheetFormatPr defaultColWidth="8.85546875" defaultRowHeight="15" x14ac:dyDescent="0.25"/>
  <cols>
    <col min="1" max="1" width="63.42578125" style="18" bestFit="1" customWidth="1"/>
    <col min="2" max="10" width="8.85546875" style="18"/>
    <col min="11" max="16384" width="8.85546875" style="26"/>
  </cols>
  <sheetData>
    <row r="1" spans="1:14" ht="18" x14ac:dyDescent="0.25">
      <c r="A1" s="117" t="s">
        <v>208</v>
      </c>
      <c r="B1" s="38"/>
      <c r="C1" s="38"/>
      <c r="D1" s="38"/>
      <c r="E1" s="38"/>
      <c r="F1" s="38"/>
      <c r="G1" s="38"/>
      <c r="H1" s="38"/>
      <c r="I1" s="38"/>
      <c r="J1" s="38"/>
      <c r="K1" s="38"/>
      <c r="L1" s="38"/>
      <c r="M1" s="38"/>
      <c r="N1" s="38"/>
    </row>
    <row r="2" spans="1:14" x14ac:dyDescent="0.25">
      <c r="A2" s="864" t="s">
        <v>44</v>
      </c>
      <c r="B2" s="864"/>
      <c r="C2" s="864"/>
      <c r="D2" s="864"/>
      <c r="E2" s="864"/>
      <c r="F2" s="864"/>
      <c r="G2" s="864"/>
      <c r="H2" s="864"/>
      <c r="I2" s="864"/>
      <c r="J2" s="864"/>
    </row>
    <row r="3" spans="1:14" x14ac:dyDescent="0.25">
      <c r="A3" s="865" t="s">
        <v>349</v>
      </c>
      <c r="B3" s="866"/>
      <c r="C3" s="866"/>
      <c r="D3" s="185"/>
      <c r="E3" s="185"/>
      <c r="F3" s="185"/>
      <c r="G3" s="591">
        <v>2030</v>
      </c>
      <c r="H3" s="591">
        <v>2040</v>
      </c>
      <c r="I3" s="185"/>
      <c r="J3" s="185"/>
    </row>
    <row r="4" spans="1:14" ht="18" x14ac:dyDescent="0.25">
      <c r="A4" s="117" t="s">
        <v>384</v>
      </c>
      <c r="B4" s="549"/>
      <c r="C4" s="549"/>
      <c r="D4" s="185"/>
      <c r="E4" s="185"/>
      <c r="F4" s="185"/>
      <c r="G4" s="185">
        <f>EMA!B9</f>
        <v>1</v>
      </c>
      <c r="H4" s="185">
        <f>EMA!C9</f>
        <v>1</v>
      </c>
      <c r="I4" s="185"/>
      <c r="J4" s="185"/>
    </row>
    <row r="5" spans="1:14" ht="18" x14ac:dyDescent="0.25">
      <c r="A5" s="117" t="s">
        <v>382</v>
      </c>
      <c r="B5" s="38"/>
      <c r="C5" s="38"/>
      <c r="D5" s="38"/>
      <c r="E5" s="38"/>
      <c r="F5" s="38"/>
      <c r="G5" s="38">
        <f>EMA!B7</f>
        <v>1</v>
      </c>
      <c r="H5" s="38">
        <f>EMA!C7</f>
        <v>1</v>
      </c>
      <c r="I5" s="38"/>
      <c r="J5" s="38"/>
      <c r="K5" s="38"/>
      <c r="L5" s="38"/>
      <c r="M5" s="38"/>
      <c r="N5" s="38"/>
    </row>
    <row r="6" spans="1:14" ht="18.75" thickBot="1" x14ac:dyDescent="0.3">
      <c r="A6" s="117" t="s">
        <v>385</v>
      </c>
      <c r="B6" s="38"/>
      <c r="C6" s="38"/>
      <c r="D6" s="38"/>
      <c r="E6" s="38"/>
      <c r="F6" s="38"/>
      <c r="G6" s="38">
        <f>EMA!B8</f>
        <v>1</v>
      </c>
      <c r="H6" s="38">
        <f>EMA!C8</f>
        <v>1</v>
      </c>
      <c r="I6" s="38"/>
      <c r="J6" s="38"/>
      <c r="K6" s="38"/>
      <c r="L6" s="38"/>
      <c r="M6" s="38"/>
      <c r="N6" s="38"/>
    </row>
    <row r="7" spans="1:14" ht="15.75" thickBot="1" x14ac:dyDescent="0.3">
      <c r="B7" s="182"/>
      <c r="C7" s="182"/>
      <c r="D7" s="182"/>
      <c r="E7" s="861" t="s">
        <v>64</v>
      </c>
      <c r="F7" s="862"/>
      <c r="G7" s="861" t="s">
        <v>65</v>
      </c>
      <c r="H7" s="862"/>
      <c r="I7" s="863" t="s">
        <v>66</v>
      </c>
      <c r="J7" s="862"/>
    </row>
    <row r="8" spans="1:14" ht="15.75" thickBot="1" x14ac:dyDescent="0.3">
      <c r="A8" s="184" t="s">
        <v>45</v>
      </c>
      <c r="B8" s="106">
        <v>2017</v>
      </c>
      <c r="C8" s="107">
        <v>2019</v>
      </c>
      <c r="D8" s="107">
        <v>2020</v>
      </c>
      <c r="E8" s="352">
        <v>2030</v>
      </c>
      <c r="F8" s="353">
        <v>2040</v>
      </c>
      <c r="G8" s="106">
        <v>2030</v>
      </c>
      <c r="H8" s="183">
        <v>2040</v>
      </c>
      <c r="I8" s="107">
        <v>2030</v>
      </c>
      <c r="J8" s="183">
        <v>2040</v>
      </c>
    </row>
    <row r="9" spans="1:14" x14ac:dyDescent="0.25">
      <c r="A9" s="339" t="s">
        <v>293</v>
      </c>
      <c r="B9" s="84">
        <v>0.05</v>
      </c>
      <c r="C9" s="1"/>
      <c r="D9" s="1"/>
      <c r="E9" s="354">
        <f>Indata!D9</f>
        <v>7.4999999999999997E-2</v>
      </c>
      <c r="F9" s="355">
        <f>Indata!E9</f>
        <v>7.4999999999999997E-2</v>
      </c>
      <c r="G9" s="5">
        <f>Indata!F9</f>
        <v>7.4999999999999997E-2</v>
      </c>
      <c r="H9" s="4">
        <f>Indata!G9</f>
        <v>0.1</v>
      </c>
      <c r="I9" s="5">
        <f>Indata!H9</f>
        <v>7.4999999999999997E-2</v>
      </c>
      <c r="J9" s="4">
        <f>Indata!I9</f>
        <v>7.4999999999999997E-2</v>
      </c>
    </row>
    <row r="10" spans="1:14" ht="15.75" thickBot="1" x14ac:dyDescent="0.3">
      <c r="A10" s="29" t="s">
        <v>294</v>
      </c>
      <c r="B10" s="85">
        <v>0</v>
      </c>
      <c r="C10" s="6"/>
      <c r="D10" s="6"/>
      <c r="E10" s="356">
        <f>Indata!D10</f>
        <v>0</v>
      </c>
      <c r="F10" s="357">
        <f>Indata!E10</f>
        <v>0</v>
      </c>
      <c r="G10" s="5">
        <f>Indata!F10</f>
        <v>0</v>
      </c>
      <c r="H10" s="4">
        <f>Indata!G10</f>
        <v>0.1</v>
      </c>
      <c r="I10" s="5">
        <f>Indata!H10</f>
        <v>0</v>
      </c>
      <c r="J10" s="4">
        <f>Indata!I10</f>
        <v>0</v>
      </c>
    </row>
    <row r="11" spans="1:14" ht="15.75" thickBot="1" x14ac:dyDescent="0.3">
      <c r="A11" s="30" t="s">
        <v>168</v>
      </c>
      <c r="B11" s="8"/>
      <c r="C11" s="9">
        <v>1</v>
      </c>
      <c r="D11" s="83">
        <v>1.02</v>
      </c>
      <c r="E11" s="166">
        <f>$D$11*(1+Indata!D13)^(E8-$D$8)</f>
        <v>1.2433743083946522</v>
      </c>
      <c r="F11" s="168">
        <f>$D$11*(1+Indata!E13)^(F8-$D$8)</f>
        <v>1.5156663438979214</v>
      </c>
      <c r="G11" s="10">
        <f>$D$11*(1+Indata!F13)^(G8-$D$8)</f>
        <v>1.2433743083946522</v>
      </c>
      <c r="H11" s="11">
        <f>$D$11*(1+Indata!G13)^(H8-$D$8)</f>
        <v>1.5156663438979214</v>
      </c>
      <c r="I11" s="12">
        <f>$D$11*(1+Indata!H13)^(I8-$D$8)</f>
        <v>1.2433743083946522</v>
      </c>
      <c r="J11" s="11">
        <f>$D$11*(1+Indata!I13)^(J8-$D$8)</f>
        <v>1.5156663438979214</v>
      </c>
    </row>
    <row r="12" spans="1:14" x14ac:dyDescent="0.25">
      <c r="A12" s="31" t="s">
        <v>215</v>
      </c>
      <c r="B12" s="139">
        <v>5.0999999999999996</v>
      </c>
      <c r="C12" s="21"/>
      <c r="D12" s="25"/>
      <c r="E12" s="23">
        <f>$B12+(F12-$B12)/(F$8-$B$8)*(E$8-$B$8)</f>
        <v>6.3491304347826087</v>
      </c>
      <c r="F12" s="142">
        <v>7.31</v>
      </c>
      <c r="G12" s="23">
        <f>($B12+(H12-$B12)/(H$8-$B$8)*(G$8-$B$8))</f>
        <v>6.3491304347826087</v>
      </c>
      <c r="H12" s="142">
        <f>7.31</f>
        <v>7.31</v>
      </c>
      <c r="I12" s="23">
        <f>($B12+(J12-$B12)/(J$8-$B$8)*(I$8-$B$8))</f>
        <v>6.3491304347826087</v>
      </c>
      <c r="J12" s="142">
        <f>7.31</f>
        <v>7.31</v>
      </c>
      <c r="L12" s="344"/>
    </row>
    <row r="13" spans="1:14" x14ac:dyDescent="0.25">
      <c r="A13" s="31" t="s">
        <v>216</v>
      </c>
      <c r="B13" s="340">
        <f>(B12-0.05*B14)/(1-0.05)</f>
        <v>5.0599999999999996</v>
      </c>
      <c r="C13" s="25"/>
      <c r="D13" s="25"/>
      <c r="E13" s="17">
        <f>(E12-0.05*E14)/(1-0.05)</f>
        <v>6.303775743707094</v>
      </c>
      <c r="F13" s="20">
        <f>(F12-0.05*F14)/(1-0.05)</f>
        <v>7.2605263157894742</v>
      </c>
      <c r="G13" s="17">
        <f>((G12-0.05*G14)/(1-0.05))*G5</f>
        <v>6.303775743707094</v>
      </c>
      <c r="H13" s="20">
        <f>(H12-0.05*H14)/(1-0.05)*H5</f>
        <v>7.2605263157894742</v>
      </c>
      <c r="I13" s="17">
        <f>(I12-0.05*I14)/(1-0.05)*G5</f>
        <v>6.303775743707094</v>
      </c>
      <c r="J13" s="20">
        <f>(J12-0.05*J14)/(1-0.05)*H5</f>
        <v>7.2605263157894742</v>
      </c>
      <c r="K13" s="26">
        <f>G13/6.3</f>
        <v>1.0005993243979514</v>
      </c>
      <c r="L13" s="344" t="s">
        <v>383</v>
      </c>
    </row>
    <row r="14" spans="1:14" x14ac:dyDescent="0.25">
      <c r="A14" s="31" t="s">
        <v>217</v>
      </c>
      <c r="B14" s="17">
        <v>5.86</v>
      </c>
      <c r="C14" s="25"/>
      <c r="D14" s="25"/>
      <c r="E14" s="17">
        <f>$B14+(F14-$B14)/(F$8-$B$8)*(E$8-$B$8)</f>
        <v>7.2108695652173918</v>
      </c>
      <c r="F14" s="143">
        <v>8.25</v>
      </c>
      <c r="G14" s="17">
        <f>($B14+(H14-$B14)/(H$8-$B$8)*(G$8-$B$8))*G6</f>
        <v>7.2108695652173918</v>
      </c>
      <c r="H14" s="143">
        <f>8.25*H6</f>
        <v>8.25</v>
      </c>
      <c r="I14" s="17">
        <f>$B14+(J14-$B14)/(J$8-$B$8)*(I$8-$B$8)*G6</f>
        <v>7.2108695652173918</v>
      </c>
      <c r="J14" s="143">
        <f>8.25*H6</f>
        <v>8.25</v>
      </c>
      <c r="L14" s="344"/>
    </row>
    <row r="15" spans="1:14" ht="15.75" thickBot="1" x14ac:dyDescent="0.3">
      <c r="A15" s="31" t="s">
        <v>218</v>
      </c>
      <c r="B15" s="24">
        <v>10.59</v>
      </c>
      <c r="C15" s="22"/>
      <c r="D15" s="25"/>
      <c r="E15" s="24">
        <f>$B15+(F15-$B15)/(F$8-$B$8)*(E$8-$B$8)</f>
        <v>13.031739130434783</v>
      </c>
      <c r="F15" s="143">
        <v>14.91</v>
      </c>
      <c r="G15" s="24">
        <f>($B15+(H15-$B15)/(H$8-$B$8)*(G$8-$B$8))*G6</f>
        <v>13.031739130434783</v>
      </c>
      <c r="H15" s="143">
        <f>14.91*H6</f>
        <v>14.91</v>
      </c>
      <c r="I15" s="24">
        <f>$B15+(J15-$B15)/(J$8-$B$8)*(I$8-$B$8)*G6</f>
        <v>13.031739130434783</v>
      </c>
      <c r="J15" s="143">
        <f>14.91*H6</f>
        <v>14.91</v>
      </c>
      <c r="L15" s="344"/>
    </row>
    <row r="16" spans="1:14" ht="15.75" thickBot="1" x14ac:dyDescent="0.3">
      <c r="A16" s="32" t="s">
        <v>2</v>
      </c>
      <c r="B16" s="13">
        <f>B13*(1-B9-B10)+B14*B9+B15*B10</f>
        <v>5.0999999999999996</v>
      </c>
      <c r="C16" s="14"/>
      <c r="D16" s="15"/>
      <c r="E16" s="13">
        <f t="shared" ref="E16:J16" si="0">E13*(1-E9-E10)+E14*E9+E15*E10</f>
        <v>6.371807780320367</v>
      </c>
      <c r="F16" s="16">
        <f>F13*(1-F9-F10)+F14*F9+F15*F10</f>
        <v>7.3347368421052641</v>
      </c>
      <c r="G16" s="13">
        <f>G13*(1-G9-G10)+G14*G9+G15*G10</f>
        <v>6.371807780320367</v>
      </c>
      <c r="H16" s="16">
        <f>H13*(1-H9-H10)+H14*H9+H15*H10</f>
        <v>8.1244210526315808</v>
      </c>
      <c r="I16" s="13">
        <f>I13*(1-I9-I10)+I14*I9+I15*I10</f>
        <v>6.371807780320367</v>
      </c>
      <c r="J16" s="16">
        <f t="shared" si="0"/>
        <v>7.3347368421052641</v>
      </c>
      <c r="L16" s="344"/>
    </row>
    <row r="17" spans="1:11" x14ac:dyDescent="0.25">
      <c r="A17" s="31" t="s">
        <v>166</v>
      </c>
      <c r="B17" s="140">
        <v>3.71</v>
      </c>
      <c r="C17" s="303">
        <v>3.86</v>
      </c>
      <c r="D17" s="19"/>
      <c r="E17" s="17">
        <f t="shared" ref="E17:J18" si="1">PRODUCT($C17,E$11)</f>
        <v>4.7994248304033578</v>
      </c>
      <c r="F17" s="143">
        <f t="shared" si="1"/>
        <v>5.8504720874459766</v>
      </c>
      <c r="G17" s="17">
        <f t="shared" si="1"/>
        <v>4.7994248304033578</v>
      </c>
      <c r="H17" s="143">
        <f t="shared" si="1"/>
        <v>5.8504720874459766</v>
      </c>
      <c r="I17" s="23">
        <f t="shared" si="1"/>
        <v>4.7994248304033578</v>
      </c>
      <c r="J17" s="143">
        <f t="shared" si="1"/>
        <v>5.8504720874459766</v>
      </c>
      <c r="K17" s="71"/>
    </row>
    <row r="18" spans="1:11" ht="15.75" thickBot="1" x14ac:dyDescent="0.3">
      <c r="A18" s="31" t="s">
        <v>167</v>
      </c>
      <c r="B18" s="140">
        <v>2.4900000000000002</v>
      </c>
      <c r="C18" s="304">
        <v>2.54</v>
      </c>
      <c r="D18" s="19"/>
      <c r="E18" s="17">
        <f t="shared" si="1"/>
        <v>3.1581707433224167</v>
      </c>
      <c r="F18" s="143">
        <f t="shared" si="1"/>
        <v>3.8497925135007205</v>
      </c>
      <c r="G18" s="17">
        <f t="shared" si="1"/>
        <v>3.1581707433224167</v>
      </c>
      <c r="H18" s="143">
        <f t="shared" si="1"/>
        <v>3.8497925135007205</v>
      </c>
      <c r="I18" s="24">
        <f t="shared" si="1"/>
        <v>3.1581707433224167</v>
      </c>
      <c r="J18" s="143">
        <f t="shared" si="1"/>
        <v>3.8497925135007205</v>
      </c>
      <c r="K18" s="71"/>
    </row>
    <row r="19" spans="1:11" ht="15.75" thickBot="1" x14ac:dyDescent="0.3">
      <c r="A19" s="32" t="s">
        <v>3</v>
      </c>
      <c r="B19" s="13">
        <f>SUM(B17,B18)</f>
        <v>6.2</v>
      </c>
      <c r="C19" s="27">
        <f>SUM(C17,C18)</f>
        <v>6.4</v>
      </c>
      <c r="D19" s="15"/>
      <c r="E19" s="13">
        <f>SUM(E17,E18)</f>
        <v>7.957595573725774</v>
      </c>
      <c r="F19" s="16">
        <f>SUM(F17,F18)</f>
        <v>9.7002646009466975</v>
      </c>
      <c r="G19" s="13">
        <f>SUM(G17,G18)</f>
        <v>7.957595573725774</v>
      </c>
      <c r="H19" s="16">
        <f t="shared" ref="H19:J19" si="2">SUM(H17,H18)</f>
        <v>9.7002646009466975</v>
      </c>
      <c r="I19" s="13">
        <f t="shared" si="2"/>
        <v>7.957595573725774</v>
      </c>
      <c r="J19" s="16">
        <f t="shared" si="2"/>
        <v>9.7002646009466975</v>
      </c>
    </row>
    <row r="20" spans="1:11" ht="15.75" thickBot="1" x14ac:dyDescent="0.3">
      <c r="A20" s="32" t="s">
        <v>210</v>
      </c>
      <c r="B20" s="13">
        <f xml:space="preserve"> B16+B19</f>
        <v>11.3</v>
      </c>
      <c r="C20" s="14"/>
      <c r="D20" s="15"/>
      <c r="E20" s="13">
        <f xml:space="preserve"> E16+E19</f>
        <v>14.329403354046141</v>
      </c>
      <c r="F20" s="16">
        <f xml:space="preserve"> F16+F19</f>
        <v>17.035001443051961</v>
      </c>
      <c r="G20" s="13">
        <f xml:space="preserve"> G16+G19</f>
        <v>14.329403354046141</v>
      </c>
      <c r="H20" s="16">
        <f t="shared" ref="H20:J20" si="3" xml:space="preserve"> H16+H19</f>
        <v>17.824685653578278</v>
      </c>
      <c r="I20" s="13">
        <f t="shared" si="3"/>
        <v>14.329403354046141</v>
      </c>
      <c r="J20" s="16">
        <f t="shared" si="3"/>
        <v>17.035001443051961</v>
      </c>
    </row>
    <row r="21" spans="1:11" x14ac:dyDescent="0.25">
      <c r="A21" s="31" t="s">
        <v>4</v>
      </c>
      <c r="B21" s="140">
        <f>PRODUCT(B16,0.25)</f>
        <v>1.2749999999999999</v>
      </c>
      <c r="D21" s="19"/>
      <c r="E21" s="17">
        <f>PRODUCT(E16,0.25)</f>
        <v>1.5929519450800917</v>
      </c>
      <c r="F21" s="143">
        <f>PRODUCT(F16,0.25)</f>
        <v>1.833684210526316</v>
      </c>
      <c r="G21" s="17">
        <f>PRODUCT(G16,0.25)</f>
        <v>1.5929519450800917</v>
      </c>
      <c r="H21" s="143">
        <f t="shared" ref="H21:J21" si="4">PRODUCT(H16,0.25)</f>
        <v>2.0311052631578952</v>
      </c>
      <c r="I21" s="17">
        <f t="shared" si="4"/>
        <v>1.5929519450800917</v>
      </c>
      <c r="J21" s="143">
        <f t="shared" si="4"/>
        <v>1.833684210526316</v>
      </c>
    </row>
    <row r="22" spans="1:11" ht="15.75" thickBot="1" x14ac:dyDescent="0.3">
      <c r="A22" s="31" t="s">
        <v>5</v>
      </c>
      <c r="B22" s="140">
        <f t="shared" ref="B22" si="5">PRODUCT(B19,0.25)</f>
        <v>1.55</v>
      </c>
      <c r="D22" s="19"/>
      <c r="E22" s="17">
        <f t="shared" ref="E22:F22" si="6">PRODUCT(E19,0.25)</f>
        <v>1.9893988934314435</v>
      </c>
      <c r="F22" s="143">
        <f t="shared" si="6"/>
        <v>2.4250661502366744</v>
      </c>
      <c r="G22" s="17">
        <f t="shared" ref="G22:J22" si="7">PRODUCT(G19,0.25)</f>
        <v>1.9893988934314435</v>
      </c>
      <c r="H22" s="143">
        <f t="shared" si="7"/>
        <v>2.4250661502366744</v>
      </c>
      <c r="I22" s="17">
        <f t="shared" si="7"/>
        <v>1.9893988934314435</v>
      </c>
      <c r="J22" s="143">
        <f t="shared" si="7"/>
        <v>2.4250661502366744</v>
      </c>
    </row>
    <row r="23" spans="1:11" ht="15.75" thickBot="1" x14ac:dyDescent="0.3">
      <c r="A23" s="32" t="s">
        <v>6</v>
      </c>
      <c r="B23" s="13">
        <f t="shared" ref="B23" si="8">SUM(B21,B22)</f>
        <v>2.8250000000000002</v>
      </c>
      <c r="C23" s="14"/>
      <c r="D23" s="15"/>
      <c r="E23" s="13">
        <f>SUM(E21,E22)</f>
        <v>3.5823508385115352</v>
      </c>
      <c r="F23" s="16">
        <f t="shared" ref="F23" si="9">SUM(F21,F22)</f>
        <v>4.2587503607629902</v>
      </c>
      <c r="G23" s="13">
        <f t="shared" ref="G23:J23" si="10">SUM(G21,G22)</f>
        <v>3.5823508385115352</v>
      </c>
      <c r="H23" s="16">
        <f t="shared" si="10"/>
        <v>4.4561714133945696</v>
      </c>
      <c r="I23" s="13">
        <f t="shared" si="10"/>
        <v>3.5823508385115352</v>
      </c>
      <c r="J23" s="16">
        <f t="shared" si="10"/>
        <v>4.2587503607629902</v>
      </c>
    </row>
    <row r="24" spans="1:11" ht="15.75" thickBot="1" x14ac:dyDescent="0.3">
      <c r="A24" s="33" t="s">
        <v>211</v>
      </c>
      <c r="B24" s="144">
        <f>SUM(B20,B23)</f>
        <v>14.125</v>
      </c>
      <c r="C24" s="145"/>
      <c r="D24" s="145"/>
      <c r="E24" s="144">
        <f>SUM(E20,E23)</f>
        <v>17.911754192557677</v>
      </c>
      <c r="F24" s="146">
        <f>SUM(F20,F23)</f>
        <v>21.293751803814949</v>
      </c>
      <c r="G24" s="144">
        <f>SUM(G20,G23)</f>
        <v>17.911754192557677</v>
      </c>
      <c r="H24" s="146">
        <f t="shared" ref="H24:J24" si="11">SUM(H20,H23)</f>
        <v>22.28085706697285</v>
      </c>
      <c r="I24" s="144">
        <f t="shared" si="11"/>
        <v>17.911754192557677</v>
      </c>
      <c r="J24" s="146">
        <f t="shared" si="11"/>
        <v>21.293751803814949</v>
      </c>
    </row>
    <row r="25" spans="1:11" ht="15.75" thickBot="1" x14ac:dyDescent="0.3">
      <c r="B25" s="343"/>
      <c r="C25" s="343"/>
      <c r="D25" s="343"/>
      <c r="E25" s="343"/>
      <c r="F25" s="343"/>
      <c r="G25" s="343"/>
      <c r="H25" s="343"/>
    </row>
    <row r="26" spans="1:11" ht="15.75" thickBot="1" x14ac:dyDescent="0.3">
      <c r="B26" s="182"/>
      <c r="C26" s="182"/>
      <c r="D26" s="182"/>
      <c r="E26" s="861" t="s">
        <v>64</v>
      </c>
      <c r="F26" s="862"/>
      <c r="G26" s="861" t="s">
        <v>65</v>
      </c>
      <c r="H26" s="862"/>
      <c r="I26" s="863" t="s">
        <v>66</v>
      </c>
      <c r="J26" s="862"/>
    </row>
    <row r="27" spans="1:11" ht="15.75" thickBot="1" x14ac:dyDescent="0.3">
      <c r="A27" s="184" t="s">
        <v>46</v>
      </c>
      <c r="B27" s="106">
        <v>2017</v>
      </c>
      <c r="C27" s="107">
        <v>2019</v>
      </c>
      <c r="D27" s="107">
        <v>2020</v>
      </c>
      <c r="E27" s="106">
        <v>2030</v>
      </c>
      <c r="F27" s="183">
        <v>2040</v>
      </c>
      <c r="G27" s="106">
        <v>2030</v>
      </c>
      <c r="H27" s="183">
        <v>2040</v>
      </c>
      <c r="I27" s="107">
        <v>2030</v>
      </c>
      <c r="J27" s="183">
        <v>2040</v>
      </c>
    </row>
    <row r="28" spans="1:11" x14ac:dyDescent="0.25">
      <c r="A28" s="28" t="s">
        <v>296</v>
      </c>
      <c r="B28" s="84">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29" t="s">
        <v>297</v>
      </c>
      <c r="B29" s="85">
        <v>0.18</v>
      </c>
      <c r="C29" s="6"/>
      <c r="D29" s="7"/>
      <c r="E29" s="3">
        <f>Indata!D12</f>
        <v>0.25</v>
      </c>
      <c r="F29" s="4">
        <f>Indata!E12</f>
        <v>0.25</v>
      </c>
      <c r="G29" s="3">
        <f>Indata!F12</f>
        <v>0.25</v>
      </c>
      <c r="H29" s="4">
        <f>Indata!G12</f>
        <v>0.18</v>
      </c>
      <c r="I29" s="5">
        <f>Indata!H12</f>
        <v>0.25</v>
      </c>
      <c r="J29" s="4">
        <f>Indata!I12</f>
        <v>0.25</v>
      </c>
    </row>
    <row r="30" spans="1:11" ht="15.75" thickBot="1" x14ac:dyDescent="0.3">
      <c r="A30" s="30" t="s">
        <v>168</v>
      </c>
      <c r="B30" s="8"/>
      <c r="C30" s="9">
        <v>1</v>
      </c>
      <c r="D30" s="83">
        <v>1.02</v>
      </c>
      <c r="E30" s="160">
        <f>$D$11*(1+Indata!D14)^(E27-$D$8)</f>
        <v>1.2433743083946522</v>
      </c>
      <c r="F30" s="162">
        <f>$D$11*(1+Indata!E14)^(F27-$D$8)</f>
        <v>1.5156663438979214</v>
      </c>
      <c r="G30" s="160">
        <f>$D$11*(1+Indata!F14)^(G27-$D$8)</f>
        <v>1.2433743083946522</v>
      </c>
      <c r="H30" s="162">
        <f>$D$11*(1+Indata!G14)^(H27-$D$8)</f>
        <v>1.5156663438979214</v>
      </c>
      <c r="I30" s="161">
        <f>$D$11*(1+Indata!H14)^(I27-$D$8)</f>
        <v>1.2433743083946522</v>
      </c>
      <c r="J30" s="162">
        <f>$D$11*(1+Indata!I14)^(J27-$D$8)</f>
        <v>1.5156663438979214</v>
      </c>
    </row>
    <row r="31" spans="1:11" x14ac:dyDescent="0.25">
      <c r="A31" s="31" t="s">
        <v>219</v>
      </c>
      <c r="B31" s="139">
        <v>6.59</v>
      </c>
      <c r="C31" s="21"/>
      <c r="D31" s="25"/>
      <c r="E31" s="23">
        <f>$B31+(F31-$B31)/(F$8-$B$8)*(E$8-$B$8)</f>
        <v>8.4891304347826093</v>
      </c>
      <c r="F31" s="350">
        <v>9.9499999999999993</v>
      </c>
      <c r="G31" s="23">
        <f>($B31+(H31-$B31)/(H$8-$B$8)*(G$8-$B$8))</f>
        <v>8.4891304347826093</v>
      </c>
      <c r="H31" s="350">
        <f>9.95</f>
        <v>9.9499999999999993</v>
      </c>
      <c r="I31" s="23">
        <f>$B31+(J31-$B31)/(J$8-$B$8)*(I$8-$B$8)</f>
        <v>8.4891304347826093</v>
      </c>
      <c r="J31" s="142">
        <f>9.95</f>
        <v>9.9499999999999993</v>
      </c>
    </row>
    <row r="32" spans="1:11" x14ac:dyDescent="0.25">
      <c r="A32" s="31" t="s">
        <v>220</v>
      </c>
      <c r="B32" s="340">
        <f>(B31-0.05*B33-0.18*B34)/(1-0.05-0.18)</f>
        <v>5.6380519480519471</v>
      </c>
      <c r="C32" s="25"/>
      <c r="D32" s="342"/>
      <c r="E32" s="17">
        <f>(E31-0.05*E33)/(1-0.05)</f>
        <v>8.4921052631578959</v>
      </c>
      <c r="F32" s="25">
        <f>(F31-0.05*F33)/(1-0.05)</f>
        <v>9.965789473684211</v>
      </c>
      <c r="G32" s="340">
        <f>(G31-0.05*G33)/(1-0.05)*G5</f>
        <v>8.4921052631578959</v>
      </c>
      <c r="H32" s="342">
        <f>(H31-0.05*H33)/(1-0.05)*H5</f>
        <v>9.965789473684211</v>
      </c>
      <c r="I32" s="340">
        <f>(I31-0.05*I33)/(1-0.05)*G5</f>
        <v>8.4921052631578959</v>
      </c>
      <c r="J32" s="341">
        <f>(J31-0.05*J33)/(1-0.05)*H5</f>
        <v>9.965789473684211</v>
      </c>
    </row>
    <row r="33" spans="1:11" x14ac:dyDescent="0.25">
      <c r="A33" s="31" t="s">
        <v>221</v>
      </c>
      <c r="B33" s="17">
        <v>6.85</v>
      </c>
      <c r="C33" s="25"/>
      <c r="D33" s="25"/>
      <c r="E33" s="17">
        <f>$B33+(F33-$B33)/(F$8-$B$8)*(E$8-$B$8)</f>
        <v>8.4326086956521742</v>
      </c>
      <c r="F33" s="148">
        <v>9.65</v>
      </c>
      <c r="G33" s="17">
        <f>($B33+(H33-$B33)/(H$8-$B$8)*(G$8-$B$8))*G6</f>
        <v>8.4326086956521742</v>
      </c>
      <c r="H33" s="148">
        <f>9.65*H6</f>
        <v>9.65</v>
      </c>
      <c r="I33" s="17">
        <f>$B33+(J33-$B33)/(J$8-$B$8)*(I$8-$B$8)*G6</f>
        <v>8.4326086956521742</v>
      </c>
      <c r="J33" s="143">
        <f>9.65*H6</f>
        <v>9.65</v>
      </c>
    </row>
    <row r="34" spans="1:11" ht="15.75" thickBot="1" x14ac:dyDescent="0.3">
      <c r="A34" s="31" t="s">
        <v>295</v>
      </c>
      <c r="B34" s="24">
        <v>10.59</v>
      </c>
      <c r="C34" s="22"/>
      <c r="D34" s="25"/>
      <c r="E34" s="24">
        <f>$B34+(F34-$B34)/(F$8-$B$8)*(E$8-$B$8)</f>
        <v>13.031739130434783</v>
      </c>
      <c r="F34" s="351">
        <v>14.91</v>
      </c>
      <c r="G34" s="24">
        <f>($B34+(H34-$B34)/(H$8-$B$8)*(G$8-$B$8))*G6</f>
        <v>13.031739130434783</v>
      </c>
      <c r="H34" s="351">
        <f>14.91*H6</f>
        <v>14.91</v>
      </c>
      <c r="I34" s="24">
        <f>$B34+(J34-$B34)/(J$8-$B$8)*(I$8-$B$8)*G6</f>
        <v>13.031739130434783</v>
      </c>
      <c r="J34" s="149">
        <f>14.91*H6</f>
        <v>14.91</v>
      </c>
    </row>
    <row r="35" spans="1:11" ht="15.75" thickBot="1" x14ac:dyDescent="0.3">
      <c r="A35" s="32" t="s">
        <v>2</v>
      </c>
      <c r="B35" s="13">
        <f>B32*(1-B28-B29)+B33*B28+B34*B29</f>
        <v>6.59</v>
      </c>
      <c r="C35" s="14"/>
      <c r="D35" s="15"/>
      <c r="E35" s="348">
        <f>E32*(1-E28-E29)+E33*E28+E34*E29</f>
        <v>9.6228489702517166</v>
      </c>
      <c r="F35" s="349">
        <f>F32*(1-F28-F29)+F33*F28+F34*F29</f>
        <v>11.179736842105264</v>
      </c>
      <c r="G35" s="348">
        <f>G32*(1-G28-G29)+G33*G28+G34*G29</f>
        <v>9.6228489702517166</v>
      </c>
      <c r="H35" s="349">
        <f t="shared" ref="H35" si="12">H32*(1-H28-H29)+H33*H28+H34*H29</f>
        <v>10.833642105263158</v>
      </c>
      <c r="I35" s="348">
        <f>I32*(1-I28-I29)+I33*I28+I34*I29</f>
        <v>9.6228489702517166</v>
      </c>
      <c r="J35" s="349">
        <f>J32*(1-J28-J29)+J33*J28+J34*J29</f>
        <v>11.179736842105264</v>
      </c>
    </row>
    <row r="36" spans="1:11" x14ac:dyDescent="0.25">
      <c r="A36" s="31" t="s">
        <v>166</v>
      </c>
      <c r="B36" s="140">
        <v>2</v>
      </c>
      <c r="C36" s="21">
        <v>2.36</v>
      </c>
      <c r="D36" s="19"/>
      <c r="E36" s="17">
        <f>PRODUCT($C36,E$30)</f>
        <v>2.934363367811379</v>
      </c>
      <c r="F36" s="143">
        <f t="shared" ref="F36:J37" si="13">PRODUCT($C36,F$30)</f>
        <v>3.5769725715990943</v>
      </c>
      <c r="G36" s="17">
        <f t="shared" si="13"/>
        <v>2.934363367811379</v>
      </c>
      <c r="H36" s="143">
        <f>PRODUCT($C36,H$30)</f>
        <v>3.5769725715990943</v>
      </c>
      <c r="I36" s="23">
        <f t="shared" si="13"/>
        <v>2.934363367811379</v>
      </c>
      <c r="J36" s="143">
        <f t="shared" si="13"/>
        <v>3.5769725715990943</v>
      </c>
      <c r="K36" s="71"/>
    </row>
    <row r="37" spans="1:11" ht="15.75" thickBot="1" x14ac:dyDescent="0.3">
      <c r="A37" s="31" t="s">
        <v>167</v>
      </c>
      <c r="B37" s="140">
        <v>2.4900000000000002</v>
      </c>
      <c r="C37" s="22">
        <v>2.17</v>
      </c>
      <c r="D37" s="19"/>
      <c r="E37" s="17">
        <f t="shared" ref="E37" si="14">PRODUCT($C37,E$30)</f>
        <v>2.6981222492163952</v>
      </c>
      <c r="F37" s="143">
        <f t="shared" si="13"/>
        <v>3.2889959662584896</v>
      </c>
      <c r="G37" s="17">
        <f t="shared" si="13"/>
        <v>2.6981222492163952</v>
      </c>
      <c r="H37" s="143">
        <f t="shared" si="13"/>
        <v>3.2889959662584896</v>
      </c>
      <c r="I37" s="24">
        <f t="shared" si="13"/>
        <v>2.6981222492163952</v>
      </c>
      <c r="J37" s="143">
        <f t="shared" si="13"/>
        <v>3.2889959662584896</v>
      </c>
      <c r="K37" s="71"/>
    </row>
    <row r="38" spans="1:11" ht="15.75" thickBot="1" x14ac:dyDescent="0.3">
      <c r="A38" s="32" t="s">
        <v>3</v>
      </c>
      <c r="B38" s="13">
        <f>SUM(B36,B37)</f>
        <v>4.49</v>
      </c>
      <c r="C38" s="27">
        <f>SUM(C36,C37)</f>
        <v>4.5299999999999994</v>
      </c>
      <c r="D38" s="15"/>
      <c r="E38" s="13">
        <f>SUM(E36,E37)</f>
        <v>5.6324856170277737</v>
      </c>
      <c r="F38" s="16">
        <f t="shared" ref="F38" si="15">SUM(F36,F37)</f>
        <v>6.8659685378575839</v>
      </c>
      <c r="G38" s="13">
        <f>SUM(G36,G37)</f>
        <v>5.6324856170277737</v>
      </c>
      <c r="H38" s="16">
        <f t="shared" ref="H38" si="16">SUM(H36,H37)</f>
        <v>6.8659685378575839</v>
      </c>
      <c r="I38" s="13">
        <f t="shared" ref="I38" si="17">SUM(I36,I37)</f>
        <v>5.6324856170277737</v>
      </c>
      <c r="J38" s="16">
        <f t="shared" ref="J38" si="18">SUM(J36,J37)</f>
        <v>6.8659685378575839</v>
      </c>
    </row>
    <row r="39" spans="1:11" ht="15.75" thickBot="1" x14ac:dyDescent="0.3">
      <c r="A39" s="32" t="s">
        <v>210</v>
      </c>
      <c r="B39" s="13">
        <f xml:space="preserve"> B35+B38</f>
        <v>11.08</v>
      </c>
      <c r="C39" s="14"/>
      <c r="D39" s="15"/>
      <c r="E39" s="13">
        <f xml:space="preserve"> E35+E38</f>
        <v>15.25533458727949</v>
      </c>
      <c r="F39" s="16">
        <f t="shared" ref="F39" si="19" xml:space="preserve"> F35+F38</f>
        <v>18.045705379962847</v>
      </c>
      <c r="G39" s="13">
        <f xml:space="preserve"> G35+G38</f>
        <v>15.25533458727949</v>
      </c>
      <c r="H39" s="16">
        <f t="shared" ref="H39" si="20" xml:space="preserve"> H35+H38</f>
        <v>17.699610643120742</v>
      </c>
      <c r="I39" s="13">
        <f t="shared" ref="I39" si="21" xml:space="preserve"> I35+I38</f>
        <v>15.25533458727949</v>
      </c>
      <c r="J39" s="16">
        <f t="shared" ref="J39" si="22" xml:space="preserve"> J35+J38</f>
        <v>18.045705379962847</v>
      </c>
    </row>
    <row r="40" spans="1:11" x14ac:dyDescent="0.25">
      <c r="A40" s="31" t="s">
        <v>4</v>
      </c>
      <c r="B40" s="140">
        <f>PRODUCT(B35,0.25)</f>
        <v>1.6475</v>
      </c>
      <c r="D40" s="19"/>
      <c r="E40" s="17">
        <f>PRODUCT(E35,0.25)</f>
        <v>2.4057122425629291</v>
      </c>
      <c r="F40" s="143">
        <f t="shared" ref="F40" si="23">PRODUCT(F35,0.25)</f>
        <v>2.794934210526316</v>
      </c>
      <c r="G40" s="17">
        <f>PRODUCT(G35,0.25)</f>
        <v>2.4057122425629291</v>
      </c>
      <c r="H40" s="143">
        <f t="shared" ref="H40:J40" si="24">PRODUCT(H35,0.25)</f>
        <v>2.7084105263157894</v>
      </c>
      <c r="I40" s="17">
        <f t="shared" si="24"/>
        <v>2.4057122425629291</v>
      </c>
      <c r="J40" s="143">
        <f t="shared" si="24"/>
        <v>2.794934210526316</v>
      </c>
    </row>
    <row r="41" spans="1:11" ht="15.75" thickBot="1" x14ac:dyDescent="0.3">
      <c r="A41" s="31" t="s">
        <v>5</v>
      </c>
      <c r="B41" s="140">
        <f>PRODUCT(B38,0.25)</f>
        <v>1.1225000000000001</v>
      </c>
      <c r="D41" s="19"/>
      <c r="E41" s="17">
        <f t="shared" ref="E41:F41" si="25">PRODUCT(E38,0.25)</f>
        <v>1.4081214042569434</v>
      </c>
      <c r="F41" s="143">
        <f t="shared" si="25"/>
        <v>1.716492134464396</v>
      </c>
      <c r="G41" s="17">
        <f t="shared" ref="G41:J41" si="26">PRODUCT(G38,0.25)</f>
        <v>1.4081214042569434</v>
      </c>
      <c r="H41" s="143">
        <f t="shared" si="26"/>
        <v>1.716492134464396</v>
      </c>
      <c r="I41" s="17">
        <f t="shared" si="26"/>
        <v>1.4081214042569434</v>
      </c>
      <c r="J41" s="143">
        <f t="shared" si="26"/>
        <v>1.716492134464396</v>
      </c>
    </row>
    <row r="42" spans="1:11" ht="15.75" thickBot="1" x14ac:dyDescent="0.3">
      <c r="A42" s="32" t="s">
        <v>6</v>
      </c>
      <c r="B42" s="13">
        <f t="shared" ref="B42" si="27">SUM(B40,B41)</f>
        <v>2.77</v>
      </c>
      <c r="C42" s="14"/>
      <c r="D42" s="15"/>
      <c r="E42" s="13">
        <f t="shared" ref="E42:F42" si="28">SUM(E40,E41)</f>
        <v>3.8138336468198726</v>
      </c>
      <c r="F42" s="16">
        <f t="shared" si="28"/>
        <v>4.5114263449907117</v>
      </c>
      <c r="G42" s="13">
        <f t="shared" ref="G42:J42" si="29">SUM(G40,G41)</f>
        <v>3.8138336468198726</v>
      </c>
      <c r="H42" s="16">
        <f t="shared" si="29"/>
        <v>4.4249026607801856</v>
      </c>
      <c r="I42" s="13">
        <f t="shared" si="29"/>
        <v>3.8138336468198726</v>
      </c>
      <c r="J42" s="16">
        <f t="shared" si="29"/>
        <v>4.5114263449907117</v>
      </c>
    </row>
    <row r="43" spans="1:11" ht="15.75" thickBot="1" x14ac:dyDescent="0.3">
      <c r="A43" s="33" t="s">
        <v>212</v>
      </c>
      <c r="B43" s="144">
        <f>SUM(B39,B42)</f>
        <v>13.85</v>
      </c>
      <c r="C43" s="145"/>
      <c r="D43" s="145"/>
      <c r="E43" s="144">
        <f>SUM(E39,E42)</f>
        <v>19.069168234099362</v>
      </c>
      <c r="F43" s="146">
        <f t="shared" ref="F43" si="30">SUM(F39,F42)</f>
        <v>22.557131724953557</v>
      </c>
      <c r="G43" s="144">
        <f>SUM(G39,G42)</f>
        <v>19.069168234099362</v>
      </c>
      <c r="H43" s="146">
        <f t="shared" ref="H43" si="31">SUM(H39,H42)</f>
        <v>22.124513303900926</v>
      </c>
      <c r="I43" s="144">
        <f t="shared" ref="I43" si="32">SUM(I39,I42)</f>
        <v>19.069168234099362</v>
      </c>
      <c r="J43" s="146">
        <f t="shared" ref="J43" si="33">SUM(J39,J42)</f>
        <v>22.557131724953557</v>
      </c>
    </row>
    <row r="44" spans="1:11" ht="15.75" thickBot="1" x14ac:dyDescent="0.3">
      <c r="F44" s="343">
        <f>F38+F42</f>
        <v>11.377394882848296</v>
      </c>
    </row>
    <row r="45" spans="1:11" ht="15.75" thickBot="1" x14ac:dyDescent="0.3">
      <c r="B45" s="182"/>
      <c r="C45" s="182"/>
      <c r="D45" s="182"/>
      <c r="E45" s="861" t="s">
        <v>64</v>
      </c>
      <c r="F45" s="862"/>
      <c r="G45" s="861" t="s">
        <v>65</v>
      </c>
      <c r="H45" s="862"/>
      <c r="I45" s="863" t="s">
        <v>66</v>
      </c>
      <c r="J45" s="862"/>
    </row>
    <row r="46" spans="1:11" ht="15.75" thickBot="1" x14ac:dyDescent="0.3">
      <c r="A46" s="184" t="s">
        <v>49</v>
      </c>
      <c r="B46" s="106">
        <v>2017</v>
      </c>
      <c r="C46" s="107">
        <v>2019</v>
      </c>
      <c r="D46" s="107">
        <v>2020</v>
      </c>
      <c r="E46" s="106">
        <v>2030</v>
      </c>
      <c r="F46" s="183">
        <v>2040</v>
      </c>
      <c r="G46" s="106">
        <v>2030</v>
      </c>
      <c r="H46" s="183">
        <v>2040</v>
      </c>
      <c r="I46" s="107">
        <v>2030</v>
      </c>
      <c r="J46" s="183">
        <v>2040</v>
      </c>
    </row>
    <row r="47" spans="1:11" x14ac:dyDescent="0.25">
      <c r="A47" s="28" t="s">
        <v>47</v>
      </c>
      <c r="B47" s="84">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29" t="s">
        <v>48</v>
      </c>
      <c r="B48" s="85">
        <v>0.18</v>
      </c>
      <c r="C48" s="6"/>
      <c r="D48" s="7"/>
      <c r="E48" s="3">
        <f>Indata!D12</f>
        <v>0.25</v>
      </c>
      <c r="F48" s="4">
        <f>Indata!E12</f>
        <v>0.25</v>
      </c>
      <c r="G48" s="3">
        <f>Indata!F12</f>
        <v>0.25</v>
      </c>
      <c r="H48" s="4">
        <f>Indata!G12</f>
        <v>0.18</v>
      </c>
      <c r="I48" s="5">
        <f>Indata!H12</f>
        <v>0.25</v>
      </c>
      <c r="J48" s="4">
        <f>Indata!I12</f>
        <v>0.25</v>
      </c>
    </row>
    <row r="49" spans="1:10" ht="15.75" thickBot="1" x14ac:dyDescent="0.3">
      <c r="A49" s="30" t="s">
        <v>168</v>
      </c>
      <c r="B49" s="8"/>
      <c r="C49" s="9"/>
      <c r="D49" s="83">
        <v>1.02</v>
      </c>
      <c r="E49" s="10">
        <f>$D$11*(1+Indata!D14)^(E46-$D$8)</f>
        <v>1.2433743083946522</v>
      </c>
      <c r="F49" s="11">
        <f>$D$11*(1+Indata!E14)^(F46-$D$8)</f>
        <v>1.5156663438979214</v>
      </c>
      <c r="G49" s="10">
        <f>$D$11*(1+Indata!F14)^(G46-$D$8)</f>
        <v>1.2433743083946522</v>
      </c>
      <c r="H49" s="11">
        <f>$D$11*(1+Indata!G14)^(H46-$D$8)</f>
        <v>1.5156663438979214</v>
      </c>
      <c r="I49" s="12">
        <f>$D$11*(1+Indata!H14)^(I46-$D$8)</f>
        <v>1.2433743083946522</v>
      </c>
      <c r="J49" s="11">
        <f>$D$11*(1+Indata!I14)^(J46-$D$8)</f>
        <v>1.5156663438979214</v>
      </c>
    </row>
    <row r="50" spans="1:10" x14ac:dyDescent="0.25">
      <c r="A50" s="31" t="s">
        <v>219</v>
      </c>
      <c r="B50" s="139">
        <v>5.15</v>
      </c>
      <c r="C50" s="21"/>
      <c r="D50" s="25"/>
      <c r="E50" s="23">
        <f>$B50+(F50-$B50)/(F$8-$B$8)*(E$8-$B$8)</f>
        <v>7.280869565217392</v>
      </c>
      <c r="F50" s="142">
        <v>8.92</v>
      </c>
      <c r="G50" s="23">
        <f>($B50+(H50-$B50)/(H$8-$B$8)*(G$8-$B$8))</f>
        <v>7.280869565217392</v>
      </c>
      <c r="H50" s="142">
        <f>8.92</f>
        <v>8.92</v>
      </c>
      <c r="I50" s="23">
        <f>$B50+(J50-$B50)/(J$8-$B$8)*(I$8-$B$8)</f>
        <v>7.280869565217392</v>
      </c>
      <c r="J50" s="142">
        <f>8.92</f>
        <v>8.92</v>
      </c>
    </row>
    <row r="51" spans="1:10" x14ac:dyDescent="0.25">
      <c r="A51" s="31" t="s">
        <v>220</v>
      </c>
      <c r="B51" s="340">
        <f>(B50-0.05*B52-0.18*B53)/(1-0.05-0.18)</f>
        <v>3.7679220779220777</v>
      </c>
      <c r="C51" s="25"/>
      <c r="D51" s="342"/>
      <c r="E51" s="340">
        <f>(E50-0.05*E52-0.18*E53)/(1-0.05-0.18)</f>
        <v>5.8617221908526265</v>
      </c>
      <c r="F51" s="341">
        <f t="shared" ref="F51" si="34">(F50-0.05*F52-0.18*F53)/(1-0.05-0.18)</f>
        <v>7.4723376623376625</v>
      </c>
      <c r="G51" s="340">
        <f>(G50-0.05*G52-0.18*G53)/(1-0.05-0.18)*G5</f>
        <v>5.8617221908526265</v>
      </c>
      <c r="H51" s="341">
        <f>(H50-0.05*H52-0.18*H53)/(1-0.05-0.18)*H5</f>
        <v>7.4723376623376625</v>
      </c>
      <c r="I51" s="340">
        <f>(I50-0.05*I52-0.18*I53)/(1-0.05-0.18)*G5</f>
        <v>5.8617221908526265</v>
      </c>
      <c r="J51" s="341">
        <f>(J50-0.05*J52-0.18*J53)/(1-0.05-0.18)*H5</f>
        <v>7.4723376623376625</v>
      </c>
    </row>
    <row r="52" spans="1:10" x14ac:dyDescent="0.25">
      <c r="A52" s="31" t="s">
        <v>221</v>
      </c>
      <c r="B52" s="17">
        <v>6.85</v>
      </c>
      <c r="C52" s="25"/>
      <c r="D52" s="25"/>
      <c r="E52" s="17">
        <f>$B52+(F52-$B52)/(F$8-$B$8)*(E$8-$B$8)</f>
        <v>8.4326086956521742</v>
      </c>
      <c r="F52" s="143">
        <v>9.65</v>
      </c>
      <c r="G52" s="17">
        <f>($B52+(H52-$B52)/(H$8-$B$8)*(G$8-$B$8))*G6</f>
        <v>8.4326086956521742</v>
      </c>
      <c r="H52" s="143">
        <f>9.65*H6</f>
        <v>9.65</v>
      </c>
      <c r="I52" s="17">
        <f>$B52+(J52-$B52)/(J$8-$B$8)*(I$8-$B$8)*G6</f>
        <v>8.4326086956521742</v>
      </c>
      <c r="J52" s="143">
        <f>9.65*H6</f>
        <v>9.65</v>
      </c>
    </row>
    <row r="53" spans="1:10" ht="15.75" thickBot="1" x14ac:dyDescent="0.3">
      <c r="A53" s="31" t="s">
        <v>218</v>
      </c>
      <c r="B53" s="24">
        <v>10.59</v>
      </c>
      <c r="C53" s="22"/>
      <c r="D53" s="25"/>
      <c r="E53" s="24">
        <f>$B53+(F53-$B53)/(F$8-$B$8)*(E$8-$B$8)</f>
        <v>13.031739130434783</v>
      </c>
      <c r="F53" s="143">
        <v>14.91</v>
      </c>
      <c r="G53" s="24">
        <f>($B53+(H53-$B53)/(H$8-$B$8)*(G$8-$B$8))*G6</f>
        <v>13.031739130434783</v>
      </c>
      <c r="H53" s="143">
        <f>14.91*H6</f>
        <v>14.91</v>
      </c>
      <c r="I53" s="24">
        <f>$B53+(J53-$B53)/(J$8-$B$8)*(I$8-$B$8)*G6</f>
        <v>13.031739130434783</v>
      </c>
      <c r="J53" s="143">
        <f>14.91*H6</f>
        <v>14.91</v>
      </c>
    </row>
    <row r="54" spans="1:10" ht="15.75" thickBot="1" x14ac:dyDescent="0.3">
      <c r="A54" s="32" t="s">
        <v>2</v>
      </c>
      <c r="B54" s="375">
        <f>B51*(1-B47-B48)+B52*B47+B53*B48</f>
        <v>5.15</v>
      </c>
      <c r="C54" s="1"/>
      <c r="D54" s="2"/>
      <c r="E54" s="13">
        <f>E51*(1-E47-E48)+E52*E47+E53*E48</f>
        <v>7.8341884810841336</v>
      </c>
      <c r="F54" s="16">
        <f t="shared" ref="F54" si="35">F51*(1-F47-F48)+F52*F47+F53*F48</f>
        <v>9.4841896103896097</v>
      </c>
      <c r="G54" s="13">
        <f>G51*(1-G47-G48)+G52*G47+G53*G48</f>
        <v>7.8341884810841336</v>
      </c>
      <c r="H54" s="16">
        <f t="shared" ref="H54" si="36">H51*(1-H47-H48)+H52*H47+H53*H48</f>
        <v>8.9635532467532464</v>
      </c>
      <c r="I54" s="13">
        <f t="shared" ref="I54" si="37">I51*(1-I47-I48)+I52*I47+I53*I48</f>
        <v>7.8341884810841336</v>
      </c>
      <c r="J54" s="16">
        <f t="shared" ref="J54" si="38">J51*(1-J47-J48)+J52*J47+J53*J48</f>
        <v>9.4841896103896097</v>
      </c>
    </row>
    <row r="55" spans="1:10" x14ac:dyDescent="0.25">
      <c r="A55" s="31" t="s">
        <v>166</v>
      </c>
      <c r="B55" s="139">
        <v>2</v>
      </c>
      <c r="C55" s="21">
        <f>C36</f>
        <v>2.36</v>
      </c>
      <c r="D55" s="377"/>
      <c r="E55" s="25">
        <f t="shared" ref="E55:J55" si="39">E36</f>
        <v>2.934363367811379</v>
      </c>
      <c r="F55" s="143">
        <f t="shared" si="39"/>
        <v>3.5769725715990943</v>
      </c>
      <c r="G55" s="17">
        <f t="shared" si="39"/>
        <v>2.934363367811379</v>
      </c>
      <c r="H55" s="143">
        <f t="shared" si="39"/>
        <v>3.5769725715990943</v>
      </c>
      <c r="I55" s="17">
        <f>I36</f>
        <v>2.934363367811379</v>
      </c>
      <c r="J55" s="143">
        <f t="shared" si="39"/>
        <v>3.5769725715990943</v>
      </c>
    </row>
    <row r="56" spans="1:10" ht="15.75" thickBot="1" x14ac:dyDescent="0.3">
      <c r="A56" s="31" t="s">
        <v>167</v>
      </c>
      <c r="B56" s="141">
        <v>2.4900000000000002</v>
      </c>
      <c r="C56" s="22">
        <f>C37</f>
        <v>2.17</v>
      </c>
      <c r="D56" s="378"/>
      <c r="E56" s="22">
        <f t="shared" ref="E56:J56" si="40">E37</f>
        <v>2.6981222492163952</v>
      </c>
      <c r="F56" s="143">
        <f t="shared" si="40"/>
        <v>3.2889959662584896</v>
      </c>
      <c r="G56" s="24">
        <f t="shared" si="40"/>
        <v>2.6981222492163952</v>
      </c>
      <c r="H56" s="143">
        <f t="shared" si="40"/>
        <v>3.2889959662584896</v>
      </c>
      <c r="I56" s="24">
        <f t="shared" si="40"/>
        <v>2.6981222492163952</v>
      </c>
      <c r="J56" s="143">
        <f t="shared" si="40"/>
        <v>3.2889959662584896</v>
      </c>
    </row>
    <row r="57" spans="1:10" ht="15.75" thickBot="1" x14ac:dyDescent="0.3">
      <c r="A57" s="32" t="s">
        <v>3</v>
      </c>
      <c r="B57" s="348">
        <f>SUM(B55,B56)</f>
        <v>4.49</v>
      </c>
      <c r="C57" s="376">
        <f>SUM(C55,C56)</f>
        <v>4.5299999999999994</v>
      </c>
      <c r="D57" s="7"/>
      <c r="E57" s="13">
        <f>SUM(E55,E56)</f>
        <v>5.6324856170277737</v>
      </c>
      <c r="F57" s="16">
        <f t="shared" ref="F57" si="41">SUM(F55,F56)</f>
        <v>6.8659685378575839</v>
      </c>
      <c r="G57" s="13">
        <f>SUM(G55,G56)</f>
        <v>5.6324856170277737</v>
      </c>
      <c r="H57" s="16">
        <f t="shared" ref="H57" si="42">SUM(H55,H56)</f>
        <v>6.8659685378575839</v>
      </c>
      <c r="I57" s="13">
        <f t="shared" ref="I57" si="43">SUM(I55,I56)</f>
        <v>5.6324856170277737</v>
      </c>
      <c r="J57" s="16">
        <f t="shared" ref="J57" si="44">SUM(J55,J56)</f>
        <v>6.8659685378575839</v>
      </c>
    </row>
    <row r="58" spans="1:10" ht="15.75" thickBot="1" x14ac:dyDescent="0.3">
      <c r="A58" s="32" t="s">
        <v>210</v>
      </c>
      <c r="B58" s="13">
        <f xml:space="preserve"> B54+B57</f>
        <v>9.64</v>
      </c>
      <c r="C58" s="14"/>
      <c r="D58" s="15"/>
      <c r="E58" s="13">
        <f xml:space="preserve"> E54+E57</f>
        <v>13.466674098111907</v>
      </c>
      <c r="F58" s="16">
        <f t="shared" ref="F58" si="45" xml:space="preserve"> F54+F57</f>
        <v>16.350158148247193</v>
      </c>
      <c r="G58" s="13">
        <f xml:space="preserve"> G54+G57</f>
        <v>13.466674098111907</v>
      </c>
      <c r="H58" s="16">
        <f t="shared" ref="H58" si="46" xml:space="preserve"> H54+H57</f>
        <v>15.829521784610829</v>
      </c>
      <c r="I58" s="13">
        <f t="shared" ref="I58" si="47" xml:space="preserve"> I54+I57</f>
        <v>13.466674098111907</v>
      </c>
      <c r="J58" s="16">
        <f xml:space="preserve"> J54+J57</f>
        <v>16.350158148247193</v>
      </c>
    </row>
    <row r="59" spans="1:10" x14ac:dyDescent="0.25">
      <c r="A59" s="31" t="s">
        <v>4</v>
      </c>
      <c r="B59" s="140">
        <f>PRODUCT(B54,0.25)</f>
        <v>1.2875000000000001</v>
      </c>
      <c r="D59" s="19"/>
      <c r="E59" s="17">
        <f>PRODUCT(E54,0.25)</f>
        <v>1.9585471202710334</v>
      </c>
      <c r="F59" s="143">
        <f t="shared" ref="F59" si="48">PRODUCT(F54,0.25)</f>
        <v>2.3710474025974024</v>
      </c>
      <c r="G59" s="17">
        <f>PRODUCT(G54,0.25)</f>
        <v>1.9585471202710334</v>
      </c>
      <c r="H59" s="143">
        <f t="shared" ref="H59:J59" si="49">PRODUCT(H54,0.25)</f>
        <v>2.2408883116883116</v>
      </c>
      <c r="I59" s="17">
        <f t="shared" si="49"/>
        <v>1.9585471202710334</v>
      </c>
      <c r="J59" s="143">
        <f t="shared" si="49"/>
        <v>2.3710474025974024</v>
      </c>
    </row>
    <row r="60" spans="1:10" ht="15.75" thickBot="1" x14ac:dyDescent="0.3">
      <c r="A60" s="31" t="s">
        <v>5</v>
      </c>
      <c r="B60" s="140">
        <f>PRODUCT(B57,0.25)</f>
        <v>1.1225000000000001</v>
      </c>
      <c r="D60" s="19"/>
      <c r="E60" s="17">
        <f>PRODUCT(E57,0.25)</f>
        <v>1.4081214042569434</v>
      </c>
      <c r="F60" s="143">
        <f t="shared" ref="F60" si="50">PRODUCT(F57,0.25)</f>
        <v>1.716492134464396</v>
      </c>
      <c r="G60" s="17">
        <f t="shared" ref="G60:J60" si="51">PRODUCT(G57,0.25)</f>
        <v>1.4081214042569434</v>
      </c>
      <c r="H60" s="143">
        <f t="shared" si="51"/>
        <v>1.716492134464396</v>
      </c>
      <c r="I60" s="17">
        <f t="shared" si="51"/>
        <v>1.4081214042569434</v>
      </c>
      <c r="J60" s="143">
        <f t="shared" si="51"/>
        <v>1.716492134464396</v>
      </c>
    </row>
    <row r="61" spans="1:10" ht="15.75" thickBot="1" x14ac:dyDescent="0.3">
      <c r="A61" s="32" t="s">
        <v>6</v>
      </c>
      <c r="B61" s="13">
        <f t="shared" ref="B61" si="52">SUM(B59,B60)</f>
        <v>2.41</v>
      </c>
      <c r="C61" s="14"/>
      <c r="D61" s="15"/>
      <c r="E61" s="13">
        <f t="shared" ref="E61:F61" si="53">SUM(E59,E60)</f>
        <v>3.3666685245279768</v>
      </c>
      <c r="F61" s="16">
        <f t="shared" si="53"/>
        <v>4.0875395370617982</v>
      </c>
      <c r="G61" s="13">
        <f t="shared" ref="G61:J61" si="54">SUM(G59,G60)</f>
        <v>3.3666685245279768</v>
      </c>
      <c r="H61" s="16">
        <f t="shared" si="54"/>
        <v>3.9573804461527073</v>
      </c>
      <c r="I61" s="13">
        <f t="shared" si="54"/>
        <v>3.3666685245279768</v>
      </c>
      <c r="J61" s="16">
        <f t="shared" si="54"/>
        <v>4.0875395370617982</v>
      </c>
    </row>
    <row r="62" spans="1:10" ht="15.75" thickBot="1" x14ac:dyDescent="0.3">
      <c r="A62" s="33" t="s">
        <v>212</v>
      </c>
      <c r="B62" s="144">
        <f>SUM(B58,B61)</f>
        <v>12.05</v>
      </c>
      <c r="C62" s="145"/>
      <c r="D62" s="145"/>
      <c r="E62" s="144">
        <f>SUM(E58,E61)</f>
        <v>16.833342622639883</v>
      </c>
      <c r="F62" s="146">
        <f t="shared" ref="F62" si="55">SUM(F58,F61)</f>
        <v>20.43769768530899</v>
      </c>
      <c r="G62" s="144">
        <f>SUM(G58,G61)</f>
        <v>16.833342622639883</v>
      </c>
      <c r="H62" s="146">
        <f t="shared" ref="H62" si="56">SUM(H58,H61)</f>
        <v>19.786902230763538</v>
      </c>
      <c r="I62" s="144">
        <f t="shared" ref="I62" si="57">SUM(I58,I61)</f>
        <v>16.833342622639883</v>
      </c>
      <c r="J62" s="146">
        <f t="shared" ref="J62" si="58">SUM(J58,J61)</f>
        <v>20.43769768530899</v>
      </c>
    </row>
    <row r="63" spans="1:10" ht="15.75" thickBot="1" x14ac:dyDescent="0.3"/>
    <row r="64" spans="1:10" ht="15.75" thickBot="1" x14ac:dyDescent="0.3">
      <c r="B64" s="182"/>
      <c r="C64" s="182"/>
      <c r="D64" s="182"/>
      <c r="E64" s="861" t="s">
        <v>64</v>
      </c>
      <c r="F64" s="862"/>
      <c r="G64" s="861" t="s">
        <v>65</v>
      </c>
      <c r="H64" s="862"/>
      <c r="I64" s="863" t="s">
        <v>66</v>
      </c>
      <c r="J64" s="862"/>
    </row>
    <row r="65" spans="1:10" ht="15.75" thickBot="1" x14ac:dyDescent="0.3">
      <c r="A65" s="184" t="s">
        <v>50</v>
      </c>
      <c r="B65" s="106">
        <v>2017</v>
      </c>
      <c r="C65" s="107">
        <v>2018</v>
      </c>
      <c r="D65" s="107">
        <v>2020</v>
      </c>
      <c r="E65" s="106">
        <v>2030</v>
      </c>
      <c r="F65" s="183">
        <v>2040</v>
      </c>
      <c r="G65" s="106">
        <v>2030</v>
      </c>
      <c r="H65" s="183">
        <v>2040</v>
      </c>
      <c r="I65" s="107">
        <v>2030</v>
      </c>
      <c r="J65" s="183">
        <v>2040</v>
      </c>
    </row>
    <row r="66" spans="1:10" ht="15.75" thickBot="1" x14ac:dyDescent="0.3">
      <c r="A66" s="34" t="s">
        <v>213</v>
      </c>
      <c r="B66" s="139">
        <f>172.36/100</f>
        <v>1.7236000000000002</v>
      </c>
      <c r="C66" s="21"/>
      <c r="D66" s="25"/>
      <c r="E66" s="23">
        <f>$B66+(F66-$B66)/(F$8-$B$8)*(E$8-$B$8)</f>
        <v>2.4401260869565218</v>
      </c>
      <c r="F66" s="142">
        <f>299.13/100</f>
        <v>2.9912999999999998</v>
      </c>
      <c r="G66" s="23">
        <f>($B66+(H66-$B66)/(H$8-$B$8)*(G$8-$B$8))*G4</f>
        <v>2.4401260869565218</v>
      </c>
      <c r="H66" s="142">
        <f>299.13/100*H4</f>
        <v>2.9912999999999998</v>
      </c>
      <c r="I66" s="23">
        <f>$B66+(J66-$B66)/(J$8-$B$8)*(I$8-$B$8)*G4</f>
        <v>2.4401260869565218</v>
      </c>
      <c r="J66" s="142">
        <f>299.13/100*H4</f>
        <v>2.9912999999999998</v>
      </c>
    </row>
    <row r="67" spans="1:10" ht="15.75" thickBot="1" x14ac:dyDescent="0.3">
      <c r="A67" s="32" t="s">
        <v>2</v>
      </c>
      <c r="B67" s="13">
        <f>B66</f>
        <v>1.7236000000000002</v>
      </c>
      <c r="C67" s="14"/>
      <c r="D67" s="15"/>
      <c r="E67" s="13">
        <f t="shared" ref="E67:J67" si="59">E66</f>
        <v>2.4401260869565218</v>
      </c>
      <c r="F67" s="16">
        <f>F66</f>
        <v>2.9912999999999998</v>
      </c>
      <c r="G67" s="13">
        <f t="shared" si="59"/>
        <v>2.4401260869565218</v>
      </c>
      <c r="H67" s="16">
        <f t="shared" si="59"/>
        <v>2.9912999999999998</v>
      </c>
      <c r="I67" s="13">
        <f t="shared" si="59"/>
        <v>2.4401260869565218</v>
      </c>
      <c r="J67" s="16">
        <f t="shared" si="59"/>
        <v>2.9912999999999998</v>
      </c>
    </row>
    <row r="68" spans="1:10" x14ac:dyDescent="0.25">
      <c r="A68" s="31" t="s">
        <v>166</v>
      </c>
      <c r="B68" s="140">
        <v>0.31</v>
      </c>
      <c r="C68" s="21"/>
      <c r="D68" s="19"/>
      <c r="E68" s="23">
        <f>F68</f>
        <v>0.33659999999999995</v>
      </c>
      <c r="F68" s="148">
        <f>33.66/100</f>
        <v>0.33659999999999995</v>
      </c>
      <c r="G68" s="23">
        <f>H68</f>
        <v>0.33659999999999995</v>
      </c>
      <c r="H68" s="148">
        <f>33.66/100</f>
        <v>0.33659999999999995</v>
      </c>
      <c r="I68" s="23">
        <f>J68</f>
        <v>0.33659999999999995</v>
      </c>
      <c r="J68" s="142">
        <f>33.66/100</f>
        <v>0.33659999999999995</v>
      </c>
    </row>
    <row r="69" spans="1:10" ht="15.75" thickBot="1" x14ac:dyDescent="0.3">
      <c r="A69" s="31" t="s">
        <v>167</v>
      </c>
      <c r="B69" s="140">
        <f>0/100</f>
        <v>0</v>
      </c>
      <c r="C69" s="22"/>
      <c r="D69" s="19"/>
      <c r="E69" s="24">
        <f>F69</f>
        <v>0</v>
      </c>
      <c r="F69" s="148">
        <f>0/100</f>
        <v>0</v>
      </c>
      <c r="G69" s="24">
        <f>H69</f>
        <v>0</v>
      </c>
      <c r="H69" s="148">
        <f>0/100</f>
        <v>0</v>
      </c>
      <c r="I69" s="24">
        <f>J69</f>
        <v>0</v>
      </c>
      <c r="J69" s="149">
        <f>0/100</f>
        <v>0</v>
      </c>
    </row>
    <row r="70" spans="1:10" ht="15.75" thickBot="1" x14ac:dyDescent="0.3">
      <c r="A70" s="32" t="s">
        <v>3</v>
      </c>
      <c r="B70" s="13">
        <f>SUM(B68,B69)</f>
        <v>0.31</v>
      </c>
      <c r="C70" s="27"/>
      <c r="D70" s="15"/>
      <c r="E70" s="13">
        <f>SUM(E68,E69)</f>
        <v>0.33659999999999995</v>
      </c>
      <c r="F70" s="16">
        <f t="shared" ref="F70" si="60">SUM(F68,F69)</f>
        <v>0.33659999999999995</v>
      </c>
      <c r="G70" s="13">
        <f>SUM(G68,G69)</f>
        <v>0.33659999999999995</v>
      </c>
      <c r="H70" s="16">
        <f t="shared" ref="H70" si="61">SUM(H68,H69)</f>
        <v>0.33659999999999995</v>
      </c>
      <c r="I70" s="13">
        <f t="shared" ref="I70" si="62">SUM(I68,I69)</f>
        <v>0.33659999999999995</v>
      </c>
      <c r="J70" s="16">
        <f t="shared" ref="J70" si="63">SUM(J68,J69)</f>
        <v>0.33659999999999995</v>
      </c>
    </row>
    <row r="71" spans="1:10" ht="15.75" thickBot="1" x14ac:dyDescent="0.3">
      <c r="A71" s="32" t="s">
        <v>214</v>
      </c>
      <c r="B71" s="13">
        <f xml:space="preserve"> B67+B70</f>
        <v>2.0336000000000003</v>
      </c>
      <c r="C71" s="14"/>
      <c r="D71" s="15"/>
      <c r="E71" s="13">
        <f xml:space="preserve"> E67+E70</f>
        <v>2.7767260869565216</v>
      </c>
      <c r="F71" s="16">
        <f t="shared" ref="F71" si="64" xml:space="preserve"> F67+F70</f>
        <v>3.3278999999999996</v>
      </c>
      <c r="G71" s="13">
        <f xml:space="preserve"> G67+G70</f>
        <v>2.7767260869565216</v>
      </c>
      <c r="H71" s="16">
        <f t="shared" ref="H71" si="65" xml:space="preserve"> H67+H70</f>
        <v>3.3278999999999996</v>
      </c>
      <c r="I71" s="13">
        <f t="shared" ref="I71" si="66" xml:space="preserve"> I67+I70</f>
        <v>2.7767260869565216</v>
      </c>
      <c r="J71" s="16">
        <f xml:space="preserve"> J67+J70</f>
        <v>3.3278999999999996</v>
      </c>
    </row>
    <row r="72" spans="1:10" x14ac:dyDescent="0.25">
      <c r="A72" s="31" t="s">
        <v>4</v>
      </c>
      <c r="B72" s="17">
        <f>PRODUCT(B67,0.25)</f>
        <v>0.43090000000000006</v>
      </c>
      <c r="D72" s="19"/>
      <c r="E72" s="17">
        <f>PRODUCT(E67,0.25)</f>
        <v>0.61003152173913044</v>
      </c>
      <c r="F72" s="20">
        <f t="shared" ref="F72" si="67">PRODUCT(F67,0.25)</f>
        <v>0.74782499999999996</v>
      </c>
      <c r="G72" s="17">
        <f>PRODUCT(G67,0.25)</f>
        <v>0.61003152173913044</v>
      </c>
      <c r="H72" s="20">
        <f t="shared" ref="H72:J72" si="68">PRODUCT(H67,0.25)</f>
        <v>0.74782499999999996</v>
      </c>
      <c r="I72" s="17">
        <f t="shared" si="68"/>
        <v>0.61003152173913044</v>
      </c>
      <c r="J72" s="20">
        <f t="shared" si="68"/>
        <v>0.74782499999999996</v>
      </c>
    </row>
    <row r="73" spans="1:10" ht="15.75" thickBot="1" x14ac:dyDescent="0.3">
      <c r="A73" s="31" t="s">
        <v>5</v>
      </c>
      <c r="B73" s="17">
        <f>PRODUCT(B70,0.25)</f>
        <v>7.7499999999999999E-2</v>
      </c>
      <c r="D73" s="19"/>
      <c r="E73" s="17">
        <f t="shared" ref="E73:F73" si="69">PRODUCT(E70,0.25)</f>
        <v>8.4149999999999989E-2</v>
      </c>
      <c r="F73" s="20">
        <f t="shared" si="69"/>
        <v>8.4149999999999989E-2</v>
      </c>
      <c r="G73" s="17">
        <f t="shared" ref="G73:J73" si="70">PRODUCT(G70,0.25)</f>
        <v>8.4149999999999989E-2</v>
      </c>
      <c r="H73" s="20">
        <f t="shared" si="70"/>
        <v>8.4149999999999989E-2</v>
      </c>
      <c r="I73" s="17">
        <f t="shared" si="70"/>
        <v>8.4149999999999989E-2</v>
      </c>
      <c r="J73" s="20">
        <f t="shared" si="70"/>
        <v>8.4149999999999989E-2</v>
      </c>
    </row>
    <row r="74" spans="1:10" ht="15.75" thickBot="1" x14ac:dyDescent="0.3">
      <c r="A74" s="32" t="s">
        <v>6</v>
      </c>
      <c r="B74" s="13">
        <f t="shared" ref="B74" si="71">SUM(B72,B73)</f>
        <v>0.50840000000000007</v>
      </c>
      <c r="C74" s="14"/>
      <c r="D74" s="15"/>
      <c r="E74" s="13">
        <f>SUM(E72,E73)</f>
        <v>0.69418152173913039</v>
      </c>
      <c r="F74" s="16">
        <f t="shared" ref="F74" si="72">SUM(F72,F73)</f>
        <v>0.83197499999999991</v>
      </c>
      <c r="G74" s="13">
        <f t="shared" ref="G74:J74" si="73">SUM(G72,G73)</f>
        <v>0.69418152173913039</v>
      </c>
      <c r="H74" s="16">
        <f t="shared" si="73"/>
        <v>0.83197499999999991</v>
      </c>
      <c r="I74" s="13">
        <f t="shared" si="73"/>
        <v>0.69418152173913039</v>
      </c>
      <c r="J74" s="16">
        <f t="shared" si="73"/>
        <v>0.83197499999999991</v>
      </c>
    </row>
    <row r="75" spans="1:10" ht="15.75" thickBot="1" x14ac:dyDescent="0.3">
      <c r="A75" s="33" t="s">
        <v>51</v>
      </c>
      <c r="B75" s="144">
        <f>SUM(B71,B74)</f>
        <v>2.5420000000000003</v>
      </c>
      <c r="C75" s="145"/>
      <c r="D75" s="145"/>
      <c r="E75" s="144">
        <f>SUM(E71,E74)</f>
        <v>3.4709076086956521</v>
      </c>
      <c r="F75" s="146">
        <f t="shared" ref="F75" si="74">SUM(F71,F74)</f>
        <v>4.1598749999999995</v>
      </c>
      <c r="G75" s="144">
        <f>SUM(G71,G74)</f>
        <v>3.4709076086956521</v>
      </c>
      <c r="H75" s="146">
        <f t="shared" ref="H75" si="75">SUM(H71,H74)</f>
        <v>4.1598749999999995</v>
      </c>
      <c r="I75" s="144">
        <f t="shared" ref="I75" si="76">SUM(I71,I74)</f>
        <v>3.4709076086956521</v>
      </c>
      <c r="J75" s="146">
        <f t="shared" ref="J75" si="77">SUM(J71,J74)</f>
        <v>4.1598749999999995</v>
      </c>
    </row>
    <row r="76" spans="1:10" ht="15.75" thickBot="1" x14ac:dyDescent="0.3">
      <c r="F76" s="343"/>
    </row>
    <row r="77" spans="1:10" ht="15.75" thickBot="1" x14ac:dyDescent="0.3">
      <c r="B77" s="182"/>
      <c r="C77" s="182"/>
      <c r="D77" s="182"/>
      <c r="E77" s="861" t="s">
        <v>64</v>
      </c>
      <c r="F77" s="862"/>
      <c r="G77" s="861" t="s">
        <v>65</v>
      </c>
      <c r="H77" s="862"/>
      <c r="I77" s="863" t="s">
        <v>66</v>
      </c>
      <c r="J77" s="862"/>
    </row>
    <row r="78" spans="1:10" ht="15.75" thickBot="1" x14ac:dyDescent="0.3">
      <c r="A78" s="184" t="s">
        <v>52</v>
      </c>
      <c r="B78" s="106">
        <v>2017</v>
      </c>
      <c r="C78" s="107">
        <v>2018</v>
      </c>
      <c r="D78" s="107">
        <v>2020</v>
      </c>
      <c r="E78" s="106">
        <v>2030</v>
      </c>
      <c r="F78" s="183">
        <v>2040</v>
      </c>
      <c r="G78" s="106">
        <v>2030</v>
      </c>
      <c r="H78" s="183">
        <v>2040</v>
      </c>
      <c r="I78" s="107">
        <v>2030</v>
      </c>
      <c r="J78" s="183">
        <v>2040</v>
      </c>
    </row>
    <row r="79" spans="1:10" ht="15.75" thickBot="1" x14ac:dyDescent="0.3">
      <c r="A79" s="34" t="s">
        <v>213</v>
      </c>
      <c r="B79" s="139">
        <f>59.33/100</f>
        <v>0.59329999999999994</v>
      </c>
      <c r="C79" s="21"/>
      <c r="D79" s="25"/>
      <c r="E79" s="23">
        <f>$B79+(F79-$B79)/(F$8-$B$8)*(E$8-$B$8)</f>
        <v>0.86093043478260867</v>
      </c>
      <c r="F79" s="142">
        <f>106.68/100</f>
        <v>1.0668</v>
      </c>
      <c r="G79" s="23">
        <f>($B79+(H79-$B79)/(H$8-$B$8)*(G$8-$B$8))*G4</f>
        <v>0.86093043478260867</v>
      </c>
      <c r="H79" s="142">
        <f>106.68/100*H4</f>
        <v>1.0668</v>
      </c>
      <c r="I79" s="23">
        <f>$B79+(J79-$B79)/(J$8-$B$8)*(I$8-$B$8)*G4</f>
        <v>0.86093043478260867</v>
      </c>
      <c r="J79" s="142">
        <f>106.68/100*H4</f>
        <v>1.0668</v>
      </c>
    </row>
    <row r="80" spans="1:10" ht="15.75" thickBot="1" x14ac:dyDescent="0.3">
      <c r="A80" s="32" t="s">
        <v>2</v>
      </c>
      <c r="B80" s="13">
        <f>B79</f>
        <v>0.59329999999999994</v>
      </c>
      <c r="C80" s="14"/>
      <c r="D80" s="15"/>
      <c r="E80" s="13">
        <f>E79</f>
        <v>0.86093043478260867</v>
      </c>
      <c r="F80" s="16">
        <f t="shared" ref="F80:J80" si="78">F79</f>
        <v>1.0668</v>
      </c>
      <c r="G80" s="13">
        <f t="shared" si="78"/>
        <v>0.86093043478260867</v>
      </c>
      <c r="H80" s="16">
        <f t="shared" si="78"/>
        <v>1.0668</v>
      </c>
      <c r="I80" s="13">
        <f t="shared" si="78"/>
        <v>0.86093043478260867</v>
      </c>
      <c r="J80" s="16">
        <f t="shared" si="78"/>
        <v>1.0668</v>
      </c>
    </row>
    <row r="81" spans="1:10" x14ac:dyDescent="0.25">
      <c r="A81" s="31" t="s">
        <v>166</v>
      </c>
      <c r="B81" s="140">
        <v>0.31</v>
      </c>
      <c r="C81" s="21"/>
      <c r="D81" s="19"/>
      <c r="E81" s="23">
        <f>F81</f>
        <v>0.33659999999999995</v>
      </c>
      <c r="F81" s="148">
        <f>33.66/100</f>
        <v>0.33659999999999995</v>
      </c>
      <c r="G81" s="23">
        <f>H81</f>
        <v>0.33659999999999995</v>
      </c>
      <c r="H81" s="148">
        <f>33.66/100</f>
        <v>0.33659999999999995</v>
      </c>
      <c r="I81" s="23">
        <f>J81</f>
        <v>0.33659999999999995</v>
      </c>
      <c r="J81" s="142">
        <f>33.66/100</f>
        <v>0.33659999999999995</v>
      </c>
    </row>
    <row r="82" spans="1:10" ht="15.75" thickBot="1" x14ac:dyDescent="0.3">
      <c r="A82" s="31" t="s">
        <v>167</v>
      </c>
      <c r="B82" s="140">
        <f>0/100</f>
        <v>0</v>
      </c>
      <c r="C82" s="22"/>
      <c r="D82" s="19"/>
      <c r="E82" s="24">
        <f>F82</f>
        <v>0</v>
      </c>
      <c r="F82" s="148">
        <f>0/100</f>
        <v>0</v>
      </c>
      <c r="G82" s="24">
        <f>H82</f>
        <v>0</v>
      </c>
      <c r="H82" s="148">
        <f>0/100</f>
        <v>0</v>
      </c>
      <c r="I82" s="24">
        <f>J82</f>
        <v>0</v>
      </c>
      <c r="J82" s="149">
        <f>0/100</f>
        <v>0</v>
      </c>
    </row>
    <row r="83" spans="1:10" ht="15.75" thickBot="1" x14ac:dyDescent="0.3">
      <c r="A83" s="32" t="s">
        <v>3</v>
      </c>
      <c r="B83" s="13">
        <f>SUM(B81,B82)</f>
        <v>0.31</v>
      </c>
      <c r="C83" s="27"/>
      <c r="D83" s="15"/>
      <c r="E83" s="13">
        <f>SUM(E81,E82)</f>
        <v>0.33659999999999995</v>
      </c>
      <c r="F83" s="16">
        <f t="shared" ref="F83" si="79">SUM(F81,F82)</f>
        <v>0.33659999999999995</v>
      </c>
      <c r="G83" s="13">
        <f>SUM(G81,G82)</f>
        <v>0.33659999999999995</v>
      </c>
      <c r="H83" s="16">
        <f t="shared" ref="H83" si="80">SUM(H81,H82)</f>
        <v>0.33659999999999995</v>
      </c>
      <c r="I83" s="13">
        <f t="shared" ref="I83" si="81">SUM(I81,I82)</f>
        <v>0.33659999999999995</v>
      </c>
      <c r="J83" s="16">
        <f t="shared" ref="J83" si="82">SUM(J81,J82)</f>
        <v>0.33659999999999995</v>
      </c>
    </row>
    <row r="84" spans="1:10" ht="15.75" thickBot="1" x14ac:dyDescent="0.3">
      <c r="A84" s="32" t="s">
        <v>214</v>
      </c>
      <c r="B84" s="13">
        <f xml:space="preserve"> B80+B83</f>
        <v>0.90329999999999999</v>
      </c>
      <c r="C84" s="14"/>
      <c r="D84" s="15"/>
      <c r="E84" s="13">
        <f xml:space="preserve"> E80+E83</f>
        <v>1.1975304347826086</v>
      </c>
      <c r="F84" s="16">
        <f t="shared" ref="F84" si="83" xml:space="preserve"> F80+F83</f>
        <v>1.4034</v>
      </c>
      <c r="G84" s="13">
        <f xml:space="preserve"> G80+G83</f>
        <v>1.1975304347826086</v>
      </c>
      <c r="H84" s="16">
        <f t="shared" ref="H84" si="84" xml:space="preserve"> H80+H83</f>
        <v>1.4034</v>
      </c>
      <c r="I84" s="13">
        <f t="shared" ref="I84" si="85" xml:space="preserve"> I80+I83</f>
        <v>1.1975304347826086</v>
      </c>
      <c r="J84" s="16">
        <f xml:space="preserve"> J80+J83</f>
        <v>1.4034</v>
      </c>
    </row>
    <row r="85" spans="1:10" x14ac:dyDescent="0.25">
      <c r="A85" s="31" t="s">
        <v>4</v>
      </c>
      <c r="B85" s="17">
        <f>PRODUCT(B80,0.25)</f>
        <v>0.14832499999999998</v>
      </c>
      <c r="D85" s="19"/>
      <c r="E85" s="17">
        <f>PRODUCT(E80,0.25)</f>
        <v>0.21523260869565217</v>
      </c>
      <c r="F85" s="20">
        <f>PRODUCT(F80,0.25)</f>
        <v>0.26669999999999999</v>
      </c>
      <c r="G85" s="17">
        <f>PRODUCT(G80,0.25)</f>
        <v>0.21523260869565217</v>
      </c>
      <c r="H85" s="20">
        <f t="shared" ref="H85:J85" si="86">PRODUCT(H80,0.25)</f>
        <v>0.26669999999999999</v>
      </c>
      <c r="I85" s="17">
        <f t="shared" si="86"/>
        <v>0.21523260869565217</v>
      </c>
      <c r="J85" s="20">
        <f t="shared" si="86"/>
        <v>0.26669999999999999</v>
      </c>
    </row>
    <row r="86" spans="1:10" ht="15.75" thickBot="1" x14ac:dyDescent="0.3">
      <c r="A86" s="31" t="s">
        <v>5</v>
      </c>
      <c r="B86" s="17">
        <f>PRODUCT(B83,0.25)</f>
        <v>7.7499999999999999E-2</v>
      </c>
      <c r="D86" s="19"/>
      <c r="E86" s="17">
        <f>PRODUCT(E83,0.25)</f>
        <v>8.4149999999999989E-2</v>
      </c>
      <c r="F86" s="20">
        <f>PRODUCT(F83,0.25)</f>
        <v>8.4149999999999989E-2</v>
      </c>
      <c r="G86" s="17">
        <f t="shared" ref="G86:J86" si="87">PRODUCT(G83,0.25)</f>
        <v>8.4149999999999989E-2</v>
      </c>
      <c r="H86" s="20">
        <f t="shared" si="87"/>
        <v>8.4149999999999989E-2</v>
      </c>
      <c r="I86" s="17">
        <f t="shared" si="87"/>
        <v>8.4149999999999989E-2</v>
      </c>
      <c r="J86" s="20">
        <f t="shared" si="87"/>
        <v>8.4149999999999989E-2</v>
      </c>
    </row>
    <row r="87" spans="1:10" ht="15.75" thickBot="1" x14ac:dyDescent="0.3">
      <c r="A87" s="32" t="s">
        <v>6</v>
      </c>
      <c r="B87" s="13">
        <f t="shared" ref="B87" si="88">SUM(B85,B86)</f>
        <v>0.225825</v>
      </c>
      <c r="C87" s="14"/>
      <c r="D87" s="15"/>
      <c r="E87" s="13">
        <f t="shared" ref="E87:F87" si="89">SUM(E85,E86)</f>
        <v>0.29938260869565214</v>
      </c>
      <c r="F87" s="16">
        <f t="shared" si="89"/>
        <v>0.35085</v>
      </c>
      <c r="G87" s="13">
        <f t="shared" ref="G87:J87" si="90">SUM(G85,G86)</f>
        <v>0.29938260869565214</v>
      </c>
      <c r="H87" s="16">
        <f t="shared" si="90"/>
        <v>0.35085</v>
      </c>
      <c r="I87" s="13">
        <f t="shared" si="90"/>
        <v>0.29938260869565214</v>
      </c>
      <c r="J87" s="16">
        <f t="shared" si="90"/>
        <v>0.35085</v>
      </c>
    </row>
    <row r="88" spans="1:10" ht="15.75" thickBot="1" x14ac:dyDescent="0.3">
      <c r="A88" s="33" t="s">
        <v>51</v>
      </c>
      <c r="B88" s="144">
        <f>SUM(B84,B87)</f>
        <v>1.1291249999999999</v>
      </c>
      <c r="C88" s="145"/>
      <c r="D88" s="145"/>
      <c r="E88" s="144">
        <f>SUM(E84,E87)</f>
        <v>1.4969130434782607</v>
      </c>
      <c r="F88" s="146">
        <f t="shared" ref="F88" si="91">SUM(F84,F87)</f>
        <v>1.7542499999999999</v>
      </c>
      <c r="G88" s="144">
        <f>SUM(G84,G87)</f>
        <v>1.4969130434782607</v>
      </c>
      <c r="H88" s="146">
        <f t="shared" ref="H88" si="92">SUM(H84,H87)</f>
        <v>1.7542499999999999</v>
      </c>
      <c r="I88" s="144">
        <f t="shared" ref="I88" si="93">SUM(I84,I87)</f>
        <v>1.4969130434782607</v>
      </c>
      <c r="J88" s="146">
        <f t="shared" ref="J88" si="94">SUM(J84,J87)</f>
        <v>1.7542499999999999</v>
      </c>
    </row>
  </sheetData>
  <mergeCells count="17">
    <mergeCell ref="A2:J2"/>
    <mergeCell ref="A3:C3"/>
    <mergeCell ref="I45:J45"/>
    <mergeCell ref="G26:H26"/>
    <mergeCell ref="I26:J26"/>
    <mergeCell ref="G77:H77"/>
    <mergeCell ref="I77:J77"/>
    <mergeCell ref="E7:F7"/>
    <mergeCell ref="E26:F26"/>
    <mergeCell ref="E45:F45"/>
    <mergeCell ref="E64:F64"/>
    <mergeCell ref="E77:F77"/>
    <mergeCell ref="G64:H64"/>
    <mergeCell ref="I64:J64"/>
    <mergeCell ref="G45:H45"/>
    <mergeCell ref="G7:H7"/>
    <mergeCell ref="I7:J7"/>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5"/>
  <sheetViews>
    <sheetView workbookViewId="0">
      <selection activeCell="E37" sqref="E37"/>
    </sheetView>
  </sheetViews>
  <sheetFormatPr defaultRowHeight="15" x14ac:dyDescent="0.25"/>
  <cols>
    <col min="2" max="2" width="21.85546875" customWidth="1"/>
    <col min="5" max="5" width="10.5703125" customWidth="1"/>
  </cols>
  <sheetData>
    <row r="1" spans="2:14" x14ac:dyDescent="0.25">
      <c r="H1" t="s">
        <v>616</v>
      </c>
      <c r="I1">
        <v>3</v>
      </c>
      <c r="J1">
        <v>4</v>
      </c>
      <c r="K1">
        <v>5</v>
      </c>
      <c r="L1">
        <v>6</v>
      </c>
      <c r="M1">
        <v>7</v>
      </c>
      <c r="N1">
        <v>8</v>
      </c>
    </row>
    <row r="2" spans="2:14" x14ac:dyDescent="0.25">
      <c r="B2" t="s">
        <v>591</v>
      </c>
      <c r="E2" s="552">
        <f>'Modell - Drivmedelpriser'!F62-'Modell - Drivmedelpriser'!F61</f>
        <v>16.350158148247193</v>
      </c>
      <c r="F2" t="s">
        <v>611</v>
      </c>
      <c r="H2">
        <v>126</v>
      </c>
      <c r="I2">
        <f>$H2/I1</f>
        <v>42</v>
      </c>
      <c r="J2">
        <f t="shared" ref="J2:N2" si="0">$H2/J1</f>
        <v>31.5</v>
      </c>
      <c r="K2">
        <f t="shared" si="0"/>
        <v>25.2</v>
      </c>
      <c r="L2">
        <f t="shared" si="0"/>
        <v>21</v>
      </c>
      <c r="M2">
        <f t="shared" si="0"/>
        <v>18</v>
      </c>
      <c r="N2">
        <f t="shared" si="0"/>
        <v>15.75</v>
      </c>
    </row>
    <row r="3" spans="2:14" x14ac:dyDescent="0.25">
      <c r="E3" s="552"/>
      <c r="H3">
        <f>H2*0.75</f>
        <v>94.5</v>
      </c>
      <c r="I3">
        <f>$H3/I1</f>
        <v>31.5</v>
      </c>
      <c r="J3">
        <f t="shared" ref="J3:N3" si="1">$H3/J1</f>
        <v>23.625</v>
      </c>
      <c r="K3">
        <f t="shared" si="1"/>
        <v>18.899999999999999</v>
      </c>
      <c r="L3">
        <f t="shared" si="1"/>
        <v>15.75</v>
      </c>
      <c r="M3">
        <f t="shared" si="1"/>
        <v>13.5</v>
      </c>
      <c r="N3">
        <f t="shared" si="1"/>
        <v>11.8125</v>
      </c>
    </row>
    <row r="4" spans="2:14" x14ac:dyDescent="0.25">
      <c r="B4" t="s">
        <v>594</v>
      </c>
      <c r="D4" t="s">
        <v>593</v>
      </c>
      <c r="F4" t="s">
        <v>405</v>
      </c>
      <c r="H4" t="s">
        <v>614</v>
      </c>
      <c r="I4">
        <f>I3-I2</f>
        <v>-10.5</v>
      </c>
      <c r="J4">
        <f t="shared" ref="J4:N4" si="2">J3-J2</f>
        <v>-7.875</v>
      </c>
      <c r="K4">
        <f t="shared" si="2"/>
        <v>-6.3000000000000007</v>
      </c>
      <c r="L4">
        <f t="shared" si="2"/>
        <v>-5.25</v>
      </c>
      <c r="M4">
        <f t="shared" si="2"/>
        <v>-4.5</v>
      </c>
      <c r="N4">
        <f t="shared" si="2"/>
        <v>-3.9375</v>
      </c>
    </row>
    <row r="5" spans="2:14" x14ac:dyDescent="0.25">
      <c r="B5" t="s">
        <v>592</v>
      </c>
      <c r="C5" t="s">
        <v>590</v>
      </c>
      <c r="D5">
        <v>16</v>
      </c>
      <c r="E5" s="552">
        <v>1.0975404858629165</v>
      </c>
      <c r="F5" t="s">
        <v>596</v>
      </c>
      <c r="H5" t="s">
        <v>615</v>
      </c>
      <c r="I5" s="623">
        <f>I4/$H6</f>
        <v>-0.52500000000000002</v>
      </c>
      <c r="J5" s="623">
        <f t="shared" ref="J5:N5" si="3">J4/$H6</f>
        <v>-0.39374999999999999</v>
      </c>
      <c r="K5" s="623">
        <f t="shared" si="3"/>
        <v>-0.31500000000000006</v>
      </c>
      <c r="L5" s="623">
        <f t="shared" si="3"/>
        <v>-0.26250000000000001</v>
      </c>
      <c r="M5" s="623">
        <f t="shared" si="3"/>
        <v>-0.22500000000000001</v>
      </c>
      <c r="N5" s="623">
        <f t="shared" si="3"/>
        <v>-0.19687499999999999</v>
      </c>
    </row>
    <row r="6" spans="2:14" x14ac:dyDescent="0.25">
      <c r="B6" t="s">
        <v>592</v>
      </c>
      <c r="C6" t="s">
        <v>590</v>
      </c>
      <c r="D6">
        <v>24</v>
      </c>
      <c r="E6" s="552">
        <v>1.4301687678393367</v>
      </c>
      <c r="F6" t="s">
        <v>596</v>
      </c>
      <c r="H6">
        <v>20</v>
      </c>
    </row>
    <row r="7" spans="2:14" x14ac:dyDescent="0.25">
      <c r="B7" t="s">
        <v>592</v>
      </c>
      <c r="C7" t="s">
        <v>590</v>
      </c>
      <c r="D7">
        <v>40</v>
      </c>
      <c r="E7" s="552">
        <v>1.7743995375527619</v>
      </c>
      <c r="F7" t="s">
        <v>596</v>
      </c>
    </row>
    <row r="8" spans="2:14" x14ac:dyDescent="0.25">
      <c r="B8" t="s">
        <v>592</v>
      </c>
      <c r="C8" t="s">
        <v>590</v>
      </c>
      <c r="D8">
        <v>60</v>
      </c>
      <c r="E8" s="552">
        <v>2.3008116808806713</v>
      </c>
      <c r="F8" t="s">
        <v>596</v>
      </c>
    </row>
    <row r="9" spans="2:14" x14ac:dyDescent="0.25">
      <c r="B9" t="s">
        <v>595</v>
      </c>
      <c r="C9" t="s">
        <v>590</v>
      </c>
      <c r="D9">
        <v>16</v>
      </c>
      <c r="E9" s="552">
        <f>E$2*E5</f>
        <v>17.944960517962748</v>
      </c>
      <c r="F9" t="s">
        <v>612</v>
      </c>
      <c r="I9" t="s">
        <v>695</v>
      </c>
      <c r="J9" s="623">
        <f>E9/E17</f>
        <v>9.4493321732404045E-2</v>
      </c>
    </row>
    <row r="10" spans="2:14" x14ac:dyDescent="0.25">
      <c r="B10" t="s">
        <v>595</v>
      </c>
      <c r="C10" t="s">
        <v>590</v>
      </c>
      <c r="D10">
        <v>24</v>
      </c>
      <c r="E10" s="552">
        <f>E$2*E6</f>
        <v>23.383485532856977</v>
      </c>
      <c r="F10" t="s">
        <v>612</v>
      </c>
      <c r="J10" s="623">
        <f t="shared" ref="J10:J12" si="4">E10/E18</f>
        <v>0.13372933171540347</v>
      </c>
    </row>
    <row r="11" spans="2:14" x14ac:dyDescent="0.25">
      <c r="B11" t="s">
        <v>595</v>
      </c>
      <c r="C11" t="s">
        <v>590</v>
      </c>
      <c r="D11">
        <v>40</v>
      </c>
      <c r="E11" s="552">
        <f>E$2*E7</f>
        <v>29.011713057164339</v>
      </c>
      <c r="F11" t="s">
        <v>612</v>
      </c>
      <c r="J11" s="623">
        <f t="shared" si="4"/>
        <v>0.18061831775163562</v>
      </c>
    </row>
    <row r="12" spans="2:14" x14ac:dyDescent="0.25">
      <c r="B12" t="s">
        <v>595</v>
      </c>
      <c r="C12" t="s">
        <v>590</v>
      </c>
      <c r="D12">
        <v>60</v>
      </c>
      <c r="E12" s="552">
        <f>E$2*E8</f>
        <v>37.618634851733425</v>
      </c>
      <c r="F12" t="s">
        <v>612</v>
      </c>
      <c r="J12" s="623">
        <f t="shared" si="4"/>
        <v>0.21386489109163176</v>
      </c>
    </row>
    <row r="13" spans="2:14" x14ac:dyDescent="0.25">
      <c r="B13" t="s">
        <v>598</v>
      </c>
      <c r="C13" t="s">
        <v>590</v>
      </c>
      <c r="D13">
        <v>16</v>
      </c>
      <c r="E13" s="552">
        <v>171.96222222222224</v>
      </c>
      <c r="F13" t="s">
        <v>599</v>
      </c>
    </row>
    <row r="14" spans="2:14" x14ac:dyDescent="0.25">
      <c r="B14" t="s">
        <v>598</v>
      </c>
      <c r="C14" t="s">
        <v>590</v>
      </c>
      <c r="D14">
        <v>24</v>
      </c>
      <c r="E14" s="552">
        <v>151.47333333333327</v>
      </c>
      <c r="F14" t="s">
        <v>599</v>
      </c>
    </row>
    <row r="15" spans="2:14" x14ac:dyDescent="0.25">
      <c r="B15" t="s">
        <v>598</v>
      </c>
      <c r="C15" t="s">
        <v>590</v>
      </c>
      <c r="D15">
        <v>40</v>
      </c>
      <c r="E15" s="552">
        <v>131.61270986021509</v>
      </c>
      <c r="F15" t="s">
        <v>599</v>
      </c>
    </row>
    <row r="16" spans="2:14" x14ac:dyDescent="0.25">
      <c r="B16" t="s">
        <v>598</v>
      </c>
      <c r="C16" t="s">
        <v>590</v>
      </c>
      <c r="D16">
        <v>60</v>
      </c>
      <c r="E16" s="552">
        <v>138.28043235708435</v>
      </c>
      <c r="F16" t="s">
        <v>599</v>
      </c>
    </row>
    <row r="17" spans="2:6" x14ac:dyDescent="0.25">
      <c r="B17" t="s">
        <v>600</v>
      </c>
      <c r="C17" t="s">
        <v>590</v>
      </c>
      <c r="D17">
        <v>16</v>
      </c>
      <c r="E17" s="552">
        <f>E13+E9</f>
        <v>189.90718274018499</v>
      </c>
      <c r="F17" t="s">
        <v>599</v>
      </c>
    </row>
    <row r="18" spans="2:6" x14ac:dyDescent="0.25">
      <c r="B18" t="s">
        <v>600</v>
      </c>
      <c r="C18" t="s">
        <v>590</v>
      </c>
      <c r="D18">
        <v>24</v>
      </c>
      <c r="E18" s="552">
        <f t="shared" ref="E18:E19" si="5">E14+E10</f>
        <v>174.85681886619025</v>
      </c>
      <c r="F18" t="s">
        <v>599</v>
      </c>
    </row>
    <row r="19" spans="2:6" x14ac:dyDescent="0.25">
      <c r="B19" t="s">
        <v>600</v>
      </c>
      <c r="C19" t="s">
        <v>590</v>
      </c>
      <c r="D19">
        <v>40</v>
      </c>
      <c r="E19" s="552">
        <f t="shared" si="5"/>
        <v>160.62442291737943</v>
      </c>
      <c r="F19" t="s">
        <v>599</v>
      </c>
    </row>
    <row r="20" spans="2:6" x14ac:dyDescent="0.25">
      <c r="B20" t="s">
        <v>600</v>
      </c>
      <c r="C20" t="s">
        <v>590</v>
      </c>
      <c r="D20">
        <v>60</v>
      </c>
      <c r="E20" s="552">
        <f>E16+E12</f>
        <v>175.89906720881777</v>
      </c>
      <c r="F20" t="s">
        <v>599</v>
      </c>
    </row>
    <row r="21" spans="2:6" x14ac:dyDescent="0.25">
      <c r="B21" t="s">
        <v>601</v>
      </c>
      <c r="C21" t="s">
        <v>604</v>
      </c>
      <c r="D21">
        <v>16</v>
      </c>
      <c r="E21" s="623">
        <v>0.1</v>
      </c>
      <c r="F21" t="s">
        <v>584</v>
      </c>
    </row>
    <row r="22" spans="2:6" x14ac:dyDescent="0.25">
      <c r="B22" t="s">
        <v>601</v>
      </c>
      <c r="C22" t="s">
        <v>604</v>
      </c>
      <c r="D22">
        <v>24</v>
      </c>
      <c r="E22" s="623">
        <v>0.1</v>
      </c>
      <c r="F22" t="s">
        <v>584</v>
      </c>
    </row>
    <row r="23" spans="2:6" x14ac:dyDescent="0.25">
      <c r="B23" t="s">
        <v>601</v>
      </c>
      <c r="C23" t="s">
        <v>604</v>
      </c>
      <c r="D23">
        <v>40</v>
      </c>
      <c r="E23" s="623">
        <v>0.1</v>
      </c>
      <c r="F23" t="s">
        <v>584</v>
      </c>
    </row>
    <row r="24" spans="2:6" x14ac:dyDescent="0.25">
      <c r="B24" t="s">
        <v>601</v>
      </c>
      <c r="C24" t="s">
        <v>604</v>
      </c>
      <c r="D24">
        <v>60</v>
      </c>
      <c r="E24" s="623">
        <v>0.1</v>
      </c>
      <c r="F24" t="s">
        <v>584</v>
      </c>
    </row>
    <row r="25" spans="2:6" x14ac:dyDescent="0.25">
      <c r="B25" t="s">
        <v>602</v>
      </c>
      <c r="C25" t="s">
        <v>604</v>
      </c>
      <c r="D25">
        <v>16</v>
      </c>
      <c r="E25" s="623">
        <v>-0.63701837372949288</v>
      </c>
      <c r="F25" t="s">
        <v>584</v>
      </c>
    </row>
    <row r="26" spans="2:6" x14ac:dyDescent="0.25">
      <c r="B26" t="s">
        <v>602</v>
      </c>
      <c r="C26" t="s">
        <v>604</v>
      </c>
      <c r="D26">
        <v>24</v>
      </c>
      <c r="E26" s="623">
        <v>-0.53753674303844723</v>
      </c>
      <c r="F26" t="s">
        <v>584</v>
      </c>
    </row>
    <row r="27" spans="2:6" x14ac:dyDescent="0.25">
      <c r="B27" t="s">
        <v>602</v>
      </c>
      <c r="C27" t="s">
        <v>604</v>
      </c>
      <c r="D27">
        <v>40</v>
      </c>
      <c r="E27" s="623">
        <v>-0.51447918799022407</v>
      </c>
      <c r="F27" t="s">
        <v>584</v>
      </c>
    </row>
    <row r="28" spans="2:6" x14ac:dyDescent="0.25">
      <c r="B28" t="s">
        <v>602</v>
      </c>
      <c r="C28" t="s">
        <v>604</v>
      </c>
      <c r="D28">
        <v>60</v>
      </c>
      <c r="E28" s="623">
        <v>-0.50870458391552376</v>
      </c>
      <c r="F28" t="s">
        <v>584</v>
      </c>
    </row>
    <row r="29" spans="2:6" x14ac:dyDescent="0.25">
      <c r="B29" t="s">
        <v>603</v>
      </c>
      <c r="C29" t="s">
        <v>604</v>
      </c>
      <c r="D29" t="s">
        <v>605</v>
      </c>
      <c r="E29" s="624">
        <v>0.5</v>
      </c>
      <c r="F29" t="s">
        <v>584</v>
      </c>
    </row>
    <row r="30" spans="2:6" x14ac:dyDescent="0.25">
      <c r="B30" t="s">
        <v>606</v>
      </c>
      <c r="C30" t="s">
        <v>604</v>
      </c>
      <c r="D30">
        <v>16</v>
      </c>
      <c r="E30" s="606">
        <f t="shared" ref="E30:E37" si="6">E$29*E21</f>
        <v>0.05</v>
      </c>
      <c r="F30" t="s">
        <v>584</v>
      </c>
    </row>
    <row r="31" spans="2:6" x14ac:dyDescent="0.25">
      <c r="B31" t="s">
        <v>606</v>
      </c>
      <c r="C31" t="s">
        <v>604</v>
      </c>
      <c r="D31">
        <v>24</v>
      </c>
      <c r="E31" s="606">
        <f t="shared" si="6"/>
        <v>0.05</v>
      </c>
      <c r="F31" t="s">
        <v>584</v>
      </c>
    </row>
    <row r="32" spans="2:6" x14ac:dyDescent="0.25">
      <c r="B32" t="s">
        <v>606</v>
      </c>
      <c r="C32" t="s">
        <v>604</v>
      </c>
      <c r="D32">
        <v>40</v>
      </c>
      <c r="E32" s="606">
        <f t="shared" si="6"/>
        <v>0.05</v>
      </c>
      <c r="F32" t="s">
        <v>584</v>
      </c>
    </row>
    <row r="33" spans="2:6" x14ac:dyDescent="0.25">
      <c r="B33" t="s">
        <v>606</v>
      </c>
      <c r="C33" t="s">
        <v>604</v>
      </c>
      <c r="D33">
        <v>60</v>
      </c>
      <c r="E33" s="606">
        <f t="shared" si="6"/>
        <v>0.05</v>
      </c>
      <c r="F33" t="s">
        <v>584</v>
      </c>
    </row>
    <row r="34" spans="2:6" x14ac:dyDescent="0.25">
      <c r="B34" t="s">
        <v>607</v>
      </c>
      <c r="C34" t="s">
        <v>604</v>
      </c>
      <c r="D34">
        <v>16</v>
      </c>
      <c r="E34" s="606">
        <f>E$29*E25</f>
        <v>-0.31850918686474644</v>
      </c>
      <c r="F34" t="s">
        <v>584</v>
      </c>
    </row>
    <row r="35" spans="2:6" x14ac:dyDescent="0.25">
      <c r="B35" t="s">
        <v>607</v>
      </c>
      <c r="C35" t="s">
        <v>604</v>
      </c>
      <c r="D35">
        <v>24</v>
      </c>
      <c r="E35" s="606">
        <f t="shared" si="6"/>
        <v>-0.26876837151922361</v>
      </c>
      <c r="F35" t="s">
        <v>584</v>
      </c>
    </row>
    <row r="36" spans="2:6" x14ac:dyDescent="0.25">
      <c r="B36" t="s">
        <v>607</v>
      </c>
      <c r="C36" t="s">
        <v>604</v>
      </c>
      <c r="D36">
        <v>40</v>
      </c>
      <c r="E36" s="606">
        <f t="shared" si="6"/>
        <v>-0.25723959399511204</v>
      </c>
      <c r="F36" t="s">
        <v>584</v>
      </c>
    </row>
    <row r="37" spans="2:6" x14ac:dyDescent="0.25">
      <c r="B37" t="s">
        <v>607</v>
      </c>
      <c r="C37" t="s">
        <v>604</v>
      </c>
      <c r="D37">
        <v>60</v>
      </c>
      <c r="E37" s="606">
        <f t="shared" si="6"/>
        <v>-0.25435229195776188</v>
      </c>
      <c r="F37" t="s">
        <v>584</v>
      </c>
    </row>
    <row r="38" spans="2:6" x14ac:dyDescent="0.25">
      <c r="B38" t="s">
        <v>592</v>
      </c>
      <c r="C38" t="s">
        <v>604</v>
      </c>
      <c r="D38">
        <v>16</v>
      </c>
      <c r="E38" s="625">
        <f>(1-E30)*E5</f>
        <v>1.0426634615697707</v>
      </c>
      <c r="F38" t="s">
        <v>596</v>
      </c>
    </row>
    <row r="39" spans="2:6" x14ac:dyDescent="0.25">
      <c r="B39" t="s">
        <v>592</v>
      </c>
      <c r="C39" t="s">
        <v>604</v>
      </c>
      <c r="D39">
        <v>24</v>
      </c>
      <c r="E39" s="625">
        <f t="shared" ref="E39:E41" si="7">(1-E31)*E6</f>
        <v>1.3586603294473698</v>
      </c>
      <c r="F39" t="s">
        <v>596</v>
      </c>
    </row>
    <row r="40" spans="2:6" x14ac:dyDescent="0.25">
      <c r="B40" t="s">
        <v>592</v>
      </c>
      <c r="C40" t="s">
        <v>604</v>
      </c>
      <c r="D40">
        <v>40</v>
      </c>
      <c r="E40" s="625">
        <f t="shared" si="7"/>
        <v>1.6856795606751238</v>
      </c>
      <c r="F40" t="s">
        <v>596</v>
      </c>
    </row>
    <row r="41" spans="2:6" x14ac:dyDescent="0.25">
      <c r="B41" t="s">
        <v>592</v>
      </c>
      <c r="C41" t="s">
        <v>604</v>
      </c>
      <c r="D41">
        <v>60</v>
      </c>
      <c r="E41" s="625">
        <f t="shared" si="7"/>
        <v>2.1857710968366377</v>
      </c>
      <c r="F41" t="s">
        <v>596</v>
      </c>
    </row>
    <row r="42" spans="2:6" x14ac:dyDescent="0.25">
      <c r="B42" t="s">
        <v>595</v>
      </c>
      <c r="C42" t="s">
        <v>604</v>
      </c>
      <c r="D42">
        <v>16</v>
      </c>
      <c r="E42" s="626">
        <f>E$2*E38</f>
        <v>17.047712492064612</v>
      </c>
      <c r="F42" t="s">
        <v>597</v>
      </c>
    </row>
    <row r="43" spans="2:6" x14ac:dyDescent="0.25">
      <c r="B43" t="s">
        <v>595</v>
      </c>
      <c r="C43" t="s">
        <v>604</v>
      </c>
      <c r="D43">
        <v>24</v>
      </c>
      <c r="E43">
        <f>E$2*E39</f>
        <v>22.214311256214128</v>
      </c>
      <c r="F43" t="s">
        <v>597</v>
      </c>
    </row>
    <row r="44" spans="2:6" x14ac:dyDescent="0.25">
      <c r="B44" t="s">
        <v>595</v>
      </c>
      <c r="C44" t="s">
        <v>604</v>
      </c>
      <c r="D44">
        <v>40</v>
      </c>
      <c r="E44">
        <f>E$2*E40</f>
        <v>27.561127404306124</v>
      </c>
      <c r="F44" t="s">
        <v>597</v>
      </c>
    </row>
    <row r="45" spans="2:6" x14ac:dyDescent="0.25">
      <c r="B45" t="s">
        <v>595</v>
      </c>
      <c r="C45" t="s">
        <v>604</v>
      </c>
      <c r="D45">
        <v>60</v>
      </c>
      <c r="E45">
        <f>E$2*E41</f>
        <v>35.737703109146757</v>
      </c>
      <c r="F45" t="s">
        <v>597</v>
      </c>
    </row>
    <row r="46" spans="2:6" x14ac:dyDescent="0.25">
      <c r="B46" t="s">
        <v>598</v>
      </c>
      <c r="C46" t="s">
        <v>604</v>
      </c>
      <c r="D46">
        <v>16</v>
      </c>
      <c r="E46" s="622">
        <f>(1+E34)*E13</f>
        <v>117.19067465076739</v>
      </c>
      <c r="F46" t="s">
        <v>599</v>
      </c>
    </row>
    <row r="47" spans="2:6" x14ac:dyDescent="0.25">
      <c r="B47" t="s">
        <v>598</v>
      </c>
      <c r="C47" t="s">
        <v>604</v>
      </c>
      <c r="D47">
        <v>24</v>
      </c>
      <c r="E47" s="622">
        <f t="shared" ref="E47:E49" si="8">(1+E35)*E14</f>
        <v>110.76209220474476</v>
      </c>
      <c r="F47" t="s">
        <v>599</v>
      </c>
    </row>
    <row r="48" spans="2:6" x14ac:dyDescent="0.25">
      <c r="B48" t="s">
        <v>598</v>
      </c>
      <c r="C48" t="s">
        <v>604</v>
      </c>
      <c r="D48">
        <v>40</v>
      </c>
      <c r="E48" s="622">
        <f t="shared" si="8"/>
        <v>97.75670981117689</v>
      </c>
      <c r="F48" t="s">
        <v>599</v>
      </c>
    </row>
    <row r="49" spans="2:6" x14ac:dyDescent="0.25">
      <c r="B49" t="s">
        <v>598</v>
      </c>
      <c r="C49" t="s">
        <v>604</v>
      </c>
      <c r="D49">
        <v>60</v>
      </c>
      <c r="E49" s="622">
        <f t="shared" si="8"/>
        <v>103.1084874541497</v>
      </c>
      <c r="F49" t="s">
        <v>599</v>
      </c>
    </row>
    <row r="50" spans="2:6" x14ac:dyDescent="0.25">
      <c r="B50" t="s">
        <v>600</v>
      </c>
      <c r="C50" t="s">
        <v>604</v>
      </c>
      <c r="D50">
        <v>16</v>
      </c>
      <c r="E50" s="622">
        <f>E42+E46</f>
        <v>134.23838714283201</v>
      </c>
      <c r="F50" t="s">
        <v>599</v>
      </c>
    </row>
    <row r="51" spans="2:6" x14ac:dyDescent="0.25">
      <c r="B51" t="s">
        <v>600</v>
      </c>
      <c r="C51" t="s">
        <v>604</v>
      </c>
      <c r="D51">
        <v>24</v>
      </c>
      <c r="E51" s="622">
        <f t="shared" ref="E51:E53" si="9">E43+E47</f>
        <v>132.97640346095889</v>
      </c>
      <c r="F51" t="s">
        <v>599</v>
      </c>
    </row>
    <row r="52" spans="2:6" x14ac:dyDescent="0.25">
      <c r="B52" t="s">
        <v>600</v>
      </c>
      <c r="C52" t="s">
        <v>604</v>
      </c>
      <c r="D52">
        <v>40</v>
      </c>
      <c r="E52" s="622">
        <f t="shared" si="9"/>
        <v>125.31783721548301</v>
      </c>
      <c r="F52" t="s">
        <v>599</v>
      </c>
    </row>
    <row r="53" spans="2:6" x14ac:dyDescent="0.25">
      <c r="B53" t="s">
        <v>600</v>
      </c>
      <c r="C53" t="s">
        <v>604</v>
      </c>
      <c r="D53">
        <v>60</v>
      </c>
      <c r="E53" s="622">
        <f t="shared" si="9"/>
        <v>138.84619056329646</v>
      </c>
      <c r="F53" t="s">
        <v>599</v>
      </c>
    </row>
    <row r="54" spans="2:6" x14ac:dyDescent="0.25">
      <c r="B54" t="s">
        <v>613</v>
      </c>
      <c r="C54" t="s">
        <v>604</v>
      </c>
      <c r="D54">
        <v>16</v>
      </c>
      <c r="E54" s="623">
        <f>(E17-E50)/E17</f>
        <v>0.29313686188222982</v>
      </c>
    </row>
    <row r="55" spans="2:6" x14ac:dyDescent="0.25">
      <c r="B55" t="s">
        <v>613</v>
      </c>
      <c r="C55" t="s">
        <v>604</v>
      </c>
      <c r="D55">
        <v>24</v>
      </c>
      <c r="E55" s="623">
        <f t="shared" ref="E55:E57" si="10">(E18-E51)/E18</f>
        <v>0.2395126233954907</v>
      </c>
    </row>
    <row r="56" spans="2:6" x14ac:dyDescent="0.25">
      <c r="B56" t="s">
        <v>613</v>
      </c>
      <c r="C56" t="s">
        <v>604</v>
      </c>
      <c r="D56">
        <v>40</v>
      </c>
      <c r="E56" s="623">
        <f t="shared" si="10"/>
        <v>0.21980832715618293</v>
      </c>
    </row>
    <row r="57" spans="2:6" x14ac:dyDescent="0.25">
      <c r="B57" t="s">
        <v>613</v>
      </c>
      <c r="C57" t="s">
        <v>604</v>
      </c>
      <c r="D57">
        <v>60</v>
      </c>
      <c r="E57" s="623">
        <f t="shared" si="10"/>
        <v>0.21064851129388967</v>
      </c>
    </row>
    <row r="58" spans="2:6" x14ac:dyDescent="0.25">
      <c r="B58" t="s">
        <v>608</v>
      </c>
      <c r="C58" t="s">
        <v>604</v>
      </c>
      <c r="D58">
        <v>16</v>
      </c>
      <c r="E58" s="624">
        <v>0.2</v>
      </c>
    </row>
    <row r="59" spans="2:6" x14ac:dyDescent="0.25">
      <c r="B59" t="s">
        <v>608</v>
      </c>
      <c r="C59" t="s">
        <v>604</v>
      </c>
      <c r="D59">
        <v>24</v>
      </c>
      <c r="E59" s="624">
        <f>E58</f>
        <v>0.2</v>
      </c>
    </row>
    <row r="60" spans="2:6" x14ac:dyDescent="0.25">
      <c r="B60" t="s">
        <v>608</v>
      </c>
      <c r="C60" t="s">
        <v>604</v>
      </c>
      <c r="D60">
        <v>40</v>
      </c>
      <c r="E60" s="624">
        <f t="shared" ref="E60:E61" si="11">E59</f>
        <v>0.2</v>
      </c>
    </row>
    <row r="61" spans="2:6" x14ac:dyDescent="0.25">
      <c r="B61" t="s">
        <v>608</v>
      </c>
      <c r="C61" t="s">
        <v>604</v>
      </c>
      <c r="D61">
        <v>60</v>
      </c>
      <c r="E61" s="624">
        <f t="shared" si="11"/>
        <v>0.2</v>
      </c>
    </row>
    <row r="62" spans="2:6" x14ac:dyDescent="0.25">
      <c r="B62" t="s">
        <v>609</v>
      </c>
      <c r="D62">
        <v>16</v>
      </c>
      <c r="E62" s="606">
        <f>E58*E54</f>
        <v>5.8627372376445969E-2</v>
      </c>
    </row>
    <row r="63" spans="2:6" x14ac:dyDescent="0.25">
      <c r="B63" t="s">
        <v>609</v>
      </c>
      <c r="D63">
        <v>24</v>
      </c>
      <c r="E63" s="606">
        <f t="shared" ref="E63:E65" si="12">E59*E55</f>
        <v>4.7902524679098141E-2</v>
      </c>
    </row>
    <row r="64" spans="2:6" x14ac:dyDescent="0.25">
      <c r="B64" t="s">
        <v>609</v>
      </c>
      <c r="D64">
        <v>40</v>
      </c>
      <c r="E64" s="606">
        <f t="shared" si="12"/>
        <v>4.3961665431236585E-2</v>
      </c>
    </row>
    <row r="65" spans="2:5" x14ac:dyDescent="0.25">
      <c r="B65" t="s">
        <v>609</v>
      </c>
      <c r="D65">
        <v>60</v>
      </c>
      <c r="E65" s="606">
        <f t="shared" si="12"/>
        <v>4.2129702258777935E-2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93"/>
  <sheetViews>
    <sheetView zoomScaleNormal="100" workbookViewId="0">
      <pane xSplit="3" ySplit="7" topLeftCell="E65" activePane="bottomRight" state="frozen"/>
      <selection pane="topRight" activeCell="D1" sqref="D1"/>
      <selection pane="bottomLeft" activeCell="A8" sqref="A8"/>
      <selection pane="bottomRight" activeCell="E86" sqref="E86"/>
    </sheetView>
  </sheetViews>
  <sheetFormatPr defaultColWidth="8.85546875" defaultRowHeight="15" x14ac:dyDescent="0.25"/>
  <cols>
    <col min="1" max="1" width="38.140625" style="38" customWidth="1"/>
    <col min="2" max="2" width="22.42578125" style="38" bestFit="1" customWidth="1"/>
    <col min="3" max="6" width="40.140625" style="38" customWidth="1"/>
    <col min="7" max="9" width="21.7109375" style="38" customWidth="1"/>
    <col min="10" max="10" width="108.140625" style="38" bestFit="1" customWidth="1"/>
    <col min="11" max="19" width="8.85546875" style="38"/>
    <col min="20" max="16384" width="8.85546875" style="26"/>
  </cols>
  <sheetData>
    <row r="1" spans="1:19" ht="18" x14ac:dyDescent="0.25">
      <c r="A1" s="117" t="s">
        <v>57</v>
      </c>
      <c r="F1" s="401"/>
      <c r="G1" s="401"/>
      <c r="H1" s="401"/>
      <c r="I1" s="401"/>
    </row>
    <row r="2" spans="1:19" x14ac:dyDescent="0.25">
      <c r="A2" s="137" t="s">
        <v>60</v>
      </c>
      <c r="D2" s="400"/>
      <c r="E2" s="400"/>
      <c r="F2" s="400"/>
      <c r="G2" s="400"/>
      <c r="H2" s="400"/>
      <c r="I2" s="400"/>
    </row>
    <row r="3" spans="1:19" x14ac:dyDescent="0.25">
      <c r="A3" s="138" t="s">
        <v>202</v>
      </c>
      <c r="D3" s="151"/>
      <c r="E3" s="151"/>
      <c r="F3" s="151"/>
      <c r="G3" s="151"/>
      <c r="H3" s="151"/>
      <c r="I3" s="151"/>
    </row>
    <row r="4" spans="1:19" ht="15.75" thickBot="1" x14ac:dyDescent="0.3"/>
    <row r="5" spans="1:19" s="119" customFormat="1" ht="16.5" thickBot="1" x14ac:dyDescent="0.3">
      <c r="A5" s="120"/>
      <c r="B5" s="121"/>
      <c r="C5" s="121"/>
      <c r="D5" s="785" t="s">
        <v>474</v>
      </c>
      <c r="E5" s="786"/>
      <c r="F5" s="785" t="s">
        <v>472</v>
      </c>
      <c r="G5" s="786"/>
      <c r="H5" s="785" t="s">
        <v>473</v>
      </c>
      <c r="I5" s="786"/>
      <c r="J5" s="770" t="s">
        <v>15</v>
      </c>
      <c r="K5" s="771"/>
      <c r="L5" s="118"/>
      <c r="M5" s="118"/>
      <c r="N5" s="118"/>
      <c r="O5" s="118"/>
      <c r="P5" s="118"/>
      <c r="Q5" s="118"/>
      <c r="R5" s="118"/>
      <c r="S5" s="118"/>
    </row>
    <row r="6" spans="1:19" s="64" customFormat="1" ht="61.5" customHeight="1" thickBot="1" x14ac:dyDescent="0.3">
      <c r="A6" s="72" t="s">
        <v>203</v>
      </c>
      <c r="B6" s="127"/>
      <c r="C6" s="128"/>
      <c r="D6" s="787" t="s">
        <v>475</v>
      </c>
      <c r="E6" s="788"/>
      <c r="F6" s="789" t="s">
        <v>468</v>
      </c>
      <c r="G6" s="790"/>
      <c r="H6" s="789" t="s">
        <v>469</v>
      </c>
      <c r="I6" s="790"/>
      <c r="J6" s="62"/>
      <c r="K6" s="63"/>
      <c r="L6" s="63"/>
      <c r="M6" s="63"/>
      <c r="N6" s="63"/>
      <c r="O6" s="63"/>
      <c r="P6" s="63"/>
      <c r="Q6" s="63"/>
      <c r="R6" s="63"/>
      <c r="S6" s="63"/>
    </row>
    <row r="7" spans="1:19" s="119" customFormat="1" ht="16.5" thickBot="1" x14ac:dyDescent="0.3">
      <c r="A7" s="120" t="s">
        <v>177</v>
      </c>
      <c r="B7" s="121" t="s">
        <v>18</v>
      </c>
      <c r="C7" s="121" t="s">
        <v>14</v>
      </c>
      <c r="D7" s="122">
        <v>2030</v>
      </c>
      <c r="E7" s="123">
        <v>2040</v>
      </c>
      <c r="F7" s="122">
        <v>2030</v>
      </c>
      <c r="G7" s="123">
        <v>2040</v>
      </c>
      <c r="H7" s="122">
        <v>2030</v>
      </c>
      <c r="I7" s="123">
        <v>2040</v>
      </c>
      <c r="J7" s="770" t="s">
        <v>15</v>
      </c>
      <c r="K7" s="771"/>
      <c r="L7" s="118"/>
      <c r="M7" s="118"/>
      <c r="N7" s="118"/>
      <c r="O7" s="118"/>
      <c r="P7" s="118"/>
      <c r="Q7" s="118"/>
      <c r="R7" s="118"/>
      <c r="S7" s="118"/>
    </row>
    <row r="8" spans="1:19" s="119" customFormat="1" ht="16.5" thickBot="1" x14ac:dyDescent="0.3">
      <c r="A8" s="120" t="s">
        <v>26</v>
      </c>
      <c r="B8" s="121" t="s">
        <v>18</v>
      </c>
      <c r="C8" s="121" t="s">
        <v>14</v>
      </c>
      <c r="D8" s="122">
        <v>2030</v>
      </c>
      <c r="E8" s="123">
        <v>2040</v>
      </c>
      <c r="F8" s="122">
        <v>2030</v>
      </c>
      <c r="G8" s="123">
        <v>2040</v>
      </c>
      <c r="H8" s="122">
        <v>2030</v>
      </c>
      <c r="I8" s="123">
        <v>2040</v>
      </c>
      <c r="J8" s="770" t="s">
        <v>15</v>
      </c>
      <c r="K8" s="771"/>
      <c r="L8" s="118"/>
      <c r="M8" s="118"/>
      <c r="N8" s="118"/>
      <c r="O8" s="118"/>
      <c r="P8" s="118"/>
      <c r="Q8" s="118"/>
      <c r="R8" s="118"/>
      <c r="S8" s="118"/>
    </row>
    <row r="9" spans="1:19" ht="15.75" thickBot="1" x14ac:dyDescent="0.3">
      <c r="A9" s="778" t="s">
        <v>1</v>
      </c>
      <c r="B9" s="102" t="s">
        <v>11</v>
      </c>
      <c r="C9" s="102" t="s">
        <v>10</v>
      </c>
      <c r="D9" s="42">
        <v>7.4999999999999997E-2</v>
      </c>
      <c r="E9" s="43">
        <v>7.4999999999999997E-2</v>
      </c>
      <c r="F9" s="108">
        <f>EMA!B67</f>
        <v>7.4999999999999997E-2</v>
      </c>
      <c r="G9" s="109">
        <f>MIN(EMA!C77,10%)</f>
        <v>0.1</v>
      </c>
      <c r="H9" s="42">
        <f>D9</f>
        <v>7.4999999999999997E-2</v>
      </c>
      <c r="I9" s="43">
        <f>E9</f>
        <v>7.4999999999999997E-2</v>
      </c>
      <c r="J9" s="38" t="s">
        <v>357</v>
      </c>
    </row>
    <row r="10" spans="1:19" ht="15.75" thickBot="1" x14ac:dyDescent="0.3">
      <c r="A10" s="777"/>
      <c r="B10" s="38" t="s">
        <v>12</v>
      </c>
      <c r="C10" s="38" t="s">
        <v>10</v>
      </c>
      <c r="D10" s="45">
        <v>0</v>
      </c>
      <c r="E10" s="46">
        <v>0</v>
      </c>
      <c r="F10" s="110">
        <f>EMA!B66</f>
        <v>0</v>
      </c>
      <c r="G10" s="111">
        <f>MAX(0,EMA!C77-10%)</f>
        <v>0.1</v>
      </c>
      <c r="H10" s="42">
        <f t="shared" ref="H10:H23" si="0">D10</f>
        <v>0</v>
      </c>
      <c r="I10" s="43">
        <f t="shared" ref="I10:I23" si="1">E10</f>
        <v>0</v>
      </c>
      <c r="J10" s="38" t="s">
        <v>357</v>
      </c>
    </row>
    <row r="11" spans="1:19" ht="15.75" thickBot="1" x14ac:dyDescent="0.3">
      <c r="A11" s="777"/>
      <c r="B11" s="38" t="s">
        <v>13</v>
      </c>
      <c r="C11" s="38" t="s">
        <v>10</v>
      </c>
      <c r="D11" s="45">
        <v>7.0000000000000007E-2</v>
      </c>
      <c r="E11" s="46">
        <v>7.0000000000000007E-2</v>
      </c>
      <c r="F11" s="110">
        <v>7.0000000000000007E-2</v>
      </c>
      <c r="G11" s="111">
        <f>MIN(7%,EMA!C76)</f>
        <v>7.0000000000000007E-2</v>
      </c>
      <c r="H11" s="42">
        <f t="shared" si="0"/>
        <v>7.0000000000000007E-2</v>
      </c>
      <c r="I11" s="43">
        <f t="shared" si="1"/>
        <v>7.0000000000000007E-2</v>
      </c>
      <c r="J11" s="38" t="s">
        <v>357</v>
      </c>
    </row>
    <row r="12" spans="1:19" ht="15.75" thickBot="1" x14ac:dyDescent="0.3">
      <c r="A12" s="777"/>
      <c r="B12" s="38" t="s">
        <v>37</v>
      </c>
      <c r="C12" s="38" t="s">
        <v>10</v>
      </c>
      <c r="D12" s="65">
        <v>0.25</v>
      </c>
      <c r="E12" s="66">
        <v>0.25</v>
      </c>
      <c r="F12" s="112">
        <f>EMA!B64</f>
        <v>0.25</v>
      </c>
      <c r="G12" s="113">
        <f>MAX(0,EMA!C76-7%)</f>
        <v>0.18</v>
      </c>
      <c r="H12" s="42">
        <f t="shared" si="0"/>
        <v>0.25</v>
      </c>
      <c r="I12" s="43">
        <f t="shared" si="1"/>
        <v>0.25</v>
      </c>
      <c r="J12" s="38" t="s">
        <v>357</v>
      </c>
    </row>
    <row r="13" spans="1:19" ht="15.75" thickBot="1" x14ac:dyDescent="0.3">
      <c r="A13" s="778" t="s">
        <v>41</v>
      </c>
      <c r="B13" s="102" t="s">
        <v>8</v>
      </c>
      <c r="C13" s="102" t="s">
        <v>42</v>
      </c>
      <c r="D13" s="42">
        <v>0.02</v>
      </c>
      <c r="E13" s="43">
        <v>0.02</v>
      </c>
      <c r="F13" s="108">
        <f>EMA!B70</f>
        <v>0.02</v>
      </c>
      <c r="G13" s="108">
        <f>EMA!C70</f>
        <v>0.02</v>
      </c>
      <c r="H13" s="42">
        <f t="shared" si="0"/>
        <v>0.02</v>
      </c>
      <c r="I13" s="43">
        <f t="shared" si="1"/>
        <v>0.02</v>
      </c>
      <c r="J13" s="38" t="s">
        <v>309</v>
      </c>
    </row>
    <row r="14" spans="1:19" ht="15.75" thickBot="1" x14ac:dyDescent="0.3">
      <c r="A14" s="779"/>
      <c r="B14" s="103" t="s">
        <v>9</v>
      </c>
      <c r="C14" s="103" t="s">
        <v>43</v>
      </c>
      <c r="D14" s="48">
        <v>0.02</v>
      </c>
      <c r="E14" s="49">
        <v>0.02</v>
      </c>
      <c r="F14" s="108">
        <f>EMA!B71</f>
        <v>0.02</v>
      </c>
      <c r="G14" s="108">
        <f>EMA!C71</f>
        <v>0.02</v>
      </c>
      <c r="H14" s="42">
        <f t="shared" si="0"/>
        <v>0.02</v>
      </c>
      <c r="I14" s="43">
        <f t="shared" si="1"/>
        <v>0.02</v>
      </c>
      <c r="J14" s="38" t="s">
        <v>309</v>
      </c>
    </row>
    <row r="15" spans="1:19" ht="15.75" thickBot="1" x14ac:dyDescent="0.3">
      <c r="A15" s="778" t="s">
        <v>21</v>
      </c>
      <c r="B15" s="102" t="s">
        <v>183</v>
      </c>
      <c r="C15" s="102" t="s">
        <v>24</v>
      </c>
      <c r="D15" s="51">
        <v>0</v>
      </c>
      <c r="E15" s="52">
        <v>0</v>
      </c>
      <c r="F15" s="114">
        <f>EMA!B68</f>
        <v>0</v>
      </c>
      <c r="G15" s="114">
        <f>EMA!C68</f>
        <v>0</v>
      </c>
      <c r="H15" s="42">
        <f t="shared" si="0"/>
        <v>0</v>
      </c>
      <c r="I15" s="43">
        <f t="shared" si="1"/>
        <v>0</v>
      </c>
      <c r="J15" s="38" t="s">
        <v>58</v>
      </c>
    </row>
    <row r="16" spans="1:19" ht="15.75" thickBot="1" x14ac:dyDescent="0.3">
      <c r="A16" s="779"/>
      <c r="B16" s="103" t="s">
        <v>319</v>
      </c>
      <c r="C16" s="103" t="s">
        <v>24</v>
      </c>
      <c r="D16" s="55">
        <v>0</v>
      </c>
      <c r="E16" s="56">
        <v>0</v>
      </c>
      <c r="F16" s="114">
        <f>EMA!B69</f>
        <v>0</v>
      </c>
      <c r="G16" s="114">
        <f>EMA!C69</f>
        <v>0</v>
      </c>
      <c r="H16" s="42">
        <f t="shared" si="0"/>
        <v>0</v>
      </c>
      <c r="I16" s="43">
        <f t="shared" si="1"/>
        <v>0</v>
      </c>
      <c r="J16" s="38" t="s">
        <v>58</v>
      </c>
    </row>
    <row r="17" spans="1:19" ht="15.75" thickBot="1" x14ac:dyDescent="0.3">
      <c r="A17" s="129" t="s">
        <v>53</v>
      </c>
      <c r="B17" s="104" t="s">
        <v>373</v>
      </c>
      <c r="C17" s="104" t="s">
        <v>73</v>
      </c>
      <c r="D17" s="67" t="s">
        <v>61</v>
      </c>
      <c r="E17" s="68" t="s">
        <v>61</v>
      </c>
      <c r="F17" s="115" t="str">
        <f>EMA!B62</f>
        <v>1. Beslutad politik</v>
      </c>
      <c r="G17" s="115" t="str">
        <f>EMA!C62</f>
        <v>1. Beslutad politik</v>
      </c>
      <c r="H17" s="42" t="str">
        <f t="shared" si="0"/>
        <v>1. Beslutad politik</v>
      </c>
      <c r="I17" s="43" t="str">
        <f t="shared" si="1"/>
        <v>1. Beslutad politik</v>
      </c>
      <c r="J17" s="382" t="s">
        <v>327</v>
      </c>
    </row>
    <row r="18" spans="1:19" s="119" customFormat="1" ht="16.5" thickBot="1" x14ac:dyDescent="0.3">
      <c r="A18" s="120" t="s">
        <v>59</v>
      </c>
      <c r="B18" s="121" t="s">
        <v>18</v>
      </c>
      <c r="C18" s="121" t="s">
        <v>14</v>
      </c>
      <c r="D18" s="122">
        <v>2030</v>
      </c>
      <c r="E18" s="123">
        <v>2040</v>
      </c>
      <c r="F18" s="122">
        <v>2030</v>
      </c>
      <c r="G18" s="123">
        <v>2040</v>
      </c>
      <c r="H18" s="42">
        <f t="shared" si="0"/>
        <v>2030</v>
      </c>
      <c r="I18" s="43">
        <f t="shared" si="1"/>
        <v>2040</v>
      </c>
      <c r="J18" s="770" t="s">
        <v>15</v>
      </c>
      <c r="K18" s="771"/>
      <c r="L18" s="118"/>
      <c r="M18" s="118"/>
      <c r="N18" s="118"/>
      <c r="O18" s="118"/>
      <c r="P18" s="118"/>
      <c r="Q18" s="118"/>
      <c r="R18" s="118"/>
      <c r="S18" s="118"/>
    </row>
    <row r="19" spans="1:19" ht="15.75" thickBot="1" x14ac:dyDescent="0.3">
      <c r="A19" s="778" t="s">
        <v>22</v>
      </c>
      <c r="B19" s="102" t="s">
        <v>183</v>
      </c>
      <c r="C19" s="130" t="s">
        <v>25</v>
      </c>
      <c r="D19" s="44">
        <v>0</v>
      </c>
      <c r="E19" s="89">
        <v>0</v>
      </c>
      <c r="F19" s="108">
        <f>EMA!B72</f>
        <v>0</v>
      </c>
      <c r="G19" s="108">
        <f>EMA!C72</f>
        <v>0</v>
      </c>
      <c r="H19" s="42">
        <f t="shared" si="0"/>
        <v>0</v>
      </c>
      <c r="I19" s="43">
        <f t="shared" si="1"/>
        <v>0</v>
      </c>
      <c r="J19" s="75" t="s">
        <v>251</v>
      </c>
    </row>
    <row r="20" spans="1:19" ht="15.75" thickBot="1" x14ac:dyDescent="0.3">
      <c r="A20" s="779"/>
      <c r="B20" s="103" t="s">
        <v>319</v>
      </c>
      <c r="C20" s="131" t="s">
        <v>25</v>
      </c>
      <c r="D20" s="50">
        <v>0</v>
      </c>
      <c r="E20" s="90">
        <v>0</v>
      </c>
      <c r="F20" s="108">
        <f>EMA!B73</f>
        <v>0</v>
      </c>
      <c r="G20" s="108">
        <f>EMA!C73</f>
        <v>5.0000000000000001E-4</v>
      </c>
      <c r="H20" s="42">
        <f t="shared" si="0"/>
        <v>0</v>
      </c>
      <c r="I20" s="43">
        <f t="shared" si="1"/>
        <v>0</v>
      </c>
      <c r="J20" s="75" t="s">
        <v>251</v>
      </c>
    </row>
    <row r="21" spans="1:19" ht="15.75" thickBot="1" x14ac:dyDescent="0.3">
      <c r="A21" s="777" t="s">
        <v>23</v>
      </c>
      <c r="B21" s="102" t="s">
        <v>183</v>
      </c>
      <c r="C21" s="132" t="s">
        <v>25</v>
      </c>
      <c r="D21" s="91">
        <v>0</v>
      </c>
      <c r="E21" s="92">
        <v>0</v>
      </c>
      <c r="F21" s="108">
        <f>EMA!B74</f>
        <v>0</v>
      </c>
      <c r="G21" s="108">
        <f>EMA!C74</f>
        <v>0</v>
      </c>
      <c r="H21" s="42">
        <f t="shared" si="0"/>
        <v>0</v>
      </c>
      <c r="I21" s="43">
        <f t="shared" si="1"/>
        <v>0</v>
      </c>
      <c r="J21" s="75" t="s">
        <v>250</v>
      </c>
    </row>
    <row r="22" spans="1:19" ht="15.75" thickBot="1" x14ac:dyDescent="0.3">
      <c r="A22" s="779"/>
      <c r="B22" s="103" t="s">
        <v>319</v>
      </c>
      <c r="C22" s="133" t="s">
        <v>25</v>
      </c>
      <c r="D22" s="50">
        <v>0</v>
      </c>
      <c r="E22" s="90">
        <v>0</v>
      </c>
      <c r="F22" s="108">
        <f>EMA!B75</f>
        <v>0</v>
      </c>
      <c r="G22" s="108">
        <f>EMA!C75</f>
        <v>0</v>
      </c>
      <c r="H22" s="42">
        <f t="shared" si="0"/>
        <v>0</v>
      </c>
      <c r="I22" s="43">
        <f t="shared" si="1"/>
        <v>0</v>
      </c>
      <c r="J22" s="75" t="s">
        <v>250</v>
      </c>
    </row>
    <row r="23" spans="1:19" ht="15.75" thickBot="1" x14ac:dyDescent="0.3">
      <c r="A23" s="345" t="s">
        <v>298</v>
      </c>
      <c r="B23" s="103" t="s">
        <v>299</v>
      </c>
      <c r="C23" s="103" t="s">
        <v>308</v>
      </c>
      <c r="D23" s="67" t="s">
        <v>331</v>
      </c>
      <c r="E23" s="68" t="s">
        <v>331</v>
      </c>
      <c r="F23" s="115" t="str">
        <f>EMA!B63</f>
        <v>Beslutad politik</v>
      </c>
      <c r="G23" s="116" t="str">
        <f>EMA!C63</f>
        <v>Level 1</v>
      </c>
      <c r="H23" s="42" t="str">
        <f t="shared" si="0"/>
        <v>Beslutad politik</v>
      </c>
      <c r="I23" s="43" t="str">
        <f t="shared" si="1"/>
        <v>Beslutad politik</v>
      </c>
      <c r="J23" s="382" t="s">
        <v>328</v>
      </c>
    </row>
    <row r="24" spans="1:19" s="119" customFormat="1" ht="16.5" thickBot="1" x14ac:dyDescent="0.3">
      <c r="A24" s="120" t="s">
        <v>110</v>
      </c>
      <c r="B24" s="121" t="s">
        <v>18</v>
      </c>
      <c r="C24" s="121" t="s">
        <v>14</v>
      </c>
      <c r="D24" s="122">
        <v>2030</v>
      </c>
      <c r="E24" s="123">
        <v>2040</v>
      </c>
      <c r="F24" s="122">
        <v>2030</v>
      </c>
      <c r="G24" s="123">
        <v>2040</v>
      </c>
      <c r="H24" s="122">
        <v>2030</v>
      </c>
      <c r="I24" s="123">
        <v>2040</v>
      </c>
      <c r="J24" s="770" t="s">
        <v>15</v>
      </c>
      <c r="K24" s="771"/>
      <c r="L24" s="118"/>
      <c r="M24" s="118"/>
      <c r="N24" s="118"/>
      <c r="O24" s="118"/>
      <c r="P24" s="118"/>
      <c r="Q24" s="118"/>
      <c r="R24" s="118"/>
      <c r="S24" s="118"/>
    </row>
    <row r="25" spans="1:19" ht="14.45" customHeight="1" x14ac:dyDescent="0.25">
      <c r="A25" s="778" t="s">
        <v>149</v>
      </c>
      <c r="B25" s="102" t="s">
        <v>8</v>
      </c>
      <c r="C25" s="102" t="s">
        <v>19</v>
      </c>
      <c r="D25" s="42">
        <f>IF(D$17='Indata - Fordon och Trafik'!$A$3,'Indata - Fordon och Trafik'!C7,'Indata - Fordon och Trafik'!H7)</f>
        <v>0.39627461007293346</v>
      </c>
      <c r="E25" s="43">
        <f>IF(E$17='Indata - Fordon och Trafik'!$A$3,'Indata - Fordon och Trafik'!D7,'Indata - Fordon och Trafik'!I7)</f>
        <v>0.30878176598734658</v>
      </c>
      <c r="F25" s="42">
        <f>IF(F$17='Indata - Fordon och Trafik'!$A$3,'Indata - Fordon och Trafik'!C7,'Indata - Fordon och Trafik'!H7)</f>
        <v>0.39627461007293346</v>
      </c>
      <c r="G25" s="43">
        <f>IF(G$17='Indata - Fordon och Trafik'!$A$3,'Indata - Fordon och Trafik'!D7,'Indata - Fordon och Trafik'!I7)</f>
        <v>0.30878176598734658</v>
      </c>
      <c r="H25" s="44">
        <f>IF(H$17='Indata - Fordon och Trafik'!$A$3,'Indata - Fordon och Trafik'!C7,'Indata - Fordon och Trafik'!H7)</f>
        <v>0.39627461007293346</v>
      </c>
      <c r="I25" s="43">
        <f>IF(I$17='Indata - Fordon och Trafik'!$A$3,'Indata - Fordon och Trafik'!D7,'Indata - Fordon och Trafik'!I7)</f>
        <v>0.30878176598734658</v>
      </c>
      <c r="J25" s="38" t="s">
        <v>170</v>
      </c>
      <c r="K25" s="26"/>
      <c r="L25" s="26"/>
      <c r="M25" s="26"/>
      <c r="N25" s="26"/>
      <c r="O25" s="26"/>
      <c r="P25" s="26"/>
      <c r="Q25" s="26"/>
      <c r="R25" s="26"/>
      <c r="S25" s="26"/>
    </row>
    <row r="26" spans="1:19" x14ac:dyDescent="0.25">
      <c r="A26" s="777"/>
      <c r="B26" s="38" t="s">
        <v>9</v>
      </c>
      <c r="C26" s="38" t="s">
        <v>19</v>
      </c>
      <c r="D26" s="45">
        <f>IF(D$17='Indata - Fordon och Trafik'!$A$3,'Indata - Fordon och Trafik'!C8,'Indata - Fordon och Trafik'!H8)</f>
        <v>0.42372538992706654</v>
      </c>
      <c r="E26" s="46">
        <f>IF(E$17='Indata - Fordon och Trafik'!$A$3,'Indata - Fordon och Trafik'!D8,'Indata - Fordon och Trafik'!I8)</f>
        <v>0.31121823401265342</v>
      </c>
      <c r="F26" s="45">
        <f>IF(F$17='Indata - Fordon och Trafik'!$A$3,'Indata - Fordon och Trafik'!C8,'Indata - Fordon och Trafik'!H8)</f>
        <v>0.42372538992706654</v>
      </c>
      <c r="G26" s="46">
        <f>IF(G$17='Indata - Fordon och Trafik'!$A$3,'Indata - Fordon och Trafik'!D8,'Indata - Fordon och Trafik'!I8)</f>
        <v>0.31121823401265342</v>
      </c>
      <c r="H26" s="47">
        <f>IF(H$17='Indata - Fordon och Trafik'!$A$3,'Indata - Fordon och Trafik'!C8,'Indata - Fordon och Trafik'!H8)</f>
        <v>0.42372538992706654</v>
      </c>
      <c r="I26" s="46">
        <f>IF(I$17='Indata - Fordon och Trafik'!$A$3,'Indata - Fordon och Trafik'!D8,'Indata - Fordon och Trafik'!I8)</f>
        <v>0.31121823401265342</v>
      </c>
      <c r="J26" s="38" t="s">
        <v>170</v>
      </c>
      <c r="K26" s="26"/>
      <c r="L26" s="26"/>
      <c r="M26" s="26"/>
      <c r="N26" s="26"/>
      <c r="O26" s="26"/>
      <c r="P26" s="26"/>
      <c r="Q26" s="26"/>
      <c r="R26" s="26"/>
      <c r="S26" s="26"/>
    </row>
    <row r="27" spans="1:19" ht="15.75" thickBot="1" x14ac:dyDescent="0.3">
      <c r="A27" s="779"/>
      <c r="B27" s="103" t="s">
        <v>7</v>
      </c>
      <c r="C27" s="103" t="s">
        <v>19</v>
      </c>
      <c r="D27" s="48">
        <f>IF(D$17='Indata - Fordon och Trafik'!$A$3,'Indata - Fordon och Trafik'!C9,'Indata - Fordon och Trafik'!H9)</f>
        <v>0.18</v>
      </c>
      <c r="E27" s="49">
        <f>IF(E$17='Indata - Fordon och Trafik'!$A$3,'Indata - Fordon och Trafik'!D9,'Indata - Fordon och Trafik'!I9)</f>
        <v>0.38</v>
      </c>
      <c r="F27" s="48">
        <f>IF(F$17='Indata - Fordon och Trafik'!$A$3,'Indata - Fordon och Trafik'!C9,'Indata - Fordon och Trafik'!H9)</f>
        <v>0.18</v>
      </c>
      <c r="G27" s="49">
        <f>IF(G$17='Indata - Fordon och Trafik'!$A$3,'Indata - Fordon och Trafik'!D9,'Indata - Fordon och Trafik'!I9)</f>
        <v>0.38</v>
      </c>
      <c r="H27" s="50">
        <f>IF(H$17='Indata - Fordon och Trafik'!$A$3,'Indata - Fordon och Trafik'!C9,'Indata - Fordon och Trafik'!H9)</f>
        <v>0.18</v>
      </c>
      <c r="I27" s="49">
        <f>IF(I$17='Indata - Fordon och Trafik'!$A$3,'Indata - Fordon och Trafik'!D9,'Indata - Fordon och Trafik'!I9)</f>
        <v>0.38</v>
      </c>
      <c r="J27" s="38" t="s">
        <v>170</v>
      </c>
      <c r="K27" s="26"/>
      <c r="L27" s="26"/>
      <c r="M27" s="26"/>
      <c r="N27" s="26"/>
      <c r="O27" s="26"/>
      <c r="P27" s="26"/>
      <c r="Q27" s="26"/>
      <c r="R27" s="26"/>
      <c r="S27" s="26"/>
    </row>
    <row r="28" spans="1:19" ht="15.75" thickBot="1" x14ac:dyDescent="0.3">
      <c r="A28" s="134" t="s">
        <v>369</v>
      </c>
      <c r="B28" s="38" t="s">
        <v>7</v>
      </c>
      <c r="C28" s="38" t="s">
        <v>19</v>
      </c>
      <c r="D28" s="69">
        <f>D27</f>
        <v>0.18</v>
      </c>
      <c r="E28" s="70">
        <f>E27</f>
        <v>0.38</v>
      </c>
      <c r="F28" s="69">
        <f>IF(EMA!B10="No",F27,EMA!B5)</f>
        <v>0.18</v>
      </c>
      <c r="G28" s="70">
        <f>IF(EMA!C10="No",G27,EMA!C5)</f>
        <v>0.68</v>
      </c>
      <c r="H28" s="500">
        <f>IF(EMA!B10="No",H27,EMA!B5)</f>
        <v>0.18</v>
      </c>
      <c r="I28" s="501">
        <f t="shared" ref="I28" si="2">I27</f>
        <v>0.38</v>
      </c>
      <c r="J28" s="38" t="s">
        <v>204</v>
      </c>
      <c r="K28" s="26"/>
      <c r="L28" s="26"/>
      <c r="M28" s="26"/>
      <c r="N28" s="26"/>
      <c r="O28" s="26"/>
      <c r="P28" s="26"/>
      <c r="Q28" s="26"/>
      <c r="R28" s="26"/>
      <c r="S28" s="26"/>
    </row>
    <row r="29" spans="1:19" ht="14.45" customHeight="1" x14ac:dyDescent="0.25">
      <c r="A29" s="778" t="s">
        <v>38</v>
      </c>
      <c r="B29" s="102" t="s">
        <v>8</v>
      </c>
      <c r="C29" s="102" t="s">
        <v>39</v>
      </c>
      <c r="D29" s="51">
        <f>IF(D$17='Indata - Fordon och Trafik'!$A$3,'Indata - Fordon och Trafik'!$C16,'Indata - Fordon och Trafik'!$H16)</f>
        <v>0.60765334265455651</v>
      </c>
      <c r="E29" s="52">
        <f>IF(E$17='Indata - Fordon och Trafik'!$A$3,'Indata - Fordon och Trafik'!$D16,'Indata - Fordon och Trafik'!$I16)</f>
        <v>0.49219920755019081</v>
      </c>
      <c r="F29" s="51">
        <f t="shared" ref="F29:G34" si="3">D29</f>
        <v>0.60765334265455651</v>
      </c>
      <c r="G29" s="52">
        <f t="shared" si="3"/>
        <v>0.49219920755019081</v>
      </c>
      <c r="H29" s="51">
        <f t="shared" ref="H29:I34" si="4">D29</f>
        <v>0.60765334265455651</v>
      </c>
      <c r="I29" s="52">
        <f t="shared" si="4"/>
        <v>0.49219920755019081</v>
      </c>
      <c r="J29" s="38" t="s">
        <v>62</v>
      </c>
      <c r="K29" s="26"/>
      <c r="L29" s="26"/>
      <c r="M29" s="26"/>
      <c r="N29" s="26"/>
      <c r="O29" s="26"/>
      <c r="P29" s="26"/>
      <c r="Q29" s="26"/>
      <c r="R29" s="26"/>
      <c r="S29" s="26"/>
    </row>
    <row r="30" spans="1:19" x14ac:dyDescent="0.25">
      <c r="A30" s="777"/>
      <c r="B30" s="38" t="s">
        <v>9</v>
      </c>
      <c r="C30" s="38" t="s">
        <v>39</v>
      </c>
      <c r="D30" s="53">
        <f>IF(D$17='Indata - Fordon och Trafik'!$A$3,'Indata - Fordon och Trafik'!$C17,'Indata - Fordon och Trafik'!$H17)</f>
        <v>0.60691454404542722</v>
      </c>
      <c r="E30" s="54">
        <f>IF(E$17='Indata - Fordon och Trafik'!$A$3,'Indata - Fordon och Trafik'!$D17,'Indata - Fordon och Trafik'!$I17)</f>
        <v>0.49160078067679608</v>
      </c>
      <c r="F30" s="53">
        <f t="shared" si="3"/>
        <v>0.60691454404542722</v>
      </c>
      <c r="G30" s="54">
        <f t="shared" si="3"/>
        <v>0.49160078067679608</v>
      </c>
      <c r="H30" s="53">
        <f t="shared" si="4"/>
        <v>0.60691454404542722</v>
      </c>
      <c r="I30" s="54">
        <f t="shared" si="4"/>
        <v>0.49160078067679608</v>
      </c>
      <c r="J30" s="38" t="s">
        <v>62</v>
      </c>
      <c r="K30" s="26"/>
      <c r="L30" s="26"/>
      <c r="M30" s="26"/>
      <c r="N30" s="26"/>
      <c r="O30" s="26"/>
      <c r="P30" s="26"/>
      <c r="Q30" s="26"/>
      <c r="R30" s="26"/>
      <c r="S30" s="26"/>
    </row>
    <row r="31" spans="1:19" ht="15.75" thickBot="1" x14ac:dyDescent="0.3">
      <c r="A31" s="779"/>
      <c r="B31" s="103" t="s">
        <v>7</v>
      </c>
      <c r="C31" s="103" t="s">
        <v>40</v>
      </c>
      <c r="D31" s="55">
        <f>IF(D$17='Indata - Fordon och Trafik'!$A$3,'Indata - Fordon och Trafik'!$C18,'Indata - Fordon och Trafik'!$H18)</f>
        <v>1.6150000000000002</v>
      </c>
      <c r="E31" s="56">
        <f>IF(E$17='Indata - Fordon och Trafik'!$A$3,'Indata - Fordon och Trafik'!$D18,'Indata - Fordon och Trafik'!$I18)</f>
        <v>1.6150000000000002</v>
      </c>
      <c r="F31" s="55">
        <f t="shared" si="3"/>
        <v>1.6150000000000002</v>
      </c>
      <c r="G31" s="56">
        <f t="shared" si="3"/>
        <v>1.6150000000000002</v>
      </c>
      <c r="H31" s="55">
        <f t="shared" si="4"/>
        <v>1.6150000000000002</v>
      </c>
      <c r="I31" s="56">
        <f t="shared" si="4"/>
        <v>1.6150000000000002</v>
      </c>
      <c r="J31" s="38" t="s">
        <v>62</v>
      </c>
      <c r="K31" s="26"/>
      <c r="L31" s="26"/>
      <c r="M31" s="26"/>
      <c r="N31" s="26"/>
      <c r="O31" s="26"/>
      <c r="P31" s="26"/>
      <c r="Q31" s="26"/>
      <c r="R31" s="26"/>
      <c r="S31" s="26"/>
    </row>
    <row r="32" spans="1:19" s="38" customFormat="1" ht="15" customHeight="1" x14ac:dyDescent="0.2">
      <c r="A32" s="772" t="s">
        <v>0</v>
      </c>
      <c r="B32" s="102" t="s">
        <v>8</v>
      </c>
      <c r="C32" s="102" t="s">
        <v>205</v>
      </c>
      <c r="D32" s="507">
        <f>'Modell - Drivmedelpriser'!E24</f>
        <v>17.911754192557677</v>
      </c>
      <c r="E32" s="508">
        <f>'Modell - Drivmedelpriser'!F24</f>
        <v>21.293751803814949</v>
      </c>
      <c r="F32" s="507">
        <f t="shared" si="3"/>
        <v>17.911754192557677</v>
      </c>
      <c r="G32" s="508">
        <f t="shared" si="3"/>
        <v>21.293751803814949</v>
      </c>
      <c r="H32" s="507">
        <f t="shared" si="4"/>
        <v>17.911754192557677</v>
      </c>
      <c r="I32" s="508">
        <f t="shared" si="4"/>
        <v>21.293751803814949</v>
      </c>
      <c r="J32" s="38" t="s">
        <v>169</v>
      </c>
    </row>
    <row r="33" spans="1:19" s="38" customFormat="1" ht="15" customHeight="1" x14ac:dyDescent="0.2">
      <c r="A33" s="773"/>
      <c r="B33" s="38" t="s">
        <v>9</v>
      </c>
      <c r="C33" s="38" t="s">
        <v>205</v>
      </c>
      <c r="D33" s="509">
        <f>'Modell - Drivmedelpriser'!E43</f>
        <v>19.069168234099362</v>
      </c>
      <c r="E33" s="510">
        <f>'Modell - Drivmedelpriser'!F43</f>
        <v>22.557131724953557</v>
      </c>
      <c r="F33" s="509">
        <f t="shared" si="3"/>
        <v>19.069168234099362</v>
      </c>
      <c r="G33" s="510">
        <f t="shared" si="3"/>
        <v>22.557131724953557</v>
      </c>
      <c r="H33" s="509">
        <f t="shared" si="4"/>
        <v>19.069168234099362</v>
      </c>
      <c r="I33" s="510">
        <f t="shared" si="4"/>
        <v>22.557131724953557</v>
      </c>
      <c r="J33" s="38" t="s">
        <v>169</v>
      </c>
    </row>
    <row r="34" spans="1:19" s="38" customFormat="1" ht="15" customHeight="1" x14ac:dyDescent="0.2">
      <c r="A34" s="773"/>
      <c r="B34" s="38" t="s">
        <v>7</v>
      </c>
      <c r="C34" s="38" t="s">
        <v>182</v>
      </c>
      <c r="D34" s="509">
        <f>'Modell - Drivmedelpriser'!E75</f>
        <v>3.4709076086956521</v>
      </c>
      <c r="E34" s="510">
        <f>'Modell - Drivmedelpriser'!F75</f>
        <v>4.1598749999999995</v>
      </c>
      <c r="F34" s="509">
        <f t="shared" si="3"/>
        <v>3.4709076086956521</v>
      </c>
      <c r="G34" s="510">
        <f t="shared" si="3"/>
        <v>4.1598749999999995</v>
      </c>
      <c r="H34" s="509">
        <f t="shared" si="4"/>
        <v>3.4709076086956521</v>
      </c>
      <c r="I34" s="510">
        <f t="shared" si="4"/>
        <v>4.1598749999999995</v>
      </c>
      <c r="J34" s="38" t="s">
        <v>169</v>
      </c>
    </row>
    <row r="35" spans="1:19" s="38" customFormat="1" ht="15" customHeight="1" thickBot="1" x14ac:dyDescent="0.25">
      <c r="A35" s="780"/>
      <c r="B35" s="103" t="s">
        <v>20</v>
      </c>
      <c r="C35" s="103" t="s">
        <v>205</v>
      </c>
      <c r="D35" s="337">
        <f>SUMPRODUCT(D32:D33,Indata!D25:D26)/SUM(Indata!D25:D26)</f>
        <v>18.509834334093423</v>
      </c>
      <c r="E35" s="338">
        <f>SUMPRODUCT(E32:E33,Indata!E25:E26)/SUM(Indata!E25:E26)</f>
        <v>21.927924171466245</v>
      </c>
      <c r="F35" s="337">
        <f>SUMPRODUCT(F32:F33,F25:F26)/SUM(Indata!F25:F26)</f>
        <v>18.509834334093423</v>
      </c>
      <c r="G35" s="338">
        <f>SUMPRODUCT(G32:G33,Indata!G25:G26)/SUM(Indata!G25:G26)</f>
        <v>21.927924171466245</v>
      </c>
      <c r="H35" s="337">
        <f>SUMPRODUCT(H32:H33,Indata!H25:H26)/SUM(Indata!H25:H26)</f>
        <v>18.509834334093423</v>
      </c>
      <c r="I35" s="338">
        <f>SUMPRODUCT(I32:I33,Indata!I25:I26)/SUM(Indata!I25:I26)</f>
        <v>21.927924171466245</v>
      </c>
      <c r="J35" s="38" t="s">
        <v>100</v>
      </c>
    </row>
    <row r="36" spans="1:19" s="38" customFormat="1" ht="15" customHeight="1" thickBot="1" x14ac:dyDescent="0.25">
      <c r="A36" s="135" t="s">
        <v>75</v>
      </c>
      <c r="B36" s="103" t="s">
        <v>183</v>
      </c>
      <c r="C36" s="103" t="s">
        <v>74</v>
      </c>
      <c r="D36" s="337">
        <f>1.001*10</f>
        <v>10.009999999999998</v>
      </c>
      <c r="E36" s="338">
        <f>D36</f>
        <v>10.009999999999998</v>
      </c>
      <c r="F36" s="337">
        <f>$D$36</f>
        <v>10.009999999999998</v>
      </c>
      <c r="G36" s="338">
        <f>$E$36</f>
        <v>10.009999999999998</v>
      </c>
      <c r="H36" s="337">
        <f>$D$36</f>
        <v>10.009999999999998</v>
      </c>
      <c r="I36" s="338">
        <f>$E$36</f>
        <v>10.009999999999998</v>
      </c>
      <c r="J36" s="38" t="s">
        <v>256</v>
      </c>
    </row>
    <row r="37" spans="1:19" ht="15.75" thickBot="1" x14ac:dyDescent="0.3">
      <c r="A37" s="334" t="s">
        <v>17</v>
      </c>
      <c r="B37" s="103" t="s">
        <v>183</v>
      </c>
      <c r="C37" s="103" t="s">
        <v>36</v>
      </c>
      <c r="D37" s="335">
        <f>IF(D$17='Indata - Fordon och Trafik'!$A$3,'Indata - Fordon och Trafik'!$C13,'Indata - Fordon och Trafik'!$H13)</f>
        <v>88.254148523151741</v>
      </c>
      <c r="E37" s="336">
        <f>IF(E$17='Indata - Fordon och Trafik'!$A$3,'Indata - Fordon och Trafik'!$D13,'Indata - Fordon och Trafik'!$I13)</f>
        <v>99.5</v>
      </c>
      <c r="F37" s="337">
        <f>D37</f>
        <v>88.254148523151741</v>
      </c>
      <c r="G37" s="338">
        <f>E37</f>
        <v>99.5</v>
      </c>
      <c r="H37" s="511">
        <f>D37</f>
        <v>88.254148523151741</v>
      </c>
      <c r="I37" s="338">
        <f>E37</f>
        <v>99.5</v>
      </c>
      <c r="J37" s="382" t="s">
        <v>325</v>
      </c>
      <c r="K37" s="26"/>
      <c r="L37" s="26"/>
      <c r="M37" s="26"/>
      <c r="N37" s="26"/>
      <c r="O37" s="26"/>
      <c r="P37" s="26"/>
      <c r="Q37" s="26"/>
      <c r="R37" s="26"/>
      <c r="S37" s="26"/>
    </row>
    <row r="38" spans="1:19" ht="15.75" thickBot="1" x14ac:dyDescent="0.3">
      <c r="A38" s="134" t="s">
        <v>201</v>
      </c>
      <c r="B38" s="103" t="s">
        <v>183</v>
      </c>
      <c r="C38" s="38" t="s">
        <v>25</v>
      </c>
      <c r="D38" s="78">
        <v>0</v>
      </c>
      <c r="E38" s="364">
        <v>0</v>
      </c>
      <c r="F38" s="500">
        <f>EMA!B3</f>
        <v>0</v>
      </c>
      <c r="G38" s="500">
        <f>EMA!C3</f>
        <v>0</v>
      </c>
      <c r="H38" s="506">
        <f>EMA!B3</f>
        <v>0</v>
      </c>
      <c r="I38" s="506">
        <f>EMA!C3</f>
        <v>0</v>
      </c>
      <c r="J38" s="38" t="s">
        <v>72</v>
      </c>
      <c r="K38" s="26"/>
      <c r="L38" s="26"/>
      <c r="M38" s="26"/>
      <c r="N38" s="26"/>
      <c r="O38" s="26"/>
      <c r="P38" s="26"/>
      <c r="Q38" s="26"/>
      <c r="R38" s="26"/>
      <c r="S38" s="26"/>
    </row>
    <row r="39" spans="1:19" x14ac:dyDescent="0.25">
      <c r="A39" s="775" t="s">
        <v>27</v>
      </c>
      <c r="B39" s="102" t="s">
        <v>28</v>
      </c>
      <c r="C39" s="102" t="s">
        <v>31</v>
      </c>
      <c r="D39" s="458">
        <f>10788000*1.025</f>
        <v>11057699.999999998</v>
      </c>
      <c r="E39" s="87">
        <v>11648700</v>
      </c>
      <c r="F39" s="458">
        <f>D39</f>
        <v>11057699.999999998</v>
      </c>
      <c r="G39" s="498">
        <f>E39</f>
        <v>11648700</v>
      </c>
      <c r="H39" s="458">
        <f>D39</f>
        <v>11057699.999999998</v>
      </c>
      <c r="I39" s="87">
        <f>E39</f>
        <v>11648700</v>
      </c>
      <c r="J39" s="395" t="s">
        <v>370</v>
      </c>
      <c r="K39" s="26"/>
      <c r="L39" s="26"/>
      <c r="M39" s="26"/>
      <c r="N39" s="26"/>
      <c r="O39" s="26"/>
      <c r="P39" s="26"/>
      <c r="Q39" s="26"/>
      <c r="R39" s="26"/>
      <c r="S39" s="26"/>
    </row>
    <row r="40" spans="1:19" ht="15.75" thickBot="1" x14ac:dyDescent="0.3">
      <c r="A40" s="776"/>
      <c r="B40" s="103" t="s">
        <v>29</v>
      </c>
      <c r="C40" s="103" t="s">
        <v>30</v>
      </c>
      <c r="D40" s="81">
        <f>5447422/10292000</f>
        <v>0.52928701904391762</v>
      </c>
      <c r="E40" s="88">
        <f>5447422/10292000</f>
        <v>0.52928701904391762</v>
      </c>
      <c r="F40" s="81">
        <f>D40</f>
        <v>0.52928701904391762</v>
      </c>
      <c r="G40" s="86">
        <f>E40</f>
        <v>0.52928701904391762</v>
      </c>
      <c r="H40" s="81">
        <f>D40</f>
        <v>0.52928701904391762</v>
      </c>
      <c r="I40" s="88">
        <f>E40</f>
        <v>0.52928701904391762</v>
      </c>
      <c r="J40" s="395" t="s">
        <v>326</v>
      </c>
      <c r="K40" s="26"/>
      <c r="L40" s="26"/>
      <c r="M40" s="26"/>
      <c r="N40" s="26"/>
      <c r="O40" s="26"/>
      <c r="P40" s="26"/>
      <c r="Q40" s="26"/>
      <c r="R40" s="26"/>
      <c r="S40" s="26"/>
    </row>
    <row r="41" spans="1:19" s="119" customFormat="1" ht="16.5" thickBot="1" x14ac:dyDescent="0.3">
      <c r="A41" s="519" t="s">
        <v>300</v>
      </c>
      <c r="B41" s="520" t="s">
        <v>18</v>
      </c>
      <c r="C41" s="520" t="s">
        <v>14</v>
      </c>
      <c r="D41" s="122">
        <v>2030</v>
      </c>
      <c r="E41" s="123">
        <v>2040</v>
      </c>
      <c r="F41" s="122">
        <v>2030</v>
      </c>
      <c r="G41" s="123">
        <v>2040</v>
      </c>
      <c r="H41" s="122">
        <v>2030</v>
      </c>
      <c r="I41" s="123">
        <v>2040</v>
      </c>
      <c r="J41" s="770" t="s">
        <v>15</v>
      </c>
      <c r="K41" s="771"/>
      <c r="L41" s="118"/>
      <c r="M41" s="118"/>
      <c r="N41" s="118"/>
      <c r="O41" s="118"/>
      <c r="P41" s="118"/>
      <c r="Q41" s="118"/>
      <c r="R41" s="118"/>
      <c r="S41" s="118"/>
    </row>
    <row r="42" spans="1:19" ht="14.45" customHeight="1" thickBot="1" x14ac:dyDescent="0.3">
      <c r="A42" s="772" t="s">
        <v>149</v>
      </c>
      <c r="B42" s="102" t="s">
        <v>115</v>
      </c>
      <c r="C42" s="136" t="s">
        <v>146</v>
      </c>
      <c r="D42" s="517">
        <f>IF(D$17='Indata - Fordon och Trafik'!$A$3,'Indata - Fordon och Trafik'!$C21,'Indata - Fordon och Trafik'!$H21)</f>
        <v>0.15</v>
      </c>
      <c r="E42" s="513">
        <f>IF(E$17='Indata - Fordon och Trafik'!$A$3,'Indata - Fordon och Trafik'!$D21,'Indata - Fordon och Trafik'!$I21)</f>
        <v>0.6</v>
      </c>
      <c r="F42" s="512">
        <f>IF(EMA!B$10="No",D42,EMA!B$6)</f>
        <v>0.02</v>
      </c>
      <c r="G42" s="512">
        <f>IF(EMA!C$10="No",E42,EMA!C$6)</f>
        <v>0.3</v>
      </c>
      <c r="H42" s="512">
        <f>IF(EMA!B$10="No",D42,EMA!B$6)</f>
        <v>0.02</v>
      </c>
      <c r="I42" s="512">
        <f>IF(EMA!B$10="No",G42,EMA!C$6)</f>
        <v>0.3</v>
      </c>
      <c r="J42" s="75" t="s">
        <v>371</v>
      </c>
      <c r="K42" s="26"/>
      <c r="L42" s="26"/>
      <c r="M42" s="26"/>
      <c r="N42" s="26"/>
      <c r="O42" s="26"/>
      <c r="P42" s="26"/>
      <c r="Q42" s="26"/>
      <c r="R42" s="26"/>
      <c r="S42" s="26"/>
    </row>
    <row r="43" spans="1:19" ht="14.45" customHeight="1" thickBot="1" x14ac:dyDescent="0.3">
      <c r="A43" s="773"/>
      <c r="B43" s="38" t="s">
        <v>116</v>
      </c>
      <c r="C43" s="132" t="s">
        <v>146</v>
      </c>
      <c r="D43" s="517">
        <f>IF(D$17='Indata - Fordon och Trafik'!$A$3,'Indata - Fordon och Trafik'!$C22,'Indata - Fordon och Trafik'!$H22)</f>
        <v>0.15</v>
      </c>
      <c r="E43" s="514">
        <f>IF(E$17='Indata - Fordon och Trafik'!$A$3,'Indata - Fordon och Trafik'!$D22,'Indata - Fordon och Trafik'!$I22)</f>
        <v>0.6</v>
      </c>
      <c r="F43" s="512">
        <f>IF(EMA!B$10="No",D43,EMA!B$6)</f>
        <v>0.02</v>
      </c>
      <c r="G43" s="512">
        <f>IF(EMA!C$10="No",E43,EMA!C$6)</f>
        <v>0.3</v>
      </c>
      <c r="H43" s="512">
        <f>IF(EMA!B$10="No",D43,EMA!B$6)</f>
        <v>0.02</v>
      </c>
      <c r="I43" s="512">
        <f>IF(EMA!B$10="No",G43,EMA!C$6)</f>
        <v>0.3</v>
      </c>
      <c r="J43" s="75" t="s">
        <v>371</v>
      </c>
      <c r="K43" s="26"/>
      <c r="L43" s="26"/>
      <c r="M43" s="26"/>
      <c r="N43" s="26"/>
      <c r="O43" s="26"/>
      <c r="P43" s="26"/>
      <c r="Q43" s="26"/>
      <c r="R43" s="26"/>
      <c r="S43" s="26"/>
    </row>
    <row r="44" spans="1:19" ht="15.75" thickBot="1" x14ac:dyDescent="0.3">
      <c r="A44" s="774"/>
      <c r="B44" s="38" t="s">
        <v>117</v>
      </c>
      <c r="C44" s="132" t="s">
        <v>146</v>
      </c>
      <c r="D44" s="517">
        <f>IF(D$17='Indata - Fordon och Trafik'!$A$3,'Indata - Fordon och Trafik'!$C23,'Indata - Fordon och Trafik'!$H23)</f>
        <v>4.0427955013328291E-2</v>
      </c>
      <c r="E44" s="515">
        <f>IF(E$17='Indata - Fordon och Trafik'!$A$3,'Indata - Fordon och Trafik'!$D23,'Indata - Fordon och Trafik'!$I23)</f>
        <v>0.16171182005331317</v>
      </c>
      <c r="F44" s="512">
        <f>IF(EMA!B$10="No",D44,EMA!B$6)</f>
        <v>0.02</v>
      </c>
      <c r="G44" s="512">
        <f>IF(EMA!C$10="No",E44,EMA!C$6)</f>
        <v>0.3</v>
      </c>
      <c r="H44" s="512">
        <f>IF(EMA!B$10="No",D44,EMA!B$6)</f>
        <v>0.02</v>
      </c>
      <c r="I44" s="512">
        <f>IF(EMA!B$10="No",G44,EMA!C$6)</f>
        <v>0.3</v>
      </c>
      <c r="J44" s="75" t="s">
        <v>371</v>
      </c>
      <c r="K44" s="26"/>
      <c r="L44" s="26"/>
      <c r="M44" s="26"/>
      <c r="N44" s="26"/>
      <c r="O44" s="26"/>
      <c r="P44" s="26"/>
      <c r="Q44" s="26"/>
      <c r="R44" s="26"/>
      <c r="S44" s="26"/>
    </row>
    <row r="45" spans="1:19" ht="15.75" thickBot="1" x14ac:dyDescent="0.3">
      <c r="A45" s="774"/>
      <c r="B45" s="38" t="s">
        <v>118</v>
      </c>
      <c r="C45" s="132" t="s">
        <v>146</v>
      </c>
      <c r="D45" s="518">
        <f>IF(D$17='Indata - Fordon och Trafik'!$A$3,'Indata - Fordon och Trafik'!$C24,'Indata - Fordon och Trafik'!$H24)</f>
        <v>0</v>
      </c>
      <c r="E45" s="516">
        <f>IF(E$17='Indata - Fordon och Trafik'!$A$3,'Indata - Fordon och Trafik'!$D24,'Indata - Fordon och Trafik'!$I24)</f>
        <v>0</v>
      </c>
      <c r="F45" s="512">
        <f>IF(EMA!B$10="No",D45,EMA!B$6)</f>
        <v>0.02</v>
      </c>
      <c r="G45" s="512">
        <f>IF(EMA!C$10="No",E45,EMA!C$6)</f>
        <v>0.3</v>
      </c>
      <c r="H45" s="512">
        <f>IF(EMA!B$10="No",D45,EMA!B$6)</f>
        <v>0.02</v>
      </c>
      <c r="I45" s="512">
        <f>IF(EMA!B$10="No",G45,EMA!C$6)</f>
        <v>0.3</v>
      </c>
      <c r="J45" s="75" t="s">
        <v>371</v>
      </c>
      <c r="K45" s="26"/>
      <c r="L45" s="26"/>
      <c r="M45" s="26"/>
      <c r="N45" s="26"/>
      <c r="O45" s="26"/>
      <c r="P45" s="26"/>
      <c r="Q45" s="26"/>
      <c r="R45" s="26"/>
      <c r="S45" s="26"/>
    </row>
    <row r="46" spans="1:19" ht="14.45" customHeight="1" x14ac:dyDescent="0.25">
      <c r="A46" s="772" t="s">
        <v>375</v>
      </c>
      <c r="B46" s="102" t="s">
        <v>115</v>
      </c>
      <c r="C46" s="136" t="s">
        <v>39</v>
      </c>
      <c r="D46" s="522">
        <f>IF(D$17='Indata - Fordon och Trafik'!$A$3,'Indata - Fordon och Trafik'!$C35,'Indata - Fordon och Trafik'!$H35)</f>
        <v>1.409627347092486</v>
      </c>
      <c r="E46" s="508">
        <f>IF(E$17='Indata - Fordon och Trafik'!$A$3,'Indata - Fordon och Trafik'!$D35,'Indata - Fordon och Trafik'!$I35)</f>
        <v>1.0975404858629165</v>
      </c>
      <c r="F46" s="507">
        <f t="shared" ref="F46:G54" si="5">D46</f>
        <v>1.409627347092486</v>
      </c>
      <c r="G46" s="508">
        <f t="shared" si="5"/>
        <v>1.0975404858629165</v>
      </c>
      <c r="H46" s="507">
        <f t="shared" ref="H46:I53" si="6">D46</f>
        <v>1.409627347092486</v>
      </c>
      <c r="I46" s="508">
        <f t="shared" si="6"/>
        <v>1.0975404858629165</v>
      </c>
      <c r="J46" s="38" t="s">
        <v>372</v>
      </c>
      <c r="K46" s="26"/>
      <c r="L46" s="26"/>
      <c r="M46" s="26"/>
      <c r="N46" s="26"/>
      <c r="O46" s="26"/>
      <c r="P46" s="26"/>
      <c r="Q46" s="26"/>
      <c r="R46" s="26"/>
      <c r="S46" s="26"/>
    </row>
    <row r="47" spans="1:19" ht="14.45" customHeight="1" x14ac:dyDescent="0.25">
      <c r="A47" s="773"/>
      <c r="B47" s="38" t="s">
        <v>116</v>
      </c>
      <c r="C47" s="132" t="s">
        <v>39</v>
      </c>
      <c r="D47" s="523">
        <f>IF(D$17='Indata - Fordon och Trafik'!$A$3,'Indata - Fordon och Trafik'!$C36,'Indata - Fordon och Trafik'!$H36)</f>
        <v>1.8521521959043132</v>
      </c>
      <c r="E47" s="524">
        <f>IF(E$17='Indata - Fordon och Trafik'!$A$3,'Indata - Fordon och Trafik'!$D36,'Indata - Fordon och Trafik'!$I36)</f>
        <v>1.4301687678393367</v>
      </c>
      <c r="F47" s="525">
        <f t="shared" si="5"/>
        <v>1.8521521959043132</v>
      </c>
      <c r="G47" s="524">
        <f t="shared" si="5"/>
        <v>1.4301687678393367</v>
      </c>
      <c r="H47" s="525">
        <f t="shared" si="6"/>
        <v>1.8521521959043132</v>
      </c>
      <c r="I47" s="524">
        <f t="shared" si="6"/>
        <v>1.4301687678393367</v>
      </c>
      <c r="J47" s="38" t="s">
        <v>372</v>
      </c>
      <c r="K47" s="26"/>
      <c r="L47" s="26"/>
      <c r="M47" s="26"/>
      <c r="N47" s="26"/>
      <c r="O47" s="26"/>
      <c r="P47" s="26"/>
      <c r="Q47" s="26"/>
      <c r="R47" s="26"/>
      <c r="S47" s="26"/>
    </row>
    <row r="48" spans="1:19" x14ac:dyDescent="0.25">
      <c r="A48" s="774"/>
      <c r="B48" s="38" t="s">
        <v>117</v>
      </c>
      <c r="C48" s="132" t="s">
        <v>39</v>
      </c>
      <c r="D48" s="526">
        <f>IF(D$17='Indata - Fordon och Trafik'!$A$3,'Indata - Fordon och Trafik'!$C37,'Indata - Fordon och Trafik'!$H37)</f>
        <v>2.2765487554982271</v>
      </c>
      <c r="E48" s="510">
        <f>IF(E$17='Indata - Fordon och Trafik'!$A$3,'Indata - Fordon och Trafik'!$D37,'Indata - Fordon och Trafik'!$I37)</f>
        <v>1.7743995375527619</v>
      </c>
      <c r="F48" s="509">
        <f t="shared" si="5"/>
        <v>2.2765487554982271</v>
      </c>
      <c r="G48" s="510">
        <f t="shared" si="5"/>
        <v>1.7743995375527619</v>
      </c>
      <c r="H48" s="509">
        <f t="shared" si="6"/>
        <v>2.2765487554982271</v>
      </c>
      <c r="I48" s="510">
        <f t="shared" si="6"/>
        <v>1.7743995375527619</v>
      </c>
      <c r="J48" s="38" t="s">
        <v>372</v>
      </c>
      <c r="K48" s="26"/>
      <c r="L48" s="26"/>
      <c r="M48" s="26"/>
      <c r="N48" s="26"/>
      <c r="O48" s="26"/>
      <c r="P48" s="26"/>
      <c r="Q48" s="26"/>
      <c r="R48" s="26"/>
      <c r="S48" s="26"/>
    </row>
    <row r="49" spans="1:19" ht="15.75" thickBot="1" x14ac:dyDescent="0.3">
      <c r="A49" s="774"/>
      <c r="B49" s="38" t="s">
        <v>118</v>
      </c>
      <c r="C49" s="132" t="s">
        <v>39</v>
      </c>
      <c r="D49" s="527">
        <f>IF(D$17='Indata - Fordon och Trafik'!$A$3,'Indata - Fordon och Trafik'!$C38,'Indata - Fordon och Trafik'!$H38)</f>
        <v>2.9364819147657566</v>
      </c>
      <c r="E49" s="528">
        <f>IF(E$17='Indata - Fordon och Trafik'!$A$3,'Indata - Fordon och Trafik'!$D38,'Indata - Fordon och Trafik'!$I38)</f>
        <v>2.3008116808806713</v>
      </c>
      <c r="F49" s="529">
        <f t="shared" si="5"/>
        <v>2.9364819147657566</v>
      </c>
      <c r="G49" s="528">
        <f t="shared" si="5"/>
        <v>2.3008116808806713</v>
      </c>
      <c r="H49" s="529">
        <f t="shared" si="6"/>
        <v>2.9364819147657566</v>
      </c>
      <c r="I49" s="528">
        <f t="shared" si="6"/>
        <v>2.3008116808806713</v>
      </c>
      <c r="J49" s="38" t="s">
        <v>372</v>
      </c>
      <c r="K49" s="26"/>
      <c r="L49" s="26"/>
      <c r="M49" s="26"/>
      <c r="N49" s="26"/>
      <c r="O49" s="26"/>
      <c r="P49" s="26"/>
      <c r="Q49" s="26"/>
      <c r="R49" s="26"/>
      <c r="S49" s="26"/>
    </row>
    <row r="50" spans="1:19" ht="14.45" customHeight="1" x14ac:dyDescent="0.25">
      <c r="A50" s="772" t="s">
        <v>374</v>
      </c>
      <c r="B50" s="102" t="s">
        <v>115</v>
      </c>
      <c r="C50" s="136" t="s">
        <v>40</v>
      </c>
      <c r="D50" s="522">
        <f>IF(D$17='Indata - Fordon och Trafik'!$A$3,'Indata - Fordon och Trafik'!$C39,'Indata - Fordon och Trafik'!$H39)</f>
        <v>8.4732522945626005</v>
      </c>
      <c r="E50" s="508">
        <f>IF(E$17='Indata - Fordon och Trafik'!$A$3,'Indata - Fordon och Trafik'!$D39,'Indata - Fordon och Trafik'!$I39)</f>
        <v>8.4732522945626005</v>
      </c>
      <c r="F50" s="507">
        <f t="shared" si="5"/>
        <v>8.4732522945626005</v>
      </c>
      <c r="G50" s="508">
        <f t="shared" si="5"/>
        <v>8.4732522945626005</v>
      </c>
      <c r="H50" s="507">
        <f t="shared" si="6"/>
        <v>8.4732522945626005</v>
      </c>
      <c r="I50" s="508">
        <f t="shared" si="6"/>
        <v>8.4732522945626005</v>
      </c>
      <c r="J50" s="38" t="s">
        <v>371</v>
      </c>
      <c r="K50" s="26"/>
      <c r="L50" s="26"/>
      <c r="M50" s="26"/>
      <c r="N50" s="26"/>
      <c r="O50" s="26"/>
      <c r="P50" s="26"/>
      <c r="Q50" s="26"/>
      <c r="R50" s="26"/>
      <c r="S50" s="26"/>
    </row>
    <row r="51" spans="1:19" ht="14.45" customHeight="1" x14ac:dyDescent="0.25">
      <c r="A51" s="773"/>
      <c r="B51" s="38" t="s">
        <v>116</v>
      </c>
      <c r="C51" s="132" t="s">
        <v>40</v>
      </c>
      <c r="D51" s="523">
        <f>IF(D$17='Indata - Fordon och Trafik'!$A$3,'Indata - Fordon och Trafik'!$C40,'Indata - Fordon och Trafik'!$H40)</f>
        <v>8.4732522945626005</v>
      </c>
      <c r="E51" s="524">
        <f>IF(E$17='Indata - Fordon och Trafik'!$A$3,'Indata - Fordon och Trafik'!$D40,'Indata - Fordon och Trafik'!$I40)</f>
        <v>8.4732522945626005</v>
      </c>
      <c r="F51" s="525">
        <f t="shared" si="5"/>
        <v>8.4732522945626005</v>
      </c>
      <c r="G51" s="524">
        <f t="shared" si="5"/>
        <v>8.4732522945626005</v>
      </c>
      <c r="H51" s="525">
        <f t="shared" si="6"/>
        <v>8.4732522945626005</v>
      </c>
      <c r="I51" s="524">
        <f t="shared" si="6"/>
        <v>8.4732522945626005</v>
      </c>
      <c r="J51" s="38" t="s">
        <v>371</v>
      </c>
      <c r="K51" s="26"/>
      <c r="L51" s="26"/>
      <c r="M51" s="26"/>
      <c r="N51" s="26"/>
      <c r="O51" s="26"/>
      <c r="P51" s="26"/>
      <c r="Q51" s="26"/>
      <c r="R51" s="26"/>
      <c r="S51" s="26"/>
    </row>
    <row r="52" spans="1:19" x14ac:dyDescent="0.25">
      <c r="A52" s="774"/>
      <c r="B52" s="38" t="s">
        <v>117</v>
      </c>
      <c r="C52" s="132" t="s">
        <v>40</v>
      </c>
      <c r="D52" s="526">
        <f>IF(D$17='Indata - Fordon och Trafik'!$A$3,'Indata - Fordon och Trafik'!$C41,'Indata - Fordon och Trafik'!$H41)</f>
        <v>13.374188060932356</v>
      </c>
      <c r="E52" s="510">
        <f>IF(E$17='Indata - Fordon och Trafik'!$A$3,'Indata - Fordon och Trafik'!$D41,'Indata - Fordon och Trafik'!$I41)</f>
        <v>13.374188060932356</v>
      </c>
      <c r="F52" s="509">
        <f t="shared" si="5"/>
        <v>13.374188060932356</v>
      </c>
      <c r="G52" s="510">
        <f t="shared" si="5"/>
        <v>13.374188060932356</v>
      </c>
      <c r="H52" s="509">
        <f t="shared" si="6"/>
        <v>13.374188060932356</v>
      </c>
      <c r="I52" s="510">
        <f t="shared" si="6"/>
        <v>13.374188060932356</v>
      </c>
      <c r="J52" s="38" t="s">
        <v>371</v>
      </c>
      <c r="K52" s="26"/>
      <c r="L52" s="26"/>
      <c r="M52" s="26"/>
      <c r="N52" s="26"/>
      <c r="O52" s="26"/>
      <c r="P52" s="26"/>
      <c r="Q52" s="26"/>
      <c r="R52" s="26"/>
      <c r="S52" s="26"/>
    </row>
    <row r="53" spans="1:19" ht="15.75" thickBot="1" x14ac:dyDescent="0.3">
      <c r="A53" s="774"/>
      <c r="B53" s="38" t="s">
        <v>118</v>
      </c>
      <c r="C53" s="132" t="s">
        <v>40</v>
      </c>
      <c r="D53" s="527">
        <f>IF(D$17='Indata - Fordon och Trafik'!$A$3,'Indata - Fordon och Trafik'!$C42,'Indata - Fordon och Trafik'!$H42)</f>
        <v>15.182448650666799</v>
      </c>
      <c r="E53" s="528">
        <f>IF(E$17='Indata - Fordon och Trafik'!$A$3,'Indata - Fordon och Trafik'!$D42,'Indata - Fordon och Trafik'!$I42)</f>
        <v>15.182448650666799</v>
      </c>
      <c r="F53" s="529">
        <f t="shared" si="5"/>
        <v>15.182448650666799</v>
      </c>
      <c r="G53" s="528">
        <f t="shared" si="5"/>
        <v>15.182448650666799</v>
      </c>
      <c r="H53" s="529">
        <f t="shared" si="6"/>
        <v>15.182448650666799</v>
      </c>
      <c r="I53" s="528">
        <f t="shared" si="6"/>
        <v>15.182448650666799</v>
      </c>
      <c r="J53" s="38" t="s">
        <v>371</v>
      </c>
      <c r="K53" s="26"/>
      <c r="L53" s="26"/>
      <c r="M53" s="26"/>
      <c r="N53" s="26"/>
      <c r="O53" s="26"/>
      <c r="P53" s="26"/>
      <c r="Q53" s="26"/>
      <c r="R53" s="26"/>
      <c r="S53" s="26"/>
    </row>
    <row r="54" spans="1:19" x14ac:dyDescent="0.25">
      <c r="A54" s="782" t="s">
        <v>627</v>
      </c>
      <c r="B54" s="630" t="s">
        <v>115</v>
      </c>
      <c r="C54" s="631" t="s">
        <v>74</v>
      </c>
      <c r="D54" s="634">
        <f>'Förarlösa lastbilar antaganden'!C3</f>
        <v>171.96222222222224</v>
      </c>
      <c r="E54" s="635">
        <f>'Förarlösa lastbilar antaganden'!C3</f>
        <v>171.96222222222224</v>
      </c>
      <c r="F54" s="634">
        <f>D54</f>
        <v>171.96222222222224</v>
      </c>
      <c r="G54" s="640">
        <f t="shared" si="5"/>
        <v>171.96222222222224</v>
      </c>
      <c r="H54" s="634">
        <f t="shared" ref="H54:I54" si="7">F54</f>
        <v>171.96222222222224</v>
      </c>
      <c r="I54" s="635">
        <f t="shared" si="7"/>
        <v>171.96222222222224</v>
      </c>
      <c r="K54" s="26"/>
      <c r="L54" s="26"/>
      <c r="M54" s="26"/>
      <c r="N54" s="26"/>
      <c r="O54" s="26"/>
      <c r="P54" s="26"/>
      <c r="Q54" s="26"/>
      <c r="R54" s="26"/>
      <c r="S54" s="26"/>
    </row>
    <row r="55" spans="1:19" x14ac:dyDescent="0.25">
      <c r="A55" s="783"/>
      <c r="B55" s="26" t="s">
        <v>116</v>
      </c>
      <c r="C55" s="632" t="s">
        <v>74</v>
      </c>
      <c r="D55" s="636">
        <f>'Förarlösa lastbilar antaganden'!C4</f>
        <v>151.47333333333327</v>
      </c>
      <c r="E55" s="637">
        <f>'Förarlösa lastbilar antaganden'!C4</f>
        <v>151.47333333333327</v>
      </c>
      <c r="F55" s="636">
        <f t="shared" ref="F55:F57" si="8">D55</f>
        <v>151.47333333333327</v>
      </c>
      <c r="G55" s="641">
        <f t="shared" ref="G55:G57" si="9">E55</f>
        <v>151.47333333333327</v>
      </c>
      <c r="H55" s="636">
        <f t="shared" ref="H55:H57" si="10">F55</f>
        <v>151.47333333333327</v>
      </c>
      <c r="I55" s="637">
        <f t="shared" ref="I55:I57" si="11">G55</f>
        <v>151.47333333333327</v>
      </c>
      <c r="K55" s="26"/>
      <c r="L55" s="26"/>
      <c r="M55" s="26"/>
      <c r="N55" s="26"/>
      <c r="O55" s="26"/>
      <c r="P55" s="26"/>
      <c r="Q55" s="26"/>
      <c r="R55" s="26"/>
      <c r="S55" s="26"/>
    </row>
    <row r="56" spans="1:19" x14ac:dyDescent="0.25">
      <c r="A56" s="783"/>
      <c r="B56" s="26" t="s">
        <v>117</v>
      </c>
      <c r="C56" s="632" t="s">
        <v>74</v>
      </c>
      <c r="D56" s="636">
        <f>'Förarlösa lastbilar antaganden'!C5</f>
        <v>131.61270986021509</v>
      </c>
      <c r="E56" s="637">
        <f>'Förarlösa lastbilar antaganden'!C5</f>
        <v>131.61270986021509</v>
      </c>
      <c r="F56" s="636">
        <f t="shared" si="8"/>
        <v>131.61270986021509</v>
      </c>
      <c r="G56" s="641">
        <f t="shared" si="9"/>
        <v>131.61270986021509</v>
      </c>
      <c r="H56" s="636">
        <f t="shared" si="10"/>
        <v>131.61270986021509</v>
      </c>
      <c r="I56" s="637">
        <f t="shared" si="11"/>
        <v>131.61270986021509</v>
      </c>
      <c r="K56" s="26"/>
      <c r="L56" s="26"/>
      <c r="M56" s="26"/>
      <c r="N56" s="26"/>
      <c r="O56" s="26"/>
      <c r="P56" s="26"/>
      <c r="Q56" s="26"/>
      <c r="R56" s="26"/>
      <c r="S56" s="26"/>
    </row>
    <row r="57" spans="1:19" ht="15.75" thickBot="1" x14ac:dyDescent="0.3">
      <c r="A57" s="784"/>
      <c r="B57" s="620" t="s">
        <v>118</v>
      </c>
      <c r="C57" s="621" t="s">
        <v>74</v>
      </c>
      <c r="D57" s="638">
        <f>'Förarlösa lastbilar antaganden'!C6</f>
        <v>138.28043235708435</v>
      </c>
      <c r="E57" s="639">
        <f>'Förarlösa lastbilar antaganden'!C6</f>
        <v>138.28043235708435</v>
      </c>
      <c r="F57" s="638">
        <f t="shared" si="8"/>
        <v>138.28043235708435</v>
      </c>
      <c r="G57" s="642">
        <f t="shared" si="9"/>
        <v>138.28043235708435</v>
      </c>
      <c r="H57" s="638">
        <f t="shared" si="10"/>
        <v>138.28043235708435</v>
      </c>
      <c r="I57" s="639">
        <f t="shared" si="11"/>
        <v>138.28043235708435</v>
      </c>
      <c r="K57" s="26"/>
      <c r="L57" s="26"/>
      <c r="M57" s="26"/>
      <c r="N57" s="26"/>
      <c r="O57" s="26"/>
      <c r="P57" s="26"/>
      <c r="Q57" s="26"/>
      <c r="R57" s="26"/>
      <c r="S57" s="26"/>
    </row>
    <row r="58" spans="1:19" s="38" customFormat="1" ht="15" customHeight="1" x14ac:dyDescent="0.2">
      <c r="A58" s="777" t="s">
        <v>0</v>
      </c>
      <c r="B58" s="38" t="s">
        <v>9</v>
      </c>
      <c r="C58" s="38" t="s">
        <v>257</v>
      </c>
      <c r="D58" s="628">
        <f>'Modell - Drivmedelpriser'!E58</f>
        <v>13.466674098111907</v>
      </c>
      <c r="E58" s="629">
        <f>'Modell - Drivmedelpriser'!F58</f>
        <v>16.350158148247193</v>
      </c>
      <c r="F58" s="525">
        <f>D58</f>
        <v>13.466674098111907</v>
      </c>
      <c r="G58" s="524">
        <f>E58</f>
        <v>16.350158148247193</v>
      </c>
      <c r="H58" s="525">
        <f>D58</f>
        <v>13.466674098111907</v>
      </c>
      <c r="I58" s="524">
        <f>E58</f>
        <v>16.350158148247193</v>
      </c>
      <c r="J58" s="38" t="s">
        <v>169</v>
      </c>
    </row>
    <row r="59" spans="1:19" s="38" customFormat="1" ht="15" customHeight="1" thickBot="1" x14ac:dyDescent="0.25">
      <c r="A59" s="777"/>
      <c r="B59" s="38" t="s">
        <v>7</v>
      </c>
      <c r="C59" s="75" t="s">
        <v>258</v>
      </c>
      <c r="D59" s="530">
        <f>'Modell - Drivmedelpriser'!E84</f>
        <v>1.1975304347826086</v>
      </c>
      <c r="E59" s="531">
        <f>'Modell - Drivmedelpriser'!F84</f>
        <v>1.4034</v>
      </c>
      <c r="F59" s="529">
        <f>D59</f>
        <v>1.1975304347826086</v>
      </c>
      <c r="G59" s="528">
        <f>E59</f>
        <v>1.4034</v>
      </c>
      <c r="H59" s="529">
        <f>D59</f>
        <v>1.1975304347826086</v>
      </c>
      <c r="I59" s="528">
        <f>E59</f>
        <v>1.4034</v>
      </c>
      <c r="J59" s="38" t="s">
        <v>169</v>
      </c>
    </row>
    <row r="60" spans="1:19" s="38" customFormat="1" ht="15" customHeight="1" x14ac:dyDescent="0.2">
      <c r="A60" s="775" t="s">
        <v>17</v>
      </c>
      <c r="B60" s="323" t="s">
        <v>119</v>
      </c>
      <c r="C60" s="324" t="s">
        <v>36</v>
      </c>
      <c r="D60" s="499">
        <f t="shared" ref="D60:I60" si="12">SUM(D61:D64)</f>
        <v>5.9773733906447069</v>
      </c>
      <c r="E60" s="399">
        <f t="shared" si="12"/>
        <v>6.9842175159631985</v>
      </c>
      <c r="F60" s="398">
        <f t="shared" si="12"/>
        <v>5.9773733906447069</v>
      </c>
      <c r="G60" s="399">
        <f t="shared" si="12"/>
        <v>6.9842175159631985</v>
      </c>
      <c r="H60" s="398">
        <f t="shared" si="12"/>
        <v>5.9773733906447069</v>
      </c>
      <c r="I60" s="399">
        <f t="shared" si="12"/>
        <v>6.9842175159631985</v>
      </c>
      <c r="J60" s="38" t="s">
        <v>62</v>
      </c>
    </row>
    <row r="61" spans="1:19" x14ac:dyDescent="0.25">
      <c r="A61" s="774"/>
      <c r="B61" s="38" t="s">
        <v>115</v>
      </c>
      <c r="C61" s="132" t="s">
        <v>36</v>
      </c>
      <c r="D61" s="523">
        <f>IF(D$17='Indata - Fordon och Trafik'!$A$3,'Indata - Fordon och Trafik'!$C28,'Indata - Fordon och Trafik'!$H28)</f>
        <v>0.22095243940171372</v>
      </c>
      <c r="E61" s="524">
        <f>IF(E$17='Indata - Fordon och Trafik'!$A$3,'Indata - Fordon och Trafik'!$D28,'Indata - Fordon och Trafik'!$I28)</f>
        <v>0.25817023575597681</v>
      </c>
      <c r="F61" s="525">
        <f t="shared" ref="F61:G64" si="13">D61</f>
        <v>0.22095243940171372</v>
      </c>
      <c r="G61" s="524">
        <f t="shared" si="13"/>
        <v>0.25817023575597681</v>
      </c>
      <c r="H61" s="525">
        <f t="shared" ref="H61:I64" si="14">D61</f>
        <v>0.22095243940171372</v>
      </c>
      <c r="I61" s="524">
        <f t="shared" si="14"/>
        <v>0.25817023575597681</v>
      </c>
      <c r="J61" s="38" t="s">
        <v>62</v>
      </c>
      <c r="K61" s="26"/>
      <c r="L61" s="26"/>
      <c r="M61" s="26"/>
      <c r="N61" s="26"/>
      <c r="O61" s="26"/>
      <c r="P61" s="26"/>
      <c r="Q61" s="26"/>
      <c r="R61" s="26"/>
      <c r="S61" s="26"/>
    </row>
    <row r="62" spans="1:19" x14ac:dyDescent="0.25">
      <c r="A62" s="774"/>
      <c r="B62" s="38" t="s">
        <v>116</v>
      </c>
      <c r="C62" s="132" t="s">
        <v>36</v>
      </c>
      <c r="D62" s="523">
        <f>IF(D$17='Indata - Fordon och Trafik'!$A$3,'Indata - Fordon och Trafik'!$C29,'Indata - Fordon och Trafik'!$H29)</f>
        <v>0.24048713697194765</v>
      </c>
      <c r="E62" s="524">
        <f>IF(E$17='Indata - Fordon och Trafik'!$A$3,'Indata - Fordon och Trafik'!$D29,'Indata - Fordon och Trafik'!$I29)</f>
        <v>0.2809954079549577</v>
      </c>
      <c r="F62" s="525">
        <f t="shared" si="13"/>
        <v>0.24048713697194765</v>
      </c>
      <c r="G62" s="524">
        <f t="shared" si="13"/>
        <v>0.2809954079549577</v>
      </c>
      <c r="H62" s="525">
        <f t="shared" si="14"/>
        <v>0.24048713697194765</v>
      </c>
      <c r="I62" s="524">
        <f t="shared" si="14"/>
        <v>0.2809954079549577</v>
      </c>
      <c r="J62" s="38" t="s">
        <v>62</v>
      </c>
      <c r="K62" s="26"/>
      <c r="L62" s="26"/>
      <c r="M62" s="26"/>
      <c r="N62" s="26"/>
      <c r="O62" s="26"/>
      <c r="P62" s="26"/>
      <c r="Q62" s="26"/>
      <c r="R62" s="26"/>
      <c r="S62" s="26"/>
    </row>
    <row r="63" spans="1:19" x14ac:dyDescent="0.25">
      <c r="A63" s="774"/>
      <c r="B63" s="38" t="s">
        <v>117</v>
      </c>
      <c r="C63" s="132" t="s">
        <v>36</v>
      </c>
      <c r="D63" s="523">
        <f>IF(D$17='Indata - Fordon och Trafik'!$A$3,'Indata - Fordon och Trafik'!$C30,'Indata - Fordon och Trafik'!$H30)</f>
        <v>1.9682018403049411</v>
      </c>
      <c r="E63" s="524">
        <f>IF(E$17='Indata - Fordon och Trafik'!$A$3,'Indata - Fordon och Trafik'!$D30,'Indata - Fordon och Trafik'!$I30)</f>
        <v>2.2997308131232739</v>
      </c>
      <c r="F63" s="525">
        <f t="shared" si="13"/>
        <v>1.9682018403049411</v>
      </c>
      <c r="G63" s="524">
        <f t="shared" si="13"/>
        <v>2.2997308131232739</v>
      </c>
      <c r="H63" s="525">
        <f t="shared" si="14"/>
        <v>1.9682018403049411</v>
      </c>
      <c r="I63" s="524">
        <f t="shared" si="14"/>
        <v>2.2997308131232739</v>
      </c>
      <c r="J63" s="38" t="s">
        <v>62</v>
      </c>
      <c r="K63" s="26"/>
      <c r="L63" s="26"/>
      <c r="M63" s="26"/>
      <c r="N63" s="26"/>
      <c r="O63" s="26"/>
      <c r="P63" s="26"/>
      <c r="Q63" s="26"/>
      <c r="R63" s="26"/>
      <c r="S63" s="26"/>
    </row>
    <row r="64" spans="1:19" ht="15.75" thickBot="1" x14ac:dyDescent="0.3">
      <c r="A64" s="781"/>
      <c r="B64" s="103" t="s">
        <v>118</v>
      </c>
      <c r="C64" s="133" t="s">
        <v>36</v>
      </c>
      <c r="D64" s="523">
        <f>IF(D$17='Indata - Fordon och Trafik'!$A$3,'Indata - Fordon och Trafik'!$C31,'Indata - Fordon och Trafik'!$H31)</f>
        <v>3.5477319739661044</v>
      </c>
      <c r="E64" s="524">
        <f>IF(E$17='Indata - Fordon och Trafik'!$A$3,'Indata - Fordon och Trafik'!$D31,'Indata - Fordon och Trafik'!$I31)</f>
        <v>4.1453210591289906</v>
      </c>
      <c r="F64" s="525">
        <f t="shared" si="13"/>
        <v>3.5477319739661044</v>
      </c>
      <c r="G64" s="524">
        <f t="shared" si="13"/>
        <v>4.1453210591289906</v>
      </c>
      <c r="H64" s="525">
        <f t="shared" si="14"/>
        <v>3.5477319739661044</v>
      </c>
      <c r="I64" s="524">
        <f t="shared" si="14"/>
        <v>4.1453210591289906</v>
      </c>
      <c r="J64" s="38" t="s">
        <v>62</v>
      </c>
      <c r="K64" s="26"/>
      <c r="L64" s="26"/>
      <c r="M64" s="26"/>
      <c r="N64" s="26"/>
      <c r="O64" s="26"/>
      <c r="P64" s="26"/>
      <c r="Q64" s="26"/>
      <c r="R64" s="26"/>
      <c r="S64" s="26"/>
    </row>
    <row r="65" spans="1:19" ht="15.75" thickBot="1" x14ac:dyDescent="0.3">
      <c r="A65" s="345" t="s">
        <v>201</v>
      </c>
      <c r="B65" s="103" t="s">
        <v>120</v>
      </c>
      <c r="C65" s="103" t="s">
        <v>25</v>
      </c>
      <c r="D65" s="78">
        <v>0</v>
      </c>
      <c r="E65" s="79">
        <v>0</v>
      </c>
      <c r="F65" s="500">
        <f>EMA!B4</f>
        <v>0</v>
      </c>
      <c r="G65" s="500">
        <f>EMA!C4</f>
        <v>0</v>
      </c>
      <c r="H65" s="502">
        <f>EMA!B4</f>
        <v>0</v>
      </c>
      <c r="I65" s="502">
        <f>EMA!C4</f>
        <v>0</v>
      </c>
      <c r="J65" s="38" t="s">
        <v>72</v>
      </c>
      <c r="K65" s="26"/>
      <c r="L65" s="26"/>
      <c r="M65" s="26"/>
      <c r="N65" s="26"/>
      <c r="O65" s="26"/>
      <c r="P65" s="26"/>
      <c r="Q65" s="26"/>
      <c r="R65" s="26"/>
      <c r="S65" s="26"/>
    </row>
    <row r="66" spans="1:19" ht="16.5" thickBot="1" x14ac:dyDescent="0.3">
      <c r="A66" s="120" t="s">
        <v>301</v>
      </c>
      <c r="B66" s="121" t="s">
        <v>18</v>
      </c>
      <c r="C66" s="121" t="s">
        <v>14</v>
      </c>
      <c r="D66" s="407">
        <v>2030</v>
      </c>
      <c r="E66" s="408">
        <v>2040</v>
      </c>
      <c r="F66" s="407">
        <v>2030</v>
      </c>
      <c r="G66" s="408">
        <v>2040</v>
      </c>
      <c r="H66" s="407">
        <v>2030</v>
      </c>
      <c r="I66" s="408">
        <v>2040</v>
      </c>
      <c r="J66" s="770" t="s">
        <v>15</v>
      </c>
      <c r="K66" s="771"/>
    </row>
    <row r="67" spans="1:19" x14ac:dyDescent="0.25">
      <c r="A67" s="772" t="s">
        <v>307</v>
      </c>
      <c r="B67" s="102" t="s">
        <v>302</v>
      </c>
      <c r="C67" s="102" t="s">
        <v>304</v>
      </c>
      <c r="D67" s="396">
        <f>IF(D$23='Indata - Fordon och Trafik'!$K$9,'Indata - Fordon och Trafik'!O7,IF($D$23='Indata - Fordon och Trafik'!$K$10,'Indata - Fordon och Trafik'!O15,'Indata - Fordon och Trafik'!O23))</f>
        <v>3.04</v>
      </c>
      <c r="E67" s="503">
        <f>IF(E$23='Indata - Fordon och Trafik'!$K$9,'Indata - Fordon och Trafik'!P7,IF($E$23='Indata - Fordon och Trafik'!$K$10,'Indata - Fordon och Trafik'!P15,'Indata - Fordon och Trafik'!P23))</f>
        <v>1.89</v>
      </c>
      <c r="F67" s="396">
        <f>IF(F$23='Indata - Fordon och Trafik'!$K$9,'Indata - Fordon och Trafik'!O7,IF($F$23='Indata - Fordon och Trafik'!$K$10,'Indata - Fordon och Trafik'!O15,'Indata - Fordon och Trafik'!O23))</f>
        <v>3.04</v>
      </c>
      <c r="G67" s="503">
        <f>IF(G$23='Indata - Fordon och Trafik'!$K$9,'Indata - Fordon och Trafik'!P7,IF($G$23='Indata - Fordon och Trafik'!$K$10,'Indata - Fordon och Trafik'!P15,'Indata - Fordon och Trafik'!P23))</f>
        <v>0.97</v>
      </c>
      <c r="H67" s="396">
        <f>IF(H$23='Indata - Fordon och Trafik'!$K$9,'Indata - Fordon och Trafik'!O7,IF($H$23='Indata - Fordon och Trafik'!$K$10,'Indata - Fordon och Trafik'!O15,'Indata - Fordon och Trafik'!O23))</f>
        <v>3.04</v>
      </c>
      <c r="I67" s="369">
        <f>IF(I$23='Indata - Fordon och Trafik'!$K$9,'Indata - Fordon och Trafik'!P7,IF($I$23='Indata - Fordon och Trafik'!$K$10,'Indata - Fordon och Trafik'!P15,'Indata - Fordon och Trafik'!P23))</f>
        <v>1.89</v>
      </c>
      <c r="J67" s="38" t="s">
        <v>311</v>
      </c>
    </row>
    <row r="68" spans="1:19" ht="15.75" thickBot="1" x14ac:dyDescent="0.3">
      <c r="A68" s="780"/>
      <c r="B68" s="103" t="s">
        <v>7</v>
      </c>
      <c r="C68" s="103" t="s">
        <v>304</v>
      </c>
      <c r="D68" s="397">
        <f>IF(D$23='Indata - Fordon och Trafik'!$K$9,'Indata - Fordon och Trafik'!O8,IF($D$23='Indata - Fordon och Trafik'!$K$10,'Indata - Fordon och Trafik'!O16,'Indata - Fordon och Trafik'!O24))</f>
        <v>0.26</v>
      </c>
      <c r="E68" s="504">
        <f>IF(E$23='Indata - Fordon och Trafik'!$K$9,'Indata - Fordon och Trafik'!P8,IF($E$23='Indata - Fordon och Trafik'!$K$10,'Indata - Fordon och Trafik'!P16,'Indata - Fordon och Trafik'!P24))</f>
        <v>0.56000000000000005</v>
      </c>
      <c r="F68" s="397">
        <f>IF(F$23='Indata - Fordon och Trafik'!$K$9,'Indata - Fordon och Trafik'!O8,IF($F$23='Indata - Fordon och Trafik'!$K$10,'Indata - Fordon och Trafik'!O16,'Indata - Fordon och Trafik'!O24))</f>
        <v>0.26</v>
      </c>
      <c r="G68" s="504">
        <f>IF(G$23='Indata - Fordon och Trafik'!$K$9,'Indata - Fordon och Trafik'!P8,IF($G$23='Indata - Fordon och Trafik'!$K$10,'Indata - Fordon och Trafik'!P16,'Indata - Fordon och Trafik'!P24))</f>
        <v>1.1200000000000001</v>
      </c>
      <c r="H68" s="397">
        <f>IF(H$23='Indata - Fordon och Trafik'!$K$9,'Indata - Fordon och Trafik'!O8,IF($H$23='Indata - Fordon och Trafik'!$K$10,'Indata - Fordon och Trafik'!O16,'Indata - Fordon och Trafik'!O24))</f>
        <v>0.26</v>
      </c>
      <c r="I68" s="505">
        <f>IF(I$23='Indata - Fordon och Trafik'!$K$9,'Indata - Fordon och Trafik'!P8,IF($I$23='Indata - Fordon och Trafik'!$K$10,'Indata - Fordon och Trafik'!P16,'Indata - Fordon och Trafik'!P24))</f>
        <v>0.56000000000000005</v>
      </c>
      <c r="J68" s="38" t="s">
        <v>311</v>
      </c>
    </row>
    <row r="69" spans="1:19" ht="16.5" thickBot="1" x14ac:dyDescent="0.3">
      <c r="A69" s="120" t="s">
        <v>617</v>
      </c>
      <c r="B69" s="121" t="s">
        <v>18</v>
      </c>
      <c r="C69" s="121" t="s">
        <v>14</v>
      </c>
      <c r="D69" s="407">
        <v>2030</v>
      </c>
      <c r="E69" s="408">
        <v>2040</v>
      </c>
      <c r="F69" s="407">
        <v>2030</v>
      </c>
      <c r="G69" s="408">
        <v>2040</v>
      </c>
      <c r="H69" s="407">
        <v>2030</v>
      </c>
      <c r="I69" s="408">
        <v>2040</v>
      </c>
      <c r="J69" s="770" t="s">
        <v>15</v>
      </c>
      <c r="K69" s="771"/>
    </row>
    <row r="70" spans="1:19" ht="15.75" thickBot="1" x14ac:dyDescent="0.3">
      <c r="A70" s="650" t="s">
        <v>655</v>
      </c>
      <c r="B70" s="104" t="s">
        <v>120</v>
      </c>
      <c r="C70" s="104" t="s">
        <v>19</v>
      </c>
      <c r="D70" s="643">
        <v>0</v>
      </c>
      <c r="E70" s="646">
        <v>0</v>
      </c>
      <c r="F70" s="644">
        <f>EMA!B11</f>
        <v>0.5</v>
      </c>
      <c r="G70" s="644">
        <f>EMA!C11</f>
        <v>0</v>
      </c>
      <c r="H70" s="735">
        <f>EMA!B11</f>
        <v>0.5</v>
      </c>
      <c r="I70" s="645">
        <f>EMA!C11</f>
        <v>0</v>
      </c>
    </row>
    <row r="71" spans="1:19" ht="15.75" thickBot="1" x14ac:dyDescent="0.3">
      <c r="A71" s="714" t="s">
        <v>663</v>
      </c>
      <c r="B71" s="102" t="s">
        <v>120</v>
      </c>
      <c r="C71" s="102" t="s">
        <v>628</v>
      </c>
      <c r="D71" s="737">
        <v>0</v>
      </c>
      <c r="E71" s="647">
        <v>0</v>
      </c>
      <c r="F71" s="721">
        <f>EMA!B14</f>
        <v>-0.4</v>
      </c>
      <c r="G71" s="721">
        <f>EMA!C14</f>
        <v>0</v>
      </c>
      <c r="H71" s="736">
        <f>EMA!B14</f>
        <v>-0.4</v>
      </c>
      <c r="I71" s="722">
        <f>EMA!C14</f>
        <v>0</v>
      </c>
    </row>
    <row r="72" spans="1:19" ht="15.75" thickBot="1" x14ac:dyDescent="0.3">
      <c r="A72" s="714" t="s">
        <v>664</v>
      </c>
      <c r="B72" s="102" t="s">
        <v>120</v>
      </c>
      <c r="C72" s="102" t="s">
        <v>628</v>
      </c>
      <c r="D72" s="737">
        <v>0</v>
      </c>
      <c r="E72" s="647">
        <v>0</v>
      </c>
      <c r="F72" s="721">
        <f>EMA!B12</f>
        <v>-0.05</v>
      </c>
      <c r="G72" s="721">
        <f>EMA!C12</f>
        <v>0</v>
      </c>
      <c r="H72" s="736">
        <f>EMA!B12</f>
        <v>-0.05</v>
      </c>
      <c r="I72" s="722">
        <f>EMA!C12</f>
        <v>0</v>
      </c>
    </row>
    <row r="73" spans="1:19" ht="15.75" thickBot="1" x14ac:dyDescent="0.3">
      <c r="A73" s="714" t="s">
        <v>665</v>
      </c>
      <c r="B73" s="102" t="s">
        <v>120</v>
      </c>
      <c r="C73" s="102" t="s">
        <v>628</v>
      </c>
      <c r="D73" s="643">
        <v>0</v>
      </c>
      <c r="E73" s="646">
        <v>0</v>
      </c>
      <c r="F73" s="721">
        <f>EMA!B13</f>
        <v>0.2</v>
      </c>
      <c r="G73" s="721">
        <f>EMA!C13</f>
        <v>0</v>
      </c>
      <c r="H73" s="735">
        <f>EMA!B13</f>
        <v>0.2</v>
      </c>
      <c r="I73" s="645">
        <f>EMA!C13</f>
        <v>0</v>
      </c>
    </row>
    <row r="74" spans="1:19" x14ac:dyDescent="0.25">
      <c r="A74" s="698" t="s">
        <v>635</v>
      </c>
      <c r="B74" s="102" t="s">
        <v>183</v>
      </c>
      <c r="C74" s="136" t="s">
        <v>636</v>
      </c>
      <c r="D74" s="708">
        <v>0</v>
      </c>
      <c r="E74" s="708">
        <v>0</v>
      </c>
      <c r="F74" s="759">
        <f>EMA!B15</f>
        <v>0</v>
      </c>
      <c r="G74" s="701">
        <f>EMA!C15</f>
        <v>0</v>
      </c>
      <c r="H74" s="708">
        <f t="shared" ref="H74:I77" si="15">F74</f>
        <v>0</v>
      </c>
      <c r="I74" s="701">
        <f t="shared" si="15"/>
        <v>0</v>
      </c>
    </row>
    <row r="75" spans="1:19" x14ac:dyDescent="0.25">
      <c r="A75" s="699" t="s">
        <v>637</v>
      </c>
      <c r="B75" s="711" t="s">
        <v>183</v>
      </c>
      <c r="C75" s="132" t="s">
        <v>628</v>
      </c>
      <c r="D75" s="709">
        <v>0.05</v>
      </c>
      <c r="E75" s="709">
        <v>0.1</v>
      </c>
      <c r="F75" s="760">
        <f>EMA!B81</f>
        <v>0</v>
      </c>
      <c r="G75" s="703">
        <f>EMA!C81</f>
        <v>0</v>
      </c>
      <c r="H75" s="705">
        <f t="shared" si="15"/>
        <v>0</v>
      </c>
      <c r="I75" s="702">
        <f t="shared" si="15"/>
        <v>0</v>
      </c>
      <c r="J75" s="38" t="s">
        <v>251</v>
      </c>
    </row>
    <row r="76" spans="1:19" x14ac:dyDescent="0.25">
      <c r="A76" s="699" t="s">
        <v>638</v>
      </c>
      <c r="B76" s="711" t="s">
        <v>183</v>
      </c>
      <c r="C76" s="132" t="s">
        <v>628</v>
      </c>
      <c r="D76" s="710">
        <v>0.5</v>
      </c>
      <c r="E76" s="710">
        <v>0.5</v>
      </c>
      <c r="F76" s="760">
        <f>EMA!B82</f>
        <v>0</v>
      </c>
      <c r="G76" s="703">
        <f>EMA!C82</f>
        <v>0</v>
      </c>
      <c r="H76" s="706">
        <f t="shared" si="15"/>
        <v>0</v>
      </c>
      <c r="I76" s="703">
        <f t="shared" si="15"/>
        <v>0</v>
      </c>
      <c r="J76" s="38" t="s">
        <v>650</v>
      </c>
    </row>
    <row r="77" spans="1:19" ht="15.75" thickBot="1" x14ac:dyDescent="0.3">
      <c r="A77" s="700" t="s">
        <v>639</v>
      </c>
      <c r="B77" s="103" t="s">
        <v>183</v>
      </c>
      <c r="C77" s="133" t="s">
        <v>640</v>
      </c>
      <c r="D77" s="707">
        <v>1.5</v>
      </c>
      <c r="E77" s="707">
        <v>1.5</v>
      </c>
      <c r="F77" s="761">
        <f>EMA!B16</f>
        <v>0</v>
      </c>
      <c r="G77" s="704">
        <f>EMA!C16</f>
        <v>0</v>
      </c>
      <c r="H77" s="707">
        <f t="shared" si="15"/>
        <v>0</v>
      </c>
      <c r="I77" s="704">
        <f t="shared" si="15"/>
        <v>0</v>
      </c>
    </row>
    <row r="78" spans="1:19" x14ac:dyDescent="0.25">
      <c r="B78" s="26"/>
      <c r="C78" s="26"/>
      <c r="D78" s="687"/>
      <c r="E78" s="26"/>
    </row>
    <row r="79" spans="1:19" x14ac:dyDescent="0.25">
      <c r="B79" s="26"/>
      <c r="C79" s="26"/>
      <c r="D79" s="768">
        <f>D61/D$60</f>
        <v>3.6964804599212475E-2</v>
      </c>
      <c r="E79" s="768">
        <f>E61/E$60</f>
        <v>3.6964804599212482E-2</v>
      </c>
      <c r="G79" s="151">
        <f>EMA!C32</f>
        <v>-0.7776630952987782</v>
      </c>
    </row>
    <row r="80" spans="1:19" x14ac:dyDescent="0.25">
      <c r="B80" s="26"/>
      <c r="C80" s="26"/>
      <c r="D80" s="768">
        <f t="shared" ref="D80" si="16">D62/D$60</f>
        <v>4.023291189209266E-2</v>
      </c>
      <c r="E80" s="768">
        <f t="shared" ref="E80:E82" si="17">E62/E$60</f>
        <v>4.0232911892092674E-2</v>
      </c>
      <c r="F80" s="151"/>
    </row>
    <row r="81" spans="2:9" x14ac:dyDescent="0.25">
      <c r="B81" s="26"/>
      <c r="C81" s="26"/>
      <c r="D81" s="768">
        <f t="shared" ref="D81" si="18">D63/D$60</f>
        <v>0.32927537091549419</v>
      </c>
      <c r="E81" s="768">
        <f t="shared" si="17"/>
        <v>0.32927537091549425</v>
      </c>
      <c r="F81" s="38" t="s">
        <v>684</v>
      </c>
      <c r="G81" s="151">
        <f>'Modell - Lätta fordon'!G52</f>
        <v>0</v>
      </c>
    </row>
    <row r="82" spans="2:9" x14ac:dyDescent="0.25">
      <c r="B82" s="26"/>
      <c r="C82" s="26"/>
      <c r="D82" s="768">
        <f t="shared" ref="D82" si="19">D64/D$60</f>
        <v>0.59352691259320067</v>
      </c>
      <c r="E82" s="768">
        <f t="shared" si="17"/>
        <v>0.59352691259320067</v>
      </c>
    </row>
    <row r="83" spans="2:9" x14ac:dyDescent="0.25">
      <c r="B83" s="26"/>
      <c r="C83" s="26" t="s">
        <v>634</v>
      </c>
      <c r="D83" s="26"/>
      <c r="E83" s="26"/>
      <c r="F83" s="38">
        <v>171.96222222222224</v>
      </c>
      <c r="G83" s="38">
        <v>171.96222222222224</v>
      </c>
      <c r="H83" s="38">
        <v>171.96222222222224</v>
      </c>
      <c r="I83" s="38">
        <v>171.96222222222224</v>
      </c>
    </row>
    <row r="84" spans="2:9" x14ac:dyDescent="0.25">
      <c r="B84" s="26"/>
      <c r="C84" s="26"/>
      <c r="D84" s="26"/>
      <c r="E84" s="26"/>
      <c r="F84" s="38">
        <v>151.47333333333327</v>
      </c>
      <c r="G84" s="38">
        <v>151.47333333333327</v>
      </c>
      <c r="H84" s="38">
        <v>151.47333333333327</v>
      </c>
      <c r="I84" s="38">
        <v>151.47333333333327</v>
      </c>
    </row>
    <row r="85" spans="2:9" x14ac:dyDescent="0.25">
      <c r="B85" s="26"/>
      <c r="C85" s="26"/>
      <c r="D85" s="26"/>
      <c r="E85" s="26"/>
      <c r="F85" s="38">
        <v>131.61270986021509</v>
      </c>
      <c r="G85" s="38">
        <v>131.61270986021509</v>
      </c>
      <c r="H85" s="38">
        <v>131.61270986021509</v>
      </c>
      <c r="I85" s="38">
        <v>131.61270986021509</v>
      </c>
    </row>
    <row r="86" spans="2:9" x14ac:dyDescent="0.25">
      <c r="B86" s="26"/>
      <c r="C86" s="26"/>
      <c r="D86" s="26"/>
      <c r="E86" s="26"/>
      <c r="F86" s="38">
        <v>138.28043235708435</v>
      </c>
      <c r="G86" s="38">
        <v>138.28043235708435</v>
      </c>
      <c r="H86" s="38">
        <v>138.28043235708435</v>
      </c>
      <c r="I86" s="38">
        <v>138.28043235708435</v>
      </c>
    </row>
    <row r="87" spans="2:9" x14ac:dyDescent="0.25">
      <c r="B87" s="26"/>
      <c r="C87" s="26"/>
      <c r="D87" s="26"/>
      <c r="E87" s="26">
        <v>-0.63701837372949288</v>
      </c>
    </row>
    <row r="88" spans="2:9" ht="15.75" customHeight="1" x14ac:dyDescent="0.25">
      <c r="B88" s="26"/>
      <c r="C88" s="26"/>
      <c r="D88" s="26"/>
      <c r="E88" s="26">
        <v>-0.53753674303844723</v>
      </c>
    </row>
    <row r="89" spans="2:9" x14ac:dyDescent="0.25">
      <c r="B89" s="26"/>
      <c r="C89" s="26"/>
      <c r="D89" s="26"/>
      <c r="E89" s="26">
        <v>-0.51447918799022407</v>
      </c>
    </row>
    <row r="90" spans="2:9" x14ac:dyDescent="0.25">
      <c r="B90" s="26"/>
      <c r="C90" s="26"/>
      <c r="D90" s="26"/>
      <c r="E90" s="26">
        <v>-0.50870458391552376</v>
      </c>
    </row>
    <row r="91" spans="2:9" x14ac:dyDescent="0.25">
      <c r="B91" s="26"/>
      <c r="C91" s="26"/>
      <c r="D91" s="26"/>
      <c r="E91" s="26"/>
    </row>
    <row r="92" spans="2:9" x14ac:dyDescent="0.25">
      <c r="B92" s="26"/>
      <c r="C92" s="26"/>
      <c r="D92" s="26"/>
      <c r="E92" s="26"/>
    </row>
    <row r="93" spans="2:9" x14ac:dyDescent="0.25">
      <c r="B93" s="26"/>
      <c r="C93" s="26"/>
      <c r="D93" s="26"/>
      <c r="E93" s="26"/>
    </row>
  </sheetData>
  <protectedRanges>
    <protectedRange algorithmName="SHA-512" hashValue="bhbLMjBtLJkCl6+oRAIq98NZkcBAWzm8GjbRfoftLGnxxPl6tbwDiFe+9aTX2EHNMDT88cd1rnVmqQcow+/x8w==" saltValue="u4cWX+yqQiFBZXUHKrq6Og==" spinCount="100000" sqref="F9:G23" name="Indata"/>
  </protectedRanges>
  <mergeCells count="30">
    <mergeCell ref="J69:K69"/>
    <mergeCell ref="A54:A57"/>
    <mergeCell ref="D5:E5"/>
    <mergeCell ref="A9:A12"/>
    <mergeCell ref="D6:E6"/>
    <mergeCell ref="F6:G6"/>
    <mergeCell ref="H6:I6"/>
    <mergeCell ref="F5:G5"/>
    <mergeCell ref="H5:I5"/>
    <mergeCell ref="J7:K7"/>
    <mergeCell ref="J41:K41"/>
    <mergeCell ref="J5:K5"/>
    <mergeCell ref="J8:K8"/>
    <mergeCell ref="J18:K18"/>
    <mergeCell ref="J24:K24"/>
    <mergeCell ref="A13:A14"/>
    <mergeCell ref="A19:A20"/>
    <mergeCell ref="A21:A22"/>
    <mergeCell ref="A15:A16"/>
    <mergeCell ref="A25:A27"/>
    <mergeCell ref="A67:A68"/>
    <mergeCell ref="A60:A64"/>
    <mergeCell ref="A29:A31"/>
    <mergeCell ref="A32:A35"/>
    <mergeCell ref="J66:K66"/>
    <mergeCell ref="A42:A45"/>
    <mergeCell ref="A46:A49"/>
    <mergeCell ref="A50:A53"/>
    <mergeCell ref="A39:A40"/>
    <mergeCell ref="A58:A59"/>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D17:G17</xm:sqref>
        </x14:dataValidation>
        <x14:dataValidation type="list" allowBlank="1" showInputMessage="1" showErrorMessage="1">
          <x14:formula1>
            <xm:f>'Indata - Fordon och Trafik'!$K$9:$K$11</xm:f>
          </x14:formula1>
          <xm:sqref>D23:G23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E35"/>
  <sheetViews>
    <sheetView topLeftCell="A16" zoomScale="145" zoomScaleNormal="145" workbookViewId="0">
      <selection activeCell="F6" sqref="F6"/>
    </sheetView>
  </sheetViews>
  <sheetFormatPr defaultRowHeight="15" x14ac:dyDescent="0.25"/>
  <cols>
    <col min="3" max="3" width="16" customWidth="1"/>
    <col min="4" max="4" width="16.42578125" customWidth="1"/>
    <col min="5" max="5" width="17.140625" customWidth="1"/>
  </cols>
  <sheetData>
    <row r="2" spans="2:5" x14ac:dyDescent="0.25">
      <c r="B2" s="627" t="s">
        <v>620</v>
      </c>
      <c r="C2" s="627"/>
    </row>
    <row r="3" spans="2:5" x14ac:dyDescent="0.25">
      <c r="B3" s="719" t="s">
        <v>115</v>
      </c>
      <c r="C3" s="627">
        <v>171.96222222222224</v>
      </c>
    </row>
    <row r="4" spans="2:5" x14ac:dyDescent="0.25">
      <c r="B4" s="719" t="s">
        <v>116</v>
      </c>
      <c r="C4" s="627">
        <v>151.47333333333327</v>
      </c>
    </row>
    <row r="5" spans="2:5" x14ac:dyDescent="0.25">
      <c r="B5" s="719" t="s">
        <v>117</v>
      </c>
      <c r="C5" s="627">
        <v>131.61270986021509</v>
      </c>
    </row>
    <row r="6" spans="2:5" x14ac:dyDescent="0.25">
      <c r="B6" s="720" t="s">
        <v>118</v>
      </c>
      <c r="C6" s="627">
        <v>138.28043235708435</v>
      </c>
    </row>
    <row r="8" spans="2:5" x14ac:dyDescent="0.25">
      <c r="C8" t="s">
        <v>610</v>
      </c>
    </row>
    <row r="9" spans="2:5" x14ac:dyDescent="0.25">
      <c r="C9" t="s">
        <v>588</v>
      </c>
      <c r="D9" t="s">
        <v>588</v>
      </c>
      <c r="E9" t="s">
        <v>589</v>
      </c>
    </row>
    <row r="10" spans="2:5" x14ac:dyDescent="0.25">
      <c r="C10" t="s">
        <v>587</v>
      </c>
      <c r="D10" t="s">
        <v>586</v>
      </c>
      <c r="E10" t="s">
        <v>654</v>
      </c>
    </row>
    <row r="11" spans="2:5" x14ac:dyDescent="0.25">
      <c r="B11" s="719" t="s">
        <v>115</v>
      </c>
      <c r="C11" s="627">
        <v>45000</v>
      </c>
      <c r="D11" s="627">
        <v>2000</v>
      </c>
      <c r="E11" s="627">
        <f t="shared" ref="E11:E14" si="0">C11/D11</f>
        <v>22.5</v>
      </c>
    </row>
    <row r="12" spans="2:5" x14ac:dyDescent="0.25">
      <c r="B12" s="719" t="s">
        <v>116</v>
      </c>
      <c r="C12" s="627">
        <v>60000</v>
      </c>
      <c r="D12" s="627">
        <v>2000</v>
      </c>
      <c r="E12" s="627">
        <f t="shared" si="0"/>
        <v>30</v>
      </c>
    </row>
    <row r="13" spans="2:5" x14ac:dyDescent="0.25">
      <c r="B13" s="719" t="s">
        <v>117</v>
      </c>
      <c r="C13" s="627">
        <v>125000</v>
      </c>
      <c r="D13" s="627">
        <v>3500</v>
      </c>
      <c r="E13" s="627">
        <f t="shared" si="0"/>
        <v>35.714285714285715</v>
      </c>
    </row>
    <row r="14" spans="2:5" x14ac:dyDescent="0.25">
      <c r="B14" s="720" t="s">
        <v>118</v>
      </c>
      <c r="C14" s="627">
        <v>125000</v>
      </c>
      <c r="D14" s="627">
        <v>3500</v>
      </c>
      <c r="E14" s="627">
        <f t="shared" si="0"/>
        <v>35.714285714285715</v>
      </c>
    </row>
    <row r="16" spans="2:5" x14ac:dyDescent="0.25">
      <c r="C16" s="718" t="s">
        <v>618</v>
      </c>
    </row>
    <row r="17" spans="2:4" x14ac:dyDescent="0.25">
      <c r="C17" s="619" t="s">
        <v>656</v>
      </c>
      <c r="D17" s="619" t="s">
        <v>657</v>
      </c>
    </row>
    <row r="18" spans="2:4" x14ac:dyDescent="0.25">
      <c r="B18" s="627" t="s">
        <v>115</v>
      </c>
      <c r="C18" s="633">
        <v>0</v>
      </c>
      <c r="D18" s="633">
        <v>-0.1</v>
      </c>
    </row>
    <row r="19" spans="2:4" x14ac:dyDescent="0.25">
      <c r="B19" s="627" t="s">
        <v>116</v>
      </c>
      <c r="C19" s="633">
        <v>0</v>
      </c>
      <c r="D19" s="633">
        <v>-0.1</v>
      </c>
    </row>
    <row r="20" spans="2:4" x14ac:dyDescent="0.25">
      <c r="B20" s="627" t="s">
        <v>117</v>
      </c>
      <c r="C20" s="633">
        <v>0</v>
      </c>
      <c r="D20" s="633">
        <v>-0.1</v>
      </c>
    </row>
    <row r="21" spans="2:4" x14ac:dyDescent="0.25">
      <c r="B21" s="627" t="s">
        <v>118</v>
      </c>
      <c r="C21" s="633">
        <v>0</v>
      </c>
      <c r="D21" s="633">
        <v>-0.1</v>
      </c>
    </row>
    <row r="23" spans="2:4" x14ac:dyDescent="0.25">
      <c r="C23" s="718" t="s">
        <v>619</v>
      </c>
    </row>
    <row r="24" spans="2:4" x14ac:dyDescent="0.25">
      <c r="C24" s="619" t="s">
        <v>656</v>
      </c>
      <c r="D24" s="619" t="s">
        <v>657</v>
      </c>
    </row>
    <row r="25" spans="2:4" x14ac:dyDescent="0.25">
      <c r="B25" s="719" t="s">
        <v>115</v>
      </c>
      <c r="C25" s="633">
        <v>-0.31814855471261938</v>
      </c>
      <c r="D25" s="633">
        <v>-0.63701837372949288</v>
      </c>
    </row>
    <row r="26" spans="2:4" x14ac:dyDescent="0.25">
      <c r="B26" s="719" t="s">
        <v>116</v>
      </c>
      <c r="C26" s="633">
        <v>-0.22629127942102728</v>
      </c>
      <c r="D26" s="633">
        <v>-0.53753674303844723</v>
      </c>
    </row>
    <row r="27" spans="2:4" x14ac:dyDescent="0.25">
      <c r="B27" s="719" t="s">
        <v>117</v>
      </c>
      <c r="C27" s="633">
        <v>-0.20532650551320625</v>
      </c>
      <c r="D27" s="633">
        <v>-0.51447918799022407</v>
      </c>
    </row>
    <row r="28" spans="2:4" x14ac:dyDescent="0.25">
      <c r="B28" s="720" t="s">
        <v>118</v>
      </c>
      <c r="C28" s="633">
        <v>-0.19547055537784488</v>
      </c>
      <c r="D28" s="633">
        <v>-0.50870458391552376</v>
      </c>
    </row>
    <row r="30" spans="2:4" x14ac:dyDescent="0.25">
      <c r="C30" s="619" t="s">
        <v>653</v>
      </c>
    </row>
    <row r="31" spans="2:4" x14ac:dyDescent="0.25">
      <c r="C31" s="619" t="s">
        <v>656</v>
      </c>
      <c r="D31" s="619" t="s">
        <v>657</v>
      </c>
    </row>
    <row r="32" spans="2:4" x14ac:dyDescent="0.25">
      <c r="B32" s="719" t="s">
        <v>115</v>
      </c>
      <c r="C32" s="633">
        <v>0.2</v>
      </c>
      <c r="D32" s="633">
        <v>0.5</v>
      </c>
    </row>
    <row r="33" spans="2:4" x14ac:dyDescent="0.25">
      <c r="B33" s="719" t="s">
        <v>116</v>
      </c>
      <c r="C33" s="633">
        <v>0.2</v>
      </c>
      <c r="D33" s="633">
        <v>0.5</v>
      </c>
    </row>
    <row r="34" spans="2:4" x14ac:dyDescent="0.25">
      <c r="B34" s="719" t="s">
        <v>117</v>
      </c>
      <c r="C34" s="633">
        <v>0.2</v>
      </c>
      <c r="D34" s="633">
        <v>0.5</v>
      </c>
    </row>
    <row r="35" spans="2:4" x14ac:dyDescent="0.25">
      <c r="B35" s="720" t="s">
        <v>118</v>
      </c>
      <c r="C35" s="633">
        <v>0.2</v>
      </c>
      <c r="D35" s="633">
        <v>0.5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I8"/>
  <sheetViews>
    <sheetView zoomScale="130" zoomScaleNormal="130" workbookViewId="0">
      <selection activeCell="B28" sqref="B28"/>
    </sheetView>
  </sheetViews>
  <sheetFormatPr defaultRowHeight="15" x14ac:dyDescent="0.25"/>
  <cols>
    <col min="2" max="2" width="29" bestFit="1" customWidth="1"/>
    <col min="3" max="3" width="17.5703125" customWidth="1"/>
  </cols>
  <sheetData>
    <row r="1" spans="2:9" ht="16.5" thickBot="1" x14ac:dyDescent="0.3">
      <c r="D1" s="791" t="s">
        <v>64</v>
      </c>
      <c r="E1" s="792"/>
      <c r="F1" s="791" t="s">
        <v>65</v>
      </c>
      <c r="G1" s="792"/>
      <c r="H1" s="793" t="s">
        <v>66</v>
      </c>
      <c r="I1" s="792"/>
    </row>
    <row r="2" spans="2:9" ht="16.5" thickBot="1" x14ac:dyDescent="0.3">
      <c r="D2" s="715">
        <v>2030</v>
      </c>
      <c r="E2" s="716">
        <v>2040</v>
      </c>
      <c r="F2" s="715">
        <v>2030</v>
      </c>
      <c r="G2" s="716">
        <v>2040</v>
      </c>
      <c r="H2" s="717">
        <v>2030</v>
      </c>
      <c r="I2" s="716">
        <v>2040</v>
      </c>
    </row>
    <row r="3" spans="2:9" ht="15.75" thickBot="1" x14ac:dyDescent="0.3">
      <c r="B3" s="730" t="s">
        <v>661</v>
      </c>
      <c r="C3" s="726" t="s">
        <v>668</v>
      </c>
      <c r="D3" s="727">
        <f>Indata!D70</f>
        <v>0</v>
      </c>
      <c r="E3" s="727">
        <f>Indata!E70</f>
        <v>0</v>
      </c>
      <c r="F3" s="727">
        <f>Indata!F70</f>
        <v>0.5</v>
      </c>
      <c r="G3" s="727">
        <f>Indata!G70</f>
        <v>0</v>
      </c>
      <c r="H3" s="727">
        <f>Indata!H70</f>
        <v>0.5</v>
      </c>
      <c r="I3" s="728">
        <f>Indata!I70</f>
        <v>0</v>
      </c>
    </row>
    <row r="4" spans="2:9" ht="15.75" thickBot="1" x14ac:dyDescent="0.3">
      <c r="B4" s="729" t="s">
        <v>660</v>
      </c>
      <c r="C4" s="724" t="s">
        <v>668</v>
      </c>
      <c r="D4" s="725">
        <f>Indata!D73</f>
        <v>0</v>
      </c>
      <c r="E4" s="725">
        <f>Indata!E73</f>
        <v>0</v>
      </c>
      <c r="F4" s="725">
        <f>Indata!F73</f>
        <v>0.2</v>
      </c>
      <c r="G4" s="725">
        <f>Indata!G73</f>
        <v>0</v>
      </c>
      <c r="H4" s="725">
        <f>Indata!H73</f>
        <v>0.2</v>
      </c>
      <c r="I4" s="725">
        <f>Indata!I73</f>
        <v>0</v>
      </c>
    </row>
    <row r="5" spans="2:9" ht="15.75" thickBot="1" x14ac:dyDescent="0.3">
      <c r="B5" s="723" t="s">
        <v>658</v>
      </c>
      <c r="C5" s="731" t="s">
        <v>659</v>
      </c>
      <c r="D5" s="732">
        <f>D3*(1)/((1-D3)+D3*(1+D4))</f>
        <v>0</v>
      </c>
      <c r="E5" s="732">
        <f>E3*(1+E4)/((1-E3)+E3*(1+E4))</f>
        <v>0</v>
      </c>
      <c r="F5" s="732">
        <f>F3*(1+F4)/((1-F3)+F3*(1+F4))</f>
        <v>0.54545454545454541</v>
      </c>
      <c r="G5" s="732">
        <f>G3*(1+G4)/((1-G3)+G3*(1+G4))</f>
        <v>0</v>
      </c>
      <c r="H5" s="732">
        <f>H3*(1+H4)/((1-H3)+H3*(1+H4))</f>
        <v>0.54545454545454541</v>
      </c>
      <c r="I5" s="733">
        <f>I3*(1+I4)/((1-I3)+I3*(1+I4))</f>
        <v>0</v>
      </c>
    </row>
    <row r="8" spans="2:9" x14ac:dyDescent="0.25">
      <c r="G8" s="606"/>
      <c r="I8" s="606"/>
    </row>
  </sheetData>
  <mergeCells count="3">
    <mergeCell ref="F1:G1"/>
    <mergeCell ref="H1:I1"/>
    <mergeCell ref="D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89"/>
  <sheetViews>
    <sheetView zoomScale="115" zoomScaleNormal="115" workbookViewId="0">
      <pane ySplit="4" topLeftCell="A8" activePane="bottomLeft" state="frozen"/>
      <selection pane="bottomLeft" activeCell="Q16" sqref="Q16"/>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17" t="s">
        <v>248</v>
      </c>
    </row>
    <row r="2" spans="1:39" ht="15.75" thickBot="1" x14ac:dyDescent="0.3"/>
    <row r="3" spans="1:39" s="310" customFormat="1" ht="25.9" customHeight="1" thickBot="1" x14ac:dyDescent="0.3">
      <c r="A3" s="791" t="s">
        <v>67</v>
      </c>
      <c r="B3" s="808" t="s">
        <v>222</v>
      </c>
      <c r="C3" s="809"/>
      <c r="D3" s="791" t="s">
        <v>64</v>
      </c>
      <c r="E3" s="792"/>
      <c r="F3" s="791" t="s">
        <v>65</v>
      </c>
      <c r="G3" s="792"/>
      <c r="H3" s="793" t="s">
        <v>66</v>
      </c>
      <c r="I3" s="792"/>
      <c r="K3" s="791" t="s">
        <v>67</v>
      </c>
      <c r="L3" s="803" t="s">
        <v>232</v>
      </c>
      <c r="M3" s="804"/>
      <c r="N3" s="791" t="s">
        <v>64</v>
      </c>
      <c r="O3" s="792"/>
      <c r="P3" s="791" t="s">
        <v>65</v>
      </c>
      <c r="Q3" s="792"/>
      <c r="R3" s="793" t="s">
        <v>66</v>
      </c>
      <c r="S3" s="792"/>
      <c r="U3" s="791" t="s">
        <v>67</v>
      </c>
      <c r="V3" s="803" t="s">
        <v>223</v>
      </c>
      <c r="W3" s="804"/>
      <c r="X3" s="791" t="s">
        <v>64</v>
      </c>
      <c r="Y3" s="792"/>
      <c r="Z3" s="791" t="s">
        <v>65</v>
      </c>
      <c r="AA3" s="792"/>
      <c r="AB3" s="793" t="s">
        <v>66</v>
      </c>
      <c r="AC3" s="792"/>
      <c r="AE3" s="791" t="s">
        <v>67</v>
      </c>
      <c r="AF3" s="803" t="s">
        <v>233</v>
      </c>
      <c r="AG3" s="804"/>
      <c r="AH3" s="791" t="s">
        <v>64</v>
      </c>
      <c r="AI3" s="792"/>
      <c r="AJ3" s="791" t="s">
        <v>65</v>
      </c>
      <c r="AK3" s="792"/>
      <c r="AL3" s="793" t="s">
        <v>66</v>
      </c>
      <c r="AM3" s="792"/>
    </row>
    <row r="4" spans="1:39" s="118" customFormat="1" ht="25.9" customHeight="1" thickBot="1" x14ac:dyDescent="0.25">
      <c r="A4" s="807"/>
      <c r="B4" s="810"/>
      <c r="C4" s="811"/>
      <c r="D4" s="253">
        <v>2030</v>
      </c>
      <c r="E4" s="254">
        <v>2040</v>
      </c>
      <c r="F4" s="253">
        <v>2030</v>
      </c>
      <c r="G4" s="254">
        <v>2040</v>
      </c>
      <c r="H4" s="255">
        <v>2030</v>
      </c>
      <c r="I4" s="254">
        <v>2040</v>
      </c>
      <c r="K4" s="807"/>
      <c r="L4" s="805"/>
      <c r="M4" s="806"/>
      <c r="N4" s="253">
        <v>2030</v>
      </c>
      <c r="O4" s="254">
        <v>2040</v>
      </c>
      <c r="P4" s="253">
        <v>2030</v>
      </c>
      <c r="Q4" s="254">
        <v>2040</v>
      </c>
      <c r="R4" s="255">
        <v>2030</v>
      </c>
      <c r="S4" s="254">
        <v>2040</v>
      </c>
      <c r="U4" s="807"/>
      <c r="V4" s="805"/>
      <c r="W4" s="806"/>
      <c r="X4" s="253">
        <v>2030</v>
      </c>
      <c r="Y4" s="254">
        <v>2040</v>
      </c>
      <c r="Z4" s="253">
        <v>2030</v>
      </c>
      <c r="AA4" s="254">
        <v>2040</v>
      </c>
      <c r="AB4" s="255">
        <v>2030</v>
      </c>
      <c r="AC4" s="254">
        <v>2040</v>
      </c>
      <c r="AE4" s="807"/>
      <c r="AF4" s="805"/>
      <c r="AG4" s="806"/>
      <c r="AH4" s="253">
        <v>2030</v>
      </c>
      <c r="AI4" s="254">
        <v>2040</v>
      </c>
      <c r="AJ4" s="253">
        <v>2030</v>
      </c>
      <c r="AK4" s="254">
        <v>2040</v>
      </c>
      <c r="AL4" s="255">
        <v>2030</v>
      </c>
      <c r="AM4" s="254">
        <v>2040</v>
      </c>
    </row>
    <row r="5" spans="1:39" ht="15.75" thickBot="1" x14ac:dyDescent="0.3">
      <c r="A5" s="40" t="s">
        <v>79</v>
      </c>
      <c r="D5" s="189"/>
      <c r="E5" s="189"/>
      <c r="F5" s="189"/>
      <c r="G5" s="189"/>
      <c r="H5" s="189"/>
      <c r="I5" s="189"/>
      <c r="K5" s="40" t="s">
        <v>234</v>
      </c>
      <c r="N5" s="189"/>
      <c r="O5" s="189"/>
      <c r="P5" s="189"/>
      <c r="Q5" s="189"/>
      <c r="R5" s="189"/>
      <c r="S5" s="189"/>
      <c r="U5" s="40" t="s">
        <v>88</v>
      </c>
      <c r="X5" s="189"/>
      <c r="Y5" s="189"/>
      <c r="Z5" s="189"/>
      <c r="AA5" s="189"/>
      <c r="AB5" s="189"/>
      <c r="AC5" s="189"/>
      <c r="AE5" s="40" t="s">
        <v>151</v>
      </c>
      <c r="AF5" s="38"/>
      <c r="AG5" s="38"/>
      <c r="AH5" s="189"/>
      <c r="AI5" s="189"/>
      <c r="AJ5" s="189"/>
      <c r="AK5" s="189"/>
      <c r="AL5" s="189"/>
      <c r="AM5" s="189"/>
    </row>
    <row r="6" spans="1:39" x14ac:dyDescent="0.25">
      <c r="A6" s="797" t="s">
        <v>0</v>
      </c>
      <c r="B6" s="124" t="s">
        <v>8</v>
      </c>
      <c r="C6" s="124" t="s">
        <v>205</v>
      </c>
      <c r="D6" s="190">
        <f>Indata!D32</f>
        <v>17.911754192557677</v>
      </c>
      <c r="E6" s="191">
        <f>Indata!E32</f>
        <v>21.293751803814949</v>
      </c>
      <c r="F6" s="190">
        <f>Indata!F32</f>
        <v>17.911754192557677</v>
      </c>
      <c r="G6" s="191">
        <f>Indata!G32</f>
        <v>21.293751803814949</v>
      </c>
      <c r="H6" s="192">
        <f>Indata!H32</f>
        <v>17.911754192557677</v>
      </c>
      <c r="I6" s="191">
        <f>Indata!I32</f>
        <v>21.293751803814949</v>
      </c>
      <c r="K6" s="797" t="s">
        <v>0</v>
      </c>
      <c r="L6" s="124" t="s">
        <v>8</v>
      </c>
      <c r="M6" s="124" t="s">
        <v>205</v>
      </c>
      <c r="N6" s="190">
        <f>'Modell - Drivmedelpriser'!E24</f>
        <v>17.911754192557677</v>
      </c>
      <c r="O6" s="191">
        <f>'Modell - Drivmedelpriser'!F24</f>
        <v>21.293751803814949</v>
      </c>
      <c r="P6" s="190">
        <f>'Modell - Drivmedelpriser'!G24</f>
        <v>17.911754192557677</v>
      </c>
      <c r="Q6" s="191">
        <f>'Modell - Drivmedelpriser'!H24</f>
        <v>22.28085706697285</v>
      </c>
      <c r="R6" s="192">
        <f>'Modell - Drivmedelpriser'!I24</f>
        <v>17.911754192557677</v>
      </c>
      <c r="S6" s="191">
        <f>'Modell - Drivmedelpriser'!J24</f>
        <v>21.293751803814949</v>
      </c>
      <c r="U6" s="797" t="s">
        <v>0</v>
      </c>
      <c r="V6" s="124" t="s">
        <v>8</v>
      </c>
      <c r="W6" s="124" t="s">
        <v>205</v>
      </c>
      <c r="X6" s="190">
        <f>N6</f>
        <v>17.911754192557677</v>
      </c>
      <c r="Y6" s="191">
        <f t="shared" ref="Y6:Y8" si="0">O6</f>
        <v>21.293751803814949</v>
      </c>
      <c r="Z6" s="190">
        <f t="shared" ref="Z6:Z8" si="1">P6</f>
        <v>17.911754192557677</v>
      </c>
      <c r="AA6" s="191">
        <f t="shared" ref="AA6:AA8" si="2">Q6</f>
        <v>22.28085706697285</v>
      </c>
      <c r="AB6" s="192">
        <f t="shared" ref="AB6:AB8" si="3">R6</f>
        <v>17.911754192557677</v>
      </c>
      <c r="AC6" s="191">
        <f t="shared" ref="AC6:AC8" si="4">S6</f>
        <v>21.293751803814949</v>
      </c>
      <c r="AE6" s="797" t="s">
        <v>0</v>
      </c>
      <c r="AF6" s="124" t="s">
        <v>8</v>
      </c>
      <c r="AG6" s="124" t="s">
        <v>205</v>
      </c>
      <c r="AH6" s="190">
        <f>X6</f>
        <v>17.911754192557677</v>
      </c>
      <c r="AI6" s="191">
        <f t="shared" ref="AI6:AI8" si="5">Y6</f>
        <v>21.293751803814949</v>
      </c>
      <c r="AJ6" s="190">
        <f t="shared" ref="AJ6:AJ8" si="6">Z6</f>
        <v>17.911754192557677</v>
      </c>
      <c r="AK6" s="191">
        <f t="shared" ref="AK6:AK8" si="7">AA6</f>
        <v>22.28085706697285</v>
      </c>
      <c r="AL6" s="192">
        <f t="shared" ref="AL6:AL8" si="8">AB6</f>
        <v>17.911754192557677</v>
      </c>
      <c r="AM6" s="191">
        <f t="shared" ref="AM6:AM8" si="9">AC6</f>
        <v>21.293751803814949</v>
      </c>
    </row>
    <row r="7" spans="1:39" x14ac:dyDescent="0.25">
      <c r="A7" s="798"/>
      <c r="B7" s="125" t="s">
        <v>9</v>
      </c>
      <c r="C7" s="125" t="s">
        <v>205</v>
      </c>
      <c r="D7" s="193">
        <f>Indata!D33</f>
        <v>19.069168234099362</v>
      </c>
      <c r="E7" s="194">
        <f>Indata!E33</f>
        <v>22.557131724953557</v>
      </c>
      <c r="F7" s="193">
        <f>Indata!F33</f>
        <v>19.069168234099362</v>
      </c>
      <c r="G7" s="194">
        <f>Indata!G33</f>
        <v>22.557131724953557</v>
      </c>
      <c r="H7" s="195">
        <f>Indata!H33</f>
        <v>19.069168234099362</v>
      </c>
      <c r="I7" s="194">
        <f>Indata!I33</f>
        <v>22.557131724953557</v>
      </c>
      <c r="K7" s="798"/>
      <c r="L7" s="125" t="s">
        <v>9</v>
      </c>
      <c r="M7" s="125" t="s">
        <v>205</v>
      </c>
      <c r="N7" s="193">
        <f>'Modell - Drivmedelpriser'!E43</f>
        <v>19.069168234099362</v>
      </c>
      <c r="O7" s="194">
        <f>'Modell - Drivmedelpriser'!F43</f>
        <v>22.557131724953557</v>
      </c>
      <c r="P7" s="193">
        <f>'Modell - Drivmedelpriser'!G43</f>
        <v>19.069168234099362</v>
      </c>
      <c r="Q7" s="194">
        <f>'Modell - Drivmedelpriser'!H43</f>
        <v>22.124513303900926</v>
      </c>
      <c r="R7" s="195">
        <f>'Modell - Drivmedelpriser'!I43</f>
        <v>19.069168234099362</v>
      </c>
      <c r="S7" s="194">
        <f>'Modell - Drivmedelpriser'!J43</f>
        <v>22.557131724953557</v>
      </c>
      <c r="U7" s="798"/>
      <c r="V7" s="125" t="s">
        <v>9</v>
      </c>
      <c r="W7" s="125" t="s">
        <v>205</v>
      </c>
      <c r="X7" s="193">
        <f t="shared" ref="X7:X8" si="10">N7</f>
        <v>19.069168234099362</v>
      </c>
      <c r="Y7" s="194">
        <f t="shared" si="0"/>
        <v>22.557131724953557</v>
      </c>
      <c r="Z7" s="193">
        <f t="shared" si="1"/>
        <v>19.069168234099362</v>
      </c>
      <c r="AA7" s="194">
        <f t="shared" si="2"/>
        <v>22.124513303900926</v>
      </c>
      <c r="AB7" s="195">
        <f t="shared" si="3"/>
        <v>19.069168234099362</v>
      </c>
      <c r="AC7" s="194">
        <f t="shared" si="4"/>
        <v>22.557131724953557</v>
      </c>
      <c r="AE7" s="798"/>
      <c r="AF7" s="125" t="s">
        <v>9</v>
      </c>
      <c r="AG7" s="125" t="s">
        <v>205</v>
      </c>
      <c r="AH7" s="193">
        <f t="shared" ref="AH7:AH8" si="11">X7</f>
        <v>19.069168234099362</v>
      </c>
      <c r="AI7" s="194">
        <f t="shared" si="5"/>
        <v>22.557131724953557</v>
      </c>
      <c r="AJ7" s="193">
        <f t="shared" si="6"/>
        <v>19.069168234099362</v>
      </c>
      <c r="AK7" s="194">
        <f t="shared" si="7"/>
        <v>22.124513303900926</v>
      </c>
      <c r="AL7" s="195">
        <f t="shared" si="8"/>
        <v>19.069168234099362</v>
      </c>
      <c r="AM7" s="194">
        <f t="shared" si="9"/>
        <v>22.557131724953557</v>
      </c>
    </row>
    <row r="8" spans="1:39" x14ac:dyDescent="0.25">
      <c r="A8" s="798"/>
      <c r="B8" s="125" t="s">
        <v>7</v>
      </c>
      <c r="C8" s="125" t="s">
        <v>182</v>
      </c>
      <c r="D8" s="193">
        <f>Indata!D34</f>
        <v>3.4709076086956521</v>
      </c>
      <c r="E8" s="194">
        <f>Indata!E34</f>
        <v>4.1598749999999995</v>
      </c>
      <c r="F8" s="193">
        <f>Indata!F34</f>
        <v>3.4709076086956521</v>
      </c>
      <c r="G8" s="194">
        <f>Indata!G34</f>
        <v>4.1598749999999995</v>
      </c>
      <c r="H8" s="195">
        <f>Indata!H34</f>
        <v>3.4709076086956521</v>
      </c>
      <c r="I8" s="194">
        <f>Indata!I34</f>
        <v>4.1598749999999995</v>
      </c>
      <c r="K8" s="798"/>
      <c r="L8" s="125" t="s">
        <v>7</v>
      </c>
      <c r="M8" s="125" t="s">
        <v>182</v>
      </c>
      <c r="N8" s="193">
        <f>'Modell - Drivmedelpriser'!E75</f>
        <v>3.4709076086956521</v>
      </c>
      <c r="O8" s="194">
        <f>'Modell - Drivmedelpriser'!F75</f>
        <v>4.1598749999999995</v>
      </c>
      <c r="P8" s="193">
        <f>'Modell - Drivmedelpriser'!G75</f>
        <v>3.4709076086956521</v>
      </c>
      <c r="Q8" s="194">
        <f>'Modell - Drivmedelpriser'!H75</f>
        <v>4.1598749999999995</v>
      </c>
      <c r="R8" s="195">
        <f>'Modell - Drivmedelpriser'!I75</f>
        <v>3.4709076086956521</v>
      </c>
      <c r="S8" s="194">
        <f>'Modell - Drivmedelpriser'!J75</f>
        <v>4.1598749999999995</v>
      </c>
      <c r="U8" s="798"/>
      <c r="V8" s="125" t="s">
        <v>7</v>
      </c>
      <c r="W8" s="125" t="s">
        <v>182</v>
      </c>
      <c r="X8" s="193">
        <f t="shared" si="10"/>
        <v>3.4709076086956521</v>
      </c>
      <c r="Y8" s="194">
        <f t="shared" si="0"/>
        <v>4.1598749999999995</v>
      </c>
      <c r="Z8" s="193">
        <f t="shared" si="1"/>
        <v>3.4709076086956521</v>
      </c>
      <c r="AA8" s="194">
        <f t="shared" si="2"/>
        <v>4.1598749999999995</v>
      </c>
      <c r="AB8" s="195">
        <f t="shared" si="3"/>
        <v>3.4709076086956521</v>
      </c>
      <c r="AC8" s="194">
        <f t="shared" si="4"/>
        <v>4.1598749999999995</v>
      </c>
      <c r="AE8" s="798"/>
      <c r="AF8" s="125" t="s">
        <v>7</v>
      </c>
      <c r="AG8" s="125" t="s">
        <v>182</v>
      </c>
      <c r="AH8" s="193">
        <f t="shared" si="11"/>
        <v>3.4709076086956521</v>
      </c>
      <c r="AI8" s="194">
        <f t="shared" si="5"/>
        <v>4.1598749999999995</v>
      </c>
      <c r="AJ8" s="193">
        <f t="shared" si="6"/>
        <v>3.4709076086956521</v>
      </c>
      <c r="AK8" s="194">
        <f t="shared" si="7"/>
        <v>4.1598749999999995</v>
      </c>
      <c r="AL8" s="195">
        <f t="shared" si="8"/>
        <v>3.4709076086956521</v>
      </c>
      <c r="AM8" s="194">
        <f t="shared" si="9"/>
        <v>4.1598749999999995</v>
      </c>
    </row>
    <row r="9" spans="1:39" s="290" customFormat="1" x14ac:dyDescent="0.25">
      <c r="A9" s="798"/>
      <c r="B9" s="175" t="s">
        <v>20</v>
      </c>
      <c r="C9" s="175" t="s">
        <v>205</v>
      </c>
      <c r="D9" s="186">
        <f>Indata!D35</f>
        <v>18.509834334093423</v>
      </c>
      <c r="E9" s="187">
        <f>Indata!E35</f>
        <v>21.927924171466245</v>
      </c>
      <c r="F9" s="186">
        <f>Indata!F35</f>
        <v>18.509834334093423</v>
      </c>
      <c r="G9" s="187">
        <f>Indata!G35</f>
        <v>21.927924171466245</v>
      </c>
      <c r="H9" s="188">
        <f>Indata!H35</f>
        <v>18.509834334093423</v>
      </c>
      <c r="I9" s="187">
        <f>Indata!I35</f>
        <v>21.927924171466245</v>
      </c>
      <c r="K9" s="798"/>
      <c r="L9" s="175" t="s">
        <v>20</v>
      </c>
      <c r="M9" s="175" t="s">
        <v>205</v>
      </c>
      <c r="N9" s="293">
        <f>SUMPRODUCT(N6:N7,D18:D19)/SUM(D18:D19)</f>
        <v>18.509834334093423</v>
      </c>
      <c r="O9" s="294">
        <f t="shared" ref="O9:S9" si="12">SUMPRODUCT(O6:O7,E18:E19)/SUM(E18:E19)</f>
        <v>21.927924171466245</v>
      </c>
      <c r="P9" s="293">
        <f t="shared" si="12"/>
        <v>18.509834334093423</v>
      </c>
      <c r="Q9" s="294">
        <f t="shared" si="12"/>
        <v>22.202377986582306</v>
      </c>
      <c r="R9" s="295">
        <f t="shared" si="12"/>
        <v>18.509834334093423</v>
      </c>
      <c r="S9" s="294">
        <f t="shared" si="12"/>
        <v>21.927924171466245</v>
      </c>
      <c r="U9" s="798"/>
      <c r="V9" s="175" t="s">
        <v>20</v>
      </c>
      <c r="W9" s="175" t="s">
        <v>205</v>
      </c>
      <c r="X9" s="186">
        <f>SUMPRODUCT(X6:X7,X18:X19)/SUM(X18:X19)</f>
        <v>18.509834334093423</v>
      </c>
      <c r="Y9" s="187">
        <f t="shared" ref="Y9:AC9" si="13">SUMPRODUCT(Y6:Y7,Y18:Y19)/SUM(Y18:Y19)</f>
        <v>21.927924171466245</v>
      </c>
      <c r="Z9" s="186">
        <f t="shared" si="13"/>
        <v>18.509834334093423</v>
      </c>
      <c r="AA9" s="187">
        <f t="shared" si="13"/>
        <v>22.202377986582309</v>
      </c>
      <c r="AB9" s="188">
        <f t="shared" si="13"/>
        <v>18.509834334093423</v>
      </c>
      <c r="AC9" s="187">
        <f t="shared" si="13"/>
        <v>21.927924171466245</v>
      </c>
      <c r="AE9" s="798"/>
      <c r="AF9" s="175" t="s">
        <v>20</v>
      </c>
      <c r="AG9" s="175" t="s">
        <v>205</v>
      </c>
      <c r="AH9" s="186">
        <f>SUMPRODUCT(AH6:AH7,AH18:AH19)/SUM(AH18:AH19)</f>
        <v>18.509834334093423</v>
      </c>
      <c r="AI9" s="187">
        <f t="shared" ref="AI9:AM9" si="14">SUMPRODUCT(AI6:AI7,AI18:AI19)/SUM(AI18:AI19)</f>
        <v>21.927924171466245</v>
      </c>
      <c r="AJ9" s="186">
        <f t="shared" si="14"/>
        <v>18.509834334093423</v>
      </c>
      <c r="AK9" s="187">
        <f t="shared" si="14"/>
        <v>22.202377986582309</v>
      </c>
      <c r="AL9" s="188">
        <f t="shared" si="14"/>
        <v>18.509834334093423</v>
      </c>
      <c r="AM9" s="187">
        <f t="shared" si="14"/>
        <v>21.927924171466245</v>
      </c>
    </row>
    <row r="10" spans="1:39" ht="15.75" thickBot="1" x14ac:dyDescent="0.3">
      <c r="A10" s="799"/>
      <c r="B10" s="176" t="s">
        <v>229</v>
      </c>
      <c r="C10" s="176" t="s">
        <v>25</v>
      </c>
      <c r="D10" s="212" t="s">
        <v>78</v>
      </c>
      <c r="E10" s="213" t="s">
        <v>78</v>
      </c>
      <c r="F10" s="212" t="s">
        <v>78</v>
      </c>
      <c r="G10" s="213" t="s">
        <v>78</v>
      </c>
      <c r="H10" s="214" t="s">
        <v>78</v>
      </c>
      <c r="I10" s="213" t="s">
        <v>78</v>
      </c>
      <c r="K10" s="799"/>
      <c r="L10" s="176" t="s">
        <v>229</v>
      </c>
      <c r="M10" s="176" t="s">
        <v>25</v>
      </c>
      <c r="N10" s="212">
        <f t="shared" ref="N10:S10" si="15">N9/D9-1</f>
        <v>0</v>
      </c>
      <c r="O10" s="213">
        <f t="shared" si="15"/>
        <v>0</v>
      </c>
      <c r="P10" s="212">
        <f>P9/F9-1</f>
        <v>0</v>
      </c>
      <c r="Q10" s="213">
        <f>Q9/G9-1</f>
        <v>1.2516178593557692E-2</v>
      </c>
      <c r="R10" s="214">
        <f t="shared" si="15"/>
        <v>0</v>
      </c>
      <c r="S10" s="213">
        <f t="shared" si="15"/>
        <v>0</v>
      </c>
      <c r="U10" s="799"/>
      <c r="V10" s="176" t="s">
        <v>229</v>
      </c>
      <c r="W10" s="176" t="s">
        <v>25</v>
      </c>
      <c r="X10" s="212">
        <f>X9/D9-1</f>
        <v>0</v>
      </c>
      <c r="Y10" s="213">
        <f t="shared" ref="Y10:AC10" si="16">Y9/E9-1</f>
        <v>0</v>
      </c>
      <c r="Z10" s="212">
        <f t="shared" si="16"/>
        <v>0</v>
      </c>
      <c r="AA10" s="213">
        <f t="shared" si="16"/>
        <v>1.2516178593557914E-2</v>
      </c>
      <c r="AB10" s="214">
        <f t="shared" si="16"/>
        <v>0</v>
      </c>
      <c r="AC10" s="213">
        <f t="shared" si="16"/>
        <v>0</v>
      </c>
      <c r="AE10" s="799"/>
      <c r="AF10" s="176" t="s">
        <v>229</v>
      </c>
      <c r="AG10" s="176" t="s">
        <v>25</v>
      </c>
      <c r="AH10" s="212">
        <f>AH9/D9-1</f>
        <v>0</v>
      </c>
      <c r="AI10" s="213">
        <f t="shared" ref="AI10:AM10" si="17">AI9/E9-1</f>
        <v>0</v>
      </c>
      <c r="AJ10" s="212">
        <f t="shared" si="17"/>
        <v>0</v>
      </c>
      <c r="AK10" s="213">
        <f t="shared" si="17"/>
        <v>1.2516178593557914E-2</v>
      </c>
      <c r="AL10" s="214">
        <f t="shared" si="17"/>
        <v>0</v>
      </c>
      <c r="AM10" s="213">
        <f t="shared" si="17"/>
        <v>0</v>
      </c>
    </row>
    <row r="11" spans="1:39" x14ac:dyDescent="0.25">
      <c r="D11" s="75"/>
      <c r="E11" s="75"/>
      <c r="F11" s="75"/>
      <c r="G11" s="75"/>
      <c r="H11" s="75"/>
      <c r="I11" s="75"/>
      <c r="N11" s="75"/>
      <c r="O11" s="75"/>
      <c r="P11" s="75"/>
      <c r="Q11" s="75"/>
      <c r="R11" s="75"/>
      <c r="S11" s="75"/>
      <c r="X11" s="75"/>
      <c r="Y11" s="75"/>
      <c r="Z11" s="75"/>
      <c r="AA11" s="75"/>
      <c r="AB11" s="75"/>
      <c r="AC11" s="75"/>
      <c r="AE11" s="38"/>
      <c r="AF11" s="38"/>
      <c r="AG11" s="38"/>
      <c r="AH11" s="75"/>
      <c r="AI11" s="75"/>
      <c r="AJ11" s="75"/>
      <c r="AK11" s="75"/>
      <c r="AL11" s="75"/>
      <c r="AM11" s="75"/>
    </row>
    <row r="12" spans="1:39" ht="15.75" thickBot="1" x14ac:dyDescent="0.3">
      <c r="A12" s="40" t="s">
        <v>80</v>
      </c>
      <c r="D12" s="189"/>
      <c r="E12" s="189"/>
      <c r="F12" s="189"/>
      <c r="G12" s="189"/>
      <c r="H12" s="189"/>
      <c r="I12" s="189"/>
      <c r="K12" s="40" t="s">
        <v>641</v>
      </c>
      <c r="N12" s="189"/>
      <c r="O12" s="189"/>
      <c r="P12" s="189"/>
      <c r="Q12" s="189"/>
      <c r="R12" s="189"/>
      <c r="S12" s="189"/>
      <c r="U12" s="40" t="s">
        <v>89</v>
      </c>
      <c r="X12" s="189"/>
      <c r="Y12" s="189"/>
      <c r="Z12" s="189"/>
      <c r="AA12" s="189"/>
      <c r="AB12" s="189"/>
      <c r="AC12" s="189"/>
      <c r="AE12" s="40" t="s">
        <v>152</v>
      </c>
      <c r="AF12" s="38"/>
      <c r="AG12" s="38"/>
      <c r="AH12" s="189"/>
      <c r="AI12" s="189"/>
      <c r="AJ12" s="189"/>
      <c r="AK12" s="189"/>
      <c r="AL12" s="189"/>
      <c r="AM12" s="189"/>
    </row>
    <row r="13" spans="1:39" ht="14.45" customHeight="1" x14ac:dyDescent="0.25">
      <c r="A13" s="797" t="s">
        <v>38</v>
      </c>
      <c r="B13" s="124" t="s">
        <v>8</v>
      </c>
      <c r="C13" s="124" t="s">
        <v>39</v>
      </c>
      <c r="D13" s="190">
        <f>Indata!D29</f>
        <v>0.60765334265455651</v>
      </c>
      <c r="E13" s="215">
        <f>Indata!E29</f>
        <v>0.49219920755019081</v>
      </c>
      <c r="F13" s="190">
        <f>Indata!F29</f>
        <v>0.60765334265455651</v>
      </c>
      <c r="G13" s="191">
        <f>Indata!G29</f>
        <v>0.49219920755019081</v>
      </c>
      <c r="H13" s="192">
        <f>Indata!H29</f>
        <v>0.60765334265455651</v>
      </c>
      <c r="I13" s="191">
        <f>Indata!I29</f>
        <v>0.49219920755019081</v>
      </c>
      <c r="K13" s="800" t="s">
        <v>38</v>
      </c>
      <c r="L13" s="659" t="s">
        <v>8</v>
      </c>
      <c r="M13" s="659" t="s">
        <v>39</v>
      </c>
      <c r="N13" s="663">
        <f>D13*(100%+N$10*'Indata - Effektsamband-Faktorer'!$E$5)*(1-Indata!D$19)*(1-D52*Indata!D75)</f>
        <v>0.60765334265455651</v>
      </c>
      <c r="O13" s="663">
        <f>E13*(100%+O$10*'Indata - Effektsamband-Faktorer'!$E$5)*(1-Indata!E$19)*(1-E52*Indata!E75)</f>
        <v>0.49219920755019081</v>
      </c>
      <c r="P13" s="663">
        <f>F13*(100%+P$10*'Indata - Effektsamband-Faktorer'!$E$5)*(1-Indata!F$19)*(1-F52*Indata!F75)</f>
        <v>0.60765334265455651</v>
      </c>
      <c r="Q13" s="663">
        <f>G13*(100%+Q$10*'Indata - Effektsamband-Faktorer'!$E$5)*(1-Indata!G$19)*(1-G52*Indata!G75)</f>
        <v>0.49189118489092554</v>
      </c>
      <c r="R13" s="663">
        <f>H13*(100%+R$10*'Indata - Effektsamband-Faktorer'!$E$5)*(1-Indata!H$19)*(1-H52*Indata!H75)</f>
        <v>0.60765334265455651</v>
      </c>
      <c r="S13" s="663">
        <f>I13*(100%+S$10*'Indata - Effektsamband-Faktorer'!$E$5)*(1-Indata!I$19)*(1-I52*Indata!I75)</f>
        <v>0.49219920755019081</v>
      </c>
      <c r="U13" s="797" t="s">
        <v>38</v>
      </c>
      <c r="V13" s="124" t="s">
        <v>8</v>
      </c>
      <c r="W13" s="124" t="s">
        <v>39</v>
      </c>
      <c r="X13" s="190">
        <f>N13</f>
        <v>0.60765334265455651</v>
      </c>
      <c r="Y13" s="215">
        <f t="shared" ref="Y13:Y15" si="18">O13</f>
        <v>0.49219920755019081</v>
      </c>
      <c r="Z13" s="190">
        <f t="shared" ref="Z13:Z15" si="19">P13</f>
        <v>0.60765334265455651</v>
      </c>
      <c r="AA13" s="191">
        <f t="shared" ref="AA13:AA15" si="20">Q13</f>
        <v>0.49189118489092554</v>
      </c>
      <c r="AB13" s="192">
        <f t="shared" ref="AB13:AB15" si="21">R13</f>
        <v>0.60765334265455651</v>
      </c>
      <c r="AC13" s="191">
        <f t="shared" ref="AC13:AC15" si="22">S13</f>
        <v>0.49219920755019081</v>
      </c>
      <c r="AE13" s="797" t="s">
        <v>38</v>
      </c>
      <c r="AF13" s="124" t="s">
        <v>8</v>
      </c>
      <c r="AG13" s="124" t="s">
        <v>39</v>
      </c>
      <c r="AH13" s="190">
        <f>X13</f>
        <v>0.60765334265455651</v>
      </c>
      <c r="AI13" s="215">
        <f t="shared" ref="AI13:AI15" si="23">Y13</f>
        <v>0.49219920755019081</v>
      </c>
      <c r="AJ13" s="190">
        <f t="shared" ref="AJ13:AJ15" si="24">Z13</f>
        <v>0.60765334265455651</v>
      </c>
      <c r="AK13" s="191">
        <f t="shared" ref="AK13:AK15" si="25">AA13</f>
        <v>0.49189118489092554</v>
      </c>
      <c r="AL13" s="192">
        <f t="shared" ref="AL13:AL15" si="26">AB13</f>
        <v>0.60765334265455651</v>
      </c>
      <c r="AM13" s="191">
        <f t="shared" ref="AM13:AM15" si="27">AC13</f>
        <v>0.49219920755019081</v>
      </c>
    </row>
    <row r="14" spans="1:39" x14ac:dyDescent="0.25">
      <c r="A14" s="798"/>
      <c r="B14" s="125" t="s">
        <v>9</v>
      </c>
      <c r="C14" s="125" t="s">
        <v>39</v>
      </c>
      <c r="D14" s="193">
        <f>Indata!D30</f>
        <v>0.60691454404542722</v>
      </c>
      <c r="E14" s="216">
        <f>Indata!E30</f>
        <v>0.49160078067679608</v>
      </c>
      <c r="F14" s="193">
        <f>Indata!F30</f>
        <v>0.60691454404542722</v>
      </c>
      <c r="G14" s="194">
        <f>Indata!G30</f>
        <v>0.49160078067679608</v>
      </c>
      <c r="H14" s="195">
        <f>Indata!H30</f>
        <v>0.60691454404542722</v>
      </c>
      <c r="I14" s="194">
        <f>Indata!I30</f>
        <v>0.49160078067679608</v>
      </c>
      <c r="K14" s="801"/>
      <c r="L14" s="660" t="s">
        <v>9</v>
      </c>
      <c r="M14" s="660" t="s">
        <v>39</v>
      </c>
      <c r="N14" s="664">
        <f>D14*(100%+N$10*'Indata - Effektsamband-Faktorer'!$E$5)*(1-Indata!D$19)*(1-D52*Indata!D75)</f>
        <v>0.60691454404542722</v>
      </c>
      <c r="O14" s="664">
        <f>E14*(100%+O$10*'Indata - Effektsamband-Faktorer'!$E$5)*(1-Indata!E$19)*(1-E52*Indata!E75)</f>
        <v>0.49160078067679608</v>
      </c>
      <c r="P14" s="664">
        <f>F14*(100%+P$10*'Indata - Effektsamband-Faktorer'!$E$5)*(1-Indata!F$19)*(1-F52*Indata!F75)</f>
        <v>0.60691454404542722</v>
      </c>
      <c r="Q14" s="664">
        <f>G14*(100%+Q$10*'Indata - Effektsamband-Faktorer'!$E$5)*(1-Indata!G$19)*(1-G52*Indata!G75)</f>
        <v>0.49129313251841189</v>
      </c>
      <c r="R14" s="664">
        <f>H14*(100%+R$10*'Indata - Effektsamband-Faktorer'!$E$5)*(1-Indata!H$19)*(1-H52*Indata!H75)</f>
        <v>0.60691454404542722</v>
      </c>
      <c r="S14" s="664">
        <f>I14*(100%+S$10*'Indata - Effektsamband-Faktorer'!$E$5)*(1-Indata!I$19)*(1-I52*Indata!I75)</f>
        <v>0.49160078067679608</v>
      </c>
      <c r="U14" s="798"/>
      <c r="V14" s="125" t="s">
        <v>9</v>
      </c>
      <c r="W14" s="125" t="s">
        <v>39</v>
      </c>
      <c r="X14" s="193">
        <f t="shared" ref="X14:X15" si="28">N14</f>
        <v>0.60691454404542722</v>
      </c>
      <c r="Y14" s="216">
        <f t="shared" si="18"/>
        <v>0.49160078067679608</v>
      </c>
      <c r="Z14" s="193">
        <f t="shared" si="19"/>
        <v>0.60691454404542722</v>
      </c>
      <c r="AA14" s="194">
        <f t="shared" si="20"/>
        <v>0.49129313251841189</v>
      </c>
      <c r="AB14" s="195">
        <f t="shared" si="21"/>
        <v>0.60691454404542722</v>
      </c>
      <c r="AC14" s="194">
        <f t="shared" si="22"/>
        <v>0.49160078067679608</v>
      </c>
      <c r="AE14" s="798"/>
      <c r="AF14" s="125" t="s">
        <v>9</v>
      </c>
      <c r="AG14" s="125" t="s">
        <v>39</v>
      </c>
      <c r="AH14" s="193">
        <f t="shared" ref="AH14:AH15" si="29">X14</f>
        <v>0.60691454404542722</v>
      </c>
      <c r="AI14" s="216">
        <f t="shared" si="23"/>
        <v>0.49160078067679608</v>
      </c>
      <c r="AJ14" s="193">
        <f t="shared" si="24"/>
        <v>0.60691454404542722</v>
      </c>
      <c r="AK14" s="194">
        <f t="shared" si="25"/>
        <v>0.49129313251841189</v>
      </c>
      <c r="AL14" s="195">
        <f t="shared" si="26"/>
        <v>0.60691454404542722</v>
      </c>
      <c r="AM14" s="194">
        <f t="shared" si="27"/>
        <v>0.49160078067679608</v>
      </c>
    </row>
    <row r="15" spans="1:39" ht="15.75" thickBot="1" x14ac:dyDescent="0.3">
      <c r="A15" s="799"/>
      <c r="B15" s="126" t="s">
        <v>7</v>
      </c>
      <c r="C15" s="126" t="s">
        <v>40</v>
      </c>
      <c r="D15" s="217">
        <f>Indata!D31</f>
        <v>1.6150000000000002</v>
      </c>
      <c r="E15" s="218">
        <f>Indata!E31</f>
        <v>1.6150000000000002</v>
      </c>
      <c r="F15" s="217">
        <f>Indata!F31</f>
        <v>1.6150000000000002</v>
      </c>
      <c r="G15" s="219">
        <f>Indata!G31</f>
        <v>1.6150000000000002</v>
      </c>
      <c r="H15" s="220">
        <f>Indata!H31</f>
        <v>1.6150000000000002</v>
      </c>
      <c r="I15" s="219">
        <f>Indata!I31</f>
        <v>1.6150000000000002</v>
      </c>
      <c r="K15" s="802"/>
      <c r="L15" s="661" t="s">
        <v>7</v>
      </c>
      <c r="M15" s="661" t="s">
        <v>40</v>
      </c>
      <c r="N15" s="665">
        <f>D15*(1-Indata!D$19)*(1-D52*Indata!D75)</f>
        <v>1.6150000000000002</v>
      </c>
      <c r="O15" s="665">
        <f>E15*(1-Indata!E$19)*(1-E52*Indata!E75)</f>
        <v>1.6150000000000002</v>
      </c>
      <c r="P15" s="665">
        <f>F15*(1-Indata!F$19)*(1-F52*Indata!F75)</f>
        <v>1.6150000000000002</v>
      </c>
      <c r="Q15" s="665">
        <f>G15*(1-Indata!G$19)*(1-G52*Indata!G75)</f>
        <v>1.6150000000000002</v>
      </c>
      <c r="R15" s="665">
        <f>H15*(1-Indata!H$19)*(1-H52*Indata!H75)</f>
        <v>1.6150000000000002</v>
      </c>
      <c r="S15" s="665">
        <f>I15*(1-Indata!I$19)*(1-I52*Indata!I75)</f>
        <v>1.6150000000000002</v>
      </c>
      <c r="U15" s="799"/>
      <c r="V15" s="126" t="s">
        <v>7</v>
      </c>
      <c r="W15" s="126" t="s">
        <v>40</v>
      </c>
      <c r="X15" s="217">
        <f t="shared" si="28"/>
        <v>1.6150000000000002</v>
      </c>
      <c r="Y15" s="218">
        <f t="shared" si="18"/>
        <v>1.6150000000000002</v>
      </c>
      <c r="Z15" s="217">
        <f t="shared" si="19"/>
        <v>1.6150000000000002</v>
      </c>
      <c r="AA15" s="219">
        <f t="shared" si="20"/>
        <v>1.6150000000000002</v>
      </c>
      <c r="AB15" s="220">
        <f t="shared" si="21"/>
        <v>1.6150000000000002</v>
      </c>
      <c r="AC15" s="219">
        <f t="shared" si="22"/>
        <v>1.6150000000000002</v>
      </c>
      <c r="AE15" s="799"/>
      <c r="AF15" s="126" t="s">
        <v>7</v>
      </c>
      <c r="AG15" s="126" t="s">
        <v>40</v>
      </c>
      <c r="AH15" s="217">
        <f t="shared" si="29"/>
        <v>1.6150000000000002</v>
      </c>
      <c r="AI15" s="218">
        <f t="shared" si="23"/>
        <v>1.6150000000000002</v>
      </c>
      <c r="AJ15" s="217">
        <f t="shared" si="24"/>
        <v>1.6150000000000002</v>
      </c>
      <c r="AK15" s="219">
        <f t="shared" si="25"/>
        <v>1.6150000000000002</v>
      </c>
      <c r="AL15" s="220">
        <f t="shared" si="26"/>
        <v>1.6150000000000002</v>
      </c>
      <c r="AM15" s="219">
        <f t="shared" si="27"/>
        <v>1.6150000000000002</v>
      </c>
    </row>
    <row r="16" spans="1:39" x14ac:dyDescent="0.25">
      <c r="D16" s="189"/>
      <c r="E16" s="189"/>
      <c r="F16" s="189"/>
      <c r="G16" s="189"/>
      <c r="H16" s="189"/>
      <c r="I16" s="189"/>
      <c r="N16" s="189"/>
      <c r="O16" s="189"/>
      <c r="P16" s="189"/>
      <c r="Q16" s="189"/>
      <c r="R16" s="189"/>
      <c r="S16" s="189"/>
      <c r="X16" s="189"/>
      <c r="Y16" s="189"/>
      <c r="Z16" s="189"/>
      <c r="AA16" s="189"/>
      <c r="AB16" s="189"/>
      <c r="AC16" s="189"/>
      <c r="AE16" s="38"/>
      <c r="AF16" s="38"/>
      <c r="AG16" s="38"/>
      <c r="AH16" s="189"/>
      <c r="AI16" s="189"/>
      <c r="AJ16" s="189"/>
      <c r="AK16" s="189"/>
      <c r="AL16" s="189"/>
      <c r="AM16" s="189"/>
    </row>
    <row r="17" spans="1:39" ht="15.75" thickBot="1" x14ac:dyDescent="0.3">
      <c r="A17" s="40" t="s">
        <v>83</v>
      </c>
      <c r="D17" s="200"/>
      <c r="E17" s="200"/>
      <c r="F17" s="200"/>
      <c r="G17" s="200"/>
      <c r="H17" s="200"/>
      <c r="I17" s="200"/>
      <c r="K17" s="40" t="s">
        <v>224</v>
      </c>
      <c r="N17" s="200"/>
      <c r="O17" s="200"/>
      <c r="P17" s="200"/>
      <c r="Q17" s="200"/>
      <c r="R17" s="200"/>
      <c r="S17" s="200"/>
      <c r="U17" s="40" t="s">
        <v>90</v>
      </c>
      <c r="X17" s="200"/>
      <c r="Y17" s="200"/>
      <c r="Z17" s="200"/>
      <c r="AA17" s="200"/>
      <c r="AB17" s="200"/>
      <c r="AC17" s="200"/>
      <c r="AE17" s="40" t="s">
        <v>153</v>
      </c>
      <c r="AF17" s="38"/>
      <c r="AG17" s="38"/>
      <c r="AH17" s="200"/>
      <c r="AI17" s="200"/>
      <c r="AJ17" s="200"/>
      <c r="AK17" s="200"/>
      <c r="AL17" s="200"/>
      <c r="AM17" s="200"/>
    </row>
    <row r="18" spans="1:39" ht="14.45" customHeight="1" x14ac:dyDescent="0.25">
      <c r="A18" s="794" t="s">
        <v>149</v>
      </c>
      <c r="B18" s="124" t="s">
        <v>8</v>
      </c>
      <c r="C18" s="124" t="s">
        <v>25</v>
      </c>
      <c r="D18" s="221">
        <f>Indata!D25/SUM(Indata!D$25:D$26)*(1-D$20)</f>
        <v>0.39627461007293346</v>
      </c>
      <c r="E18" s="222">
        <f>Indata!E25/SUM(Indata!E$25:E$26)*(1-E$20)</f>
        <v>0.30878176598734658</v>
      </c>
      <c r="F18" s="221">
        <f>Indata!F25/SUM(Indata!F$25:F$26)*(1-F$20)</f>
        <v>0.39627461007293346</v>
      </c>
      <c r="G18" s="223">
        <f>Indata!G25/SUM(Indata!G$25:G$26)*(1-G$20)</f>
        <v>0.15937123405798531</v>
      </c>
      <c r="H18" s="224">
        <f>Indata!H25/SUM(Indata!H$25:H$26)*(1-H$20)</f>
        <v>0.39627461007293346</v>
      </c>
      <c r="I18" s="223">
        <f>Indata!I25/SUM(Indata!I$25:I$26)*(1-I$20)</f>
        <v>0.30878176598734658</v>
      </c>
      <c r="K18" s="794" t="s">
        <v>149</v>
      </c>
      <c r="L18" s="124" t="s">
        <v>8</v>
      </c>
      <c r="M18" s="124" t="s">
        <v>25</v>
      </c>
      <c r="N18" s="221">
        <f>D18/SUM(D$18:D$19)*(1-N$20)</f>
        <v>0.39627461007293346</v>
      </c>
      <c r="O18" s="222">
        <f t="shared" ref="O18:S19" si="30">E18/SUM(E$18:E$19)*(1-O$20)</f>
        <v>0.30878176598734658</v>
      </c>
      <c r="P18" s="221">
        <f t="shared" si="30"/>
        <v>0.39627461007293346</v>
      </c>
      <c r="Q18" s="223">
        <f>G18/SUM(G$18:G$19)*(1-Q$20)</f>
        <v>0.15899223748063768</v>
      </c>
      <c r="R18" s="224">
        <f t="shared" si="30"/>
        <v>0.39627461007293346</v>
      </c>
      <c r="S18" s="223">
        <f t="shared" si="30"/>
        <v>0.30878176598734658</v>
      </c>
      <c r="U18" s="794" t="s">
        <v>149</v>
      </c>
      <c r="V18" s="124" t="s">
        <v>8</v>
      </c>
      <c r="W18" s="124" t="s">
        <v>25</v>
      </c>
      <c r="X18" s="221">
        <f>N18</f>
        <v>0.39627461007293346</v>
      </c>
      <c r="Y18" s="222">
        <f t="shared" ref="Y18:Y21" si="31">O18</f>
        <v>0.30878176598734658</v>
      </c>
      <c r="Z18" s="221">
        <f t="shared" ref="Z18:Z21" si="32">P18</f>
        <v>0.39627461007293346</v>
      </c>
      <c r="AA18" s="223">
        <f t="shared" ref="AA18:AA21" si="33">Q18</f>
        <v>0.15899223748063768</v>
      </c>
      <c r="AB18" s="224">
        <f t="shared" ref="AB18:AB21" si="34">R18</f>
        <v>0.39627461007293346</v>
      </c>
      <c r="AC18" s="223">
        <f t="shared" ref="AC18:AC21" si="35">S18</f>
        <v>0.30878176598734658</v>
      </c>
      <c r="AE18" s="794" t="s">
        <v>149</v>
      </c>
      <c r="AF18" s="124" t="s">
        <v>8</v>
      </c>
      <c r="AG18" s="124" t="s">
        <v>25</v>
      </c>
      <c r="AH18" s="221">
        <f>X18</f>
        <v>0.39627461007293346</v>
      </c>
      <c r="AI18" s="222">
        <f t="shared" ref="AI18:AI21" si="36">Y18</f>
        <v>0.30878176598734658</v>
      </c>
      <c r="AJ18" s="221">
        <f t="shared" ref="AJ18:AJ21" si="37">Z18</f>
        <v>0.39627461007293346</v>
      </c>
      <c r="AK18" s="223">
        <f t="shared" ref="AK18:AK21" si="38">AA18</f>
        <v>0.15899223748063768</v>
      </c>
      <c r="AL18" s="224">
        <f t="shared" ref="AL18:AL21" si="39">AB18</f>
        <v>0.39627461007293346</v>
      </c>
      <c r="AM18" s="223">
        <f t="shared" ref="AM18:AM21" si="40">AC18</f>
        <v>0.30878176598734658</v>
      </c>
    </row>
    <row r="19" spans="1:39" x14ac:dyDescent="0.25">
      <c r="A19" s="795"/>
      <c r="B19" s="125" t="s">
        <v>9</v>
      </c>
      <c r="C19" s="125" t="s">
        <v>25</v>
      </c>
      <c r="D19" s="225">
        <f>Indata!D26/SUM(Indata!D$25:D$26)*(1-D$20)</f>
        <v>0.42372538992706654</v>
      </c>
      <c r="E19" s="226">
        <f>Indata!E26/SUM(Indata!E$25:E$26)*(1-E$20)</f>
        <v>0.31121823401265342</v>
      </c>
      <c r="F19" s="225">
        <f>Indata!F26/SUM(Indata!F$25:F$26)*(1-F$20)</f>
        <v>0.42372538992706654</v>
      </c>
      <c r="G19" s="227">
        <f>Indata!G26/SUM(Indata!G$25:G$26)*(1-G$20)</f>
        <v>0.16062876594201464</v>
      </c>
      <c r="H19" s="228">
        <f>Indata!H26/SUM(Indata!H$25:H$26)*(1-H$20)</f>
        <v>0.42372538992706654</v>
      </c>
      <c r="I19" s="227">
        <f>Indata!I26/SUM(Indata!I$25:I$26)*(1-I$20)</f>
        <v>0.31121823401265342</v>
      </c>
      <c r="K19" s="795"/>
      <c r="L19" s="125" t="s">
        <v>9</v>
      </c>
      <c r="M19" s="125" t="s">
        <v>25</v>
      </c>
      <c r="N19" s="225">
        <f>D19/SUM(D$18:D$19)*(1-N$20)</f>
        <v>0.42372538992706654</v>
      </c>
      <c r="O19" s="226">
        <f t="shared" si="30"/>
        <v>0.31121823401265342</v>
      </c>
      <c r="P19" s="225">
        <f t="shared" si="30"/>
        <v>0.42372538992706654</v>
      </c>
      <c r="Q19" s="227">
        <f t="shared" si="30"/>
        <v>0.16024677886087396</v>
      </c>
      <c r="R19" s="228">
        <f t="shared" si="30"/>
        <v>0.42372538992706654</v>
      </c>
      <c r="S19" s="227">
        <f t="shared" si="30"/>
        <v>0.31121823401265342</v>
      </c>
      <c r="U19" s="795"/>
      <c r="V19" s="125" t="s">
        <v>9</v>
      </c>
      <c r="W19" s="125" t="s">
        <v>25</v>
      </c>
      <c r="X19" s="225">
        <f t="shared" ref="X19:X21" si="41">N19</f>
        <v>0.42372538992706654</v>
      </c>
      <c r="Y19" s="226">
        <f t="shared" si="31"/>
        <v>0.31121823401265342</v>
      </c>
      <c r="Z19" s="225">
        <f t="shared" si="32"/>
        <v>0.42372538992706654</v>
      </c>
      <c r="AA19" s="227">
        <f t="shared" si="33"/>
        <v>0.16024677886087396</v>
      </c>
      <c r="AB19" s="228">
        <f t="shared" si="34"/>
        <v>0.42372538992706654</v>
      </c>
      <c r="AC19" s="227">
        <f t="shared" si="35"/>
        <v>0.31121823401265342</v>
      </c>
      <c r="AE19" s="795"/>
      <c r="AF19" s="125" t="s">
        <v>9</v>
      </c>
      <c r="AG19" s="125" t="s">
        <v>25</v>
      </c>
      <c r="AH19" s="225">
        <f t="shared" ref="AH19:AH21" si="42">X19</f>
        <v>0.42372538992706654</v>
      </c>
      <c r="AI19" s="226">
        <f t="shared" si="36"/>
        <v>0.31121823401265342</v>
      </c>
      <c r="AJ19" s="225">
        <f t="shared" si="37"/>
        <v>0.42372538992706654</v>
      </c>
      <c r="AK19" s="227">
        <f t="shared" si="38"/>
        <v>0.16024677886087396</v>
      </c>
      <c r="AL19" s="228">
        <f t="shared" si="39"/>
        <v>0.42372538992706654</v>
      </c>
      <c r="AM19" s="227">
        <f t="shared" si="40"/>
        <v>0.31121823401265342</v>
      </c>
    </row>
    <row r="20" spans="1:39" x14ac:dyDescent="0.25">
      <c r="A20" s="795"/>
      <c r="B20" s="125" t="s">
        <v>7</v>
      </c>
      <c r="C20" s="125" t="s">
        <v>25</v>
      </c>
      <c r="D20" s="225">
        <f>Indata!D28</f>
        <v>0.18</v>
      </c>
      <c r="E20" s="226">
        <f>Indata!E28</f>
        <v>0.38</v>
      </c>
      <c r="F20" s="225">
        <f>Indata!F28</f>
        <v>0.18</v>
      </c>
      <c r="G20" s="227">
        <f>Indata!G28</f>
        <v>0.68</v>
      </c>
      <c r="H20" s="228">
        <f>Indata!H28</f>
        <v>0.18</v>
      </c>
      <c r="I20" s="227">
        <f>Indata!I28</f>
        <v>0.38</v>
      </c>
      <c r="K20" s="795"/>
      <c r="L20" s="125" t="s">
        <v>7</v>
      </c>
      <c r="M20" s="125" t="s">
        <v>25</v>
      </c>
      <c r="N20" s="225">
        <f>(MIN(D20+(1-D20)*'Indata - Effektsamband-Faktorer'!$D$4*N$10,1))</f>
        <v>0.18</v>
      </c>
      <c r="O20" s="226">
        <f>MIN(E20+(1-E20)*'Indata - Effektsamband-Faktorer'!$E$4*O$10,1)</f>
        <v>0.38</v>
      </c>
      <c r="P20" s="225">
        <f>MIN(F20+(1-F20)*'Indata - Effektsamband-Faktorer'!$D$4*P$10,1)</f>
        <v>0.18</v>
      </c>
      <c r="Q20" s="227">
        <f>MIN(G20+(1-G20)*'Indata - Effektsamband-Faktorer'!$E$4*Q$10,1)</f>
        <v>0.68076098365848836</v>
      </c>
      <c r="R20" s="228">
        <f>MIN(H20+(1-H20)*'Indata - Effektsamband-Faktorer'!$D$4*R$10,1)</f>
        <v>0.18</v>
      </c>
      <c r="S20" s="227">
        <f>MIN(I20+(1-I20)*'Indata - Effektsamband-Faktorer'!$E$4*S$10,1)</f>
        <v>0.38</v>
      </c>
      <c r="U20" s="795"/>
      <c r="V20" s="125" t="s">
        <v>7</v>
      </c>
      <c r="W20" s="125" t="s">
        <v>25</v>
      </c>
      <c r="X20" s="225">
        <f t="shared" si="41"/>
        <v>0.18</v>
      </c>
      <c r="Y20" s="226">
        <f t="shared" si="31"/>
        <v>0.38</v>
      </c>
      <c r="Z20" s="225">
        <f t="shared" si="32"/>
        <v>0.18</v>
      </c>
      <c r="AA20" s="227">
        <f t="shared" si="33"/>
        <v>0.68076098365848836</v>
      </c>
      <c r="AB20" s="228">
        <f>R20</f>
        <v>0.18</v>
      </c>
      <c r="AC20" s="227">
        <f t="shared" si="35"/>
        <v>0.38</v>
      </c>
      <c r="AE20" s="795"/>
      <c r="AF20" s="125" t="s">
        <v>7</v>
      </c>
      <c r="AG20" s="125" t="s">
        <v>25</v>
      </c>
      <c r="AH20" s="225">
        <f t="shared" si="42"/>
        <v>0.18</v>
      </c>
      <c r="AI20" s="226">
        <f t="shared" si="36"/>
        <v>0.38</v>
      </c>
      <c r="AJ20" s="225">
        <f t="shared" si="37"/>
        <v>0.18</v>
      </c>
      <c r="AK20" s="227">
        <f t="shared" si="38"/>
        <v>0.68076098365848836</v>
      </c>
      <c r="AL20" s="228">
        <f>AB20</f>
        <v>0.18</v>
      </c>
      <c r="AM20" s="227">
        <f t="shared" si="40"/>
        <v>0.38</v>
      </c>
    </row>
    <row r="21" spans="1:39" s="290" customFormat="1" ht="15.75" thickBot="1" x14ac:dyDescent="0.3">
      <c r="A21" s="796"/>
      <c r="B21" s="177" t="s">
        <v>16</v>
      </c>
      <c r="C21" s="177" t="s">
        <v>25</v>
      </c>
      <c r="D21" s="201">
        <f t="shared" ref="D21:I21" si="43">SUM(D18:D20)</f>
        <v>1</v>
      </c>
      <c r="E21" s="202">
        <f t="shared" si="43"/>
        <v>1</v>
      </c>
      <c r="F21" s="201">
        <f>SUM(F18:F20)</f>
        <v>1</v>
      </c>
      <c r="G21" s="203">
        <f t="shared" si="43"/>
        <v>1</v>
      </c>
      <c r="H21" s="204">
        <f t="shared" si="43"/>
        <v>1</v>
      </c>
      <c r="I21" s="203">
        <f t="shared" si="43"/>
        <v>1</v>
      </c>
      <c r="K21" s="796"/>
      <c r="L21" s="177" t="s">
        <v>16</v>
      </c>
      <c r="M21" s="177" t="s">
        <v>25</v>
      </c>
      <c r="N21" s="201">
        <f>SUM(N18:N20)</f>
        <v>1</v>
      </c>
      <c r="O21" s="202">
        <f t="shared" ref="O21:S21" si="44">SUM(O18:O20)</f>
        <v>1</v>
      </c>
      <c r="P21" s="201">
        <f t="shared" si="44"/>
        <v>1</v>
      </c>
      <c r="Q21" s="203">
        <f t="shared" si="44"/>
        <v>1</v>
      </c>
      <c r="R21" s="204">
        <f t="shared" si="44"/>
        <v>1</v>
      </c>
      <c r="S21" s="203">
        <f t="shared" si="44"/>
        <v>1</v>
      </c>
      <c r="U21" s="796"/>
      <c r="V21" s="177" t="s">
        <v>16</v>
      </c>
      <c r="W21" s="177" t="s">
        <v>25</v>
      </c>
      <c r="X21" s="201">
        <f t="shared" si="41"/>
        <v>1</v>
      </c>
      <c r="Y21" s="202">
        <f t="shared" si="31"/>
        <v>1</v>
      </c>
      <c r="Z21" s="201">
        <f t="shared" si="32"/>
        <v>1</v>
      </c>
      <c r="AA21" s="203">
        <f t="shared" si="33"/>
        <v>1</v>
      </c>
      <c r="AB21" s="204">
        <f t="shared" si="34"/>
        <v>1</v>
      </c>
      <c r="AC21" s="203">
        <f t="shared" si="35"/>
        <v>1</v>
      </c>
      <c r="AE21" s="796"/>
      <c r="AF21" s="177" t="s">
        <v>16</v>
      </c>
      <c r="AG21" s="177" t="s">
        <v>25</v>
      </c>
      <c r="AH21" s="201">
        <f t="shared" si="42"/>
        <v>1</v>
      </c>
      <c r="AI21" s="202">
        <f t="shared" si="36"/>
        <v>1</v>
      </c>
      <c r="AJ21" s="201">
        <f t="shared" si="37"/>
        <v>1</v>
      </c>
      <c r="AK21" s="203">
        <f t="shared" si="38"/>
        <v>1</v>
      </c>
      <c r="AL21" s="204">
        <f t="shared" si="39"/>
        <v>1</v>
      </c>
      <c r="AM21" s="203">
        <f t="shared" si="40"/>
        <v>1</v>
      </c>
    </row>
    <row r="22" spans="1:39" x14ac:dyDescent="0.25">
      <c r="D22" s="189"/>
      <c r="E22" s="189"/>
      <c r="F22" s="189"/>
      <c r="G22" s="189"/>
      <c r="H22" s="189"/>
      <c r="I22" s="189"/>
      <c r="N22" s="189"/>
      <c r="O22" s="189"/>
      <c r="P22" s="189"/>
      <c r="Q22" s="189"/>
      <c r="R22" s="189"/>
      <c r="S22" s="189"/>
      <c r="X22" s="189"/>
      <c r="Y22" s="189"/>
      <c r="Z22" s="189"/>
      <c r="AA22" s="189"/>
      <c r="AB22" s="189"/>
      <c r="AC22" s="189"/>
      <c r="AE22" s="38"/>
      <c r="AF22" s="38"/>
      <c r="AG22" s="38"/>
      <c r="AH22" s="189"/>
      <c r="AI22" s="189"/>
      <c r="AJ22" s="189"/>
      <c r="AK22" s="189"/>
      <c r="AL22" s="189"/>
      <c r="AM22" s="189"/>
    </row>
    <row r="23" spans="1:39" ht="15.75" thickBot="1" x14ac:dyDescent="0.3">
      <c r="A23" s="40" t="s">
        <v>81</v>
      </c>
      <c r="D23" s="189"/>
      <c r="E23" s="189"/>
      <c r="F23" s="189"/>
      <c r="G23" s="189"/>
      <c r="H23" s="189"/>
      <c r="I23" s="189"/>
      <c r="K23" s="40" t="s">
        <v>158</v>
      </c>
      <c r="N23" s="189"/>
      <c r="O23" s="189"/>
      <c r="P23" s="189"/>
      <c r="Q23" s="189"/>
      <c r="R23" s="189"/>
      <c r="S23" s="189"/>
      <c r="U23" s="40" t="s">
        <v>91</v>
      </c>
      <c r="X23" s="189"/>
      <c r="Y23" s="189"/>
      <c r="Z23" s="189"/>
      <c r="AA23" s="189"/>
      <c r="AB23" s="189"/>
      <c r="AC23" s="189"/>
      <c r="AE23" s="40" t="s">
        <v>154</v>
      </c>
      <c r="AF23" s="38"/>
      <c r="AG23" s="38"/>
      <c r="AH23" s="189"/>
      <c r="AI23" s="189"/>
      <c r="AJ23" s="189"/>
      <c r="AK23" s="189"/>
      <c r="AL23" s="189"/>
      <c r="AM23" s="189"/>
    </row>
    <row r="24" spans="1:39" ht="14.45" customHeight="1" x14ac:dyDescent="0.25">
      <c r="A24" s="797" t="s">
        <v>21</v>
      </c>
      <c r="B24" s="124" t="s">
        <v>8</v>
      </c>
      <c r="C24" s="124" t="s">
        <v>74</v>
      </c>
      <c r="D24" s="190">
        <f>Indata!D$15*10</f>
        <v>0</v>
      </c>
      <c r="E24" s="215">
        <f>Indata!E$15*10</f>
        <v>0</v>
      </c>
      <c r="F24" s="190">
        <f>Indata!F$15*10</f>
        <v>0</v>
      </c>
      <c r="G24" s="191">
        <f>Indata!G$15*10</f>
        <v>0</v>
      </c>
      <c r="H24" s="192">
        <f>Indata!H$15*10</f>
        <v>0</v>
      </c>
      <c r="I24" s="191">
        <f>Indata!I$15*10</f>
        <v>0</v>
      </c>
      <c r="K24" s="797" t="s">
        <v>21</v>
      </c>
      <c r="L24" s="124" t="s">
        <v>8</v>
      </c>
      <c r="M24" s="124" t="s">
        <v>74</v>
      </c>
      <c r="N24" s="190">
        <f>D24</f>
        <v>0</v>
      </c>
      <c r="O24" s="215">
        <f t="shared" ref="O24:S24" si="45">E24</f>
        <v>0</v>
      </c>
      <c r="P24" s="190">
        <f t="shared" si="45"/>
        <v>0</v>
      </c>
      <c r="Q24" s="191">
        <f t="shared" si="45"/>
        <v>0</v>
      </c>
      <c r="R24" s="192">
        <f t="shared" si="45"/>
        <v>0</v>
      </c>
      <c r="S24" s="191">
        <f t="shared" si="45"/>
        <v>0</v>
      </c>
      <c r="U24" s="797" t="s">
        <v>21</v>
      </c>
      <c r="V24" s="124" t="s">
        <v>8</v>
      </c>
      <c r="W24" s="124" t="s">
        <v>74</v>
      </c>
      <c r="X24" s="190">
        <f>N24</f>
        <v>0</v>
      </c>
      <c r="Y24" s="215">
        <f t="shared" ref="Y24:Y26" si="46">O24</f>
        <v>0</v>
      </c>
      <c r="Z24" s="190">
        <f t="shared" ref="Z24:Z26" si="47">P24</f>
        <v>0</v>
      </c>
      <c r="AA24" s="191">
        <f t="shared" ref="AA24:AA26" si="48">Q24</f>
        <v>0</v>
      </c>
      <c r="AB24" s="192">
        <f t="shared" ref="AB24:AB26" si="49">R24</f>
        <v>0</v>
      </c>
      <c r="AC24" s="191">
        <f t="shared" ref="AC24:AC26" si="50">S24</f>
        <v>0</v>
      </c>
      <c r="AE24" s="797" t="s">
        <v>21</v>
      </c>
      <c r="AF24" s="124" t="s">
        <v>8</v>
      </c>
      <c r="AG24" s="124" t="s">
        <v>74</v>
      </c>
      <c r="AH24" s="190">
        <f>X24</f>
        <v>0</v>
      </c>
      <c r="AI24" s="215">
        <f t="shared" ref="AI24:AI26" si="51">Y24</f>
        <v>0</v>
      </c>
      <c r="AJ24" s="190">
        <f t="shared" ref="AJ24:AJ26" si="52">Z24</f>
        <v>0</v>
      </c>
      <c r="AK24" s="191">
        <f t="shared" ref="AK24:AK26" si="53">AA24</f>
        <v>0</v>
      </c>
      <c r="AL24" s="192">
        <f t="shared" ref="AL24:AL26" si="54">AB24</f>
        <v>0</v>
      </c>
      <c r="AM24" s="191">
        <f t="shared" ref="AM24:AM26" si="55">AC24</f>
        <v>0</v>
      </c>
    </row>
    <row r="25" spans="1:39" x14ac:dyDescent="0.25">
      <c r="A25" s="798"/>
      <c r="B25" s="125" t="s">
        <v>9</v>
      </c>
      <c r="C25" s="125" t="s">
        <v>74</v>
      </c>
      <c r="D25" s="193">
        <f>Indata!D$15*10</f>
        <v>0</v>
      </c>
      <c r="E25" s="216">
        <f>Indata!E$15*10</f>
        <v>0</v>
      </c>
      <c r="F25" s="193">
        <f>Indata!F$15*10</f>
        <v>0</v>
      </c>
      <c r="G25" s="194">
        <f>Indata!G$15*10</f>
        <v>0</v>
      </c>
      <c r="H25" s="195">
        <f>Indata!H$15*10</f>
        <v>0</v>
      </c>
      <c r="I25" s="194">
        <f>Indata!I$15*10</f>
        <v>0</v>
      </c>
      <c r="K25" s="798"/>
      <c r="L25" s="125" t="s">
        <v>9</v>
      </c>
      <c r="M25" s="125" t="s">
        <v>74</v>
      </c>
      <c r="N25" s="193">
        <f t="shared" ref="N25:N26" si="56">D25</f>
        <v>0</v>
      </c>
      <c r="O25" s="216">
        <f t="shared" ref="O25:O26" si="57">E25</f>
        <v>0</v>
      </c>
      <c r="P25" s="193">
        <f t="shared" ref="P25:P26" si="58">F25</f>
        <v>0</v>
      </c>
      <c r="Q25" s="194">
        <f t="shared" ref="Q25:Q26" si="59">G25</f>
        <v>0</v>
      </c>
      <c r="R25" s="195">
        <f t="shared" ref="R25:R26" si="60">H25</f>
        <v>0</v>
      </c>
      <c r="S25" s="194">
        <f t="shared" ref="S25:S26" si="61">I25</f>
        <v>0</v>
      </c>
      <c r="U25" s="798"/>
      <c r="V25" s="125" t="s">
        <v>9</v>
      </c>
      <c r="W25" s="125" t="s">
        <v>74</v>
      </c>
      <c r="X25" s="193">
        <f t="shared" ref="X25:X26" si="62">N25</f>
        <v>0</v>
      </c>
      <c r="Y25" s="216">
        <f t="shared" si="46"/>
        <v>0</v>
      </c>
      <c r="Z25" s="193">
        <f t="shared" si="47"/>
        <v>0</v>
      </c>
      <c r="AA25" s="194">
        <f t="shared" si="48"/>
        <v>0</v>
      </c>
      <c r="AB25" s="195">
        <f t="shared" si="49"/>
        <v>0</v>
      </c>
      <c r="AC25" s="194">
        <f t="shared" si="50"/>
        <v>0</v>
      </c>
      <c r="AE25" s="798"/>
      <c r="AF25" s="125" t="s">
        <v>9</v>
      </c>
      <c r="AG25" s="125" t="s">
        <v>74</v>
      </c>
      <c r="AH25" s="193">
        <f t="shared" ref="AH25:AH26" si="63">X25</f>
        <v>0</v>
      </c>
      <c r="AI25" s="216">
        <f t="shared" si="51"/>
        <v>0</v>
      </c>
      <c r="AJ25" s="193">
        <f t="shared" si="52"/>
        <v>0</v>
      </c>
      <c r="AK25" s="194">
        <f t="shared" si="53"/>
        <v>0</v>
      </c>
      <c r="AL25" s="195">
        <f t="shared" si="54"/>
        <v>0</v>
      </c>
      <c r="AM25" s="194">
        <f t="shared" si="55"/>
        <v>0</v>
      </c>
    </row>
    <row r="26" spans="1:39" ht="15.75" thickBot="1" x14ac:dyDescent="0.3">
      <c r="A26" s="799"/>
      <c r="B26" s="126" t="s">
        <v>7</v>
      </c>
      <c r="C26" s="126" t="s">
        <v>74</v>
      </c>
      <c r="D26" s="217">
        <f>Indata!D$15*10</f>
        <v>0</v>
      </c>
      <c r="E26" s="218">
        <f>Indata!E$15*10</f>
        <v>0</v>
      </c>
      <c r="F26" s="217">
        <f>Indata!F$15*10</f>
        <v>0</v>
      </c>
      <c r="G26" s="219">
        <f>Indata!G$15*10</f>
        <v>0</v>
      </c>
      <c r="H26" s="220">
        <f>Indata!H$15*10</f>
        <v>0</v>
      </c>
      <c r="I26" s="219">
        <f>Indata!I$15*10</f>
        <v>0</v>
      </c>
      <c r="K26" s="799"/>
      <c r="L26" s="126" t="s">
        <v>7</v>
      </c>
      <c r="M26" s="126" t="s">
        <v>74</v>
      </c>
      <c r="N26" s="217">
        <f t="shared" si="56"/>
        <v>0</v>
      </c>
      <c r="O26" s="218">
        <f t="shared" si="57"/>
        <v>0</v>
      </c>
      <c r="P26" s="217">
        <f t="shared" si="58"/>
        <v>0</v>
      </c>
      <c r="Q26" s="219">
        <f t="shared" si="59"/>
        <v>0</v>
      </c>
      <c r="R26" s="220">
        <f t="shared" si="60"/>
        <v>0</v>
      </c>
      <c r="S26" s="219">
        <f t="shared" si="61"/>
        <v>0</v>
      </c>
      <c r="U26" s="799"/>
      <c r="V26" s="126" t="s">
        <v>7</v>
      </c>
      <c r="W26" s="126" t="s">
        <v>74</v>
      </c>
      <c r="X26" s="217">
        <f t="shared" si="62"/>
        <v>0</v>
      </c>
      <c r="Y26" s="218">
        <f t="shared" si="46"/>
        <v>0</v>
      </c>
      <c r="Z26" s="217">
        <f t="shared" si="47"/>
        <v>0</v>
      </c>
      <c r="AA26" s="219">
        <f t="shared" si="48"/>
        <v>0</v>
      </c>
      <c r="AB26" s="220">
        <f t="shared" si="49"/>
        <v>0</v>
      </c>
      <c r="AC26" s="219">
        <f t="shared" si="50"/>
        <v>0</v>
      </c>
      <c r="AE26" s="799"/>
      <c r="AF26" s="126" t="s">
        <v>7</v>
      </c>
      <c r="AG26" s="126" t="s">
        <v>74</v>
      </c>
      <c r="AH26" s="217">
        <f t="shared" si="63"/>
        <v>0</v>
      </c>
      <c r="AI26" s="218">
        <f t="shared" si="51"/>
        <v>0</v>
      </c>
      <c r="AJ26" s="217">
        <f t="shared" si="52"/>
        <v>0</v>
      </c>
      <c r="AK26" s="219">
        <f t="shared" si="53"/>
        <v>0</v>
      </c>
      <c r="AL26" s="220">
        <f t="shared" si="54"/>
        <v>0</v>
      </c>
      <c r="AM26" s="219">
        <f t="shared" si="55"/>
        <v>0</v>
      </c>
    </row>
    <row r="27" spans="1:39" x14ac:dyDescent="0.25">
      <c r="A27" s="26"/>
      <c r="B27" s="26"/>
      <c r="C27" s="26"/>
      <c r="D27" s="205"/>
      <c r="E27" s="205"/>
      <c r="F27" s="205"/>
      <c r="G27" s="205"/>
      <c r="H27" s="205"/>
      <c r="I27" s="205"/>
      <c r="K27" s="26"/>
      <c r="L27" s="26"/>
      <c r="M27" s="26"/>
      <c r="N27" s="205"/>
      <c r="O27" s="205"/>
      <c r="P27" s="205"/>
      <c r="Q27" s="205"/>
      <c r="R27" s="205"/>
      <c r="S27" s="205"/>
      <c r="U27" s="26"/>
      <c r="V27" s="26"/>
      <c r="W27" s="26"/>
      <c r="X27" s="205"/>
      <c r="Y27" s="205"/>
      <c r="Z27" s="205"/>
      <c r="AA27" s="205"/>
      <c r="AB27" s="205"/>
      <c r="AC27" s="205"/>
      <c r="AH27" s="205"/>
      <c r="AI27" s="205"/>
      <c r="AJ27" s="205"/>
      <c r="AK27" s="205"/>
      <c r="AL27" s="205"/>
      <c r="AM27" s="205"/>
    </row>
    <row r="28" spans="1:39" ht="15.75" thickBot="1" x14ac:dyDescent="0.3">
      <c r="A28" s="40" t="s">
        <v>82</v>
      </c>
      <c r="D28" s="189"/>
      <c r="E28" s="189"/>
      <c r="F28" s="189"/>
      <c r="G28" s="189"/>
      <c r="H28" s="189"/>
      <c r="I28" s="189"/>
      <c r="K28" s="40" t="s">
        <v>642</v>
      </c>
      <c r="N28" s="189"/>
      <c r="O28" s="189"/>
      <c r="P28" s="189"/>
      <c r="Q28" s="189"/>
      <c r="R28" s="189"/>
      <c r="S28" s="189"/>
      <c r="U28" s="40" t="s">
        <v>86</v>
      </c>
      <c r="X28" s="189"/>
      <c r="Y28" s="189"/>
      <c r="Z28" s="189"/>
      <c r="AA28" s="189"/>
      <c r="AB28" s="189"/>
      <c r="AC28" s="189"/>
      <c r="AE28" s="40" t="s">
        <v>155</v>
      </c>
      <c r="AF28" s="38"/>
      <c r="AG28" s="38"/>
      <c r="AH28" s="189"/>
      <c r="AI28" s="189"/>
      <c r="AJ28" s="189"/>
      <c r="AK28" s="189"/>
      <c r="AL28" s="189"/>
      <c r="AM28" s="189"/>
    </row>
    <row r="29" spans="1:39" ht="14.45" customHeight="1" thickBot="1" x14ac:dyDescent="0.3">
      <c r="A29" s="797" t="s">
        <v>75</v>
      </c>
      <c r="B29" s="124" t="s">
        <v>8</v>
      </c>
      <c r="C29" s="124" t="s">
        <v>74</v>
      </c>
      <c r="D29" s="190">
        <f>Indata!D$36</f>
        <v>10.009999999999998</v>
      </c>
      <c r="E29" s="215">
        <f>Indata!E$36</f>
        <v>10.009999999999998</v>
      </c>
      <c r="F29" s="190">
        <f>Indata!F$36</f>
        <v>10.009999999999998</v>
      </c>
      <c r="G29" s="191">
        <f>Indata!G$36</f>
        <v>10.009999999999998</v>
      </c>
      <c r="H29" s="192">
        <f>Indata!H$36</f>
        <v>10.009999999999998</v>
      </c>
      <c r="I29" s="191">
        <f>Indata!I$36</f>
        <v>10.009999999999998</v>
      </c>
      <c r="K29" s="800" t="s">
        <v>75</v>
      </c>
      <c r="L29" s="659" t="s">
        <v>8</v>
      </c>
      <c r="M29" s="659" t="s">
        <v>74</v>
      </c>
      <c r="N29" s="662">
        <f>D29*(1-Indata!D$74)+D29*(1+Indata!D$76)*D$52</f>
        <v>10.009999999999998</v>
      </c>
      <c r="O29" s="662">
        <f>E29*(1-Indata!E$74)+E29*(1+Indata!E$76)*E$52</f>
        <v>10.009999999999998</v>
      </c>
      <c r="P29" s="662">
        <f>F29*(1-Indata!F$74)+F29*(1+Indata!F$76)*F$52</f>
        <v>10.009999999999998</v>
      </c>
      <c r="Q29" s="662">
        <f>G29*(1-Indata!G$74)+G29*(1+Indata!G$76)*G$52</f>
        <v>10.009999999999998</v>
      </c>
      <c r="R29" s="662">
        <f>H29*(1-Indata!H$74)+H29*(1+Indata!H$76)*H$52</f>
        <v>10.009999999999998</v>
      </c>
      <c r="S29" s="662">
        <f>I29*(1-Indata!I$74)+I29*(1+Indata!I$76)*I$52</f>
        <v>10.009999999999998</v>
      </c>
      <c r="U29" s="797" t="s">
        <v>75</v>
      </c>
      <c r="V29" s="124" t="s">
        <v>8</v>
      </c>
      <c r="W29" s="124" t="s">
        <v>74</v>
      </c>
      <c r="X29" s="190">
        <f>N29</f>
        <v>10.009999999999998</v>
      </c>
      <c r="Y29" s="215">
        <f t="shared" ref="Y29:Y31" si="64">O29</f>
        <v>10.009999999999998</v>
      </c>
      <c r="Z29" s="190">
        <f t="shared" ref="Z29:Z31" si="65">P29</f>
        <v>10.009999999999998</v>
      </c>
      <c r="AA29" s="191">
        <f t="shared" ref="AA29:AA31" si="66">Q29</f>
        <v>10.009999999999998</v>
      </c>
      <c r="AB29" s="192">
        <f t="shared" ref="AB29:AB31" si="67">R29</f>
        <v>10.009999999999998</v>
      </c>
      <c r="AC29" s="191">
        <f t="shared" ref="AC29:AC31" si="68">S29</f>
        <v>10.009999999999998</v>
      </c>
      <c r="AE29" s="797" t="s">
        <v>75</v>
      </c>
      <c r="AF29" s="124" t="s">
        <v>8</v>
      </c>
      <c r="AG29" s="124" t="s">
        <v>74</v>
      </c>
      <c r="AH29" s="190">
        <f>X29</f>
        <v>10.009999999999998</v>
      </c>
      <c r="AI29" s="215">
        <f t="shared" ref="AI29:AI31" si="69">Y29</f>
        <v>10.009999999999998</v>
      </c>
      <c r="AJ29" s="190">
        <f t="shared" ref="AJ29:AJ31" si="70">Z29</f>
        <v>10.009999999999998</v>
      </c>
      <c r="AK29" s="191">
        <f t="shared" ref="AK29:AK31" si="71">AA29</f>
        <v>10.009999999999998</v>
      </c>
      <c r="AL29" s="192">
        <f t="shared" ref="AL29:AL31" si="72">AB29</f>
        <v>10.009999999999998</v>
      </c>
      <c r="AM29" s="191">
        <f t="shared" ref="AM29:AM31" si="73">AC29</f>
        <v>10.009999999999998</v>
      </c>
    </row>
    <row r="30" spans="1:39" ht="15.75" thickBot="1" x14ac:dyDescent="0.3">
      <c r="A30" s="798"/>
      <c r="B30" s="125" t="s">
        <v>9</v>
      </c>
      <c r="C30" s="125" t="s">
        <v>74</v>
      </c>
      <c r="D30" s="193">
        <f>Indata!D$36</f>
        <v>10.009999999999998</v>
      </c>
      <c r="E30" s="216">
        <f>Indata!E$36</f>
        <v>10.009999999999998</v>
      </c>
      <c r="F30" s="193">
        <f>Indata!F$36</f>
        <v>10.009999999999998</v>
      </c>
      <c r="G30" s="194">
        <f>Indata!G$36</f>
        <v>10.009999999999998</v>
      </c>
      <c r="H30" s="195">
        <f>Indata!H$36</f>
        <v>10.009999999999998</v>
      </c>
      <c r="I30" s="194">
        <f>Indata!I$36</f>
        <v>10.009999999999998</v>
      </c>
      <c r="K30" s="801"/>
      <c r="L30" s="660" t="s">
        <v>9</v>
      </c>
      <c r="M30" s="660" t="s">
        <v>74</v>
      </c>
      <c r="N30" s="662">
        <f>D30*(1-Indata!D$74)+D30*(1+Indata!D$76)*D$52</f>
        <v>10.009999999999998</v>
      </c>
      <c r="O30" s="662">
        <f>E30*(1-Indata!E$74)+E30*(1+Indata!E$76)*E$52</f>
        <v>10.009999999999998</v>
      </c>
      <c r="P30" s="662">
        <f>F30*(1-Indata!F$74)+F30*(1+Indata!F$76)*F$52</f>
        <v>10.009999999999998</v>
      </c>
      <c r="Q30" s="662">
        <f>G30*(1-Indata!G$74)+G30*(1+Indata!G$76)*G$52</f>
        <v>10.009999999999998</v>
      </c>
      <c r="R30" s="662">
        <f>H30*(1-Indata!H$74)+H30*(1+Indata!H$76)*H$52</f>
        <v>10.009999999999998</v>
      </c>
      <c r="S30" s="662">
        <f>I30*(1-Indata!I$74)+I30*(1+Indata!I$76)*I$52</f>
        <v>10.009999999999998</v>
      </c>
      <c r="U30" s="798"/>
      <c r="V30" s="125" t="s">
        <v>9</v>
      </c>
      <c r="W30" s="125" t="s">
        <v>74</v>
      </c>
      <c r="X30" s="193">
        <f t="shared" ref="X30:X31" si="74">N30</f>
        <v>10.009999999999998</v>
      </c>
      <c r="Y30" s="216">
        <f t="shared" si="64"/>
        <v>10.009999999999998</v>
      </c>
      <c r="Z30" s="193">
        <f t="shared" si="65"/>
        <v>10.009999999999998</v>
      </c>
      <c r="AA30" s="194">
        <f t="shared" si="66"/>
        <v>10.009999999999998</v>
      </c>
      <c r="AB30" s="195">
        <f t="shared" si="67"/>
        <v>10.009999999999998</v>
      </c>
      <c r="AC30" s="194">
        <f t="shared" si="68"/>
        <v>10.009999999999998</v>
      </c>
      <c r="AE30" s="798"/>
      <c r="AF30" s="125" t="s">
        <v>9</v>
      </c>
      <c r="AG30" s="125" t="s">
        <v>74</v>
      </c>
      <c r="AH30" s="193">
        <f t="shared" ref="AH30:AH31" si="75">X30</f>
        <v>10.009999999999998</v>
      </c>
      <c r="AI30" s="216">
        <f t="shared" si="69"/>
        <v>10.009999999999998</v>
      </c>
      <c r="AJ30" s="193">
        <f t="shared" si="70"/>
        <v>10.009999999999998</v>
      </c>
      <c r="AK30" s="194">
        <f t="shared" si="71"/>
        <v>10.009999999999998</v>
      </c>
      <c r="AL30" s="195">
        <f t="shared" si="72"/>
        <v>10.009999999999998</v>
      </c>
      <c r="AM30" s="194">
        <f t="shared" si="73"/>
        <v>10.009999999999998</v>
      </c>
    </row>
    <row r="31" spans="1:39" ht="15.75" thickBot="1" x14ac:dyDescent="0.3">
      <c r="A31" s="799"/>
      <c r="B31" s="126" t="s">
        <v>7</v>
      </c>
      <c r="C31" s="126" t="s">
        <v>74</v>
      </c>
      <c r="D31" s="217">
        <f>Indata!D$36</f>
        <v>10.009999999999998</v>
      </c>
      <c r="E31" s="218">
        <f>Indata!E$36</f>
        <v>10.009999999999998</v>
      </c>
      <c r="F31" s="217">
        <f>Indata!F$36</f>
        <v>10.009999999999998</v>
      </c>
      <c r="G31" s="219">
        <f>Indata!G$36</f>
        <v>10.009999999999998</v>
      </c>
      <c r="H31" s="220">
        <f>Indata!H$36</f>
        <v>10.009999999999998</v>
      </c>
      <c r="I31" s="219">
        <f>Indata!I$36</f>
        <v>10.009999999999998</v>
      </c>
      <c r="K31" s="802"/>
      <c r="L31" s="661" t="s">
        <v>7</v>
      </c>
      <c r="M31" s="661" t="s">
        <v>74</v>
      </c>
      <c r="N31" s="662">
        <f>D31*(1-Indata!D$74)+D31*(1+Indata!D$76)*D$52</f>
        <v>10.009999999999998</v>
      </c>
      <c r="O31" s="662">
        <f>E31*(1-Indata!E$74)+E31*(1+Indata!E$76)*E$52</f>
        <v>10.009999999999998</v>
      </c>
      <c r="P31" s="662">
        <f>F31*(1-Indata!F$74)+F31*(1+Indata!F$76)*F$52</f>
        <v>10.009999999999998</v>
      </c>
      <c r="Q31" s="662">
        <f>G31*(1-Indata!G$74)+G31*(1+Indata!G$76)*G$52</f>
        <v>10.009999999999998</v>
      </c>
      <c r="R31" s="662">
        <f>H31*(1-Indata!H$74)+H31*(1+Indata!H$76)*H$52</f>
        <v>10.009999999999998</v>
      </c>
      <c r="S31" s="662">
        <f>I31*(1-Indata!I$74)+I31*(1+Indata!I$76)*I$52</f>
        <v>10.009999999999998</v>
      </c>
      <c r="U31" s="799"/>
      <c r="V31" s="126" t="s">
        <v>7</v>
      </c>
      <c r="W31" s="126" t="s">
        <v>74</v>
      </c>
      <c r="X31" s="217">
        <f t="shared" si="74"/>
        <v>10.009999999999998</v>
      </c>
      <c r="Y31" s="218">
        <f t="shared" si="64"/>
        <v>10.009999999999998</v>
      </c>
      <c r="Z31" s="217">
        <f t="shared" si="65"/>
        <v>10.009999999999998</v>
      </c>
      <c r="AA31" s="219">
        <f t="shared" si="66"/>
        <v>10.009999999999998</v>
      </c>
      <c r="AB31" s="220">
        <f t="shared" si="67"/>
        <v>10.009999999999998</v>
      </c>
      <c r="AC31" s="219">
        <f t="shared" si="68"/>
        <v>10.009999999999998</v>
      </c>
      <c r="AE31" s="799"/>
      <c r="AF31" s="126" t="s">
        <v>7</v>
      </c>
      <c r="AG31" s="126" t="s">
        <v>74</v>
      </c>
      <c r="AH31" s="217">
        <f t="shared" si="75"/>
        <v>10.009999999999998</v>
      </c>
      <c r="AI31" s="218">
        <f t="shared" si="69"/>
        <v>10.009999999999998</v>
      </c>
      <c r="AJ31" s="217">
        <f t="shared" si="70"/>
        <v>10.009999999999998</v>
      </c>
      <c r="AK31" s="219">
        <f t="shared" si="71"/>
        <v>10.009999999999998</v>
      </c>
      <c r="AL31" s="220">
        <f t="shared" si="72"/>
        <v>10.009999999999998</v>
      </c>
      <c r="AM31" s="219">
        <f t="shared" si="73"/>
        <v>10.009999999999998</v>
      </c>
    </row>
    <row r="32" spans="1:39" x14ac:dyDescent="0.25">
      <c r="A32" s="26"/>
      <c r="B32" s="26"/>
      <c r="C32" s="26"/>
      <c r="D32" s="205"/>
      <c r="E32" s="205"/>
      <c r="F32" s="205"/>
      <c r="G32" s="205"/>
      <c r="H32" s="205"/>
      <c r="I32" s="205"/>
      <c r="K32" s="26"/>
      <c r="L32" s="26"/>
      <c r="M32" s="26"/>
      <c r="N32" s="205"/>
      <c r="O32" s="205"/>
      <c r="Q32" s="205">
        <v>0</v>
      </c>
      <c r="R32" s="205"/>
      <c r="S32" s="205"/>
      <c r="U32" s="26"/>
      <c r="V32" s="26"/>
      <c r="W32" s="26"/>
      <c r="X32" s="205"/>
      <c r="Y32" s="205"/>
      <c r="Z32" s="205"/>
      <c r="AA32" s="205"/>
      <c r="AB32" s="205"/>
      <c r="AC32" s="205"/>
      <c r="AH32" s="205"/>
      <c r="AI32" s="205"/>
      <c r="AJ32" s="205"/>
      <c r="AK32" s="205"/>
      <c r="AL32" s="205"/>
      <c r="AM32" s="205"/>
    </row>
    <row r="33" spans="1:39" ht="15.75" thickBot="1" x14ac:dyDescent="0.3">
      <c r="A33" s="40" t="s">
        <v>84</v>
      </c>
      <c r="D33" s="75"/>
      <c r="E33" s="75"/>
      <c r="F33" s="75"/>
      <c r="G33" s="75"/>
      <c r="H33" s="75"/>
      <c r="I33" s="75"/>
      <c r="K33" s="381" t="s">
        <v>225</v>
      </c>
      <c r="L33" s="382"/>
      <c r="M33" s="382"/>
      <c r="N33" s="395"/>
      <c r="O33" s="395"/>
      <c r="P33" s="75"/>
      <c r="Q33" s="75"/>
      <c r="R33" s="75"/>
      <c r="S33" s="75"/>
      <c r="U33" s="40" t="s">
        <v>226</v>
      </c>
      <c r="X33" s="75"/>
      <c r="Y33" s="75"/>
      <c r="Z33" s="75"/>
      <c r="AA33" s="75"/>
      <c r="AB33" s="75"/>
      <c r="AC33" s="75"/>
      <c r="AE33" s="40" t="s">
        <v>227</v>
      </c>
      <c r="AF33" s="38"/>
      <c r="AG33" s="38"/>
      <c r="AH33" s="75"/>
      <c r="AI33" s="75"/>
      <c r="AJ33" s="75"/>
      <c r="AK33" s="75"/>
      <c r="AL33" s="75"/>
      <c r="AM33" s="75"/>
    </row>
    <row r="34" spans="1:39" x14ac:dyDescent="0.25">
      <c r="A34" s="794" t="s">
        <v>17</v>
      </c>
      <c r="B34" s="124" t="s">
        <v>8</v>
      </c>
      <c r="C34" s="124" t="s">
        <v>36</v>
      </c>
      <c r="D34" s="233">
        <f>D18*D$37</f>
        <v>34.972878293330716</v>
      </c>
      <c r="E34" s="234">
        <f t="shared" ref="D34:I36" si="76">E18*E$37</f>
        <v>30.723785715740984</v>
      </c>
      <c r="F34" s="233">
        <f t="shared" si="76"/>
        <v>34.972878293330716</v>
      </c>
      <c r="G34" s="234">
        <f t="shared" si="76"/>
        <v>15.857437788769538</v>
      </c>
      <c r="H34" s="235">
        <f t="shared" si="76"/>
        <v>34.972878293330716</v>
      </c>
      <c r="I34" s="234">
        <f t="shared" si="76"/>
        <v>30.723785715740984</v>
      </c>
      <c r="K34" s="794" t="s">
        <v>17</v>
      </c>
      <c r="L34" s="124" t="s">
        <v>8</v>
      </c>
      <c r="M34" s="124" t="s">
        <v>36</v>
      </c>
      <c r="N34" s="233">
        <f>N18*N$37</f>
        <v>34.972878293330716</v>
      </c>
      <c r="O34" s="234">
        <f t="shared" ref="O34:S34" si="77">O18*O$37</f>
        <v>30.723785715740984</v>
      </c>
      <c r="P34" s="233">
        <f>P18*P$37</f>
        <v>34.972878293330716</v>
      </c>
      <c r="Q34" s="234">
        <f>Q18*Q$37</f>
        <v>15.819727629323449</v>
      </c>
      <c r="R34" s="235">
        <f t="shared" si="77"/>
        <v>34.972878293330716</v>
      </c>
      <c r="S34" s="234">
        <f t="shared" si="77"/>
        <v>30.723785715740984</v>
      </c>
      <c r="U34" s="794" t="s">
        <v>17</v>
      </c>
      <c r="V34" s="124" t="s">
        <v>8</v>
      </c>
      <c r="W34" s="124" t="s">
        <v>36</v>
      </c>
      <c r="X34" s="233">
        <f>N34*(1+N$50)*(1+N$44*'Indata - Effektsamband-Faktorer'!$D$8)</f>
        <v>34.972878293330716</v>
      </c>
      <c r="Y34" s="234">
        <f>O34*(1+O$50)*(1+O$44*'Indata - Effektsamband-Faktorer'!$E$8)</f>
        <v>30.723785715740984</v>
      </c>
      <c r="Z34" s="233">
        <f>P34*(1+P$50)*(1+P$44*'Indata - Effektsamband-Faktorer'!$D$8)</f>
        <v>35.228240198326176</v>
      </c>
      <c r="AA34" s="234">
        <f>Q34*(1+Q$50)*(1+Q$44*'Indata - Effektsamband-Faktorer'!$E$8)</f>
        <v>16.205036074771979</v>
      </c>
      <c r="AB34" s="235">
        <f>R34*(1+R$50)*(1+R$44*'Indata - Effektsamband-Faktorer'!$D$8)</f>
        <v>35.228240198326176</v>
      </c>
      <c r="AC34" s="234">
        <f>S34*(1+S$50)*(1+S$44*'Indata - Effektsamband-Faktorer'!$E$8)</f>
        <v>30.913829807482287</v>
      </c>
      <c r="AE34" s="794" t="s">
        <v>17</v>
      </c>
      <c r="AF34" s="124" t="s">
        <v>8</v>
      </c>
      <c r="AG34" s="124" t="s">
        <v>36</v>
      </c>
      <c r="AH34" s="233">
        <f>X34*(1-Indata!D$21)</f>
        <v>34.972878293330716</v>
      </c>
      <c r="AI34" s="234">
        <f>Y34*(1-Indata!E$21)</f>
        <v>30.723785715740984</v>
      </c>
      <c r="AJ34" s="233">
        <f>Z34*(1-Indata!F$21)</f>
        <v>35.228240198326176</v>
      </c>
      <c r="AK34" s="234">
        <f>AA34*(1-Indata!G$21)</f>
        <v>16.205036074771979</v>
      </c>
      <c r="AL34" s="235">
        <f>AB34*(1-Indata!H$21)</f>
        <v>35.228240198326176</v>
      </c>
      <c r="AM34" s="234">
        <f>AC34*(1-Indata!I$21)</f>
        <v>30.913829807482287</v>
      </c>
    </row>
    <row r="35" spans="1:39" x14ac:dyDescent="0.25">
      <c r="A35" s="795"/>
      <c r="B35" s="125" t="s">
        <v>9</v>
      </c>
      <c r="C35" s="125" t="s">
        <v>36</v>
      </c>
      <c r="D35" s="236">
        <f t="shared" si="76"/>
        <v>37.395523495653713</v>
      </c>
      <c r="E35" s="237">
        <f t="shared" si="76"/>
        <v>30.966214284259014</v>
      </c>
      <c r="F35" s="236">
        <f t="shared" si="76"/>
        <v>37.395523495653713</v>
      </c>
      <c r="G35" s="237">
        <f t="shared" si="76"/>
        <v>15.982562211230457</v>
      </c>
      <c r="H35" s="238">
        <f t="shared" si="76"/>
        <v>37.395523495653713</v>
      </c>
      <c r="I35" s="237">
        <f t="shared" si="76"/>
        <v>30.966214284259014</v>
      </c>
      <c r="K35" s="795"/>
      <c r="L35" s="125" t="s">
        <v>9</v>
      </c>
      <c r="M35" s="125" t="s">
        <v>36</v>
      </c>
      <c r="N35" s="236">
        <f>N19*N$37</f>
        <v>37.395523495653713</v>
      </c>
      <c r="O35" s="237">
        <f t="shared" ref="O35:S36" si="78">O19*O$37</f>
        <v>30.966214284259014</v>
      </c>
      <c r="P35" s="236">
        <f t="shared" si="78"/>
        <v>37.395523495653713</v>
      </c>
      <c r="Q35" s="237">
        <f t="shared" si="78"/>
        <v>15.944554496656959</v>
      </c>
      <c r="R35" s="238">
        <f t="shared" si="78"/>
        <v>37.395523495653713</v>
      </c>
      <c r="S35" s="237">
        <f t="shared" si="78"/>
        <v>30.966214284259014</v>
      </c>
      <c r="U35" s="795"/>
      <c r="V35" s="125" t="s">
        <v>9</v>
      </c>
      <c r="W35" s="125" t="s">
        <v>36</v>
      </c>
      <c r="X35" s="236">
        <f>N35*(1+N$50)*(1+N$44*'Indata - Effektsamband-Faktorer'!$D$8)</f>
        <v>37.395523495653713</v>
      </c>
      <c r="Y35" s="237">
        <f>O35*(1+O$50)*(1+O$44*'Indata - Effektsamband-Faktorer'!$E$8)</f>
        <v>30.966214284259014</v>
      </c>
      <c r="Z35" s="236">
        <f>P35*(1+P$50)*(1+P$44*'Indata - Effektsamband-Faktorer'!$D$8)</f>
        <v>37.668574859572288</v>
      </c>
      <c r="AA35" s="237">
        <f>Q35*(1+Q$50)*(1+Q$44*'Indata - Effektsamband-Faktorer'!$E$8)</f>
        <v>16.332903250215047</v>
      </c>
      <c r="AB35" s="238">
        <f>R35*(1+R$50)*(1+R$44*'Indata - Effektsamband-Faktorer'!$D$8)</f>
        <v>37.668574859572288</v>
      </c>
      <c r="AC35" s="237">
        <f>S35*(1+S$50)*(1+S$44*'Indata - Effektsamband-Faktorer'!$E$8)</f>
        <v>31.157757934601015</v>
      </c>
      <c r="AE35" s="795"/>
      <c r="AF35" s="125" t="s">
        <v>9</v>
      </c>
      <c r="AG35" s="125" t="s">
        <v>36</v>
      </c>
      <c r="AH35" s="236">
        <f>X35*(1-Indata!D$21)</f>
        <v>37.395523495653713</v>
      </c>
      <c r="AI35" s="237">
        <f>Y35*(1-Indata!E$21)</f>
        <v>30.966214284259014</v>
      </c>
      <c r="AJ35" s="236">
        <f>Z35*(1-Indata!F$21)</f>
        <v>37.668574859572288</v>
      </c>
      <c r="AK35" s="237">
        <f>AA35*(1-Indata!G$21)</f>
        <v>16.332903250215047</v>
      </c>
      <c r="AL35" s="238">
        <f>AB35*(1-Indata!H$21)</f>
        <v>37.668574859572288</v>
      </c>
      <c r="AM35" s="237">
        <f>AC35*(1-Indata!I$21)</f>
        <v>31.157757934601015</v>
      </c>
    </row>
    <row r="36" spans="1:39" x14ac:dyDescent="0.25">
      <c r="A36" s="795"/>
      <c r="B36" s="125" t="s">
        <v>7</v>
      </c>
      <c r="C36" s="125" t="s">
        <v>36</v>
      </c>
      <c r="D36" s="236">
        <f t="shared" si="76"/>
        <v>15.885746734167313</v>
      </c>
      <c r="E36" s="237">
        <f t="shared" si="76"/>
        <v>37.81</v>
      </c>
      <c r="F36" s="236">
        <f t="shared" si="76"/>
        <v>15.885746734167313</v>
      </c>
      <c r="G36" s="237">
        <f t="shared" si="76"/>
        <v>67.660000000000011</v>
      </c>
      <c r="H36" s="238">
        <f t="shared" si="76"/>
        <v>15.885746734167313</v>
      </c>
      <c r="I36" s="237">
        <f t="shared" si="76"/>
        <v>37.81</v>
      </c>
      <c r="K36" s="795"/>
      <c r="L36" s="125" t="s">
        <v>7</v>
      </c>
      <c r="M36" s="125" t="s">
        <v>36</v>
      </c>
      <c r="N36" s="236">
        <f>N20*N$37</f>
        <v>15.885746734167313</v>
      </c>
      <c r="O36" s="237">
        <f t="shared" si="78"/>
        <v>37.81</v>
      </c>
      <c r="P36" s="236">
        <f t="shared" si="78"/>
        <v>15.885746734167313</v>
      </c>
      <c r="Q36" s="237">
        <f t="shared" si="78"/>
        <v>67.735717874019585</v>
      </c>
      <c r="R36" s="238">
        <f t="shared" si="78"/>
        <v>15.885746734167313</v>
      </c>
      <c r="S36" s="237">
        <f t="shared" si="78"/>
        <v>37.81</v>
      </c>
      <c r="U36" s="795"/>
      <c r="V36" s="125" t="s">
        <v>7</v>
      </c>
      <c r="W36" s="125" t="s">
        <v>36</v>
      </c>
      <c r="X36" s="236">
        <f>N36*(1+N$50)*(1+N$44*'Indata - Effektsamband-Faktorer'!$D$8)</f>
        <v>15.885746734167313</v>
      </c>
      <c r="Y36" s="237">
        <f>O36*(1+O$50)*(1+O$44*'Indata - Effektsamband-Faktorer'!$E$8)</f>
        <v>37.81</v>
      </c>
      <c r="Z36" s="236">
        <f>P36*(1+P$50)*(1+P$44*'Indata - Effektsamband-Faktorer'!$D$8)</f>
        <v>16.001739890758198</v>
      </c>
      <c r="AA36" s="237">
        <f>Q36*(1+Q$50)*(1+Q$44*'Indata - Effektsamband-Faktorer'!$E$8)</f>
        <v>69.385502545849278</v>
      </c>
      <c r="AB36" s="238">
        <f>R36*(1+R$50)*(1+R$44*'Indata - Effektsamband-Faktorer'!$D$8)</f>
        <v>16.001739890758198</v>
      </c>
      <c r="AC36" s="237">
        <f>S36*(1+S$50)*(1+S$44*'Indata - Effektsamband-Faktorer'!$E$8)</f>
        <v>38.043876358051058</v>
      </c>
      <c r="AE36" s="795"/>
      <c r="AF36" s="125" t="s">
        <v>7</v>
      </c>
      <c r="AG36" s="125" t="s">
        <v>36</v>
      </c>
      <c r="AH36" s="236">
        <f>X36*(1-Indata!D$21)</f>
        <v>15.885746734167313</v>
      </c>
      <c r="AI36" s="237">
        <f>Y36*(1-Indata!E$21)</f>
        <v>37.81</v>
      </c>
      <c r="AJ36" s="236">
        <f>Z36*(1-Indata!F$21)</f>
        <v>16.001739890758198</v>
      </c>
      <c r="AK36" s="237">
        <f>AA36*(1-Indata!G$21)</f>
        <v>69.385502545849278</v>
      </c>
      <c r="AL36" s="238">
        <f>AB36*(1-Indata!H$21)</f>
        <v>16.001739890758198</v>
      </c>
      <c r="AM36" s="237">
        <f>AC36*(1-Indata!I$21)</f>
        <v>38.043876358051058</v>
      </c>
    </row>
    <row r="37" spans="1:39" ht="15.75" thickBot="1" x14ac:dyDescent="0.3">
      <c r="A37" s="796"/>
      <c r="B37" s="177" t="s">
        <v>16</v>
      </c>
      <c r="C37" s="177" t="s">
        <v>36</v>
      </c>
      <c r="D37" s="209">
        <f>Indata!D37*(1+Indata!D38)</f>
        <v>88.254148523151741</v>
      </c>
      <c r="E37" s="210">
        <f>Indata!E37*(1+Indata!E38)</f>
        <v>99.5</v>
      </c>
      <c r="F37" s="209">
        <f>Indata!F37*(1+Indata!F38)</f>
        <v>88.254148523151741</v>
      </c>
      <c r="G37" s="210">
        <f>Indata!G37*(1+Indata!G38)</f>
        <v>99.5</v>
      </c>
      <c r="H37" s="211">
        <f>Indata!H37*(1+Indata!H38)</f>
        <v>88.254148523151741</v>
      </c>
      <c r="I37" s="210">
        <f>Indata!I37*(1+Indata!I38)</f>
        <v>99.5</v>
      </c>
      <c r="K37" s="796"/>
      <c r="L37" s="177" t="s">
        <v>16</v>
      </c>
      <c r="M37" s="177" t="s">
        <v>36</v>
      </c>
      <c r="N37" s="209">
        <f>D37</f>
        <v>88.254148523151741</v>
      </c>
      <c r="O37" s="210">
        <f t="shared" ref="O37:S37" si="79">E37</f>
        <v>99.5</v>
      </c>
      <c r="P37" s="209">
        <f t="shared" si="79"/>
        <v>88.254148523151741</v>
      </c>
      <c r="Q37" s="210">
        <f t="shared" si="79"/>
        <v>99.5</v>
      </c>
      <c r="R37" s="211">
        <f t="shared" si="79"/>
        <v>88.254148523151741</v>
      </c>
      <c r="S37" s="210">
        <f t="shared" si="79"/>
        <v>99.5</v>
      </c>
      <c r="U37" s="796"/>
      <c r="V37" s="177" t="s">
        <v>16</v>
      </c>
      <c r="W37" s="177" t="s">
        <v>36</v>
      </c>
      <c r="X37" s="209">
        <f>SUM(X34:X36)</f>
        <v>88.254148523151741</v>
      </c>
      <c r="Y37" s="210">
        <f>SUM(Y34:Y36)</f>
        <v>99.5</v>
      </c>
      <c r="Z37" s="209">
        <f>SUM(Z34:Z36)</f>
        <v>88.898554948656667</v>
      </c>
      <c r="AA37" s="210">
        <f>SUM(AA34:AA36)</f>
        <v>101.9234418708363</v>
      </c>
      <c r="AB37" s="211">
        <f>SUM(AB34:AB36)</f>
        <v>88.898554948656667</v>
      </c>
      <c r="AC37" s="210">
        <f t="shared" ref="AC37" si="80">SUM(AC34:AC36)</f>
        <v>100.11546410013436</v>
      </c>
      <c r="AE37" s="796"/>
      <c r="AF37" s="177" t="s">
        <v>16</v>
      </c>
      <c r="AG37" s="177" t="s">
        <v>36</v>
      </c>
      <c r="AH37" s="209">
        <f>SUM(AH34:AH36)</f>
        <v>88.254148523151741</v>
      </c>
      <c r="AI37" s="210">
        <f t="shared" ref="AI37" si="81">SUM(AI34:AI36)</f>
        <v>99.5</v>
      </c>
      <c r="AJ37" s="209">
        <f>SUM(AJ34:AJ36)</f>
        <v>88.898554948656667</v>
      </c>
      <c r="AK37" s="210">
        <f t="shared" ref="AK37" si="82">SUM(AK34:AK36)</f>
        <v>101.9234418708363</v>
      </c>
      <c r="AL37" s="211">
        <f>SUM(AL34:AL36)</f>
        <v>88.898554948656667</v>
      </c>
      <c r="AM37" s="210">
        <f t="shared" ref="AM37" si="83">SUM(AM34:AM36)</f>
        <v>100.11546410013436</v>
      </c>
    </row>
    <row r="38" spans="1:39" x14ac:dyDescent="0.25">
      <c r="D38" s="75"/>
      <c r="E38" s="75"/>
      <c r="F38" s="75"/>
      <c r="G38" s="75"/>
      <c r="H38" s="75"/>
      <c r="I38" s="75"/>
      <c r="N38" s="75"/>
      <c r="O38" s="75"/>
      <c r="P38" s="75"/>
      <c r="Q38" s="75"/>
      <c r="R38" s="75"/>
      <c r="S38" s="75"/>
      <c r="X38" s="75"/>
      <c r="Y38" s="75"/>
      <c r="Z38" s="75"/>
      <c r="AA38" s="75"/>
      <c r="AB38" s="75"/>
      <c r="AC38" s="712">
        <f>AC37/Y37-1</f>
        <v>6.1855688455714208E-3</v>
      </c>
      <c r="AE38" s="38"/>
      <c r="AF38" s="38"/>
      <c r="AG38" s="38"/>
      <c r="AH38" s="75"/>
      <c r="AI38" s="75"/>
      <c r="AJ38" s="75"/>
      <c r="AK38" s="75"/>
      <c r="AL38" s="75"/>
      <c r="AM38" s="75"/>
    </row>
    <row r="39" spans="1:39" ht="15.75" thickBot="1" x14ac:dyDescent="0.3">
      <c r="A39" s="40" t="s">
        <v>85</v>
      </c>
      <c r="D39" s="189"/>
      <c r="E39" s="189"/>
      <c r="F39" s="189"/>
      <c r="G39" s="189"/>
      <c r="H39" s="189"/>
      <c r="I39" s="189"/>
      <c r="K39" s="40" t="s">
        <v>228</v>
      </c>
      <c r="N39" s="189"/>
      <c r="O39" s="189"/>
      <c r="P39" s="189"/>
      <c r="Q39" s="657"/>
      <c r="R39" s="189"/>
      <c r="S39" s="189"/>
      <c r="U39" s="40" t="s">
        <v>87</v>
      </c>
      <c r="X39" s="189"/>
      <c r="Y39" s="189"/>
      <c r="Z39" s="189"/>
      <c r="AA39" s="75"/>
      <c r="AB39" s="189"/>
      <c r="AC39" s="189"/>
      <c r="AE39" s="40" t="s">
        <v>156</v>
      </c>
      <c r="AF39" s="38"/>
      <c r="AG39" s="38"/>
      <c r="AH39" s="189"/>
      <c r="AI39" s="189"/>
      <c r="AJ39" s="189"/>
      <c r="AK39" s="189"/>
      <c r="AL39" s="189"/>
      <c r="AM39" s="189"/>
    </row>
    <row r="40" spans="1:39" x14ac:dyDescent="0.25">
      <c r="A40" s="797" t="s">
        <v>77</v>
      </c>
      <c r="B40" s="124" t="s">
        <v>8</v>
      </c>
      <c r="C40" s="124" t="s">
        <v>74</v>
      </c>
      <c r="D40" s="190">
        <f>D6*D13+D24+D29</f>
        <v>20.894137307914438</v>
      </c>
      <c r="E40" s="191">
        <f t="shared" ref="D40:I42" si="84">E6*E13+E24+E29</f>
        <v>20.490767763608162</v>
      </c>
      <c r="F40" s="190">
        <f t="shared" si="84"/>
        <v>20.894137307914438</v>
      </c>
      <c r="G40" s="191">
        <f t="shared" si="84"/>
        <v>20.490767763608162</v>
      </c>
      <c r="H40" s="192">
        <f t="shared" si="84"/>
        <v>20.894137307914438</v>
      </c>
      <c r="I40" s="191">
        <f t="shared" si="84"/>
        <v>20.490767763608162</v>
      </c>
      <c r="K40" s="797" t="s">
        <v>77</v>
      </c>
      <c r="L40" s="124" t="s">
        <v>8</v>
      </c>
      <c r="M40" s="124" t="s">
        <v>74</v>
      </c>
      <c r="N40" s="190">
        <f>N6*N13+N24+N29</f>
        <v>20.894137307914438</v>
      </c>
      <c r="O40" s="191">
        <f t="shared" ref="N40:S42" si="85">O6*O13+O24+O29</f>
        <v>20.490767763608162</v>
      </c>
      <c r="P40" s="190">
        <f t="shared" si="85"/>
        <v>20.894137307914438</v>
      </c>
      <c r="Q40" s="191">
        <f>Q6*Q13+Q24+Q29</f>
        <v>20.969757183058626</v>
      </c>
      <c r="R40" s="192">
        <f t="shared" si="85"/>
        <v>20.894137307914438</v>
      </c>
      <c r="S40" s="191">
        <f t="shared" si="85"/>
        <v>20.490767763608162</v>
      </c>
      <c r="U40" s="797" t="s">
        <v>77</v>
      </c>
      <c r="V40" s="124" t="s">
        <v>8</v>
      </c>
      <c r="W40" s="124" t="s">
        <v>74</v>
      </c>
      <c r="X40" s="190">
        <f>N40</f>
        <v>20.894137307914438</v>
      </c>
      <c r="Y40" s="191">
        <f t="shared" ref="Y40:Y42" si="86">O40</f>
        <v>20.490767763608162</v>
      </c>
      <c r="Z40" s="190">
        <f t="shared" ref="Z40:Z42" si="87">P40</f>
        <v>20.894137307914438</v>
      </c>
      <c r="AA40" s="191">
        <f t="shared" ref="AA40:AA42" si="88">Q40</f>
        <v>20.969757183058626</v>
      </c>
      <c r="AB40" s="192">
        <f t="shared" ref="AB40:AB42" si="89">R40</f>
        <v>20.894137307914438</v>
      </c>
      <c r="AC40" s="191">
        <f t="shared" ref="AC40:AC42" si="90">S40</f>
        <v>20.490767763608162</v>
      </c>
      <c r="AE40" s="797" t="s">
        <v>77</v>
      </c>
      <c r="AF40" s="124" t="s">
        <v>8</v>
      </c>
      <c r="AG40" s="124" t="s">
        <v>74</v>
      </c>
      <c r="AH40" s="190">
        <f>X40</f>
        <v>20.894137307914438</v>
      </c>
      <c r="AI40" s="191">
        <f t="shared" ref="AI40:AI42" si="91">Y40</f>
        <v>20.490767763608162</v>
      </c>
      <c r="AJ40" s="190">
        <f>Z40</f>
        <v>20.894137307914438</v>
      </c>
      <c r="AK40" s="191">
        <f t="shared" ref="AK40:AK41" si="92">AA40</f>
        <v>20.969757183058626</v>
      </c>
      <c r="AL40" s="192">
        <f t="shared" ref="AL40:AL42" si="93">AB40</f>
        <v>20.894137307914438</v>
      </c>
      <c r="AM40" s="191">
        <f t="shared" ref="AM40:AM42" si="94">AC40</f>
        <v>20.490767763608162</v>
      </c>
    </row>
    <row r="41" spans="1:39" x14ac:dyDescent="0.25">
      <c r="A41" s="798"/>
      <c r="B41" s="125" t="s">
        <v>9</v>
      </c>
      <c r="C41" s="125" t="s">
        <v>74</v>
      </c>
      <c r="D41" s="193">
        <f t="shared" si="84"/>
        <v>21.583355544123954</v>
      </c>
      <c r="E41" s="194">
        <f t="shared" si="84"/>
        <v>21.099103565816492</v>
      </c>
      <c r="F41" s="193">
        <f t="shared" si="84"/>
        <v>21.583355544123954</v>
      </c>
      <c r="G41" s="194">
        <f t="shared" si="84"/>
        <v>21.099103565816492</v>
      </c>
      <c r="H41" s="195">
        <f t="shared" si="84"/>
        <v>21.583355544123954</v>
      </c>
      <c r="I41" s="194">
        <f t="shared" si="84"/>
        <v>21.099103565816492</v>
      </c>
      <c r="K41" s="798"/>
      <c r="L41" s="125" t="s">
        <v>9</v>
      </c>
      <c r="M41" s="125" t="s">
        <v>74</v>
      </c>
      <c r="N41" s="193">
        <f t="shared" si="85"/>
        <v>21.583355544123954</v>
      </c>
      <c r="O41" s="194">
        <f t="shared" si="85"/>
        <v>21.099103565816492</v>
      </c>
      <c r="P41" s="193">
        <f t="shared" si="85"/>
        <v>21.583355544123954</v>
      </c>
      <c r="Q41" s="194">
        <f t="shared" si="85"/>
        <v>20.879621446518762</v>
      </c>
      <c r="R41" s="195">
        <f t="shared" si="85"/>
        <v>21.583355544123954</v>
      </c>
      <c r="S41" s="194">
        <f t="shared" si="85"/>
        <v>21.099103565816492</v>
      </c>
      <c r="U41" s="798"/>
      <c r="V41" s="125" t="s">
        <v>9</v>
      </c>
      <c r="W41" s="125" t="s">
        <v>74</v>
      </c>
      <c r="X41" s="193">
        <f t="shared" ref="X41:X42" si="95">N41</f>
        <v>21.583355544123954</v>
      </c>
      <c r="Y41" s="194">
        <f t="shared" si="86"/>
        <v>21.099103565816492</v>
      </c>
      <c r="Z41" s="193">
        <f t="shared" si="87"/>
        <v>21.583355544123954</v>
      </c>
      <c r="AA41" s="194">
        <f t="shared" si="88"/>
        <v>20.879621446518762</v>
      </c>
      <c r="AB41" s="195">
        <f t="shared" si="89"/>
        <v>21.583355544123954</v>
      </c>
      <c r="AC41" s="194">
        <f t="shared" si="90"/>
        <v>21.099103565816492</v>
      </c>
      <c r="AE41" s="798"/>
      <c r="AF41" s="125" t="s">
        <v>9</v>
      </c>
      <c r="AG41" s="125" t="s">
        <v>74</v>
      </c>
      <c r="AH41" s="193">
        <f t="shared" ref="AH41" si="96">X41</f>
        <v>21.583355544123954</v>
      </c>
      <c r="AI41" s="194">
        <f t="shared" si="91"/>
        <v>21.099103565816492</v>
      </c>
      <c r="AJ41" s="193">
        <f t="shared" ref="AJ41:AJ42" si="97">Z41</f>
        <v>21.583355544123954</v>
      </c>
      <c r="AK41" s="194">
        <f t="shared" si="92"/>
        <v>20.879621446518762</v>
      </c>
      <c r="AL41" s="195">
        <f t="shared" si="93"/>
        <v>21.583355544123954</v>
      </c>
      <c r="AM41" s="194">
        <f t="shared" si="94"/>
        <v>21.099103565816492</v>
      </c>
    </row>
    <row r="42" spans="1:39" x14ac:dyDescent="0.25">
      <c r="A42" s="798"/>
      <c r="B42" s="125" t="s">
        <v>7</v>
      </c>
      <c r="C42" s="125" t="s">
        <v>74</v>
      </c>
      <c r="D42" s="193">
        <f t="shared" si="84"/>
        <v>15.615515788043478</v>
      </c>
      <c r="E42" s="194">
        <f t="shared" si="84"/>
        <v>16.728198124999999</v>
      </c>
      <c r="F42" s="193">
        <f t="shared" si="84"/>
        <v>15.615515788043478</v>
      </c>
      <c r="G42" s="194">
        <f t="shared" si="84"/>
        <v>16.728198124999999</v>
      </c>
      <c r="H42" s="195">
        <f t="shared" si="84"/>
        <v>15.615515788043478</v>
      </c>
      <c r="I42" s="194">
        <f t="shared" si="84"/>
        <v>16.728198124999999</v>
      </c>
      <c r="K42" s="798"/>
      <c r="L42" s="125" t="s">
        <v>7</v>
      </c>
      <c r="M42" s="125" t="s">
        <v>74</v>
      </c>
      <c r="N42" s="193">
        <f t="shared" si="85"/>
        <v>15.615515788043478</v>
      </c>
      <c r="O42" s="194">
        <f t="shared" si="85"/>
        <v>16.728198124999999</v>
      </c>
      <c r="P42" s="193">
        <f t="shared" si="85"/>
        <v>15.615515788043478</v>
      </c>
      <c r="Q42" s="194">
        <f>Q8*Q15+Q26+Q31</f>
        <v>16.728198124999999</v>
      </c>
      <c r="R42" s="195">
        <f t="shared" si="85"/>
        <v>15.615515788043478</v>
      </c>
      <c r="S42" s="194">
        <f t="shared" si="85"/>
        <v>16.728198124999999</v>
      </c>
      <c r="U42" s="798"/>
      <c r="V42" s="125" t="s">
        <v>7</v>
      </c>
      <c r="W42" s="125" t="s">
        <v>74</v>
      </c>
      <c r="X42" s="193">
        <f t="shared" si="95"/>
        <v>15.615515788043478</v>
      </c>
      <c r="Y42" s="194">
        <f t="shared" si="86"/>
        <v>16.728198124999999</v>
      </c>
      <c r="Z42" s="193">
        <f t="shared" si="87"/>
        <v>15.615515788043478</v>
      </c>
      <c r="AA42" s="194">
        <f t="shared" si="88"/>
        <v>16.728198124999999</v>
      </c>
      <c r="AB42" s="195">
        <f t="shared" si="89"/>
        <v>15.615515788043478</v>
      </c>
      <c r="AC42" s="194">
        <f t="shared" si="90"/>
        <v>16.728198124999999</v>
      </c>
      <c r="AE42" s="798"/>
      <c r="AF42" s="125" t="s">
        <v>7</v>
      </c>
      <c r="AG42" s="125" t="s">
        <v>74</v>
      </c>
      <c r="AH42" s="193">
        <f>X42</f>
        <v>15.615515788043478</v>
      </c>
      <c r="AI42" s="194">
        <f t="shared" si="91"/>
        <v>16.728198124999999</v>
      </c>
      <c r="AJ42" s="193">
        <f t="shared" si="97"/>
        <v>15.615515788043478</v>
      </c>
      <c r="AK42" s="194">
        <f>AA42</f>
        <v>16.728198124999999</v>
      </c>
      <c r="AL42" s="195">
        <f t="shared" si="93"/>
        <v>15.615515788043478</v>
      </c>
      <c r="AM42" s="194">
        <f t="shared" si="94"/>
        <v>16.728198124999999</v>
      </c>
    </row>
    <row r="43" spans="1:39" x14ac:dyDescent="0.25">
      <c r="A43" s="798"/>
      <c r="B43" s="175" t="s">
        <v>76</v>
      </c>
      <c r="C43" s="175" t="s">
        <v>74</v>
      </c>
      <c r="D43" s="293">
        <v>20.74</v>
      </c>
      <c r="E43" s="294">
        <v>19.655019213344737</v>
      </c>
      <c r="F43" s="186">
        <f>SUMPRODUCT(F40:F42,F34:F36)/F37</f>
        <v>20.236024700220387</v>
      </c>
      <c r="G43" s="187">
        <f t="shared" ref="G43:I43" si="98">SUMPRODUCT(G40:G42,G34:G36)/G37</f>
        <v>18.029936638541681</v>
      </c>
      <c r="H43" s="188">
        <f t="shared" si="98"/>
        <v>20.236024700220387</v>
      </c>
      <c r="I43" s="187">
        <f t="shared" si="98"/>
        <v>19.250316494987008</v>
      </c>
      <c r="K43" s="798"/>
      <c r="L43" s="175" t="s">
        <v>76</v>
      </c>
      <c r="M43" s="175" t="s">
        <v>74</v>
      </c>
      <c r="N43" s="293">
        <f>D43</f>
        <v>20.74</v>
      </c>
      <c r="O43" s="294">
        <f>E43</f>
        <v>19.655019213344737</v>
      </c>
      <c r="P43" s="186">
        <f>SUMPRODUCT(P40:P42,P34:P36)/P37</f>
        <v>20.236024700220387</v>
      </c>
      <c r="Q43" s="187">
        <f>SUMPRODUCT(Q40:Q42,Q34:Q36)/Q37</f>
        <v>18.067825305008295</v>
      </c>
      <c r="R43" s="188">
        <f>SUMPRODUCT(R40:R42,R34:R36)/R37</f>
        <v>20.236024700220387</v>
      </c>
      <c r="S43" s="187">
        <f t="shared" ref="S43" si="99">SUMPRODUCT(S40:S42,S34:S36)/S37</f>
        <v>19.250316494987008</v>
      </c>
      <c r="U43" s="798"/>
      <c r="V43" s="175" t="s">
        <v>76</v>
      </c>
      <c r="W43" s="175" t="s">
        <v>74</v>
      </c>
      <c r="X43" s="293">
        <f>D43</f>
        <v>20.74</v>
      </c>
      <c r="Y43" s="294">
        <f>E43</f>
        <v>19.655019213344737</v>
      </c>
      <c r="Z43" s="186">
        <f>SUMPRODUCT(Z40:Z42,Z34:Z36)/Z37</f>
        <v>20.236024700220387</v>
      </c>
      <c r="AA43" s="187">
        <f>SUMPRODUCT(AA40:AA42,AA34:AA36)/AA37</f>
        <v>18.067825305008299</v>
      </c>
      <c r="AB43" s="188">
        <f t="shared" ref="AB43:AC43" si="100">SUMPRODUCT(AB40:AB42,AB34:AB36)/AB37</f>
        <v>20.236024700220387</v>
      </c>
      <c r="AC43" s="187">
        <f t="shared" si="100"/>
        <v>19.250316494987008</v>
      </c>
      <c r="AE43" s="798"/>
      <c r="AF43" s="175" t="s">
        <v>76</v>
      </c>
      <c r="AG43" s="175" t="s">
        <v>74</v>
      </c>
      <c r="AH43" s="293">
        <f>X43</f>
        <v>20.74</v>
      </c>
      <c r="AI43" s="294">
        <f>E43</f>
        <v>19.655019213344737</v>
      </c>
      <c r="AJ43" s="186">
        <f>SUMPRODUCT(AJ40:AJ42,AJ34:AJ36)/AJ37</f>
        <v>20.236024700220387</v>
      </c>
      <c r="AK43" s="187">
        <f>SUMPRODUCT(AK40:AK42,AK34:AK36)/AK37</f>
        <v>18.067825305008299</v>
      </c>
      <c r="AL43" s="188">
        <f>SUMPRODUCT(AL40:AL42,AL34:AL36)/AL37</f>
        <v>20.236024700220387</v>
      </c>
      <c r="AM43" s="187">
        <f>SUMPRODUCT(AM40:AM42,AM34:AM36)/AM37</f>
        <v>19.250316494987008</v>
      </c>
    </row>
    <row r="44" spans="1:39" ht="15.75" thickBot="1" x14ac:dyDescent="0.3">
      <c r="A44" s="799"/>
      <c r="B44" s="176" t="s">
        <v>229</v>
      </c>
      <c r="C44" s="176" t="s">
        <v>25</v>
      </c>
      <c r="D44" s="212" t="s">
        <v>78</v>
      </c>
      <c r="E44" s="213" t="s">
        <v>78</v>
      </c>
      <c r="F44" s="212" t="s">
        <v>78</v>
      </c>
      <c r="G44" s="213" t="s">
        <v>78</v>
      </c>
      <c r="H44" s="214" t="s">
        <v>78</v>
      </c>
      <c r="I44" s="213" t="s">
        <v>78</v>
      </c>
      <c r="K44" s="799"/>
      <c r="L44" s="176" t="s">
        <v>229</v>
      </c>
      <c r="M44" s="176" t="s">
        <v>25</v>
      </c>
      <c r="N44" s="666">
        <f>N43/D43-1</f>
        <v>0</v>
      </c>
      <c r="O44" s="656">
        <f>O43/E43-1</f>
        <v>0</v>
      </c>
      <c r="P44" s="666">
        <f>P43/D43-1</f>
        <v>-2.4299676942122095E-2</v>
      </c>
      <c r="Q44" s="656">
        <f>Q43/E43-1</f>
        <v>-8.0752600193787605E-2</v>
      </c>
      <c r="R44" s="667">
        <f>R43/D43-1</f>
        <v>-2.4299676942122095E-2</v>
      </c>
      <c r="S44" s="656">
        <f>S43/E43-1</f>
        <v>-2.0590298791616446E-2</v>
      </c>
      <c r="U44" s="799"/>
      <c r="V44" s="176" t="s">
        <v>229</v>
      </c>
      <c r="W44" s="176" t="s">
        <v>25</v>
      </c>
      <c r="X44" s="212">
        <f>X43/D43-1</f>
        <v>0</v>
      </c>
      <c r="Y44" s="213">
        <f>Y43/E43-1</f>
        <v>0</v>
      </c>
      <c r="Z44" s="212">
        <f>Z43/D43-1</f>
        <v>-2.4299676942122095E-2</v>
      </c>
      <c r="AA44" s="213">
        <f>AA43/E43-1</f>
        <v>-8.0752600193787494E-2</v>
      </c>
      <c r="AB44" s="214">
        <f>AB43/D43-1</f>
        <v>-2.4299676942122095E-2</v>
      </c>
      <c r="AC44" s="213">
        <f>AC43/E43-1</f>
        <v>-2.0590298791616446E-2</v>
      </c>
      <c r="AE44" s="799"/>
      <c r="AF44" s="176" t="s">
        <v>229</v>
      </c>
      <c r="AG44" s="176" t="s">
        <v>25</v>
      </c>
      <c r="AH44" s="212">
        <f>AH43/D43-1</f>
        <v>0</v>
      </c>
      <c r="AI44" s="213">
        <f>AI43/E43-1</f>
        <v>0</v>
      </c>
      <c r="AJ44" s="212">
        <f>AJ43/D43-1</f>
        <v>-2.4299676942122095E-2</v>
      </c>
      <c r="AK44" s="213">
        <f>AK43/E43-1</f>
        <v>-8.0752600193787494E-2</v>
      </c>
      <c r="AL44" s="214">
        <f>AL43/D43-1</f>
        <v>-2.4299676942122095E-2</v>
      </c>
      <c r="AM44" s="213">
        <f>AM43/E43-1</f>
        <v>-2.0590298791616446E-2</v>
      </c>
    </row>
    <row r="45" spans="1:39" x14ac:dyDescent="0.25">
      <c r="A45" s="26"/>
      <c r="B45" s="26"/>
      <c r="C45" s="26"/>
      <c r="D45" s="205"/>
      <c r="E45" s="205"/>
      <c r="F45" s="205"/>
      <c r="G45" s="205"/>
      <c r="H45" s="205"/>
      <c r="I45" s="205"/>
      <c r="K45" s="26"/>
      <c r="L45" s="26"/>
      <c r="M45" s="26"/>
      <c r="N45" s="205"/>
      <c r="O45" s="658"/>
      <c r="P45" s="205"/>
      <c r="Q45" s="205"/>
      <c r="R45" s="205"/>
      <c r="S45" s="205"/>
      <c r="U45" s="26"/>
      <c r="V45" s="26"/>
      <c r="W45" s="26"/>
      <c r="X45" s="205"/>
      <c r="Y45" s="205"/>
      <c r="Z45" s="205"/>
      <c r="AA45" s="205"/>
      <c r="AB45" s="205"/>
      <c r="AC45" s="205"/>
      <c r="AH45" s="205"/>
      <c r="AI45" s="205"/>
      <c r="AJ45" s="205"/>
      <c r="AK45" s="205"/>
      <c r="AL45" s="205"/>
      <c r="AM45" s="205"/>
    </row>
    <row r="46" spans="1:39" ht="15.75" thickBot="1" x14ac:dyDescent="0.3">
      <c r="A46" s="40" t="s">
        <v>643</v>
      </c>
      <c r="D46" s="75"/>
      <c r="E46" s="75"/>
      <c r="F46" s="75"/>
      <c r="G46" s="75"/>
      <c r="H46" s="75"/>
      <c r="I46" s="75"/>
      <c r="K46" s="40" t="s">
        <v>230</v>
      </c>
      <c r="N46" s="75"/>
      <c r="O46" s="75"/>
      <c r="P46" s="75"/>
      <c r="Q46" s="75"/>
      <c r="R46" s="75"/>
      <c r="S46" s="75"/>
      <c r="U46" s="40" t="s">
        <v>92</v>
      </c>
      <c r="X46" s="75"/>
      <c r="Y46" s="75"/>
      <c r="Z46" s="75"/>
      <c r="AA46" s="75"/>
      <c r="AB46" s="75"/>
      <c r="AC46" s="75"/>
      <c r="AE46" s="40" t="s">
        <v>157</v>
      </c>
      <c r="AF46" s="38"/>
      <c r="AG46" s="38"/>
      <c r="AH46" s="75"/>
      <c r="AI46" s="75"/>
      <c r="AJ46" s="75"/>
      <c r="AK46" s="75"/>
      <c r="AL46" s="75"/>
      <c r="AM46" s="75"/>
    </row>
    <row r="47" spans="1:39" x14ac:dyDescent="0.25">
      <c r="A47" s="800" t="s">
        <v>29</v>
      </c>
      <c r="B47" s="659" t="s">
        <v>32</v>
      </c>
      <c r="C47" s="659" t="s">
        <v>33</v>
      </c>
      <c r="D47" s="680">
        <f>Indata!D39</f>
        <v>11057699.999999998</v>
      </c>
      <c r="E47" s="692">
        <f>Indata!E39</f>
        <v>11648700</v>
      </c>
      <c r="F47" s="692">
        <f>Indata!F39</f>
        <v>11057699.999999998</v>
      </c>
      <c r="G47" s="692">
        <f>Indata!G39</f>
        <v>11648700</v>
      </c>
      <c r="H47" s="692">
        <f>Indata!H39</f>
        <v>11057699.999999998</v>
      </c>
      <c r="I47" s="682">
        <f>Indata!I39</f>
        <v>11648700</v>
      </c>
      <c r="K47" s="800" t="s">
        <v>29</v>
      </c>
      <c r="L47" s="659" t="s">
        <v>32</v>
      </c>
      <c r="M47" s="668" t="s">
        <v>33</v>
      </c>
      <c r="N47" s="680">
        <f>D47</f>
        <v>11057699.999999998</v>
      </c>
      <c r="O47" s="681">
        <f t="shared" ref="O47:S47" si="101">E47</f>
        <v>11648700</v>
      </c>
      <c r="P47" s="680">
        <f t="shared" si="101"/>
        <v>11057699.999999998</v>
      </c>
      <c r="Q47" s="682">
        <f t="shared" si="101"/>
        <v>11648700</v>
      </c>
      <c r="R47" s="683">
        <f t="shared" si="101"/>
        <v>11057699.999999998</v>
      </c>
      <c r="S47" s="682">
        <f t="shared" si="101"/>
        <v>11648700</v>
      </c>
      <c r="U47" s="797" t="s">
        <v>29</v>
      </c>
      <c r="V47" s="124" t="s">
        <v>32</v>
      </c>
      <c r="W47" s="178" t="s">
        <v>33</v>
      </c>
      <c r="X47" s="242">
        <f>N47</f>
        <v>11057699.999999998</v>
      </c>
      <c r="Y47" s="243">
        <f t="shared" ref="Y47:Y49" si="102">O47</f>
        <v>11648700</v>
      </c>
      <c r="Z47" s="242">
        <f t="shared" ref="Z47:Z49" si="103">P47</f>
        <v>11057699.999999998</v>
      </c>
      <c r="AA47" s="244">
        <f t="shared" ref="AA47:AA48" si="104">Q47</f>
        <v>11648700</v>
      </c>
      <c r="AB47" s="245">
        <f t="shared" ref="AB47:AB49" si="105">R47</f>
        <v>11057699.999999998</v>
      </c>
      <c r="AC47" s="244">
        <f t="shared" ref="AC47:AC49" si="106">S47</f>
        <v>11648700</v>
      </c>
      <c r="AE47" s="797" t="s">
        <v>29</v>
      </c>
      <c r="AF47" s="124" t="s">
        <v>32</v>
      </c>
      <c r="AG47" s="178" t="s">
        <v>33</v>
      </c>
      <c r="AH47" s="242">
        <f>X47</f>
        <v>11057699.999999998</v>
      </c>
      <c r="AI47" s="243">
        <f t="shared" ref="AI47:AI49" si="107">Y47</f>
        <v>11648700</v>
      </c>
      <c r="AJ47" s="242">
        <f t="shared" ref="AJ47:AJ49" si="108">Z47</f>
        <v>11057699.999999998</v>
      </c>
      <c r="AK47" s="244">
        <f t="shared" ref="AK47:AK49" si="109">AA47</f>
        <v>11648700</v>
      </c>
      <c r="AL47" s="245">
        <f t="shared" ref="AL47:AL49" si="110">AB47</f>
        <v>11057699.999999998</v>
      </c>
      <c r="AM47" s="244">
        <f t="shared" ref="AM47:AM49" si="111">AC47</f>
        <v>11648700</v>
      </c>
    </row>
    <row r="48" spans="1:39" x14ac:dyDescent="0.25">
      <c r="A48" s="801"/>
      <c r="B48" s="660" t="s">
        <v>645</v>
      </c>
      <c r="C48" s="660" t="s">
        <v>30</v>
      </c>
      <c r="D48" s="685">
        <f>Indata!D40</f>
        <v>0.52928701904391762</v>
      </c>
      <c r="E48" s="689">
        <f>Indata!E40</f>
        <v>0.52928701904391762</v>
      </c>
      <c r="F48" s="689">
        <f>Indata!F40</f>
        <v>0.52928701904391762</v>
      </c>
      <c r="G48" s="689">
        <f>Indata!G40</f>
        <v>0.52928701904391762</v>
      </c>
      <c r="H48" s="689">
        <f>Indata!H40</f>
        <v>0.52928701904391762</v>
      </c>
      <c r="I48" s="686">
        <f>Indata!I40</f>
        <v>0.52928701904391762</v>
      </c>
      <c r="K48" s="801"/>
      <c r="L48" s="660" t="s">
        <v>646</v>
      </c>
      <c r="M48" s="669" t="s">
        <v>30</v>
      </c>
      <c r="N48" s="674">
        <f>(1+'Indata - Effektsamband-Faktorer'!$D$7*N44)*D51</f>
        <v>0.52928701904391762</v>
      </c>
      <c r="O48" s="674">
        <f>(1+'Indata - Effektsamband-Faktorer'!$D$7*O44)*E51</f>
        <v>0.52928701904391762</v>
      </c>
      <c r="P48" s="674">
        <f>(1+'Indata - Effektsamband-Faktorer'!$D$7*P44)*F51</f>
        <v>0.53057316940116017</v>
      </c>
      <c r="Q48" s="674">
        <f>(1+'Indata - Effektsamband-Faktorer'!$D$7*Q44)*G51</f>
        <v>0.53356114934757914</v>
      </c>
      <c r="R48" s="674">
        <f>(1+'Indata - Effektsamband-Faktorer'!$D$7*R44)*H51</f>
        <v>0.53057316940116017</v>
      </c>
      <c r="S48" s="674">
        <f>(1+'Indata - Effektsamband-Faktorer'!$D$7*S44)*I51</f>
        <v>0.53037683683078141</v>
      </c>
      <c r="U48" s="798"/>
      <c r="V48" s="125" t="s">
        <v>29</v>
      </c>
      <c r="W48" s="179" t="s">
        <v>30</v>
      </c>
      <c r="X48" s="246">
        <f>N48</f>
        <v>0.52928701904391762</v>
      </c>
      <c r="Y48" s="247">
        <f t="shared" si="102"/>
        <v>0.52928701904391762</v>
      </c>
      <c r="Z48" s="246">
        <f t="shared" si="103"/>
        <v>0.53057316940116017</v>
      </c>
      <c r="AA48" s="248">
        <f t="shared" si="104"/>
        <v>0.53356114934757914</v>
      </c>
      <c r="AB48" s="249">
        <f t="shared" si="105"/>
        <v>0.53057316940116017</v>
      </c>
      <c r="AC48" s="248">
        <f t="shared" si="106"/>
        <v>0.53037683683078141</v>
      </c>
      <c r="AE48" s="798"/>
      <c r="AF48" s="125" t="s">
        <v>29</v>
      </c>
      <c r="AG48" s="179" t="s">
        <v>30</v>
      </c>
      <c r="AH48" s="246">
        <f>X48</f>
        <v>0.52928701904391762</v>
      </c>
      <c r="AI48" s="247">
        <f t="shared" si="107"/>
        <v>0.52928701904391762</v>
      </c>
      <c r="AJ48" s="246">
        <f t="shared" si="108"/>
        <v>0.53057316940116017</v>
      </c>
      <c r="AK48" s="248">
        <f t="shared" si="109"/>
        <v>0.53356114934757914</v>
      </c>
      <c r="AL48" s="249">
        <f t="shared" si="110"/>
        <v>0.53057316940116017</v>
      </c>
      <c r="AM48" s="248">
        <f t="shared" si="111"/>
        <v>0.53037683683078141</v>
      </c>
    </row>
    <row r="49" spans="1:39" x14ac:dyDescent="0.25">
      <c r="A49" s="801"/>
      <c r="B49" s="660" t="s">
        <v>647</v>
      </c>
      <c r="C49" s="660" t="s">
        <v>35</v>
      </c>
      <c r="D49" s="684">
        <f t="shared" ref="D49:I49" si="112">D47*D48</f>
        <v>5852697.0704819271</v>
      </c>
      <c r="E49" s="690">
        <f t="shared" si="112"/>
        <v>6165505.6987368828</v>
      </c>
      <c r="F49" s="690">
        <f t="shared" si="112"/>
        <v>5852697.0704819271</v>
      </c>
      <c r="G49" s="690">
        <f t="shared" si="112"/>
        <v>6165505.6987368828</v>
      </c>
      <c r="H49" s="690">
        <f t="shared" si="112"/>
        <v>5852697.0704819271</v>
      </c>
      <c r="I49" s="693">
        <f t="shared" si="112"/>
        <v>6165505.6987368828</v>
      </c>
      <c r="K49" s="801"/>
      <c r="L49" s="660" t="s">
        <v>644</v>
      </c>
      <c r="M49" s="669" t="s">
        <v>35</v>
      </c>
      <c r="N49" s="675">
        <f t="shared" ref="N49:S49" si="113">N47*N48</f>
        <v>5852697.0704819271</v>
      </c>
      <c r="O49" s="675">
        <f t="shared" si="113"/>
        <v>6165505.6987368828</v>
      </c>
      <c r="P49" s="675">
        <f t="shared" si="113"/>
        <v>5866918.9352872083</v>
      </c>
      <c r="Q49" s="675">
        <f t="shared" si="113"/>
        <v>6215293.7604051456</v>
      </c>
      <c r="R49" s="675">
        <f t="shared" si="113"/>
        <v>5866918.9352872083</v>
      </c>
      <c r="S49" s="675">
        <f t="shared" si="113"/>
        <v>6178200.6591907237</v>
      </c>
      <c r="U49" s="798"/>
      <c r="V49" s="125" t="s">
        <v>34</v>
      </c>
      <c r="W49" s="179" t="s">
        <v>35</v>
      </c>
      <c r="X49" s="250">
        <f>N49</f>
        <v>5852697.0704819271</v>
      </c>
      <c r="Y49" s="251">
        <f t="shared" si="102"/>
        <v>6165505.6987368828</v>
      </c>
      <c r="Z49" s="250">
        <f t="shared" si="103"/>
        <v>5866918.9352872083</v>
      </c>
      <c r="AA49" s="251">
        <f>Q49</f>
        <v>6215293.7604051456</v>
      </c>
      <c r="AB49" s="252">
        <f t="shared" si="105"/>
        <v>5866918.9352872083</v>
      </c>
      <c r="AC49" s="251">
        <f t="shared" si="106"/>
        <v>6178200.6591907237</v>
      </c>
      <c r="AE49" s="798"/>
      <c r="AF49" s="125" t="s">
        <v>34</v>
      </c>
      <c r="AG49" s="179" t="s">
        <v>35</v>
      </c>
      <c r="AH49" s="250">
        <f t="shared" ref="AH49" si="114">X49</f>
        <v>5852697.0704819271</v>
      </c>
      <c r="AI49" s="251">
        <f t="shared" si="107"/>
        <v>6165505.6987368828</v>
      </c>
      <c r="AJ49" s="250">
        <f t="shared" si="108"/>
        <v>5866918.9352872083</v>
      </c>
      <c r="AK49" s="251">
        <f t="shared" si="109"/>
        <v>6215293.7604051456</v>
      </c>
      <c r="AL49" s="252">
        <f t="shared" si="110"/>
        <v>5866918.9352872083</v>
      </c>
      <c r="AM49" s="251">
        <f t="shared" si="111"/>
        <v>6178200.6591907237</v>
      </c>
    </row>
    <row r="50" spans="1:39" ht="15.75" thickBot="1" x14ac:dyDescent="0.3">
      <c r="A50" s="801"/>
      <c r="B50" s="660" t="s">
        <v>644</v>
      </c>
      <c r="C50" s="660" t="s">
        <v>648</v>
      </c>
      <c r="D50" s="675">
        <f>D49*Indata!D$74*Indata!D$77+D49*(1-Indata!D$74)</f>
        <v>5852697.0704819271</v>
      </c>
      <c r="E50" s="691">
        <f>E49*Indata!E$74*Indata!E$77+E49*(1-Indata!E$74)</f>
        <v>6165505.6987368828</v>
      </c>
      <c r="F50" s="691">
        <f>F49*Indata!F$74*Indata!F$77+F49*(1-Indata!F$74)</f>
        <v>5852697.0704819271</v>
      </c>
      <c r="G50" s="691">
        <f>G49*Indata!G$74*Indata!G$77+G49*(1-Indata!G$74)</f>
        <v>6165505.6987368828</v>
      </c>
      <c r="H50" s="691">
        <f>H49*Indata!H$74*Indata!H$77+H49*(1-Indata!H$74)</f>
        <v>5852697.0704819271</v>
      </c>
      <c r="I50" s="694">
        <f>I49*Indata!I$74*Indata!I$77+I49*(1-Indata!I$74)</f>
        <v>6165505.6987368828</v>
      </c>
      <c r="K50" s="802"/>
      <c r="L50" s="661" t="s">
        <v>229</v>
      </c>
      <c r="M50" s="670" t="s">
        <v>25</v>
      </c>
      <c r="N50" s="677">
        <f>N49/D50-1</f>
        <v>0</v>
      </c>
      <c r="O50" s="678">
        <f>O49/E50-1</f>
        <v>0</v>
      </c>
      <c r="P50" s="677">
        <f>P49/D50-1</f>
        <v>2.4299676942121096E-3</v>
      </c>
      <c r="Q50" s="677">
        <f>Q49/E50-1</f>
        <v>8.0752600193789714E-3</v>
      </c>
      <c r="R50" s="679">
        <f>R49/D50-1</f>
        <v>2.4299676942121096E-3</v>
      </c>
      <c r="S50" s="678">
        <f>S49/E50-1</f>
        <v>2.0590298791616224E-3</v>
      </c>
      <c r="U50" s="799"/>
      <c r="V50" s="126" t="s">
        <v>229</v>
      </c>
      <c r="W50" s="181" t="s">
        <v>25</v>
      </c>
      <c r="X50" s="672">
        <f>X49/D49-1</f>
        <v>0</v>
      </c>
      <c r="Y50" s="671">
        <f t="shared" ref="Y50" si="115">Y49/E49-1</f>
        <v>0</v>
      </c>
      <c r="Z50" s="672">
        <f>Z49/D49-1</f>
        <v>2.4299676942121096E-3</v>
      </c>
      <c r="AA50" s="671">
        <f>AA49/E49-1</f>
        <v>8.0752600193789714E-3</v>
      </c>
      <c r="AB50" s="673">
        <f>AB49/D49-1</f>
        <v>2.4299676942121096E-3</v>
      </c>
      <c r="AC50" s="671">
        <f>AC49/E49-1</f>
        <v>2.0590298791616224E-3</v>
      </c>
      <c r="AE50" s="799"/>
      <c r="AF50" s="126" t="s">
        <v>229</v>
      </c>
      <c r="AG50" s="181" t="s">
        <v>25</v>
      </c>
      <c r="AH50" s="672">
        <f>AH49/D49-1</f>
        <v>0</v>
      </c>
      <c r="AI50" s="671">
        <f t="shared" ref="AI50" si="116">AI49/E49-1</f>
        <v>0</v>
      </c>
      <c r="AJ50" s="672">
        <f>AJ49/D49-1</f>
        <v>2.4299676942121096E-3</v>
      </c>
      <c r="AK50" s="671">
        <f>AK49/E49-1</f>
        <v>8.0752600193789714E-3</v>
      </c>
      <c r="AL50" s="673">
        <f>AL49/D49-1</f>
        <v>2.4299676942121096E-3</v>
      </c>
      <c r="AM50" s="671">
        <f>AM49/E49-1</f>
        <v>2.0590298791616224E-3</v>
      </c>
    </row>
    <row r="51" spans="1:39" ht="15.75" thickBot="1" x14ac:dyDescent="0.3">
      <c r="A51" s="688"/>
      <c r="B51" s="661" t="s">
        <v>646</v>
      </c>
      <c r="C51" s="661" t="s">
        <v>649</v>
      </c>
      <c r="D51" s="695">
        <f t="shared" ref="D51:I51" si="117">D50/D47</f>
        <v>0.52928701904391762</v>
      </c>
      <c r="E51" s="696">
        <f t="shared" si="117"/>
        <v>0.52928701904391762</v>
      </c>
      <c r="F51" s="696">
        <f t="shared" si="117"/>
        <v>0.52928701904391762</v>
      </c>
      <c r="G51" s="696">
        <f>G50/G47</f>
        <v>0.52928701904391762</v>
      </c>
      <c r="H51" s="696">
        <f t="shared" si="117"/>
        <v>0.52928701904391762</v>
      </c>
      <c r="I51" s="697">
        <f t="shared" si="117"/>
        <v>0.52928701904391762</v>
      </c>
      <c r="K51" s="26"/>
      <c r="L51" s="26"/>
      <c r="M51" s="26"/>
      <c r="N51" s="205"/>
      <c r="O51" s="205"/>
      <c r="P51" s="205"/>
      <c r="Q51" s="205"/>
      <c r="R51" s="205"/>
      <c r="S51" s="205"/>
      <c r="U51" s="26"/>
      <c r="V51" s="26"/>
      <c r="W51" s="26"/>
      <c r="X51" s="205"/>
      <c r="Y51" s="205"/>
      <c r="Z51" s="205"/>
      <c r="AA51" s="205"/>
      <c r="AB51" s="205"/>
      <c r="AC51" s="205"/>
      <c r="AH51" s="205"/>
      <c r="AI51" s="205"/>
      <c r="AJ51" s="205"/>
      <c r="AK51" s="205"/>
      <c r="AL51" s="205"/>
      <c r="AM51" s="205"/>
    </row>
    <row r="52" spans="1:39" ht="15.75" thickBot="1" x14ac:dyDescent="0.3">
      <c r="B52" s="38" t="s">
        <v>683</v>
      </c>
      <c r="D52" s="713">
        <f>(Indata!D74*Indata!D77)/(Indata!D74*Indata!D77+(1-Indata!D74))</f>
        <v>0</v>
      </c>
      <c r="E52" s="713">
        <f>(Indata!E74*Indata!E77)/(Indata!E74*Indata!E77+(1-Indata!E74))</f>
        <v>0</v>
      </c>
      <c r="F52" s="713">
        <f>(Indata!F74*Indata!F77)/(Indata!F74*Indata!F77+(1-Indata!F74))</f>
        <v>0</v>
      </c>
      <c r="G52" s="713">
        <f>(Indata!G74*Indata!G77)/(Indata!G74*Indata!G77+(1-Indata!G74))</f>
        <v>0</v>
      </c>
      <c r="H52" s="713">
        <f>(Indata!H74*Indata!H77)/(Indata!H74*Indata!H77+(1-Indata!H74))</f>
        <v>0</v>
      </c>
      <c r="I52" s="713">
        <f>(Indata!I74*Indata!I77)/(Indata!I74*Indata!I77+(1-Indata!I74))</f>
        <v>0</v>
      </c>
      <c r="N52" s="75"/>
      <c r="O52" s="75"/>
      <c r="P52" s="75"/>
      <c r="Q52" s="205"/>
      <c r="R52" s="676"/>
      <c r="S52" s="75"/>
      <c r="X52" s="75"/>
      <c r="Y52" s="75"/>
      <c r="Z52" s="205"/>
      <c r="AA52" s="205"/>
      <c r="AB52" s="75"/>
      <c r="AC52" s="75"/>
      <c r="AE52" s="381" t="s">
        <v>262</v>
      </c>
      <c r="AF52" s="382"/>
      <c r="AG52" s="38"/>
      <c r="AH52" s="38"/>
      <c r="AI52" s="38"/>
      <c r="AJ52" s="38"/>
      <c r="AK52" s="38"/>
      <c r="AL52" s="38"/>
      <c r="AM52" s="38"/>
    </row>
    <row r="53" spans="1:39" x14ac:dyDescent="0.25">
      <c r="D53" s="75"/>
      <c r="E53" s="75"/>
      <c r="F53" s="75"/>
      <c r="G53" s="713"/>
      <c r="H53" s="75"/>
      <c r="I53" s="75"/>
      <c r="N53" s="75"/>
      <c r="O53" s="75"/>
      <c r="P53" s="75"/>
      <c r="Q53" s="205"/>
      <c r="R53" s="75"/>
      <c r="S53" s="75"/>
      <c r="X53" s="75"/>
      <c r="Y53" s="75"/>
      <c r="Z53" s="205"/>
      <c r="AA53" s="205"/>
      <c r="AB53" s="75"/>
      <c r="AC53" s="75"/>
      <c r="AE53" s="794" t="s">
        <v>264</v>
      </c>
      <c r="AF53" s="124" t="s">
        <v>8</v>
      </c>
      <c r="AG53" s="124" t="s">
        <v>127</v>
      </c>
      <c r="AH53" s="414">
        <f>(1-Indata!D9-Indata!D10)*'Indata - Effektsamband-Faktorer'!$D11*'Modell - Lätta fordon'!AH13*'Modell - Lätta fordon'!AH34/10</f>
        <v>4.6391776505073166</v>
      </c>
      <c r="AI53" s="415">
        <f>(1-Indata!E9-Indata!E10)*'Indata - Effektsamband-Faktorer'!$E11*'Modell - Lätta fordon'!AI13*'Modell - Lätta fordon'!AI34/10</f>
        <v>3.3011812770207181</v>
      </c>
      <c r="AJ53" s="414">
        <f>(1-Indata!F9-Indata!F10)*'Indata - Effektsamband-Faktorer'!$D11*'Modell - Lätta fordon'!AJ13*'Modell - Lätta fordon'!AJ34/10</f>
        <v>4.6730515922661171</v>
      </c>
      <c r="AK53" s="415">
        <f>(1-Indata!G9-Indata!G10)*'Indata - Effektsamband-Faktorer'!$E11*'Modell - Lätta fordon'!AK13*'Modell - Lätta fordon'!AK34/10</f>
        <v>1.5049463979685345</v>
      </c>
      <c r="AL53" s="416">
        <f>(1-Indata!H9-Indata!H10)*'Indata - Effektsamband-Faktorer'!$D11*'Modell - Lätta fordon'!AL13*'Modell - Lätta fordon'!AL34/10</f>
        <v>4.6730515922661171</v>
      </c>
      <c r="AM53" s="415">
        <f>(1-Indata!I9-Indata!I10)*'Indata - Effektsamband-Faktorer'!$E11*'Modell - Lätta fordon'!AM13*'Modell - Lätta fordon'!AM34/10</f>
        <v>3.3216009610814412</v>
      </c>
    </row>
    <row r="54" spans="1:39" x14ac:dyDescent="0.25">
      <c r="D54" s="75"/>
      <c r="E54" s="75"/>
      <c r="F54" s="75"/>
      <c r="G54" s="75"/>
      <c r="H54" s="75"/>
      <c r="I54" s="75"/>
      <c r="N54" s="75"/>
      <c r="O54" s="75"/>
      <c r="P54" s="75"/>
      <c r="Q54" s="75"/>
      <c r="R54" s="75"/>
      <c r="S54" s="75"/>
      <c r="X54" s="75"/>
      <c r="Y54" s="75"/>
      <c r="Z54" s="75"/>
      <c r="AA54" s="75"/>
      <c r="AB54" s="75"/>
      <c r="AC54" s="75"/>
      <c r="AE54" s="795"/>
      <c r="AF54" s="125" t="s">
        <v>9</v>
      </c>
      <c r="AG54" s="125" t="s">
        <v>127</v>
      </c>
      <c r="AH54" s="417">
        <f>(1-Indata!D11-Indata!D12)*'Indata - Effektsamband-Faktorer'!$D12*'Modell - Lätta fordon'!AH14*'Modell - Lätta fordon'!AH35/10</f>
        <v>3.9200336184792413</v>
      </c>
      <c r="AI54" s="418">
        <f>(1-Indata!E11-Indata!E12)*'Indata - Effektsamband-Faktorer'!$E12*'Modell - Lätta fordon'!AI14*'Modell - Lätta fordon'!AI35/10</f>
        <v>2.6293191709644872</v>
      </c>
      <c r="AJ54" s="417">
        <f>(1-Indata!F11-Indata!F12)*'Indata - Effektsamband-Faktorer'!$D12*'Modell - Lätta fordon'!AJ14*'Modell - Lätta fordon'!AJ35/10</f>
        <v>3.9486565772207292</v>
      </c>
      <c r="AK54" s="418">
        <f>(1-Indata!G11-Indata!G12)*'Indata - Effektsamband-Faktorer'!$E12*'Modell - Lätta fordon'!AK14*'Modell - Lätta fordon'!AK35/10</f>
        <v>1.5286183297749365</v>
      </c>
      <c r="AL54" s="419">
        <f>(1-Indata!H11-Indata!H12)*'Indata - Effektsamband-Faktorer'!$D12*'Modell - Lätta fordon'!AL14*'Modell - Lätta fordon'!AL35/10</f>
        <v>3.9486565772207292</v>
      </c>
      <c r="AM54" s="418">
        <f>(1-Indata!I11-Indata!I12)*'Indata - Effektsamband-Faktorer'!$E12*'Modell - Lätta fordon'!AM14*'Modell - Lätta fordon'!AM35/10</f>
        <v>2.645583005713469</v>
      </c>
    </row>
    <row r="55" spans="1:39" x14ac:dyDescent="0.25">
      <c r="D55" s="75"/>
      <c r="E55" s="75"/>
      <c r="F55" s="75"/>
      <c r="G55" s="75"/>
      <c r="H55" s="75"/>
      <c r="I55" s="75"/>
      <c r="N55" s="75"/>
      <c r="O55" s="75"/>
      <c r="P55" s="75" t="s">
        <v>629</v>
      </c>
      <c r="Q55" s="205">
        <v>0</v>
      </c>
      <c r="R55" s="75"/>
      <c r="S55" s="75"/>
      <c r="X55" s="75"/>
      <c r="Y55" s="75"/>
      <c r="Z55" s="75"/>
      <c r="AA55" s="75"/>
      <c r="AB55" s="75"/>
      <c r="AC55" s="75"/>
      <c r="AE55" s="795"/>
      <c r="AF55" s="125" t="s">
        <v>7</v>
      </c>
      <c r="AG55" s="125" t="s">
        <v>127</v>
      </c>
      <c r="AH55" s="420">
        <f>'Indata - Effektsamband-Faktorer'!$D13*'Modell - Lätta fordon'!AH15*'Modell - Lätta fordon'!AH36/10</f>
        <v>0</v>
      </c>
      <c r="AI55" s="421">
        <f>'Indata - Effektsamband-Faktorer'!$E13*'Modell - Lätta fordon'!AI15*'Modell - Lätta fordon'!AI36/10</f>
        <v>0</v>
      </c>
      <c r="AJ55" s="420">
        <f>'Indata - Effektsamband-Faktorer'!$D13*'Modell - Lätta fordon'!AJ15*'Modell - Lätta fordon'!AJ36/10</f>
        <v>0</v>
      </c>
      <c r="AK55" s="421">
        <f>'Indata - Effektsamband-Faktorer'!$E13*'Modell - Lätta fordon'!AK15*'Modell - Lätta fordon'!AK36/10</f>
        <v>0</v>
      </c>
      <c r="AL55" s="422">
        <f>'Indata - Effektsamband-Faktorer'!$D13*'Modell - Lätta fordon'!AL15*'Modell - Lätta fordon'!AL36/10</f>
        <v>0</v>
      </c>
      <c r="AM55" s="421">
        <f>'Indata - Effektsamband-Faktorer'!$E13*'Modell - Lätta fordon'!AM15*'Modell - Lätta fordon'!AM36/10</f>
        <v>0</v>
      </c>
    </row>
    <row r="56" spans="1:39" ht="15.75" thickBot="1" x14ac:dyDescent="0.3">
      <c r="D56" s="75"/>
      <c r="E56" s="75"/>
      <c r="F56" s="75"/>
      <c r="G56" s="75"/>
      <c r="H56" s="75"/>
      <c r="I56" s="75"/>
      <c r="N56" s="75"/>
      <c r="O56" s="75"/>
      <c r="P56" s="75"/>
      <c r="Q56" s="75">
        <f>(1+'Indata - Effektsamband-Faktorer'!$E$7*Q44)*'Modell - Lätta fordon'!G48</f>
        <v>0.53356114934757914</v>
      </c>
      <c r="R56" s="75"/>
      <c r="S56" s="75"/>
      <c r="X56" s="75"/>
      <c r="Y56" s="75"/>
      <c r="Z56" s="75"/>
      <c r="AA56" s="75"/>
      <c r="AB56" s="75"/>
      <c r="AC56" s="75"/>
      <c r="AE56" s="796"/>
      <c r="AF56" s="177" t="s">
        <v>16</v>
      </c>
      <c r="AG56" s="177" t="s">
        <v>127</v>
      </c>
      <c r="AH56" s="423">
        <f>SUM(AH53:AH55)</f>
        <v>8.5592112689865587</v>
      </c>
      <c r="AI56" s="424">
        <f t="shared" ref="AI56:AM56" si="118">SUM(AI53:AI55)</f>
        <v>5.9305004479852048</v>
      </c>
      <c r="AJ56" s="423">
        <f t="shared" si="118"/>
        <v>8.6217081694868458</v>
      </c>
      <c r="AK56" s="424">
        <f t="shared" si="118"/>
        <v>3.033564727743471</v>
      </c>
      <c r="AL56" s="425">
        <f t="shared" si="118"/>
        <v>8.6217081694868458</v>
      </c>
      <c r="AM56" s="424">
        <f t="shared" si="118"/>
        <v>5.9671839667949103</v>
      </c>
    </row>
    <row r="57" spans="1:39" x14ac:dyDescent="0.25">
      <c r="D57" s="75"/>
      <c r="E57" s="75"/>
      <c r="F57" s="75"/>
      <c r="G57" s="75"/>
      <c r="H57" s="75"/>
      <c r="I57" s="75"/>
      <c r="N57" s="75"/>
      <c r="O57" s="75"/>
      <c r="P57" s="75"/>
      <c r="Q57" s="75"/>
      <c r="R57" s="75"/>
      <c r="S57" s="75"/>
      <c r="X57" s="75"/>
      <c r="Y57" s="75"/>
      <c r="Z57" s="75"/>
      <c r="AA57" s="75"/>
      <c r="AB57" s="75"/>
      <c r="AC57" s="75"/>
      <c r="AE57" s="794" t="s">
        <v>271</v>
      </c>
      <c r="AF57" s="124" t="s">
        <v>8</v>
      </c>
      <c r="AG57" s="124" t="s">
        <v>284</v>
      </c>
      <c r="AH57" s="414">
        <f>'Indata - Effektsamband-Faktorer'!$D14*'Modell - Lätta fordon'!AH34</f>
        <v>1.585801282945035</v>
      </c>
      <c r="AI57" s="415">
        <f>'Indata - Effektsamband-Faktorer'!$E14*'Modell - Lätta fordon'!AI34</f>
        <v>1.322919958376177</v>
      </c>
      <c r="AJ57" s="414">
        <f>'Indata - Effektsamband-Faktorer'!$D14*'Modell - Lätta fordon'!AJ34</f>
        <v>1.5973803481040589</v>
      </c>
      <c r="AK57" s="415">
        <f>'Indata - Effektsamband-Faktorer'!$E14*'Modell - Lätta fordon'!AK34</f>
        <v>0.6977644567589304</v>
      </c>
      <c r="AL57" s="416">
        <f>'Indata - Effektsamband-Faktorer'!$D14*'Modell - Lätta fordon'!AL34</f>
        <v>1.5973803481040589</v>
      </c>
      <c r="AM57" s="415">
        <f>'Indata - Effektsamband-Faktorer'!$E14*'Modell - Lätta fordon'!AM34</f>
        <v>1.3311029708558935</v>
      </c>
    </row>
    <row r="58" spans="1:39" x14ac:dyDescent="0.25">
      <c r="D58" s="75"/>
      <c r="E58" s="75"/>
      <c r="F58" s="75"/>
      <c r="G58" s="75"/>
      <c r="H58" s="75"/>
      <c r="I58" s="75"/>
      <c r="N58" s="75"/>
      <c r="O58" s="75"/>
      <c r="P58" s="75"/>
      <c r="Q58" s="75"/>
      <c r="R58" s="75"/>
      <c r="S58" s="75"/>
      <c r="X58" s="75"/>
      <c r="Y58" s="75"/>
      <c r="Z58" s="75"/>
      <c r="AA58" s="75"/>
      <c r="AB58" s="75"/>
      <c r="AC58" s="75"/>
      <c r="AE58" s="795"/>
      <c r="AF58" s="125" t="s">
        <v>9</v>
      </c>
      <c r="AG58" s="125" t="s">
        <v>284</v>
      </c>
      <c r="AH58" s="417">
        <f>'Indata - Effektsamband-Faktorer'!$D15*'Modell - Lätta fordon'!AH35</f>
        <v>6.2828886517045541</v>
      </c>
      <c r="AI58" s="418">
        <f>'Indata - Effektsamband-Faktorer'!$E15*'Modell - Lätta fordon'!AI35</f>
        <v>3.1563693851029471</v>
      </c>
      <c r="AJ58" s="417">
        <f>'Indata - Effektsamband-Faktorer'!$D15*'Modell - Lätta fordon'!AJ35</f>
        <v>6.3287644987399849</v>
      </c>
      <c r="AK58" s="418">
        <f>'Indata - Effektsamband-Faktorer'!$E15*'Modell - Lätta fordon'!AK35</f>
        <v>1.664803947799097</v>
      </c>
      <c r="AL58" s="419">
        <f>'Indata - Effektsamband-Faktorer'!$D15*'Modell - Lätta fordon'!AL35</f>
        <v>6.3287644987399849</v>
      </c>
      <c r="AM58" s="418">
        <f>'Indata - Effektsamband-Faktorer'!$E15*'Modell - Lätta fordon'!AM35</f>
        <v>3.1758933252365553</v>
      </c>
    </row>
    <row r="59" spans="1:39" x14ac:dyDescent="0.25">
      <c r="D59" s="75"/>
      <c r="E59" s="75"/>
      <c r="F59" s="75"/>
      <c r="G59" s="75"/>
      <c r="H59" s="75"/>
      <c r="I59" s="75"/>
      <c r="N59" s="75"/>
      <c r="O59" s="75"/>
      <c r="P59" s="75"/>
      <c r="Q59" s="75"/>
      <c r="R59" s="75"/>
      <c r="S59" s="75"/>
      <c r="X59" s="75"/>
      <c r="Y59" s="75"/>
      <c r="Z59" s="75"/>
      <c r="AA59" s="75"/>
      <c r="AB59" s="75"/>
      <c r="AC59" s="75"/>
      <c r="AE59" s="795"/>
      <c r="AF59" s="125" t="s">
        <v>7</v>
      </c>
      <c r="AG59" s="125" t="s">
        <v>284</v>
      </c>
      <c r="AH59" s="420">
        <v>0</v>
      </c>
      <c r="AI59" s="421">
        <v>0</v>
      </c>
      <c r="AJ59" s="420">
        <v>0</v>
      </c>
      <c r="AK59" s="421">
        <v>0</v>
      </c>
      <c r="AL59" s="422">
        <v>0</v>
      </c>
      <c r="AM59" s="421">
        <v>0</v>
      </c>
    </row>
    <row r="60" spans="1:39" ht="15.75" thickBot="1" x14ac:dyDescent="0.3">
      <c r="D60" s="75"/>
      <c r="E60" s="75"/>
      <c r="F60" s="75"/>
      <c r="G60" s="75"/>
      <c r="H60" s="75"/>
      <c r="I60" s="75"/>
      <c r="N60" s="75"/>
      <c r="O60" s="75"/>
      <c r="P60" s="75"/>
      <c r="Q60" s="75"/>
      <c r="R60" s="75"/>
      <c r="S60" s="75"/>
      <c r="X60" s="75"/>
      <c r="Y60" s="75"/>
      <c r="Z60" s="75"/>
      <c r="AA60" s="75"/>
      <c r="AB60" s="75"/>
      <c r="AC60" s="75"/>
      <c r="AE60" s="796"/>
      <c r="AF60" s="177" t="s">
        <v>16</v>
      </c>
      <c r="AG60" s="177" t="s">
        <v>284</v>
      </c>
      <c r="AH60" s="428">
        <f>SUM(AH57:AH59)</f>
        <v>7.8686899346495895</v>
      </c>
      <c r="AI60" s="429">
        <f t="shared" ref="AI60:AM60" si="119">SUM(AI57:AI59)</f>
        <v>4.4792893434791239</v>
      </c>
      <c r="AJ60" s="428">
        <f t="shared" si="119"/>
        <v>7.9261448468440436</v>
      </c>
      <c r="AK60" s="429">
        <f t="shared" si="119"/>
        <v>2.3625684045580275</v>
      </c>
      <c r="AL60" s="436">
        <f t="shared" si="119"/>
        <v>7.9261448468440436</v>
      </c>
      <c r="AM60" s="429">
        <f t="shared" si="119"/>
        <v>4.5069962960924492</v>
      </c>
    </row>
    <row r="61" spans="1:39" x14ac:dyDescent="0.25">
      <c r="D61" s="75"/>
      <c r="E61" s="75"/>
      <c r="F61" s="75"/>
      <c r="G61" s="75"/>
      <c r="H61" s="75"/>
      <c r="I61" s="75"/>
      <c r="N61" s="75"/>
      <c r="O61" s="75"/>
      <c r="P61" s="75"/>
      <c r="Q61" s="75"/>
      <c r="R61" s="75"/>
      <c r="S61" s="75"/>
      <c r="X61" s="75"/>
      <c r="Y61" s="75"/>
      <c r="Z61" s="75"/>
      <c r="AA61" s="75"/>
      <c r="AB61" s="75"/>
      <c r="AC61" s="75"/>
      <c r="AE61" s="794" t="s">
        <v>265</v>
      </c>
      <c r="AF61" s="124" t="s">
        <v>8</v>
      </c>
      <c r="AG61" s="124" t="s">
        <v>284</v>
      </c>
      <c r="AH61" s="426">
        <f>'Indata - Effektsamband-Faktorer'!$D17*'Modell - Lätta fordon'!AH34</f>
        <v>4.7710814112216261E-2</v>
      </c>
      <c r="AI61" s="433">
        <f>'Indata - Effektsamband-Faktorer'!$E17*'Modell - Lätta fordon'!AI34</f>
        <v>4.0955461488781542E-2</v>
      </c>
      <c r="AJ61" s="426">
        <f>'Indata - Effektsamband-Faktorer'!$D17*'Modell - Lätta fordon'!AJ34</f>
        <v>4.8059184763278834E-2</v>
      </c>
      <c r="AK61" s="433">
        <f>'Indata - Effektsamband-Faktorer'!$E17*'Modell - Lätta fordon'!AK34</f>
        <v>2.1601658631039338E-2</v>
      </c>
      <c r="AL61" s="426">
        <f>'Indata - Effektsamband-Faktorer'!$D17*'Modell - Lätta fordon'!AL34</f>
        <v>4.8059184763278834E-2</v>
      </c>
      <c r="AM61" s="431">
        <f>'Indata - Effektsamband-Faktorer'!$E17*'Modell - Lätta fordon'!AM34</f>
        <v>4.1208794315422549E-2</v>
      </c>
    </row>
    <row r="62" spans="1:39" x14ac:dyDescent="0.25">
      <c r="D62" s="75"/>
      <c r="E62" s="75"/>
      <c r="F62" s="75"/>
      <c r="G62" s="75"/>
      <c r="H62" s="75"/>
      <c r="I62" s="75"/>
      <c r="N62" s="75"/>
      <c r="O62" s="75"/>
      <c r="P62" s="75"/>
      <c r="Q62" s="75"/>
      <c r="R62" s="75"/>
      <c r="S62" s="75"/>
      <c r="X62" s="75"/>
      <c r="Y62" s="75"/>
      <c r="Z62" s="75"/>
      <c r="AA62" s="75"/>
      <c r="AB62" s="75"/>
      <c r="AC62" s="75"/>
      <c r="AE62" s="795"/>
      <c r="AF62" s="125" t="s">
        <v>9</v>
      </c>
      <c r="AG62" s="125" t="s">
        <v>284</v>
      </c>
      <c r="AH62" s="420">
        <f>'Indata - Effektsamband-Faktorer'!$D18*'Modell - Lätta fordon'!AH35</f>
        <v>8.0984315551010599E-2</v>
      </c>
      <c r="AI62" s="434">
        <f>'Indata - Effektsamband-Faktorer'!$E18*'Modell - Lätta fordon'!AI35</f>
        <v>6.2661264243930759E-2</v>
      </c>
      <c r="AJ62" s="420">
        <f>'Indata - Effektsamband-Faktorer'!$D18*'Modell - Lätta fordon'!AJ35</f>
        <v>8.1575639745731024E-2</v>
      </c>
      <c r="AK62" s="434">
        <f>'Indata - Effektsamband-Faktorer'!$E18*'Modell - Lätta fordon'!AK35</f>
        <v>3.3050225547025414E-2</v>
      </c>
      <c r="AL62" s="420">
        <f>'Indata - Effektsamband-Faktorer'!$D18*'Modell - Lätta fordon'!AL35</f>
        <v>8.1575639745731024E-2</v>
      </c>
      <c r="AM62" s="421">
        <f>'Indata - Effektsamband-Faktorer'!$E18*'Modell - Lätta fordon'!AM35</f>
        <v>6.3048859807862123E-2</v>
      </c>
    </row>
    <row r="63" spans="1:39" x14ac:dyDescent="0.25">
      <c r="D63" s="75"/>
      <c r="E63" s="75"/>
      <c r="F63" s="75"/>
      <c r="G63" s="75"/>
      <c r="H63" s="75"/>
      <c r="I63" s="75"/>
      <c r="N63" s="75"/>
      <c r="O63" s="75"/>
      <c r="P63" s="75"/>
      <c r="Q63" s="75"/>
      <c r="R63" s="75"/>
      <c r="S63" s="75"/>
      <c r="X63" s="75"/>
      <c r="Y63" s="75"/>
      <c r="Z63" s="75"/>
      <c r="AA63" s="75"/>
      <c r="AB63" s="75"/>
      <c r="AC63" s="75"/>
      <c r="AE63" s="795"/>
      <c r="AF63" s="125" t="s">
        <v>7</v>
      </c>
      <c r="AG63" s="125" t="s">
        <v>284</v>
      </c>
      <c r="AH63" s="420">
        <v>0</v>
      </c>
      <c r="AI63" s="434">
        <v>0</v>
      </c>
      <c r="AJ63" s="420">
        <v>0</v>
      </c>
      <c r="AK63" s="434">
        <v>0</v>
      </c>
      <c r="AL63" s="420">
        <v>0</v>
      </c>
      <c r="AM63" s="421">
        <v>0</v>
      </c>
    </row>
    <row r="64" spans="1:39" ht="15.75" thickBot="1" x14ac:dyDescent="0.3">
      <c r="D64" s="75"/>
      <c r="E64" s="75"/>
      <c r="F64" s="75"/>
      <c r="G64" s="75"/>
      <c r="H64" s="75"/>
      <c r="I64" s="75"/>
      <c r="N64" s="75"/>
      <c r="O64" s="75"/>
      <c r="P64" s="75"/>
      <c r="Q64" s="75"/>
      <c r="R64" s="75"/>
      <c r="S64" s="75"/>
      <c r="X64" s="75"/>
      <c r="Y64" s="75"/>
      <c r="Z64" s="75"/>
      <c r="AA64" s="75"/>
      <c r="AB64" s="75"/>
      <c r="AC64" s="75"/>
      <c r="AE64" s="796"/>
      <c r="AF64" s="177" t="s">
        <v>16</v>
      </c>
      <c r="AG64" s="177" t="s">
        <v>284</v>
      </c>
      <c r="AH64" s="427">
        <f>SUM(AH61:AH63)</f>
        <v>0.12869512966322685</v>
      </c>
      <c r="AI64" s="435">
        <f>SUM(AI61:AI63)</f>
        <v>0.1036167257327123</v>
      </c>
      <c r="AJ64" s="427">
        <f>SUM(AJ61:AJ63)</f>
        <v>0.12963482450900987</v>
      </c>
      <c r="AK64" s="435">
        <f>SUM(AK61:AK63)</f>
        <v>5.4651884178064755E-2</v>
      </c>
      <c r="AL64" s="427">
        <f t="shared" ref="AL64:AM64" si="120">SUM(AL61:AL63)</f>
        <v>0.12963482450900987</v>
      </c>
      <c r="AM64" s="432">
        <f t="shared" si="120"/>
        <v>0.10425765412328467</v>
      </c>
    </row>
    <row r="65" spans="4:39" ht="24.75" thickBot="1" x14ac:dyDescent="0.3">
      <c r="D65" s="75"/>
      <c r="E65" s="75"/>
      <c r="F65" s="75"/>
      <c r="G65" s="75"/>
      <c r="H65" s="75"/>
      <c r="I65" s="75"/>
      <c r="N65" s="75"/>
      <c r="O65" s="75"/>
      <c r="P65" s="75"/>
      <c r="Q65" s="75"/>
      <c r="R65" s="75"/>
      <c r="S65" s="75"/>
      <c r="X65" s="75"/>
      <c r="Y65" s="75"/>
      <c r="Z65" s="75"/>
      <c r="AA65" s="75"/>
      <c r="AB65" s="75"/>
      <c r="AC65" s="75"/>
      <c r="AE65" s="366" t="s">
        <v>266</v>
      </c>
      <c r="AF65" s="177" t="s">
        <v>16</v>
      </c>
      <c r="AG65" s="177" t="s">
        <v>284</v>
      </c>
      <c r="AH65" s="430">
        <f>'Indata - Effektsamband-Faktorer'!$D20*'Modell - Lätta fordon'!AH37</f>
        <v>17.65082970463035</v>
      </c>
      <c r="AI65" s="430">
        <f>'Indata - Effektsamband-Faktorer'!$D20*'Modell - Lätta fordon'!AI37</f>
        <v>19.900000000000002</v>
      </c>
      <c r="AJ65" s="430">
        <f>'Indata - Effektsamband-Faktorer'!$D20*'Modell - Lätta fordon'!AJ37</f>
        <v>17.779710989731335</v>
      </c>
      <c r="AK65" s="430">
        <f>'Indata - Effektsamband-Faktorer'!$D20*'Modell - Lätta fordon'!AK37</f>
        <v>20.384688374167261</v>
      </c>
      <c r="AL65" s="430">
        <f>'Indata - Effektsamband-Faktorer'!$D20*'Modell - Lätta fordon'!AL37</f>
        <v>17.779710989731335</v>
      </c>
      <c r="AM65" s="430">
        <f>'Indata - Effektsamband-Faktorer'!$D20*'Modell - Lätta fordon'!AM37</f>
        <v>20.023092820026875</v>
      </c>
    </row>
    <row r="66" spans="4:39" x14ac:dyDescent="0.25">
      <c r="D66" s="75"/>
      <c r="E66" s="75"/>
      <c r="F66" s="75"/>
      <c r="G66" s="75"/>
      <c r="H66" s="75"/>
      <c r="I66" s="75"/>
      <c r="N66" s="75"/>
      <c r="O66" s="75"/>
      <c r="P66" s="75"/>
      <c r="Q66" s="75"/>
      <c r="R66" s="75"/>
      <c r="S66" s="75"/>
      <c r="X66" s="75"/>
      <c r="Y66" s="75"/>
      <c r="Z66" s="75"/>
      <c r="AA66" s="75"/>
      <c r="AB66" s="75"/>
      <c r="AC66" s="75"/>
    </row>
    <row r="67" spans="4:39" ht="15.75" thickBot="1" x14ac:dyDescent="0.3">
      <c r="D67" s="75"/>
      <c r="E67" s="75"/>
      <c r="F67" s="75"/>
      <c r="G67" s="75"/>
      <c r="H67" s="75"/>
      <c r="I67" s="75"/>
      <c r="N67" s="75"/>
      <c r="O67" s="75"/>
      <c r="P67" s="75"/>
      <c r="Q67" s="75"/>
      <c r="R67" s="75"/>
      <c r="S67" s="75"/>
      <c r="X67" s="75"/>
      <c r="Y67" s="75"/>
      <c r="Z67" s="75"/>
      <c r="AA67" s="75"/>
      <c r="AB67" s="75"/>
      <c r="AC67" s="75"/>
      <c r="AE67" s="40" t="s">
        <v>263</v>
      </c>
      <c r="AF67" s="38"/>
      <c r="AG67" s="38"/>
      <c r="AH67" s="38"/>
      <c r="AI67" s="38"/>
      <c r="AJ67" s="38"/>
      <c r="AK67" s="38"/>
      <c r="AL67" s="38"/>
      <c r="AM67" s="38"/>
    </row>
    <row r="68" spans="4:39" x14ac:dyDescent="0.25">
      <c r="D68" s="75"/>
      <c r="E68" s="75"/>
      <c r="F68" s="75"/>
      <c r="G68" s="75"/>
      <c r="H68" s="75"/>
      <c r="I68" s="75"/>
      <c r="N68" s="75"/>
      <c r="O68" s="75"/>
      <c r="P68" s="75"/>
      <c r="Q68" s="75"/>
      <c r="R68" s="75"/>
      <c r="S68" s="75"/>
      <c r="X68" s="75"/>
      <c r="Y68" s="75"/>
      <c r="Z68" s="75"/>
      <c r="AA68" s="75"/>
      <c r="AB68" s="75"/>
      <c r="AC68" s="75"/>
      <c r="AE68" s="794" t="s">
        <v>129</v>
      </c>
      <c r="AF68" s="124" t="s">
        <v>95</v>
      </c>
      <c r="AG68" s="178" t="s">
        <v>128</v>
      </c>
      <c r="AH68" s="233">
        <f>(1-Indata!D$9-Indata!D$10)*'Indata - Effektsamband-Faktorer'!$D22*'Modell - Lätta fordon'!AH$13*'Modell - Lätta fordon'!AH$34/10</f>
        <v>17.88835449983754</v>
      </c>
      <c r="AI68" s="234">
        <f>(1-Indata!E$9-Indata!E$10)*'Indata - Effektsamband-Faktorer'!$E22*'Modell - Lätta fordon'!AI$13*'Modell - Lätta fordon'!AI$34/10</f>
        <v>12.729131195291753</v>
      </c>
      <c r="AJ68" s="233">
        <f>(1-Indata!F$9-Indata!F$10)*'Indata - Effektsamband-Faktorer'!$D22*'Modell - Lätta fordon'!AJ$13*'Modell - Lätta fordon'!AJ$34/10</f>
        <v>18.018970122721051</v>
      </c>
      <c r="AK68" s="234">
        <f>(1-Indata!G$9-Indata!G$10)*'Indata - Effektsamband-Faktorer'!$E22*'Modell - Lätta fordon'!AK$13*'Modell - Lätta fordon'!AK$34/10</f>
        <v>5.8029712803024012</v>
      </c>
      <c r="AL68" s="235">
        <f>(1-Indata!H$9-Indata!H$10)*'Indata - Effektsamband-Faktorer'!$D22*'Modell - Lätta fordon'!AL$13*'Modell - Lätta fordon'!AL$34/10</f>
        <v>18.018970122721051</v>
      </c>
      <c r="AM68" s="234">
        <f>(1-Indata!I$9-Indata!I$10)*'Indata - Effektsamband-Faktorer'!$E22*'Modell - Lätta fordon'!AM$13*'Modell - Lätta fordon'!AM$34/10</f>
        <v>12.807868112644545</v>
      </c>
    </row>
    <row r="69" spans="4:39" x14ac:dyDescent="0.25">
      <c r="D69" s="75"/>
      <c r="E69" s="75"/>
      <c r="F69" s="75"/>
      <c r="G69" s="75"/>
      <c r="H69" s="75"/>
      <c r="I69" s="75"/>
      <c r="N69" s="75"/>
      <c r="O69" s="75"/>
      <c r="P69" s="75"/>
      <c r="Q69" s="75"/>
      <c r="R69" s="75"/>
      <c r="S69" s="75"/>
      <c r="X69" s="75"/>
      <c r="Y69" s="75"/>
      <c r="Z69" s="75"/>
      <c r="AA69" s="75"/>
      <c r="AB69" s="75"/>
      <c r="AC69" s="75"/>
      <c r="AE69" s="795"/>
      <c r="AF69" s="125" t="s">
        <v>96</v>
      </c>
      <c r="AG69" s="179" t="s">
        <v>128</v>
      </c>
      <c r="AH69" s="236">
        <f>(1-Indata!D$11-Indata!D$12)*'Indata - Effektsamband-Faktorer'!$D23*'Modell - Lätta fordon'!AH$14*'Modell - Lätta fordon'!AH$35/10</f>
        <v>15.124539157912034</v>
      </c>
      <c r="AI69" s="237">
        <f>(1-Indata!E$11-Indata!E$12)*'Indata - Effektsamband-Faktorer'!$E23*'Modell - Lätta fordon'!AI$14*'Modell - Lätta fordon'!AI$35/10</f>
        <v>10.144617273799991</v>
      </c>
      <c r="AJ69" s="236">
        <f>(1-Indata!F$11-Indata!F$12)*'Indata - Effektsamband-Faktorer'!$D23*'Modell - Lätta fordon'!AJ$14*'Modell - Lätta fordon'!AJ$35/10</f>
        <v>15.23497419557604</v>
      </c>
      <c r="AK69" s="237">
        <f>(1-Indata!G$11-Indata!G$12)*'Indata - Effektsamband-Faktorer'!$E23*'Modell - Lätta fordon'!AK$14*'Modell - Lätta fordon'!AK$35/10</f>
        <v>5.8978187526749517</v>
      </c>
      <c r="AL69" s="238">
        <f>(1-Indata!H$11-Indata!H$12)*'Indata - Effektsamband-Faktorer'!$D23*'Modell - Lätta fordon'!AL$14*'Modell - Lätta fordon'!AL$35/10</f>
        <v>15.23497419557604</v>
      </c>
      <c r="AM69" s="237">
        <f>(1-Indata!I$11-Indata!I$12)*'Indata - Effektsamband-Faktorer'!$E23*'Modell - Lätta fordon'!AM$14*'Modell - Lätta fordon'!AM$35/10</f>
        <v>10.207367502359054</v>
      </c>
    </row>
    <row r="70" spans="4:39" x14ac:dyDescent="0.25">
      <c r="D70" s="75"/>
      <c r="E70" s="75"/>
      <c r="F70" s="75"/>
      <c r="G70" s="75"/>
      <c r="H70" s="75"/>
      <c r="I70" s="75"/>
      <c r="N70" s="75"/>
      <c r="O70" s="75"/>
      <c r="P70" s="75"/>
      <c r="Q70" s="75"/>
      <c r="R70" s="75"/>
      <c r="S70" s="75"/>
      <c r="X70" s="75"/>
      <c r="Y70" s="75"/>
      <c r="Z70" s="75"/>
      <c r="AA70" s="75"/>
      <c r="AB70" s="75"/>
      <c r="AC70" s="75"/>
      <c r="AE70" s="795"/>
      <c r="AF70" s="125" t="s">
        <v>97</v>
      </c>
      <c r="AG70" s="179" t="s">
        <v>128</v>
      </c>
      <c r="AH70" s="236">
        <f>(Indata!D$9*'Indata - Effektsamband-Faktorer'!$D$24+Indata!D$10*'Indata - Effektsamband-Faktorer'!$D$25)*'Modell - Lätta fordon'!AH$13*'Modell - Lätta fordon'!AH$34/10</f>
        <v>0.93399843215664957</v>
      </c>
      <c r="AI70" s="237">
        <f>(Indata!E$9*'Indata - Effektsamband-Faktorer'!$E$24+Indata!E$10*'Indata - Effektsamband-Faktorer'!$E$25)*'Modell - Lätta fordon'!AI$13*'Modell - Lätta fordon'!AI$34/10</f>
        <v>0.66462170006899024</v>
      </c>
      <c r="AJ70" s="236">
        <f>(Indata!F$9*'Indata - Effektsamband-Faktorer'!$D$24+Indata!F$10*'Indata - Effektsamband-Faktorer'!$D$25)*'Modell - Lätta fordon'!AJ$13*'Modell - Lätta fordon'!AJ$34/10</f>
        <v>0.94081822024780537</v>
      </c>
      <c r="AK70" s="237">
        <f>(Indata!G$9*'Indata - Effektsamband-Faktorer'!$E$24+Indata!G$10*'Indata - Effektsamband-Faktorer'!$E$25)*'Modell - Lätta fordon'!AK$13*'Modell - Lätta fordon'!AK$34/10</f>
        <v>1.1813191534901317</v>
      </c>
      <c r="AL70" s="238">
        <f>(Indata!H$9*'Indata - Effektsamband-Faktorer'!$D$24+Indata!H$10*'Indata - Effektsamband-Faktorer'!$D$25)*'Modell - Lätta fordon'!AL$13*'Modell - Lätta fordon'!AL$34/10</f>
        <v>0.94081822024780537</v>
      </c>
      <c r="AM70" s="237">
        <f>(Indata!I$9*'Indata - Effektsamband-Faktorer'!$E$24+Indata!I$10*'Indata - Effektsamband-Faktorer'!$E$25)*'Modell - Lätta fordon'!AM$13*'Modell - Lätta fordon'!AM$34/10</f>
        <v>0.66873276335102783</v>
      </c>
    </row>
    <row r="71" spans="4:39" x14ac:dyDescent="0.25">
      <c r="D71" s="75"/>
      <c r="E71" s="75"/>
      <c r="F71" s="75"/>
      <c r="G71" s="75"/>
      <c r="H71" s="75"/>
      <c r="I71" s="75"/>
      <c r="N71" s="75"/>
      <c r="O71" s="75"/>
      <c r="P71" s="75"/>
      <c r="Q71" s="75"/>
      <c r="R71" s="75"/>
      <c r="S71" s="75"/>
      <c r="X71" s="75"/>
      <c r="Y71" s="75"/>
      <c r="Z71" s="75"/>
      <c r="AA71" s="75"/>
      <c r="AB71" s="75"/>
      <c r="AC71" s="75"/>
      <c r="AE71" s="795"/>
      <c r="AF71" s="125" t="s">
        <v>99</v>
      </c>
      <c r="AG71" s="179" t="s">
        <v>128</v>
      </c>
      <c r="AH71" s="236">
        <f>(Indata!D$11*'Indata - Effektsamband-Faktorer'!$D$26+Indata!D$12*'Indata - Effektsamband-Faktorer'!$D$27)*'Modell - Lätta fordon'!AH$14*'Modell - Lätta fordon'!AH$35/10</f>
        <v>6.8130783460588429</v>
      </c>
      <c r="AI71" s="237">
        <f>(Indata!E$11*'Indata - Effektsamband-Faktorer'!$E$26+Indata!E$12*'Indata - Effektsamband-Faktorer'!$E$27)*'Modell - Lätta fordon'!AI$14*'Modell - Lätta fordon'!AI$35/10</f>
        <v>4.5697969078961878</v>
      </c>
      <c r="AJ71" s="236">
        <f>(Indata!F$11*'Indata - Effektsamband-Faktorer'!$D$26+Indata!F$12*'Indata - Effektsamband-Faktorer'!$D$27)*'Modell - Lätta fordon'!AJ$14*'Modell - Lätta fordon'!AJ$35/10</f>
        <v>6.8628254858492976</v>
      </c>
      <c r="AK71" s="237">
        <f>(Indata!G$11*'Indata - Effektsamband-Faktorer'!$E$26+Indata!G$12*'Indata - Effektsamband-Faktorer'!$E$27)*'Modell - Lätta fordon'!AK$14*'Modell - Lätta fordon'!AK$35/10</f>
        <v>1.8785555757669836</v>
      </c>
      <c r="AL71" s="238">
        <f>(Indata!H$11*'Indata - Effektsamband-Faktorer'!$D$26+Indata!H$12*'Indata - Effektsamband-Faktorer'!$D$27)*'Modell - Lätta fordon'!AL$14*'Modell - Lätta fordon'!AL$35/10</f>
        <v>6.8628254858492976</v>
      </c>
      <c r="AM71" s="237">
        <f>(Indata!I$11*'Indata - Effektsamband-Faktorer'!$E$26+Indata!I$12*'Indata - Effektsamband-Faktorer'!$E$27)*'Modell - Lätta fordon'!AM$14*'Modell - Lätta fordon'!AM$35/10</f>
        <v>4.5980637012802585</v>
      </c>
    </row>
    <row r="72" spans="4:39" x14ac:dyDescent="0.25">
      <c r="AE72" s="795"/>
      <c r="AF72" s="125" t="s">
        <v>7</v>
      </c>
      <c r="AG72" s="179" t="s">
        <v>128</v>
      </c>
      <c r="AH72" s="236">
        <f t="shared" ref="AH72:AM72" si="121">AH15*AH36/10</f>
        <v>2.5655480975680214</v>
      </c>
      <c r="AI72" s="237">
        <f t="shared" si="121"/>
        <v>6.1063150000000013</v>
      </c>
      <c r="AJ72" s="236">
        <f t="shared" si="121"/>
        <v>2.5842809923574492</v>
      </c>
      <c r="AK72" s="237">
        <f t="shared" si="121"/>
        <v>11.205758661154659</v>
      </c>
      <c r="AL72" s="238">
        <f t="shared" si="121"/>
        <v>2.5842809923574492</v>
      </c>
      <c r="AM72" s="237">
        <f t="shared" si="121"/>
        <v>6.144086031825247</v>
      </c>
    </row>
    <row r="73" spans="4:39" x14ac:dyDescent="0.25">
      <c r="AE73" s="795"/>
      <c r="AF73" s="175" t="s">
        <v>130</v>
      </c>
      <c r="AG73" s="256" t="s">
        <v>128</v>
      </c>
      <c r="AH73" s="206">
        <f>SUM(AH68:AH69)</f>
        <v>33.012893657749572</v>
      </c>
      <c r="AI73" s="207">
        <f t="shared" ref="AI73:AM73" si="122">SUM(AI68:AI69)</f>
        <v>22.873748469091744</v>
      </c>
      <c r="AJ73" s="206">
        <f t="shared" si="122"/>
        <v>33.253944318297087</v>
      </c>
      <c r="AK73" s="207">
        <f t="shared" si="122"/>
        <v>11.700790032977352</v>
      </c>
      <c r="AL73" s="208">
        <f t="shared" si="122"/>
        <v>33.253944318297087</v>
      </c>
      <c r="AM73" s="207">
        <f t="shared" si="122"/>
        <v>23.015235615003597</v>
      </c>
    </row>
    <row r="74" spans="4:39" x14ac:dyDescent="0.25">
      <c r="AE74" s="795"/>
      <c r="AF74" s="175" t="s">
        <v>131</v>
      </c>
      <c r="AG74" s="256" t="s">
        <v>128</v>
      </c>
      <c r="AH74" s="206">
        <f>SUM(AH70:AH71)</f>
        <v>7.7470767782154928</v>
      </c>
      <c r="AI74" s="207">
        <f t="shared" ref="AI74:AM74" si="123">SUM(AI70:AI71)</f>
        <v>5.2344186079651784</v>
      </c>
      <c r="AJ74" s="206">
        <f t="shared" si="123"/>
        <v>7.8036437060971027</v>
      </c>
      <c r="AK74" s="207">
        <f t="shared" si="123"/>
        <v>3.0598747292571153</v>
      </c>
      <c r="AL74" s="208">
        <f t="shared" si="123"/>
        <v>7.8036437060971027</v>
      </c>
      <c r="AM74" s="207">
        <f t="shared" si="123"/>
        <v>5.2667964646312866</v>
      </c>
    </row>
    <row r="75" spans="4:39" ht="15.75" thickBot="1" x14ac:dyDescent="0.3">
      <c r="AE75" s="796"/>
      <c r="AF75" s="177" t="s">
        <v>132</v>
      </c>
      <c r="AG75" s="257" t="s">
        <v>128</v>
      </c>
      <c r="AH75" s="209">
        <f>AH72</f>
        <v>2.5655480975680214</v>
      </c>
      <c r="AI75" s="210">
        <f t="shared" ref="AI75:AM75" si="124">AI72</f>
        <v>6.1063150000000013</v>
      </c>
      <c r="AJ75" s="209">
        <f t="shared" si="124"/>
        <v>2.5842809923574492</v>
      </c>
      <c r="AK75" s="210">
        <f t="shared" si="124"/>
        <v>11.205758661154659</v>
      </c>
      <c r="AL75" s="211">
        <f t="shared" si="124"/>
        <v>2.5842809923574492</v>
      </c>
      <c r="AM75" s="210">
        <f t="shared" si="124"/>
        <v>6.144086031825247</v>
      </c>
    </row>
    <row r="77" spans="4:39" ht="15.75" thickBot="1" x14ac:dyDescent="0.3">
      <c r="AE77" s="40" t="s">
        <v>270</v>
      </c>
      <c r="AF77" s="38"/>
      <c r="AG77" s="38"/>
      <c r="AH77" s="38"/>
      <c r="AI77" s="38"/>
      <c r="AJ77" s="38"/>
      <c r="AK77" s="38"/>
      <c r="AL77" s="38"/>
      <c r="AM77" s="38"/>
    </row>
    <row r="78" spans="4:39" ht="14.45" customHeight="1" x14ac:dyDescent="0.25">
      <c r="AE78" s="794" t="s">
        <v>231</v>
      </c>
      <c r="AF78" s="124" t="s">
        <v>95</v>
      </c>
      <c r="AG78" s="178" t="s">
        <v>135</v>
      </c>
      <c r="AH78" s="233">
        <f>(1-Indata!D$9-Indata!D$10)*'Modell - Drivmedelpriser'!E$19*'Modell - Lätta fordon'!AH$13*'Modell - Lätta fordon'!AH$34/10</f>
        <v>15.642669295510411</v>
      </c>
      <c r="AI78" s="234">
        <f>(1-Indata!E$9-Indata!E$10)*'Modell - Drivmedelpriser'!F$19*'Modell - Lätta fordon'!AI$13*'Modell - Lätta fordon'!AI$34/10</f>
        <v>13.568784696098342</v>
      </c>
      <c r="AJ78" s="233">
        <f>(1-Indata!F$9-Indata!F$10)*'Modell - Drivmedelpriser'!G$19*'Modell - Lätta fordon'!AJ$13*'Modell - Lätta fordon'!AJ$34/10</f>
        <v>15.756887570512308</v>
      </c>
      <c r="AK78" s="234">
        <f>(1-Indata!G$9-Indata!G$10)*'Modell - Drivmedelpriser'!H$19*'Modell - Lätta fordon'!AK$13*'Modell - Lätta fordon'!AK$34/10</f>
        <v>6.1857535044645839</v>
      </c>
      <c r="AL78" s="235">
        <f>(1-Indata!H$9-Indata!H$10)*'Modell - Drivmedelpriser'!I$19*'Modell - Lätta fordon'!AL$13*'Modell - Lätta fordon'!AL$34/10</f>
        <v>15.756887570512308</v>
      </c>
      <c r="AM78" s="234">
        <f>(1-Indata!I$9-Indata!I$10)*'Modell - Drivmedelpriser'!J$19*'Modell - Lätta fordon'!AM$13*'Modell - Lätta fordon'!AM$34/10</f>
        <v>13.652715347986796</v>
      </c>
    </row>
    <row r="79" spans="4:39" x14ac:dyDescent="0.25">
      <c r="AE79" s="795"/>
      <c r="AF79" s="125" t="s">
        <v>96</v>
      </c>
      <c r="AG79" s="179" t="s">
        <v>135</v>
      </c>
      <c r="AH79" s="236">
        <f>(1-Indata!D$11-Indata!D$12)*'Modell - Drivmedelpriser'!E$38*'Modell - Lätta fordon'!AH$14*'Modell - Lätta fordon'!AH$35/10</f>
        <v>8.6927295174604975</v>
      </c>
      <c r="AI79" s="237">
        <f>(1-Indata!E$11-Indata!E$12)*'Modell - Drivmedelpriser'!F$38*'Modell - Lätta fordon'!AI$14*'Modell - Lätta fordon'!AI$35/10</f>
        <v>7.1074105133180918</v>
      </c>
      <c r="AJ79" s="236">
        <f>(1-Indata!F$11-Indata!F$12)*'Modell - Drivmedelpriser'!G$38*'Modell - Lätta fordon'!AJ$14*'Modell - Lätta fordon'!AJ$35/10</f>
        <v>8.7562013298338091</v>
      </c>
      <c r="AK79" s="237">
        <f>(1-Indata!G$11-Indata!G$12)*'Modell - Drivmedelpriser'!H$38*'Modell - Lätta fordon'!AK$14*'Modell - Lätta fordon'!AK$35/10</f>
        <v>4.1320651018217012</v>
      </c>
      <c r="AL79" s="238">
        <f>(1-Indata!H$11-Indata!H$12)*'Modell - Drivmedelpriser'!I$38*'Modell - Lätta fordon'!AL$14*'Modell - Lätta fordon'!AL$35/10</f>
        <v>8.7562013298338091</v>
      </c>
      <c r="AM79" s="237">
        <f>(1-Indata!I$11-Indata!I$12)*'Modell - Drivmedelpriser'!J$38*'Modell - Lätta fordon'!AM$14*'Modell - Lätta fordon'!AM$35/10</f>
        <v>7.1513738903619597</v>
      </c>
    </row>
    <row r="80" spans="4:39" x14ac:dyDescent="0.25">
      <c r="AE80" s="795"/>
      <c r="AF80" s="125" t="s">
        <v>97</v>
      </c>
      <c r="AG80" s="179" t="s">
        <v>135</v>
      </c>
      <c r="AH80" s="236">
        <f>(Indata!D$9+Indata!D$10)*'Modell - Drivmedelpriser'!E$19*'Modell - Lätta fordon'!AH$13*'Modell - Lätta fordon'!AH$34/10</f>
        <v>1.2683245374738168</v>
      </c>
      <c r="AI80" s="237">
        <f>(Indata!E$9+Indata!E$10)*'Modell - Drivmedelpriser'!F$19*'Modell - Lätta fordon'!AI$13*'Modell - Lätta fordon'!AI$34/10</f>
        <v>1.1001717321160815</v>
      </c>
      <c r="AJ80" s="236">
        <f>(Indata!F$9+Indata!F$10)*'Modell - Drivmedelpriser'!G$19*'Modell - Lätta fordon'!AJ$13*'Modell - Lätta fordon'!AJ$34/10</f>
        <v>1.2775854786901868</v>
      </c>
      <c r="AK80" s="237">
        <f>(Indata!G$9+Indata!G$10)*'Modell - Drivmedelpriser'!H$19*'Modell - Lätta fordon'!AK$13*'Modell - Lätta fordon'!AK$34/10</f>
        <v>1.546438376116146</v>
      </c>
      <c r="AL80" s="238">
        <f>(Indata!H$9+Indata!H$10)*'Modell - Drivmedelpriser'!I$19*'Modell - Lätta fordon'!AL$13*'Modell - Lätta fordon'!AL$34/10</f>
        <v>1.2775854786901868</v>
      </c>
      <c r="AM80" s="237">
        <f>(Indata!I$9+Indata!I$10)*'Modell - Drivmedelpriser'!J$19*'Modell - Lätta fordon'!AM$13*'Modell - Lätta fordon'!AM$34/10</f>
        <v>1.1069769201070374</v>
      </c>
    </row>
    <row r="81" spans="31:39" x14ac:dyDescent="0.25">
      <c r="AE81" s="795"/>
      <c r="AF81" s="125" t="s">
        <v>99</v>
      </c>
      <c r="AG81" s="179" t="s">
        <v>135</v>
      </c>
      <c r="AH81" s="236">
        <f>(Indata!D$11+Indata!D$12)*'Modell - Drivmedelpriser'!E$38*'Modell - Lätta fordon'!AH$14*'Modell - Lätta fordon'!AH$35/10</f>
        <v>4.0906962435108234</v>
      </c>
      <c r="AI81" s="237">
        <f>(Indata!E$11+Indata!E$12)*'Modell - Drivmedelpriser'!F$38*'Modell - Lätta fordon'!AI$14*'Modell - Lätta fordon'!AI$35/10</f>
        <v>3.3446637709732201</v>
      </c>
      <c r="AJ81" s="236">
        <f>(Indata!F$11+Indata!F$12)*'Modell - Drivmedelpriser'!G$38*'Modell - Lätta fordon'!AJ$14*'Modell - Lätta fordon'!AJ$35/10</f>
        <v>4.1205653316864987</v>
      </c>
      <c r="AK81" s="237">
        <f>(Indata!G$11+Indata!G$12)*'Modell - Drivmedelpriser'!H$38*'Modell - Lätta fordon'!AK$14*'Modell - Lätta fordon'!AK$35/10</f>
        <v>1.3773550339405671</v>
      </c>
      <c r="AL81" s="238">
        <f>(Indata!H$11+Indata!H$12)*'Modell - Drivmedelpriser'!I$38*'Modell - Lätta fordon'!AL$14*'Modell - Lätta fordon'!AL$35/10</f>
        <v>4.1205653316864987</v>
      </c>
      <c r="AM81" s="237">
        <f>(Indata!I$11+Indata!I$12)*'Modell - Drivmedelpriser'!J$38*'Modell - Lätta fordon'!AM$14*'Modell - Lätta fordon'!AM$35/10</f>
        <v>3.3653524189938637</v>
      </c>
    </row>
    <row r="82" spans="31:39" x14ac:dyDescent="0.25">
      <c r="AE82" s="795"/>
      <c r="AF82" s="125" t="s">
        <v>7</v>
      </c>
      <c r="AG82" s="179" t="s">
        <v>135</v>
      </c>
      <c r="AH82" s="236">
        <f>'Modell - Drivmedelpriser'!E$70*'Modell - Lätta fordon'!AH$15*'Modell - Lätta fordon'!AH$36/10</f>
        <v>0.86356348964139595</v>
      </c>
      <c r="AI82" s="236">
        <f>'Modell - Drivmedelpriser'!F$70*'Modell - Lätta fordon'!AI$15*'Modell - Lätta fordon'!AI$36/10</f>
        <v>2.0553856290000003</v>
      </c>
      <c r="AJ82" s="236">
        <f>'Modell - Drivmedelpriser'!G$70*'Modell - Lätta fordon'!AJ$15*'Modell - Lätta fordon'!AJ$36/10</f>
        <v>0.86986898202751739</v>
      </c>
      <c r="AK82" s="236">
        <f>'Modell - Drivmedelpriser'!H$70*'Modell - Lätta fordon'!AK$15*'Modell - Lätta fordon'!AK$36/10</f>
        <v>3.771858365344658</v>
      </c>
      <c r="AL82" s="236">
        <f>'Modell - Drivmedelpriser'!I$70*'Modell - Lätta fordon'!AL$15*'Modell - Lätta fordon'!AL$36/10</f>
        <v>0.86986898202751739</v>
      </c>
      <c r="AM82" s="236">
        <f>'Modell - Drivmedelpriser'!J$70*'Modell - Lätta fordon'!AM$15*'Modell - Lätta fordon'!AM$36/10</f>
        <v>2.0680993583123781</v>
      </c>
    </row>
    <row r="83" spans="31:39" x14ac:dyDescent="0.25">
      <c r="AE83" s="795"/>
      <c r="AF83" s="175" t="s">
        <v>130</v>
      </c>
      <c r="AG83" s="256" t="s">
        <v>135</v>
      </c>
      <c r="AH83" s="206">
        <f>SUM(AH78:AH79)</f>
        <v>24.335398812970908</v>
      </c>
      <c r="AI83" s="207">
        <f t="shared" ref="AI83:AM83" si="125">SUM(AI78:AI79)</f>
        <v>20.676195209416434</v>
      </c>
      <c r="AJ83" s="206">
        <f t="shared" si="125"/>
        <v>24.513088900346119</v>
      </c>
      <c r="AK83" s="207">
        <f t="shared" si="125"/>
        <v>10.317818606286284</v>
      </c>
      <c r="AL83" s="208">
        <f t="shared" si="125"/>
        <v>24.513088900346119</v>
      </c>
      <c r="AM83" s="207">
        <f t="shared" si="125"/>
        <v>20.804089238348755</v>
      </c>
    </row>
    <row r="84" spans="31:39" x14ac:dyDescent="0.25">
      <c r="AE84" s="795"/>
      <c r="AF84" s="175" t="s">
        <v>131</v>
      </c>
      <c r="AG84" s="256" t="s">
        <v>135</v>
      </c>
      <c r="AH84" s="206">
        <f>SUM(AH80:AH81)</f>
        <v>5.3590207809846397</v>
      </c>
      <c r="AI84" s="207">
        <f t="shared" ref="AI84:AM84" si="126">SUM(AI80:AI81)</f>
        <v>4.4448355030893012</v>
      </c>
      <c r="AJ84" s="206">
        <f t="shared" si="126"/>
        <v>5.398150810376686</v>
      </c>
      <c r="AK84" s="207">
        <f t="shared" si="126"/>
        <v>2.9237934100567129</v>
      </c>
      <c r="AL84" s="208">
        <f t="shared" si="126"/>
        <v>5.398150810376686</v>
      </c>
      <c r="AM84" s="207">
        <f t="shared" si="126"/>
        <v>4.4723293391009014</v>
      </c>
    </row>
    <row r="85" spans="31:39" ht="15.75" thickBot="1" x14ac:dyDescent="0.3">
      <c r="AE85" s="796"/>
      <c r="AF85" s="177" t="s">
        <v>132</v>
      </c>
      <c r="AG85" s="257" t="s">
        <v>135</v>
      </c>
      <c r="AH85" s="209">
        <f>AH82</f>
        <v>0.86356348964139595</v>
      </c>
      <c r="AI85" s="210">
        <f t="shared" ref="AI85:AM85" si="127">AI82</f>
        <v>2.0553856290000003</v>
      </c>
      <c r="AJ85" s="209">
        <f>AJ82</f>
        <v>0.86986898202751739</v>
      </c>
      <c r="AK85" s="210">
        <f t="shared" si="127"/>
        <v>3.771858365344658</v>
      </c>
      <c r="AL85" s="211">
        <f t="shared" si="127"/>
        <v>0.86986898202751739</v>
      </c>
      <c r="AM85" s="210">
        <f t="shared" si="127"/>
        <v>2.0680993583123781</v>
      </c>
    </row>
    <row r="86" spans="31:39" ht="14.45" customHeight="1" x14ac:dyDescent="0.25">
      <c r="AE86" s="794" t="s">
        <v>198</v>
      </c>
      <c r="AF86" s="124" t="s">
        <v>8</v>
      </c>
      <c r="AG86" s="178" t="s">
        <v>135</v>
      </c>
      <c r="AH86" s="190">
        <f t="shared" ref="AH86:AM88" si="128">AH34/10*AH24</f>
        <v>0</v>
      </c>
      <c r="AI86" s="215">
        <f t="shared" si="128"/>
        <v>0</v>
      </c>
      <c r="AJ86" s="190">
        <f t="shared" si="128"/>
        <v>0</v>
      </c>
      <c r="AK86" s="191">
        <f t="shared" si="128"/>
        <v>0</v>
      </c>
      <c r="AL86" s="192">
        <f t="shared" si="128"/>
        <v>0</v>
      </c>
      <c r="AM86" s="191">
        <f t="shared" si="128"/>
        <v>0</v>
      </c>
    </row>
    <row r="87" spans="31:39" x14ac:dyDescent="0.25">
      <c r="AE87" s="795"/>
      <c r="AF87" s="125" t="s">
        <v>9</v>
      </c>
      <c r="AG87" s="179" t="s">
        <v>135</v>
      </c>
      <c r="AH87" s="193">
        <f t="shared" si="128"/>
        <v>0</v>
      </c>
      <c r="AI87" s="216">
        <f t="shared" si="128"/>
        <v>0</v>
      </c>
      <c r="AJ87" s="193">
        <f t="shared" si="128"/>
        <v>0</v>
      </c>
      <c r="AK87" s="194">
        <f t="shared" si="128"/>
        <v>0</v>
      </c>
      <c r="AL87" s="195">
        <f t="shared" si="128"/>
        <v>0</v>
      </c>
      <c r="AM87" s="194">
        <f t="shared" si="128"/>
        <v>0</v>
      </c>
    </row>
    <row r="88" spans="31:39" x14ac:dyDescent="0.25">
      <c r="AE88" s="795"/>
      <c r="AF88" s="125" t="s">
        <v>7</v>
      </c>
      <c r="AG88" s="179" t="s">
        <v>135</v>
      </c>
      <c r="AH88" s="193">
        <f t="shared" si="128"/>
        <v>0</v>
      </c>
      <c r="AI88" s="216">
        <f t="shared" si="128"/>
        <v>0</v>
      </c>
      <c r="AJ88" s="193">
        <f t="shared" si="128"/>
        <v>0</v>
      </c>
      <c r="AK88" s="194">
        <f t="shared" si="128"/>
        <v>0</v>
      </c>
      <c r="AL88" s="195">
        <f t="shared" si="128"/>
        <v>0</v>
      </c>
      <c r="AM88" s="194">
        <f t="shared" si="128"/>
        <v>0</v>
      </c>
    </row>
    <row r="89" spans="31:39" ht="15.75" thickBot="1" x14ac:dyDescent="0.3">
      <c r="AE89" s="796"/>
      <c r="AF89" s="177" t="s">
        <v>16</v>
      </c>
      <c r="AG89" s="257" t="s">
        <v>135</v>
      </c>
      <c r="AH89" s="196">
        <f>SUM(AH86:AH88)</f>
        <v>0</v>
      </c>
      <c r="AI89" s="197">
        <f t="shared" ref="AI89:AM89" si="129">SUM(AI86:AI88)</f>
        <v>0</v>
      </c>
      <c r="AJ89" s="196">
        <f t="shared" si="129"/>
        <v>0</v>
      </c>
      <c r="AK89" s="198">
        <f t="shared" si="129"/>
        <v>0</v>
      </c>
      <c r="AL89" s="199">
        <f t="shared" si="129"/>
        <v>0</v>
      </c>
      <c r="AM89" s="198">
        <f t="shared" si="129"/>
        <v>0</v>
      </c>
    </row>
  </sheetData>
  <mergeCells count="58">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 ref="AH3:AI3"/>
    <mergeCell ref="AJ3:AK3"/>
    <mergeCell ref="AL3:AM3"/>
    <mergeCell ref="AE6:AE10"/>
    <mergeCell ref="AE13:AE15"/>
    <mergeCell ref="AF3:AG4"/>
    <mergeCell ref="Z3:AA3"/>
    <mergeCell ref="AB3:AC3"/>
    <mergeCell ref="U6:U10"/>
    <mergeCell ref="U13:U15"/>
    <mergeCell ref="N3:O3"/>
    <mergeCell ref="P3:Q3"/>
    <mergeCell ref="R3:S3"/>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AE57:AE60"/>
    <mergeCell ref="AE61:AE64"/>
    <mergeCell ref="A18:A21"/>
    <mergeCell ref="K18:K21"/>
    <mergeCell ref="A34:A37"/>
    <mergeCell ref="U18:U21"/>
    <mergeCell ref="U24:U26"/>
    <mergeCell ref="U29:U31"/>
    <mergeCell ref="U34:U37"/>
    <mergeCell ref="U40:U44"/>
    <mergeCell ref="U47:U50"/>
    <mergeCell ref="AE34:AE37"/>
    <mergeCell ref="AE40:AE44"/>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114"/>
  <sheetViews>
    <sheetView zoomScale="115" zoomScaleNormal="115" workbookViewId="0">
      <pane ySplit="4" topLeftCell="A60" activePane="bottomLeft" state="frozen"/>
      <selection pane="bottomLeft" activeCell="AH89" sqref="AH89"/>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17" t="s">
        <v>249</v>
      </c>
    </row>
    <row r="2" spans="1:39" ht="15.75" thickBot="1" x14ac:dyDescent="0.3"/>
    <row r="3" spans="1:39" s="310" customFormat="1" ht="39.75" customHeight="1" thickBot="1" x14ac:dyDescent="0.3">
      <c r="A3" s="791" t="s">
        <v>67</v>
      </c>
      <c r="B3" s="808" t="s">
        <v>222</v>
      </c>
      <c r="C3" s="809"/>
      <c r="D3" s="791" t="s">
        <v>64</v>
      </c>
      <c r="E3" s="792"/>
      <c r="F3" s="791" t="s">
        <v>65</v>
      </c>
      <c r="G3" s="792"/>
      <c r="H3" s="793" t="s">
        <v>66</v>
      </c>
      <c r="I3" s="792"/>
      <c r="K3" s="791" t="s">
        <v>67</v>
      </c>
      <c r="L3" s="808" t="s">
        <v>235</v>
      </c>
      <c r="M3" s="809"/>
      <c r="N3" s="791" t="s">
        <v>64</v>
      </c>
      <c r="O3" s="792"/>
      <c r="P3" s="791" t="s">
        <v>65</v>
      </c>
      <c r="Q3" s="792"/>
      <c r="R3" s="793" t="s">
        <v>66</v>
      </c>
      <c r="S3" s="792"/>
      <c r="U3" s="791" t="s">
        <v>67</v>
      </c>
      <c r="V3" s="808" t="s">
        <v>236</v>
      </c>
      <c r="W3" s="809"/>
      <c r="X3" s="791" t="s">
        <v>64</v>
      </c>
      <c r="Y3" s="792"/>
      <c r="Z3" s="791" t="s">
        <v>65</v>
      </c>
      <c r="AA3" s="792"/>
      <c r="AB3" s="793" t="s">
        <v>66</v>
      </c>
      <c r="AC3" s="792"/>
      <c r="AE3" s="791" t="s">
        <v>67</v>
      </c>
      <c r="AF3" s="808" t="s">
        <v>233</v>
      </c>
      <c r="AG3" s="809"/>
      <c r="AH3" s="791" t="s">
        <v>64</v>
      </c>
      <c r="AI3" s="792"/>
      <c r="AJ3" s="791" t="s">
        <v>65</v>
      </c>
      <c r="AK3" s="792"/>
      <c r="AL3" s="793" t="s">
        <v>66</v>
      </c>
      <c r="AM3" s="792"/>
    </row>
    <row r="4" spans="1:39" s="118" customFormat="1" ht="41.25" customHeight="1" thickBot="1" x14ac:dyDescent="0.25">
      <c r="A4" s="807"/>
      <c r="B4" s="810"/>
      <c r="C4" s="811"/>
      <c r="D4" s="253">
        <v>2030</v>
      </c>
      <c r="E4" s="254">
        <v>2040</v>
      </c>
      <c r="F4" s="253">
        <v>2030</v>
      </c>
      <c r="G4" s="254">
        <v>2040</v>
      </c>
      <c r="H4" s="255">
        <v>2030</v>
      </c>
      <c r="I4" s="254">
        <v>2040</v>
      </c>
      <c r="K4" s="807"/>
      <c r="L4" s="810"/>
      <c r="M4" s="811"/>
      <c r="N4" s="253">
        <v>2030</v>
      </c>
      <c r="O4" s="254">
        <v>2040</v>
      </c>
      <c r="P4" s="253">
        <v>2030</v>
      </c>
      <c r="Q4" s="254">
        <v>2040</v>
      </c>
      <c r="R4" s="255">
        <v>2030</v>
      </c>
      <c r="S4" s="254">
        <v>2040</v>
      </c>
      <c r="U4" s="807"/>
      <c r="V4" s="810"/>
      <c r="W4" s="811"/>
      <c r="X4" s="253">
        <v>2030</v>
      </c>
      <c r="Y4" s="254">
        <v>2040</v>
      </c>
      <c r="Z4" s="253">
        <v>2030</v>
      </c>
      <c r="AA4" s="254">
        <v>2040</v>
      </c>
      <c r="AB4" s="255">
        <v>2030</v>
      </c>
      <c r="AC4" s="254">
        <v>2040</v>
      </c>
      <c r="AE4" s="807"/>
      <c r="AF4" s="810"/>
      <c r="AG4" s="811"/>
      <c r="AH4" s="253">
        <v>2030</v>
      </c>
      <c r="AI4" s="254">
        <v>2040</v>
      </c>
      <c r="AJ4" s="253">
        <v>2030</v>
      </c>
      <c r="AK4" s="254">
        <v>2040</v>
      </c>
      <c r="AL4" s="255">
        <v>2030</v>
      </c>
      <c r="AM4" s="254">
        <v>2040</v>
      </c>
    </row>
    <row r="5" spans="1:39" ht="15.75" thickBot="1" x14ac:dyDescent="0.3">
      <c r="A5" s="40" t="s">
        <v>79</v>
      </c>
      <c r="D5" s="73"/>
      <c r="E5" s="73"/>
      <c r="F5" s="73"/>
      <c r="G5" s="73"/>
      <c r="H5" s="73"/>
      <c r="I5" s="73"/>
      <c r="K5" s="40" t="s">
        <v>234</v>
      </c>
      <c r="N5" s="73"/>
      <c r="O5" s="73"/>
      <c r="P5" s="73"/>
      <c r="Q5" s="73"/>
      <c r="R5" s="73"/>
      <c r="S5" s="73"/>
      <c r="U5" s="40" t="s">
        <v>88</v>
      </c>
      <c r="X5" s="73"/>
      <c r="Y5" s="73"/>
      <c r="Z5" s="73"/>
      <c r="AA5" s="73"/>
      <c r="AB5" s="73"/>
      <c r="AC5" s="73"/>
      <c r="AE5" s="40" t="s">
        <v>151</v>
      </c>
      <c r="AF5" s="38"/>
      <c r="AG5" s="38"/>
      <c r="AH5" s="73"/>
      <c r="AI5" s="73"/>
      <c r="AJ5" s="73"/>
      <c r="AK5" s="73"/>
      <c r="AL5" s="73"/>
      <c r="AM5" s="73"/>
    </row>
    <row r="6" spans="1:39" x14ac:dyDescent="0.25">
      <c r="A6" s="797" t="s">
        <v>0</v>
      </c>
      <c r="B6" s="124" t="s">
        <v>9</v>
      </c>
      <c r="C6" s="178" t="s">
        <v>257</v>
      </c>
      <c r="D6" s="190">
        <f>Indata!D58</f>
        <v>13.466674098111907</v>
      </c>
      <c r="E6" s="191">
        <f>Indata!E58</f>
        <v>16.350158148247193</v>
      </c>
      <c r="F6" s="190">
        <f>Indata!F58</f>
        <v>13.466674098111907</v>
      </c>
      <c r="G6" s="191">
        <f>Indata!G58</f>
        <v>16.350158148247193</v>
      </c>
      <c r="H6" s="192">
        <f>Indata!H58</f>
        <v>13.466674098111907</v>
      </c>
      <c r="I6" s="191">
        <f>Indata!I58</f>
        <v>16.350158148247193</v>
      </c>
      <c r="K6" s="797" t="s">
        <v>0</v>
      </c>
      <c r="L6" s="124" t="s">
        <v>9</v>
      </c>
      <c r="M6" s="178" t="s">
        <v>257</v>
      </c>
      <c r="N6" s="190">
        <f>'Modell - Drivmedelpriser'!E58</f>
        <v>13.466674098111907</v>
      </c>
      <c r="O6" s="191">
        <f>'Modell - Drivmedelpriser'!F58</f>
        <v>16.350158148247193</v>
      </c>
      <c r="P6" s="190">
        <f>'Modell - Drivmedelpriser'!G58</f>
        <v>13.466674098111907</v>
      </c>
      <c r="Q6" s="191">
        <f>'Modell - Drivmedelpriser'!H58</f>
        <v>15.829521784610829</v>
      </c>
      <c r="R6" s="192">
        <f>'Modell - Drivmedelpriser'!I58</f>
        <v>13.466674098111907</v>
      </c>
      <c r="S6" s="191">
        <f>'Modell - Drivmedelpriser'!J58</f>
        <v>16.350158148247193</v>
      </c>
      <c r="U6" s="797" t="s">
        <v>0</v>
      </c>
      <c r="V6" s="124" t="s">
        <v>9</v>
      </c>
      <c r="W6" s="178" t="s">
        <v>257</v>
      </c>
      <c r="X6" s="190">
        <f t="shared" ref="X6:AC7" si="0">N6</f>
        <v>13.466674098111907</v>
      </c>
      <c r="Y6" s="191">
        <f t="shared" si="0"/>
        <v>16.350158148247193</v>
      </c>
      <c r="Z6" s="190">
        <f t="shared" si="0"/>
        <v>13.466674098111907</v>
      </c>
      <c r="AA6" s="191">
        <f t="shared" si="0"/>
        <v>15.829521784610829</v>
      </c>
      <c r="AB6" s="192">
        <f t="shared" si="0"/>
        <v>13.466674098111907</v>
      </c>
      <c r="AC6" s="191">
        <f t="shared" si="0"/>
        <v>16.350158148247193</v>
      </c>
      <c r="AE6" s="797" t="s">
        <v>0</v>
      </c>
      <c r="AF6" s="124" t="s">
        <v>9</v>
      </c>
      <c r="AG6" s="178" t="s">
        <v>257</v>
      </c>
      <c r="AH6" s="190">
        <f>X6</f>
        <v>13.466674098111907</v>
      </c>
      <c r="AI6" s="191">
        <f t="shared" ref="AI6:AI7" si="1">Y6</f>
        <v>16.350158148247193</v>
      </c>
      <c r="AJ6" s="190">
        <f t="shared" ref="AJ6:AJ7" si="2">Z6</f>
        <v>13.466674098111907</v>
      </c>
      <c r="AK6" s="191">
        <f t="shared" ref="AK6:AK7" si="3">AA6</f>
        <v>15.829521784610829</v>
      </c>
      <c r="AL6" s="192">
        <f t="shared" ref="AL6:AL7" si="4">AB6</f>
        <v>13.466674098111907</v>
      </c>
      <c r="AM6" s="191">
        <f t="shared" ref="AM6:AM7" si="5">AC6</f>
        <v>16.350158148247193</v>
      </c>
    </row>
    <row r="7" spans="1:39" x14ac:dyDescent="0.25">
      <c r="A7" s="798"/>
      <c r="B7" s="125" t="s">
        <v>7</v>
      </c>
      <c r="C7" s="179" t="s">
        <v>258</v>
      </c>
      <c r="D7" s="269">
        <f>Indata!D59</f>
        <v>1.1975304347826086</v>
      </c>
      <c r="E7" s="270">
        <f>Indata!E59</f>
        <v>1.4034</v>
      </c>
      <c r="F7" s="269">
        <f>Indata!F59</f>
        <v>1.1975304347826086</v>
      </c>
      <c r="G7" s="271">
        <f>Indata!G59</f>
        <v>1.4034</v>
      </c>
      <c r="H7" s="272">
        <f>Indata!H59</f>
        <v>1.1975304347826086</v>
      </c>
      <c r="I7" s="271">
        <f>Indata!I59</f>
        <v>1.4034</v>
      </c>
      <c r="K7" s="798"/>
      <c r="L7" s="125" t="s">
        <v>7</v>
      </c>
      <c r="M7" s="179" t="s">
        <v>258</v>
      </c>
      <c r="N7" s="269">
        <f>'Modell - Drivmedelpriser'!E84</f>
        <v>1.1975304347826086</v>
      </c>
      <c r="O7" s="270">
        <f>'Modell - Drivmedelpriser'!F84</f>
        <v>1.4034</v>
      </c>
      <c r="P7" s="269">
        <f>'Modell - Drivmedelpriser'!G84</f>
        <v>1.1975304347826086</v>
      </c>
      <c r="Q7" s="271">
        <f>'Modell - Drivmedelpriser'!H84</f>
        <v>1.4034</v>
      </c>
      <c r="R7" s="272">
        <f>'Modell - Drivmedelpriser'!I84</f>
        <v>1.1975304347826086</v>
      </c>
      <c r="S7" s="271">
        <f>'Modell - Drivmedelpriser'!J84</f>
        <v>1.4034</v>
      </c>
      <c r="U7" s="798"/>
      <c r="V7" s="125" t="s">
        <v>7</v>
      </c>
      <c r="W7" s="179" t="s">
        <v>258</v>
      </c>
      <c r="X7" s="269">
        <f t="shared" si="0"/>
        <v>1.1975304347826086</v>
      </c>
      <c r="Y7" s="270">
        <f t="shared" si="0"/>
        <v>1.4034</v>
      </c>
      <c r="Z7" s="269">
        <f t="shared" si="0"/>
        <v>1.1975304347826086</v>
      </c>
      <c r="AA7" s="271">
        <f t="shared" si="0"/>
        <v>1.4034</v>
      </c>
      <c r="AB7" s="272">
        <f t="shared" si="0"/>
        <v>1.1975304347826086</v>
      </c>
      <c r="AC7" s="271">
        <f t="shared" si="0"/>
        <v>1.4034</v>
      </c>
      <c r="AE7" s="798"/>
      <c r="AF7" s="125" t="s">
        <v>7</v>
      </c>
      <c r="AG7" s="179" t="s">
        <v>258</v>
      </c>
      <c r="AH7" s="269">
        <f t="shared" ref="AH7" si="6">X7</f>
        <v>1.1975304347826086</v>
      </c>
      <c r="AI7" s="270">
        <f t="shared" si="1"/>
        <v>1.4034</v>
      </c>
      <c r="AJ7" s="269">
        <f t="shared" si="2"/>
        <v>1.1975304347826086</v>
      </c>
      <c r="AK7" s="271">
        <f t="shared" si="3"/>
        <v>1.4034</v>
      </c>
      <c r="AL7" s="272">
        <f t="shared" si="4"/>
        <v>1.1975304347826086</v>
      </c>
      <c r="AM7" s="271">
        <f t="shared" si="5"/>
        <v>1.4034</v>
      </c>
    </row>
    <row r="8" spans="1:39" ht="15.75" thickBot="1" x14ac:dyDescent="0.3">
      <c r="A8" s="799"/>
      <c r="B8" s="176" t="s">
        <v>239</v>
      </c>
      <c r="C8" s="180" t="s">
        <v>25</v>
      </c>
      <c r="D8" s="273" t="s">
        <v>78</v>
      </c>
      <c r="E8" s="274" t="s">
        <v>78</v>
      </c>
      <c r="F8" s="273" t="s">
        <v>78</v>
      </c>
      <c r="G8" s="275" t="s">
        <v>78</v>
      </c>
      <c r="H8" s="276" t="s">
        <v>78</v>
      </c>
      <c r="I8" s="275" t="s">
        <v>78</v>
      </c>
      <c r="K8" s="799"/>
      <c r="L8" s="176" t="s">
        <v>239</v>
      </c>
      <c r="M8" s="180" t="s">
        <v>25</v>
      </c>
      <c r="N8" s="212">
        <f>N6/D6-1</f>
        <v>0</v>
      </c>
      <c r="O8" s="292">
        <f t="shared" ref="O8:S8" si="7">O6/E6-1</f>
        <v>0</v>
      </c>
      <c r="P8" s="212">
        <f t="shared" si="7"/>
        <v>0</v>
      </c>
      <c r="Q8" s="213">
        <f>Q6/G6-1</f>
        <v>-3.1842894662898247E-2</v>
      </c>
      <c r="R8" s="214">
        <f t="shared" si="7"/>
        <v>0</v>
      </c>
      <c r="S8" s="213">
        <f t="shared" si="7"/>
        <v>0</v>
      </c>
      <c r="U8" s="799"/>
      <c r="V8" s="176" t="s">
        <v>239</v>
      </c>
      <c r="W8" s="180" t="s">
        <v>25</v>
      </c>
      <c r="X8" s="212">
        <f t="shared" ref="X8:AC8" si="8">X6/D6-1</f>
        <v>0</v>
      </c>
      <c r="Y8" s="292">
        <f t="shared" si="8"/>
        <v>0</v>
      </c>
      <c r="Z8" s="212">
        <f t="shared" si="8"/>
        <v>0</v>
      </c>
      <c r="AA8" s="213">
        <f t="shared" si="8"/>
        <v>-3.1842894662898247E-2</v>
      </c>
      <c r="AB8" s="214">
        <f t="shared" si="8"/>
        <v>0</v>
      </c>
      <c r="AC8" s="213">
        <f t="shared" si="8"/>
        <v>0</v>
      </c>
      <c r="AE8" s="799"/>
      <c r="AF8" s="176" t="s">
        <v>239</v>
      </c>
      <c r="AG8" s="180" t="s">
        <v>25</v>
      </c>
      <c r="AH8" s="212">
        <f t="shared" ref="AH8:AM8" si="9">AH6/D6-1</f>
        <v>0</v>
      </c>
      <c r="AI8" s="292">
        <f t="shared" si="9"/>
        <v>0</v>
      </c>
      <c r="AJ8" s="212">
        <f t="shared" si="9"/>
        <v>0</v>
      </c>
      <c r="AK8" s="213">
        <f t="shared" si="9"/>
        <v>-3.1842894662898247E-2</v>
      </c>
      <c r="AL8" s="214">
        <f t="shared" si="9"/>
        <v>0</v>
      </c>
      <c r="AM8" s="213">
        <f t="shared" si="9"/>
        <v>0</v>
      </c>
    </row>
    <row r="9" spans="1:39" x14ac:dyDescent="0.25">
      <c r="AE9" s="38"/>
      <c r="AF9" s="38"/>
      <c r="AG9" s="38"/>
      <c r="AH9" s="38"/>
      <c r="AI9" s="38"/>
      <c r="AJ9" s="38"/>
      <c r="AK9" s="38"/>
      <c r="AL9" s="38"/>
      <c r="AM9" s="38"/>
    </row>
    <row r="10" spans="1:39" ht="15.75" thickBot="1" x14ac:dyDescent="0.3">
      <c r="A10" s="40" t="s">
        <v>80</v>
      </c>
      <c r="D10" s="74"/>
      <c r="E10" s="74"/>
      <c r="F10" s="74"/>
      <c r="G10" s="74"/>
      <c r="H10" s="74"/>
      <c r="I10" s="74"/>
      <c r="K10" s="40" t="s">
        <v>622</v>
      </c>
      <c r="N10" s="74"/>
      <c r="O10" s="74"/>
      <c r="P10" s="74"/>
      <c r="Q10" s="74"/>
      <c r="R10" s="74"/>
      <c r="S10" s="74"/>
      <c r="U10" s="40" t="s">
        <v>89</v>
      </c>
      <c r="X10" s="74"/>
      <c r="Y10" s="74"/>
      <c r="Z10" s="74"/>
      <c r="AA10" s="74"/>
      <c r="AB10" s="74"/>
      <c r="AC10" s="74"/>
      <c r="AE10" s="40" t="s">
        <v>152</v>
      </c>
      <c r="AF10" s="38"/>
      <c r="AG10" s="38"/>
      <c r="AH10" s="74"/>
      <c r="AI10" s="74"/>
      <c r="AJ10" s="74"/>
      <c r="AK10" s="74"/>
      <c r="AL10" s="74"/>
      <c r="AM10" s="74"/>
    </row>
    <row r="11" spans="1:39" ht="14.45" customHeight="1" x14ac:dyDescent="0.25">
      <c r="A11" s="794" t="s">
        <v>38</v>
      </c>
      <c r="B11" s="124" t="s">
        <v>136</v>
      </c>
      <c r="C11" s="124" t="s">
        <v>39</v>
      </c>
      <c r="D11" s="190">
        <f>Indata!D46</f>
        <v>1.409627347092486</v>
      </c>
      <c r="E11" s="215">
        <f>Indata!E46</f>
        <v>1.0975404858629165</v>
      </c>
      <c r="F11" s="190">
        <f>Indata!F46</f>
        <v>1.409627347092486</v>
      </c>
      <c r="G11" s="191">
        <f>Indata!G46</f>
        <v>1.0975404858629165</v>
      </c>
      <c r="H11" s="192">
        <f>Indata!H46</f>
        <v>1.409627347092486</v>
      </c>
      <c r="I11" s="191">
        <f>Indata!I46</f>
        <v>1.0975404858629165</v>
      </c>
      <c r="K11" s="812" t="s">
        <v>38</v>
      </c>
      <c r="L11" s="651" t="s">
        <v>136</v>
      </c>
      <c r="M11" s="651" t="s">
        <v>39</v>
      </c>
      <c r="N11" s="190">
        <f>D11*(1+Indata!D$72*'Förarlösa lastbilar - beräkning'!D$5)*(100%+N$8*'Indata - Effektsamband-Faktorer'!$D$6)*(1-Indata!D$20)</f>
        <v>1.409627347092486</v>
      </c>
      <c r="O11" s="215">
        <f>E11*(1+Indata!E$72*'Förarlösa lastbilar - beräkning'!E$5)*(100%+O$8*'Indata - Effektsamband-Faktorer'!$D$6)*(1-Indata!E$20)</f>
        <v>1.0975404858629165</v>
      </c>
      <c r="P11" s="190">
        <f>F11*(1+Indata!F$72*'Förarlösa lastbilar - beräkning'!F$5)*(100%+P$8*'Indata - Effektsamband-Faktorer'!$D$6)*(1-Indata!F$20)</f>
        <v>1.3711829648990548</v>
      </c>
      <c r="Q11" s="191">
        <f>G11*(1+Indata!G$72*'Förarlösa lastbilar - beräkning'!G$5)*(100%+Q$8*'Indata - Effektsamband-Faktorer'!$D$6)*(1-Indata!G$20)</f>
        <v>1.0969917156199851</v>
      </c>
      <c r="R11" s="192">
        <f>H11*(1+Indata!H$72*'Förarlösa lastbilar - beräkning'!H$5)*(100%+R$8*'Indata - Effektsamband-Faktorer'!$D$6)*(1-Indata!H$20)</f>
        <v>1.3711829648990548</v>
      </c>
      <c r="S11" s="191">
        <f>I11*(1+Indata!I$72*'Förarlösa lastbilar - beräkning'!I$5)*(100%+S$8*'Indata - Effektsamband-Faktorer'!$D$6)*(1-Indata!I$20)</f>
        <v>1.0975404858629165</v>
      </c>
      <c r="U11" s="794" t="s">
        <v>38</v>
      </c>
      <c r="V11" s="124" t="s">
        <v>136</v>
      </c>
      <c r="W11" s="124" t="s">
        <v>39</v>
      </c>
      <c r="X11" s="190">
        <f t="shared" ref="X11:AC14" si="10">N11</f>
        <v>1.409627347092486</v>
      </c>
      <c r="Y11" s="215">
        <f t="shared" si="10"/>
        <v>1.0975404858629165</v>
      </c>
      <c r="Z11" s="190">
        <f t="shared" si="10"/>
        <v>1.3711829648990548</v>
      </c>
      <c r="AA11" s="191">
        <f t="shared" si="10"/>
        <v>1.0969917156199851</v>
      </c>
      <c r="AB11" s="192">
        <f t="shared" si="10"/>
        <v>1.3711829648990548</v>
      </c>
      <c r="AC11" s="191">
        <f t="shared" si="10"/>
        <v>1.0975404858629165</v>
      </c>
      <c r="AE11" s="794" t="s">
        <v>38</v>
      </c>
      <c r="AF11" s="124" t="s">
        <v>136</v>
      </c>
      <c r="AG11" s="124" t="s">
        <v>39</v>
      </c>
      <c r="AH11" s="190">
        <f>X11</f>
        <v>1.409627347092486</v>
      </c>
      <c r="AI11" s="215">
        <f t="shared" ref="AI11:AI14" si="11">Y11</f>
        <v>1.0975404858629165</v>
      </c>
      <c r="AJ11" s="190">
        <f t="shared" ref="AJ11:AJ14" si="12">Z11</f>
        <v>1.3711829648990548</v>
      </c>
      <c r="AK11" s="191">
        <f t="shared" ref="AK11:AK14" si="13">AA11</f>
        <v>1.0969917156199851</v>
      </c>
      <c r="AL11" s="192">
        <f t="shared" ref="AL11:AL14" si="14">AB11</f>
        <v>1.3711829648990548</v>
      </c>
      <c r="AM11" s="191">
        <f t="shared" ref="AM11:AM14" si="15">AC11</f>
        <v>1.0975404858629165</v>
      </c>
    </row>
    <row r="12" spans="1:39" x14ac:dyDescent="0.25">
      <c r="A12" s="795"/>
      <c r="B12" s="125" t="s">
        <v>137</v>
      </c>
      <c r="C12" s="125" t="s">
        <v>39</v>
      </c>
      <c r="D12" s="193">
        <f>Indata!D47</f>
        <v>1.8521521959043132</v>
      </c>
      <c r="E12" s="216">
        <f>Indata!E47</f>
        <v>1.4301687678393367</v>
      </c>
      <c r="F12" s="193">
        <f>Indata!F47</f>
        <v>1.8521521959043132</v>
      </c>
      <c r="G12" s="194">
        <f>Indata!G47</f>
        <v>1.4301687678393367</v>
      </c>
      <c r="H12" s="195">
        <f>Indata!H47</f>
        <v>1.8521521959043132</v>
      </c>
      <c r="I12" s="194">
        <f>Indata!I47</f>
        <v>1.4301687678393367</v>
      </c>
      <c r="K12" s="813"/>
      <c r="L12" s="652" t="s">
        <v>137</v>
      </c>
      <c r="M12" s="652" t="s">
        <v>39</v>
      </c>
      <c r="N12" s="193">
        <f>D12*(1+Indata!D$72*'Förarlösa lastbilar - beräkning'!D$5)*(100%+N$8*'Indata - Effektsamband-Faktorer'!$D$6)*(1-Indata!D$20)</f>
        <v>1.8521521959043132</v>
      </c>
      <c r="O12" s="216">
        <f>E12*(1+Indata!E$72*'Förarlösa lastbilar - beräkning'!E$5)*(100%+O$8*'Indata - Effektsamband-Faktorer'!$D$6)*(1-Indata!E$20)</f>
        <v>1.4301687678393367</v>
      </c>
      <c r="P12" s="193">
        <f>F12*(1+Indata!F$72*'Förarlösa lastbilar - beräkning'!F$5)*(100%+P$8*'Indata - Effektsamband-Faktorer'!$D$6)*(1-Indata!F$20)</f>
        <v>1.8016389541978322</v>
      </c>
      <c r="Q12" s="194">
        <f>G12*(1+Indata!G$72*'Förarlösa lastbilar - beräkning'!G$5)*(100%+Q$8*'Indata - Effektsamband-Faktorer'!$D$6)*(1-Indata!G$20)</f>
        <v>1.429453683455417</v>
      </c>
      <c r="R12" s="195">
        <f>H12*(1+Indata!H$72*'Förarlösa lastbilar - beräkning'!H$5)*(100%+R$8*'Indata - Effektsamband-Faktorer'!$D$6)*(1-Indata!H$20)</f>
        <v>1.8016389541978322</v>
      </c>
      <c r="S12" s="194">
        <f>I12*(1+Indata!I$72*'Förarlösa lastbilar - beräkning'!I$5)*(100%+S$8*'Indata - Effektsamband-Faktorer'!$D$6)*(1-Indata!I$20)</f>
        <v>1.4301687678393367</v>
      </c>
      <c r="U12" s="795"/>
      <c r="V12" s="125" t="s">
        <v>137</v>
      </c>
      <c r="W12" s="125" t="s">
        <v>39</v>
      </c>
      <c r="X12" s="193">
        <f t="shared" si="10"/>
        <v>1.8521521959043132</v>
      </c>
      <c r="Y12" s="216">
        <f t="shared" si="10"/>
        <v>1.4301687678393367</v>
      </c>
      <c r="Z12" s="193">
        <f t="shared" si="10"/>
        <v>1.8016389541978322</v>
      </c>
      <c r="AA12" s="194">
        <f t="shared" si="10"/>
        <v>1.429453683455417</v>
      </c>
      <c r="AB12" s="195">
        <f t="shared" si="10"/>
        <v>1.8016389541978322</v>
      </c>
      <c r="AC12" s="194">
        <f t="shared" si="10"/>
        <v>1.4301687678393367</v>
      </c>
      <c r="AE12" s="795"/>
      <c r="AF12" s="125" t="s">
        <v>137</v>
      </c>
      <c r="AG12" s="125" t="s">
        <v>39</v>
      </c>
      <c r="AH12" s="193">
        <f>X12</f>
        <v>1.8521521959043132</v>
      </c>
      <c r="AI12" s="216">
        <f t="shared" si="11"/>
        <v>1.4301687678393367</v>
      </c>
      <c r="AJ12" s="193">
        <f t="shared" si="12"/>
        <v>1.8016389541978322</v>
      </c>
      <c r="AK12" s="194">
        <f t="shared" si="13"/>
        <v>1.429453683455417</v>
      </c>
      <c r="AL12" s="195">
        <f t="shared" si="14"/>
        <v>1.8016389541978322</v>
      </c>
      <c r="AM12" s="194">
        <f t="shared" si="15"/>
        <v>1.4301687678393367</v>
      </c>
    </row>
    <row r="13" spans="1:39" x14ac:dyDescent="0.25">
      <c r="A13" s="795"/>
      <c r="B13" s="125" t="s">
        <v>138</v>
      </c>
      <c r="C13" s="125" t="s">
        <v>39</v>
      </c>
      <c r="D13" s="269">
        <f>Indata!D48</f>
        <v>2.2765487554982271</v>
      </c>
      <c r="E13" s="270">
        <f>Indata!E48</f>
        <v>1.7743995375527619</v>
      </c>
      <c r="F13" s="269">
        <f>Indata!F48</f>
        <v>2.2765487554982271</v>
      </c>
      <c r="G13" s="271">
        <f>Indata!G48</f>
        <v>1.7743995375527619</v>
      </c>
      <c r="H13" s="272">
        <f>Indata!H48</f>
        <v>2.2765487554982271</v>
      </c>
      <c r="I13" s="271">
        <f>Indata!I48</f>
        <v>1.7743995375527619</v>
      </c>
      <c r="K13" s="813"/>
      <c r="L13" s="652" t="s">
        <v>138</v>
      </c>
      <c r="M13" s="652" t="s">
        <v>39</v>
      </c>
      <c r="N13" s="193">
        <f>D13*(1+Indata!D$72*'Förarlösa lastbilar - beräkning'!D$5)*(100%+N$8*'Indata - Effektsamband-Faktorer'!$D$6)*(1-Indata!D$20)</f>
        <v>2.2765487554982271</v>
      </c>
      <c r="O13" s="216">
        <f>E13*(1+Indata!E$72*'Förarlösa lastbilar - beräkning'!E$5)*(100%+O$8*'Indata - Effektsamband-Faktorer'!$D$6)*(1-Indata!E$20)</f>
        <v>1.7743995375527619</v>
      </c>
      <c r="P13" s="193">
        <f>F13*(1+Indata!F$72*'Förarlösa lastbilar - beräkning'!F$5)*(100%+P$8*'Indata - Effektsamband-Faktorer'!$D$6)*(1-Indata!F$20)</f>
        <v>2.2144610621664573</v>
      </c>
      <c r="Q13" s="194">
        <f>G13*(1+Indata!G$72*'Förarlösa lastbilar - beräkning'!G$5)*(100%+Q$8*'Indata - Effektsamband-Faktorer'!$D$6)*(1-Indata!G$20)</f>
        <v>1.7735123377839856</v>
      </c>
      <c r="R13" s="195">
        <f>H13*(1+Indata!H$72*'Förarlösa lastbilar - beräkning'!H$5)*(100%+R$8*'Indata - Effektsamband-Faktorer'!$D$6)*(1-Indata!H$20)</f>
        <v>2.2144610621664573</v>
      </c>
      <c r="S13" s="194">
        <f>I13*(1+Indata!I$72*'Förarlösa lastbilar - beräkning'!I$5)*(100%+S$8*'Indata - Effektsamband-Faktorer'!$D$6)*(1-Indata!I$20)</f>
        <v>1.7743995375527619</v>
      </c>
      <c r="U13" s="795"/>
      <c r="V13" s="125" t="s">
        <v>138</v>
      </c>
      <c r="W13" s="125" t="s">
        <v>39</v>
      </c>
      <c r="X13" s="269">
        <f t="shared" si="10"/>
        <v>2.2765487554982271</v>
      </c>
      <c r="Y13" s="270">
        <f t="shared" si="10"/>
        <v>1.7743995375527619</v>
      </c>
      <c r="Z13" s="269">
        <f t="shared" si="10"/>
        <v>2.2144610621664573</v>
      </c>
      <c r="AA13" s="271">
        <f t="shared" si="10"/>
        <v>1.7735123377839856</v>
      </c>
      <c r="AB13" s="272">
        <f t="shared" si="10"/>
        <v>2.2144610621664573</v>
      </c>
      <c r="AC13" s="271">
        <f t="shared" si="10"/>
        <v>1.7743995375527619</v>
      </c>
      <c r="AE13" s="795"/>
      <c r="AF13" s="125" t="s">
        <v>138</v>
      </c>
      <c r="AG13" s="125" t="s">
        <v>39</v>
      </c>
      <c r="AH13" s="269">
        <f t="shared" ref="AH13:AH14" si="16">X13</f>
        <v>2.2765487554982271</v>
      </c>
      <c r="AI13" s="270">
        <f t="shared" si="11"/>
        <v>1.7743995375527619</v>
      </c>
      <c r="AJ13" s="269">
        <f t="shared" si="12"/>
        <v>2.2144610621664573</v>
      </c>
      <c r="AK13" s="271">
        <f t="shared" si="13"/>
        <v>1.7735123377839856</v>
      </c>
      <c r="AL13" s="272">
        <f t="shared" si="14"/>
        <v>2.2144610621664573</v>
      </c>
      <c r="AM13" s="271">
        <f t="shared" si="15"/>
        <v>1.7743995375527619</v>
      </c>
    </row>
    <row r="14" spans="1:39" x14ac:dyDescent="0.25">
      <c r="A14" s="795"/>
      <c r="B14" s="125" t="s">
        <v>139</v>
      </c>
      <c r="C14" s="125" t="s">
        <v>39</v>
      </c>
      <c r="D14" s="269">
        <f>Indata!D49</f>
        <v>2.9364819147657566</v>
      </c>
      <c r="E14" s="270">
        <f>Indata!E49</f>
        <v>2.3008116808806713</v>
      </c>
      <c r="F14" s="269">
        <f>Indata!F49</f>
        <v>2.9364819147657566</v>
      </c>
      <c r="G14" s="271">
        <f>Indata!G49</f>
        <v>2.3008116808806713</v>
      </c>
      <c r="H14" s="272">
        <f>Indata!H49</f>
        <v>2.9364819147657566</v>
      </c>
      <c r="I14" s="271">
        <f>Indata!I49</f>
        <v>2.3008116808806713</v>
      </c>
      <c r="K14" s="813"/>
      <c r="L14" s="652" t="s">
        <v>139</v>
      </c>
      <c r="M14" s="652" t="s">
        <v>39</v>
      </c>
      <c r="N14" s="193">
        <f>D14*(1+Indata!D$72*'Förarlösa lastbilar - beräkning'!D$5)*(100%+N$8*'Indata - Effektsamband-Faktorer'!$D$6)*(1-Indata!D$20)</f>
        <v>2.9364819147657566</v>
      </c>
      <c r="O14" s="216">
        <f>E14*(1+Indata!E$72*'Förarlösa lastbilar - beräkning'!E$5)*(100%+O$8*'Indata - Effektsamband-Faktorer'!$D$6)*(1-Indata!E$20)</f>
        <v>2.3008116808806713</v>
      </c>
      <c r="P14" s="193">
        <f>F14*(1+Indata!F$72*'Förarlösa lastbilar - beräkning'!F$5)*(100%+P$8*'Indata - Effektsamband-Faktorer'!$D$6)*(1-Indata!F$20)</f>
        <v>2.8563960443630543</v>
      </c>
      <c r="Q14" s="194">
        <f>G14*(1+Indata!G$72*'Förarlösa lastbilar - beräkning'!G$5)*(100%+Q$8*'Indata - Effektsamband-Faktorer'!$D$6)*(1-Indata!G$20)</f>
        <v>2.299661275040231</v>
      </c>
      <c r="R14" s="195">
        <f>H14*(1+Indata!H$72*'Förarlösa lastbilar - beräkning'!H$5)*(100%+R$8*'Indata - Effektsamband-Faktorer'!$D$6)*(1-Indata!H$20)</f>
        <v>2.8563960443630543</v>
      </c>
      <c r="S14" s="194">
        <f>I14*(1+Indata!I$72*'Förarlösa lastbilar - beräkning'!I$5)*(100%+S$8*'Indata - Effektsamband-Faktorer'!$D$6)*(1-Indata!I$20)</f>
        <v>2.3008116808806713</v>
      </c>
      <c r="U14" s="795"/>
      <c r="V14" s="125" t="s">
        <v>139</v>
      </c>
      <c r="W14" s="125" t="s">
        <v>39</v>
      </c>
      <c r="X14" s="269">
        <f t="shared" si="10"/>
        <v>2.9364819147657566</v>
      </c>
      <c r="Y14" s="270">
        <f t="shared" si="10"/>
        <v>2.3008116808806713</v>
      </c>
      <c r="Z14" s="269">
        <f t="shared" si="10"/>
        <v>2.8563960443630543</v>
      </c>
      <c r="AA14" s="271">
        <f t="shared" si="10"/>
        <v>2.299661275040231</v>
      </c>
      <c r="AB14" s="272">
        <f t="shared" si="10"/>
        <v>2.8563960443630543</v>
      </c>
      <c r="AC14" s="271">
        <f t="shared" si="10"/>
        <v>2.3008116808806713</v>
      </c>
      <c r="AE14" s="795"/>
      <c r="AF14" s="125" t="s">
        <v>139</v>
      </c>
      <c r="AG14" s="125" t="s">
        <v>39</v>
      </c>
      <c r="AH14" s="269">
        <f t="shared" si="16"/>
        <v>2.9364819147657566</v>
      </c>
      <c r="AI14" s="270">
        <f t="shared" si="11"/>
        <v>2.3008116808806713</v>
      </c>
      <c r="AJ14" s="269">
        <f t="shared" si="12"/>
        <v>2.8563960443630543</v>
      </c>
      <c r="AK14" s="271">
        <f t="shared" si="13"/>
        <v>2.299661275040231</v>
      </c>
      <c r="AL14" s="272">
        <f t="shared" si="14"/>
        <v>2.8563960443630543</v>
      </c>
      <c r="AM14" s="271">
        <f t="shared" si="15"/>
        <v>2.3008116808806713</v>
      </c>
    </row>
    <row r="15" spans="1:39" ht="15.75" thickBot="1" x14ac:dyDescent="0.3">
      <c r="A15" s="795"/>
      <c r="B15" s="175" t="s">
        <v>140</v>
      </c>
      <c r="C15" s="175" t="s">
        <v>39</v>
      </c>
      <c r="D15" s="265">
        <f>SUMPRODUCT(D11:D14,D36:D39)/D40</f>
        <v>2.635417410126252</v>
      </c>
      <c r="E15" s="266">
        <f t="shared" ref="E15:I15" si="17">SUMPRODUCT(E11:E14,E36:E39)/E40</f>
        <v>2.104120696313331</v>
      </c>
      <c r="F15" s="265">
        <f t="shared" si="17"/>
        <v>2.619116556182119</v>
      </c>
      <c r="G15" s="267">
        <f t="shared" si="17"/>
        <v>2.0479699429183946</v>
      </c>
      <c r="H15" s="268">
        <f t="shared" si="17"/>
        <v>2.619116556182119</v>
      </c>
      <c r="I15" s="267">
        <f t="shared" si="17"/>
        <v>2.0479699429183946</v>
      </c>
      <c r="K15" s="813"/>
      <c r="L15" s="653" t="s">
        <v>140</v>
      </c>
      <c r="M15" s="653" t="s">
        <v>39</v>
      </c>
      <c r="N15" s="196">
        <f t="shared" ref="N15:S15" si="18">SUMPRODUCT(N11:N14,N36:N39)/N40</f>
        <v>2.635417410126252</v>
      </c>
      <c r="O15" s="197">
        <f t="shared" si="18"/>
        <v>2.104120696313331</v>
      </c>
      <c r="P15" s="196">
        <f t="shared" si="18"/>
        <v>2.5476861046498795</v>
      </c>
      <c r="Q15" s="198">
        <f t="shared" si="18"/>
        <v>2.0469459579469351</v>
      </c>
      <c r="R15" s="199">
        <f t="shared" si="18"/>
        <v>2.5476861046498795</v>
      </c>
      <c r="S15" s="198">
        <f t="shared" si="18"/>
        <v>2.0479699429183946</v>
      </c>
      <c r="U15" s="795"/>
      <c r="V15" s="175" t="s">
        <v>140</v>
      </c>
      <c r="W15" s="175" t="s">
        <v>39</v>
      </c>
      <c r="X15" s="265">
        <f t="shared" ref="X15:AC15" si="19">SUMPRODUCT(X11:X14,X36:X39)/X40</f>
        <v>2.635417410126252</v>
      </c>
      <c r="Y15" s="266">
        <f t="shared" si="19"/>
        <v>2.104120696313331</v>
      </c>
      <c r="Z15" s="265">
        <f t="shared" si="19"/>
        <v>2.54768610464988</v>
      </c>
      <c r="AA15" s="267">
        <f t="shared" si="19"/>
        <v>2.0469459579469351</v>
      </c>
      <c r="AB15" s="268">
        <f t="shared" si="19"/>
        <v>2.54768610464988</v>
      </c>
      <c r="AC15" s="267">
        <f t="shared" si="19"/>
        <v>2.0479699429183946</v>
      </c>
      <c r="AE15" s="795"/>
      <c r="AF15" s="175" t="s">
        <v>140</v>
      </c>
      <c r="AG15" s="175" t="s">
        <v>39</v>
      </c>
      <c r="AH15" s="265">
        <f t="shared" ref="AH15:AM15" si="20">SUMPRODUCT(AH11:AH14,AH36:AH39)/AH40</f>
        <v>2.635417410126252</v>
      </c>
      <c r="AI15" s="266">
        <f t="shared" si="20"/>
        <v>2.104120696313331</v>
      </c>
      <c r="AJ15" s="265">
        <f t="shared" si="20"/>
        <v>2.54768610464988</v>
      </c>
      <c r="AK15" s="267">
        <f>SUMPRODUCT(AK11:AK14,AK36:AK39)/AK40</f>
        <v>2.0469459579469351</v>
      </c>
      <c r="AL15" s="268">
        <f t="shared" si="20"/>
        <v>2.54768610464988</v>
      </c>
      <c r="AM15" s="267">
        <f t="shared" si="20"/>
        <v>2.0479699429183946</v>
      </c>
    </row>
    <row r="16" spans="1:39" x14ac:dyDescent="0.25">
      <c r="A16" s="795"/>
      <c r="B16" s="125" t="s">
        <v>141</v>
      </c>
      <c r="C16" s="125" t="s">
        <v>40</v>
      </c>
      <c r="D16" s="269">
        <f>Indata!D50</f>
        <v>8.4732522945626005</v>
      </c>
      <c r="E16" s="270">
        <f>Indata!E50</f>
        <v>8.4732522945626005</v>
      </c>
      <c r="F16" s="269">
        <f>Indata!F50</f>
        <v>8.4732522945626005</v>
      </c>
      <c r="G16" s="271">
        <f>Indata!G50</f>
        <v>8.4732522945626005</v>
      </c>
      <c r="H16" s="272">
        <f>Indata!H50</f>
        <v>8.4732522945626005</v>
      </c>
      <c r="I16" s="271">
        <f>Indata!I50</f>
        <v>8.4732522945626005</v>
      </c>
      <c r="K16" s="813"/>
      <c r="L16" s="652" t="s">
        <v>141</v>
      </c>
      <c r="M16" s="652" t="s">
        <v>40</v>
      </c>
      <c r="N16" s="439">
        <f>D16*(1-Indata!D$20)*(1+Indata!D$72*'Förarlösa lastbilar - beräkning'!D$5)</f>
        <v>8.4732522945626005</v>
      </c>
      <c r="O16" s="755">
        <f>E16*(1-Indata!E$20)*(1+Indata!E$72*'Förarlösa lastbilar - beräkning'!E$5)</f>
        <v>8.4732522945626005</v>
      </c>
      <c r="P16" s="439">
        <f>F16*(1-Indata!F$20)*(1+Indata!F$72*'Förarlösa lastbilar - beräkning'!F$5)</f>
        <v>8.242163595619985</v>
      </c>
      <c r="Q16" s="440">
        <f>G16*(1-Indata!G$20)*(1+Indata!G$72*'Förarlösa lastbilar - beräkning'!G$5)</f>
        <v>8.4690156684153202</v>
      </c>
      <c r="R16" s="444">
        <f>H16*(1-Indata!H$20)*(1+Indata!H$72*'Förarlösa lastbilar - beräkning'!H$5)</f>
        <v>8.242163595619985</v>
      </c>
      <c r="S16" s="440">
        <f>I16*(1-Indata!I$20)*(1+Indata!I$72*'Förarlösa lastbilar - beräkning'!I$5)</f>
        <v>8.4732522945626005</v>
      </c>
      <c r="U16" s="795"/>
      <c r="V16" s="125" t="s">
        <v>141</v>
      </c>
      <c r="W16" s="125" t="s">
        <v>40</v>
      </c>
      <c r="X16" s="269">
        <f t="shared" ref="X16:AC19" si="21">N16</f>
        <v>8.4732522945626005</v>
      </c>
      <c r="Y16" s="270">
        <f t="shared" si="21"/>
        <v>8.4732522945626005</v>
      </c>
      <c r="Z16" s="269">
        <f t="shared" si="21"/>
        <v>8.242163595619985</v>
      </c>
      <c r="AA16" s="271">
        <f t="shared" si="21"/>
        <v>8.4690156684153202</v>
      </c>
      <c r="AB16" s="272">
        <f t="shared" si="21"/>
        <v>8.242163595619985</v>
      </c>
      <c r="AC16" s="271">
        <f t="shared" si="21"/>
        <v>8.4732522945626005</v>
      </c>
      <c r="AE16" s="795"/>
      <c r="AF16" s="125" t="s">
        <v>141</v>
      </c>
      <c r="AG16" s="125" t="s">
        <v>40</v>
      </c>
      <c r="AH16" s="269">
        <f t="shared" ref="AH16:AH19" si="22">X16</f>
        <v>8.4732522945626005</v>
      </c>
      <c r="AI16" s="270">
        <f t="shared" ref="AI16:AI19" si="23">Y16</f>
        <v>8.4732522945626005</v>
      </c>
      <c r="AJ16" s="269">
        <f t="shared" ref="AJ16:AJ19" si="24">Z16</f>
        <v>8.242163595619985</v>
      </c>
      <c r="AK16" s="271">
        <f t="shared" ref="AK16:AK19" si="25">AA16</f>
        <v>8.4690156684153202</v>
      </c>
      <c r="AL16" s="272">
        <f t="shared" ref="AL16:AL19" si="26">AB16</f>
        <v>8.242163595619985</v>
      </c>
      <c r="AM16" s="271">
        <f t="shared" ref="AM16:AM19" si="27">AC16</f>
        <v>8.4732522945626005</v>
      </c>
    </row>
    <row r="17" spans="1:39" x14ac:dyDescent="0.25">
      <c r="A17" s="795"/>
      <c r="B17" s="125" t="s">
        <v>142</v>
      </c>
      <c r="C17" s="125" t="s">
        <v>40</v>
      </c>
      <c r="D17" s="269">
        <f>Indata!D51</f>
        <v>8.4732522945626005</v>
      </c>
      <c r="E17" s="270">
        <f>Indata!E51</f>
        <v>8.4732522945626005</v>
      </c>
      <c r="F17" s="269">
        <f>Indata!F51</f>
        <v>8.4732522945626005</v>
      </c>
      <c r="G17" s="271">
        <f>Indata!G51</f>
        <v>8.4732522945626005</v>
      </c>
      <c r="H17" s="272">
        <f>Indata!H51</f>
        <v>8.4732522945626005</v>
      </c>
      <c r="I17" s="271">
        <f>Indata!I51</f>
        <v>8.4732522945626005</v>
      </c>
      <c r="K17" s="813"/>
      <c r="L17" s="652" t="s">
        <v>142</v>
      </c>
      <c r="M17" s="652" t="s">
        <v>40</v>
      </c>
      <c r="N17" s="193">
        <f>D17*(1-Indata!D$20)*(1+Indata!D$72*'Förarlösa lastbilar - beräkning'!D$5)</f>
        <v>8.4732522945626005</v>
      </c>
      <c r="O17" s="216">
        <f>E17*(1-Indata!E$20)*(1+Indata!E$72*'Förarlösa lastbilar - beräkning'!E$5)</f>
        <v>8.4732522945626005</v>
      </c>
      <c r="P17" s="193">
        <f>F17*(1-Indata!F$20)*(1+Indata!F$72*'Förarlösa lastbilar - beräkning'!F$5)</f>
        <v>8.242163595619985</v>
      </c>
      <c r="Q17" s="194">
        <f>G17*(1-Indata!G$20)*(1+Indata!G$72*'Förarlösa lastbilar - beräkning'!G$5)</f>
        <v>8.4690156684153202</v>
      </c>
      <c r="R17" s="195">
        <f>H17*(1-Indata!H$20)*(1+Indata!H$72*'Förarlösa lastbilar - beräkning'!H$5)</f>
        <v>8.242163595619985</v>
      </c>
      <c r="S17" s="194">
        <f>I17*(1-Indata!I$20)*(1+Indata!I$72*'Förarlösa lastbilar - beräkning'!I$5)</f>
        <v>8.4732522945626005</v>
      </c>
      <c r="U17" s="795"/>
      <c r="V17" s="125" t="s">
        <v>142</v>
      </c>
      <c r="W17" s="125" t="s">
        <v>40</v>
      </c>
      <c r="X17" s="269">
        <f t="shared" si="21"/>
        <v>8.4732522945626005</v>
      </c>
      <c r="Y17" s="270">
        <f t="shared" si="21"/>
        <v>8.4732522945626005</v>
      </c>
      <c r="Z17" s="269">
        <f t="shared" si="21"/>
        <v>8.242163595619985</v>
      </c>
      <c r="AA17" s="271">
        <f t="shared" si="21"/>
        <v>8.4690156684153202</v>
      </c>
      <c r="AB17" s="272">
        <f t="shared" si="21"/>
        <v>8.242163595619985</v>
      </c>
      <c r="AC17" s="271">
        <f t="shared" si="21"/>
        <v>8.4732522945626005</v>
      </c>
      <c r="AE17" s="795"/>
      <c r="AF17" s="125" t="s">
        <v>142</v>
      </c>
      <c r="AG17" s="125" t="s">
        <v>40</v>
      </c>
      <c r="AH17" s="269">
        <f t="shared" si="22"/>
        <v>8.4732522945626005</v>
      </c>
      <c r="AI17" s="270">
        <f t="shared" si="23"/>
        <v>8.4732522945626005</v>
      </c>
      <c r="AJ17" s="269">
        <f t="shared" si="24"/>
        <v>8.242163595619985</v>
      </c>
      <c r="AK17" s="271">
        <f t="shared" si="25"/>
        <v>8.4690156684153202</v>
      </c>
      <c r="AL17" s="272">
        <f t="shared" si="26"/>
        <v>8.242163595619985</v>
      </c>
      <c r="AM17" s="271">
        <f t="shared" si="27"/>
        <v>8.4732522945626005</v>
      </c>
    </row>
    <row r="18" spans="1:39" x14ac:dyDescent="0.25">
      <c r="A18" s="795"/>
      <c r="B18" s="125" t="s">
        <v>143</v>
      </c>
      <c r="C18" s="125" t="s">
        <v>40</v>
      </c>
      <c r="D18" s="269">
        <f>Indata!D52</f>
        <v>13.374188060932356</v>
      </c>
      <c r="E18" s="270">
        <f>Indata!E52</f>
        <v>13.374188060932356</v>
      </c>
      <c r="F18" s="269">
        <f>Indata!F52</f>
        <v>13.374188060932356</v>
      </c>
      <c r="G18" s="271">
        <f>Indata!G52</f>
        <v>13.374188060932356</v>
      </c>
      <c r="H18" s="272">
        <f>Indata!H52</f>
        <v>13.374188060932356</v>
      </c>
      <c r="I18" s="271">
        <f>Indata!I52</f>
        <v>13.374188060932356</v>
      </c>
      <c r="K18" s="813"/>
      <c r="L18" s="652" t="s">
        <v>143</v>
      </c>
      <c r="M18" s="652" t="s">
        <v>40</v>
      </c>
      <c r="N18" s="193">
        <f>D18*(1-Indata!D$20)*(1+Indata!D$72*'Förarlösa lastbilar - beräkning'!D$5)</f>
        <v>13.374188060932356</v>
      </c>
      <c r="O18" s="216">
        <f>E18*(1-Indata!E$20)*(1+Indata!E$72*'Förarlösa lastbilar - beräkning'!E$5)</f>
        <v>13.374188060932356</v>
      </c>
      <c r="P18" s="193">
        <f>F18*(1-Indata!F$20)*(1+Indata!F$72*'Förarlösa lastbilar - beräkning'!F$5)</f>
        <v>13.009437477452384</v>
      </c>
      <c r="Q18" s="194">
        <f>G18*(1-Indata!G$20)*(1+Indata!G$72*'Förarlösa lastbilar - beräkning'!G$5)</f>
        <v>13.367500966901892</v>
      </c>
      <c r="R18" s="195">
        <f>H18*(1-Indata!H$20)*(1+Indata!H$72*'Förarlösa lastbilar - beräkning'!H$5)</f>
        <v>13.009437477452384</v>
      </c>
      <c r="S18" s="194">
        <f>I18*(1-Indata!I$20)*(1+Indata!I$72*'Förarlösa lastbilar - beräkning'!I$5)</f>
        <v>13.374188060932356</v>
      </c>
      <c r="U18" s="795"/>
      <c r="V18" s="125" t="s">
        <v>143</v>
      </c>
      <c r="W18" s="125" t="s">
        <v>40</v>
      </c>
      <c r="X18" s="269">
        <f t="shared" si="21"/>
        <v>13.374188060932356</v>
      </c>
      <c r="Y18" s="270">
        <f t="shared" si="21"/>
        <v>13.374188060932356</v>
      </c>
      <c r="Z18" s="269">
        <f t="shared" si="21"/>
        <v>13.009437477452384</v>
      </c>
      <c r="AA18" s="271">
        <f t="shared" si="21"/>
        <v>13.367500966901892</v>
      </c>
      <c r="AB18" s="272">
        <f t="shared" si="21"/>
        <v>13.009437477452384</v>
      </c>
      <c r="AC18" s="271">
        <f t="shared" si="21"/>
        <v>13.374188060932356</v>
      </c>
      <c r="AE18" s="795"/>
      <c r="AF18" s="125" t="s">
        <v>143</v>
      </c>
      <c r="AG18" s="125" t="s">
        <v>40</v>
      </c>
      <c r="AH18" s="269">
        <f t="shared" si="22"/>
        <v>13.374188060932356</v>
      </c>
      <c r="AI18" s="270">
        <f t="shared" si="23"/>
        <v>13.374188060932356</v>
      </c>
      <c r="AJ18" s="269">
        <f t="shared" si="24"/>
        <v>13.009437477452384</v>
      </c>
      <c r="AK18" s="271">
        <f t="shared" si="25"/>
        <v>13.367500966901892</v>
      </c>
      <c r="AL18" s="272">
        <f t="shared" si="26"/>
        <v>13.009437477452384</v>
      </c>
      <c r="AM18" s="271">
        <f t="shared" si="27"/>
        <v>13.374188060932356</v>
      </c>
    </row>
    <row r="19" spans="1:39" x14ac:dyDescent="0.25">
      <c r="A19" s="795"/>
      <c r="B19" s="125" t="s">
        <v>144</v>
      </c>
      <c r="C19" s="125" t="s">
        <v>40</v>
      </c>
      <c r="D19" s="269">
        <f>Indata!D53</f>
        <v>15.182448650666799</v>
      </c>
      <c r="E19" s="270">
        <f>Indata!E53</f>
        <v>15.182448650666799</v>
      </c>
      <c r="F19" s="269">
        <f>Indata!F53</f>
        <v>15.182448650666799</v>
      </c>
      <c r="G19" s="271">
        <f>Indata!G53</f>
        <v>15.182448650666799</v>
      </c>
      <c r="H19" s="272">
        <f>Indata!H53</f>
        <v>15.182448650666799</v>
      </c>
      <c r="I19" s="271">
        <f>Indata!I53</f>
        <v>15.182448650666799</v>
      </c>
      <c r="K19" s="813"/>
      <c r="L19" s="652" t="s">
        <v>144</v>
      </c>
      <c r="M19" s="652" t="s">
        <v>40</v>
      </c>
      <c r="N19" s="193">
        <f>D19*(1-Indata!D$20)*(1+Indata!D$72*'Förarlösa lastbilar - beräkning'!D$5)</f>
        <v>15.182448650666799</v>
      </c>
      <c r="O19" s="216">
        <f>E19*(1-Indata!E$20)*(1+Indata!E$72*'Förarlösa lastbilar - beräkning'!E$5)</f>
        <v>15.182448650666799</v>
      </c>
      <c r="P19" s="193">
        <f>F19*(1-Indata!F$20)*(1+Indata!F$72*'Förarlösa lastbilar - beräkning'!F$5)</f>
        <v>14.768381869284978</v>
      </c>
      <c r="Q19" s="194">
        <f>G19*(1-Indata!G$20)*(1+Indata!G$72*'Förarlösa lastbilar - beräkning'!G$5)</f>
        <v>15.174857426341466</v>
      </c>
      <c r="R19" s="195">
        <f>H19*(1-Indata!H$20)*(1+Indata!H$72*'Förarlösa lastbilar - beräkning'!H$5)</f>
        <v>14.768381869284978</v>
      </c>
      <c r="S19" s="194">
        <f>I19*(1-Indata!I$20)*(1+Indata!I$72*'Förarlösa lastbilar - beräkning'!I$5)</f>
        <v>15.182448650666799</v>
      </c>
      <c r="U19" s="795"/>
      <c r="V19" s="125" t="s">
        <v>144</v>
      </c>
      <c r="W19" s="125" t="s">
        <v>40</v>
      </c>
      <c r="X19" s="269">
        <f t="shared" si="21"/>
        <v>15.182448650666799</v>
      </c>
      <c r="Y19" s="270">
        <f t="shared" si="21"/>
        <v>15.182448650666799</v>
      </c>
      <c r="Z19" s="269">
        <f t="shared" si="21"/>
        <v>14.768381869284978</v>
      </c>
      <c r="AA19" s="271">
        <f t="shared" si="21"/>
        <v>15.174857426341466</v>
      </c>
      <c r="AB19" s="272">
        <f t="shared" si="21"/>
        <v>14.768381869284978</v>
      </c>
      <c r="AC19" s="271">
        <f t="shared" si="21"/>
        <v>15.182448650666799</v>
      </c>
      <c r="AE19" s="795"/>
      <c r="AF19" s="125" t="s">
        <v>144</v>
      </c>
      <c r="AG19" s="125" t="s">
        <v>40</v>
      </c>
      <c r="AH19" s="269">
        <f t="shared" si="22"/>
        <v>15.182448650666799</v>
      </c>
      <c r="AI19" s="270">
        <f t="shared" si="23"/>
        <v>15.182448650666799</v>
      </c>
      <c r="AJ19" s="269">
        <f t="shared" si="24"/>
        <v>14.768381869284978</v>
      </c>
      <c r="AK19" s="271">
        <f t="shared" si="25"/>
        <v>15.174857426341466</v>
      </c>
      <c r="AL19" s="272">
        <f t="shared" si="26"/>
        <v>14.768381869284978</v>
      </c>
      <c r="AM19" s="271">
        <f t="shared" si="27"/>
        <v>15.182448650666799</v>
      </c>
    </row>
    <row r="20" spans="1:39" ht="15.75" thickBot="1" x14ac:dyDescent="0.3">
      <c r="A20" s="796"/>
      <c r="B20" s="177" t="s">
        <v>145</v>
      </c>
      <c r="C20" s="177" t="s">
        <v>40</v>
      </c>
      <c r="D20" s="196">
        <f>SUMPRODUCT(D16:D19,D41:D44)/D45</f>
        <v>11.094254818293248</v>
      </c>
      <c r="E20" s="197">
        <f t="shared" ref="E20:I20" si="28">SUMPRODUCT(E16:E19,E41:E44)/E45</f>
        <v>11.094254818293246</v>
      </c>
      <c r="F20" s="196">
        <f t="shared" si="28"/>
        <v>14.069098336087091</v>
      </c>
      <c r="G20" s="198">
        <f t="shared" si="28"/>
        <v>14.069098336087091</v>
      </c>
      <c r="H20" s="199">
        <f t="shared" si="28"/>
        <v>14.069098336087091</v>
      </c>
      <c r="I20" s="198">
        <f t="shared" si="28"/>
        <v>14.069098336087091</v>
      </c>
      <c r="K20" s="814"/>
      <c r="L20" s="655" t="s">
        <v>145</v>
      </c>
      <c r="M20" s="655" t="s">
        <v>40</v>
      </c>
      <c r="N20" s="196">
        <f>SUMPRODUCT(N16:N19,N41:N44)/N45</f>
        <v>11.094254818293248</v>
      </c>
      <c r="O20" s="197">
        <f t="shared" ref="O20:S20" si="29">SUMPRODUCT(O16:O19,O41:O44)/O45</f>
        <v>11.094254818293246</v>
      </c>
      <c r="P20" s="196">
        <f>SUMPRODUCT(P16:P19,P41:P44)/P45</f>
        <v>13.685395654193806</v>
      </c>
      <c r="Q20" s="198">
        <f t="shared" si="29"/>
        <v>14.062063786919049</v>
      </c>
      <c r="R20" s="199">
        <f t="shared" si="29"/>
        <v>13.685395654193806</v>
      </c>
      <c r="S20" s="198">
        <f t="shared" si="29"/>
        <v>14.069098336087091</v>
      </c>
      <c r="U20" s="796"/>
      <c r="V20" s="177" t="s">
        <v>145</v>
      </c>
      <c r="W20" s="177" t="s">
        <v>40</v>
      </c>
      <c r="X20" s="196">
        <f t="shared" ref="X20:AC20" si="30">SUMPRODUCT(X16:X19,X41:X44)/X45</f>
        <v>11.094254818293248</v>
      </c>
      <c r="Y20" s="197">
        <f t="shared" si="30"/>
        <v>11.094254818293246</v>
      </c>
      <c r="Z20" s="196">
        <f t="shared" si="30"/>
        <v>13.685395654193808</v>
      </c>
      <c r="AA20" s="198">
        <f t="shared" si="30"/>
        <v>14.062063786919047</v>
      </c>
      <c r="AB20" s="199">
        <f t="shared" si="30"/>
        <v>13.685395654193808</v>
      </c>
      <c r="AC20" s="198">
        <f t="shared" si="30"/>
        <v>14.069098336087091</v>
      </c>
      <c r="AE20" s="796"/>
      <c r="AF20" s="177" t="s">
        <v>145</v>
      </c>
      <c r="AG20" s="177" t="s">
        <v>40</v>
      </c>
      <c r="AH20" s="196">
        <f t="shared" ref="AH20:AM20" si="31">SUMPRODUCT(AH16:AH19,AH41:AH44)/AH45</f>
        <v>11.094254818293248</v>
      </c>
      <c r="AI20" s="197">
        <f t="shared" si="31"/>
        <v>11.094254818293246</v>
      </c>
      <c r="AJ20" s="196">
        <f t="shared" si="31"/>
        <v>13.685395654193806</v>
      </c>
      <c r="AK20" s="198">
        <f t="shared" si="31"/>
        <v>14.062063786919047</v>
      </c>
      <c r="AL20" s="199">
        <f t="shared" si="31"/>
        <v>13.685395654193806</v>
      </c>
      <c r="AM20" s="198">
        <f t="shared" si="31"/>
        <v>14.069098336087091</v>
      </c>
    </row>
    <row r="21" spans="1:39" x14ac:dyDescent="0.25">
      <c r="D21" s="73"/>
      <c r="E21" s="73"/>
      <c r="F21" s="73"/>
      <c r="G21" s="73"/>
      <c r="H21" s="73"/>
      <c r="I21" s="73"/>
      <c r="N21" s="73">
        <f>(MIN(D20+(1-D20)*'Indata - Effektsamband-Faktorer'!$D$4*N$10,1))</f>
        <v>1</v>
      </c>
      <c r="O21" s="73"/>
      <c r="P21" s="73"/>
      <c r="Q21" s="73">
        <f>Q20/O20</f>
        <v>1.2675086355265792</v>
      </c>
      <c r="R21" s="73"/>
      <c r="S21" s="73">
        <f>S20/O20</f>
        <v>1.2681427068800191</v>
      </c>
      <c r="X21" s="73"/>
      <c r="Y21" s="73"/>
      <c r="Z21" s="73"/>
      <c r="AA21" s="73"/>
      <c r="AB21" s="73"/>
      <c r="AC21" s="73"/>
      <c r="AE21" s="38"/>
      <c r="AF21" s="38"/>
      <c r="AG21" s="38"/>
      <c r="AH21" s="73"/>
      <c r="AI21" s="73"/>
      <c r="AJ21" s="73"/>
      <c r="AK21" s="73"/>
      <c r="AL21" s="73"/>
      <c r="AM21" s="73"/>
    </row>
    <row r="22" spans="1:39" ht="15" customHeight="1" thickBot="1" x14ac:dyDescent="0.3">
      <c r="A22" s="40" t="s">
        <v>147</v>
      </c>
      <c r="D22" s="63"/>
      <c r="E22" s="63"/>
      <c r="F22" s="63"/>
      <c r="G22" s="63"/>
      <c r="H22" s="63"/>
      <c r="I22" s="63"/>
      <c r="K22" s="40" t="s">
        <v>224</v>
      </c>
      <c r="N22" s="63"/>
      <c r="O22" s="63"/>
      <c r="P22" s="63"/>
      <c r="Q22" s="63"/>
      <c r="R22" s="63"/>
      <c r="S22" s="63"/>
      <c r="U22" s="40" t="s">
        <v>150</v>
      </c>
      <c r="X22" s="63"/>
      <c r="Y22" s="63"/>
      <c r="Z22" s="63"/>
      <c r="AA22" s="63"/>
      <c r="AB22" s="63"/>
      <c r="AC22" s="63"/>
      <c r="AE22" s="40" t="s">
        <v>153</v>
      </c>
      <c r="AF22" s="38"/>
      <c r="AG22" s="38"/>
      <c r="AH22" s="63"/>
      <c r="AI22" s="63"/>
      <c r="AJ22" s="63"/>
      <c r="AK22" s="63"/>
      <c r="AL22" s="63"/>
      <c r="AM22" s="63"/>
    </row>
    <row r="23" spans="1:39" ht="14.45" customHeight="1" thickBot="1" x14ac:dyDescent="0.3">
      <c r="A23" s="794" t="s">
        <v>148</v>
      </c>
      <c r="B23" s="124" t="s">
        <v>115</v>
      </c>
      <c r="C23" s="124" t="s">
        <v>25</v>
      </c>
      <c r="D23" s="221">
        <f>Indata!D42</f>
        <v>0.15</v>
      </c>
      <c r="E23" s="221">
        <f>Indata!E42</f>
        <v>0.6</v>
      </c>
      <c r="F23" s="221">
        <f>Indata!F42</f>
        <v>0.02</v>
      </c>
      <c r="G23" s="221">
        <f>Indata!G42</f>
        <v>0.3</v>
      </c>
      <c r="H23" s="221">
        <f>Indata!H42</f>
        <v>0.02</v>
      </c>
      <c r="I23" s="221">
        <f>Indata!I42</f>
        <v>0.3</v>
      </c>
      <c r="K23" s="815" t="s">
        <v>148</v>
      </c>
      <c r="L23" s="746" t="s">
        <v>115</v>
      </c>
      <c r="M23" s="746" t="s">
        <v>25</v>
      </c>
      <c r="N23" s="221">
        <f>(MIN(D23+(1-D23)*'Indata - Effektsamband-Faktorer'!$D$10*N$8,1))</f>
        <v>0.15</v>
      </c>
      <c r="O23" s="221">
        <f>(MIN(E23+(1-E23)*'Indata - Effektsamband-Faktorer'!$E$10*O$8,1))</f>
        <v>0.6</v>
      </c>
      <c r="P23" s="221">
        <f>(MIN(F23+(1-F23)*'Indata - Effektsamband-Faktorer'!$D$10*P$8,1))</f>
        <v>0.02</v>
      </c>
      <c r="Q23" s="221">
        <f>(MIN(G23+(1-G23)*'Indata - Effektsamband-Faktorer'!$E$10*Q$8,1))</f>
        <v>0.3</v>
      </c>
      <c r="R23" s="221">
        <f>(MIN(H23+(1-H23)*'Indata - Effektsamband-Faktorer'!$D$10*R$8,1))</f>
        <v>0.02</v>
      </c>
      <c r="S23" s="751">
        <f>(MIN(I23+(1-I23)*'Indata - Effektsamband-Faktorer'!$E$10*S$8,1))</f>
        <v>0.3</v>
      </c>
      <c r="U23" s="794" t="s">
        <v>148</v>
      </c>
      <c r="V23" s="124" t="s">
        <v>115</v>
      </c>
      <c r="W23" s="124" t="s">
        <v>25</v>
      </c>
      <c r="X23" s="221">
        <f t="shared" ref="X23:AC26" si="32">N23</f>
        <v>0.15</v>
      </c>
      <c r="Y23" s="222">
        <f t="shared" si="32"/>
        <v>0.6</v>
      </c>
      <c r="Z23" s="221">
        <f t="shared" si="32"/>
        <v>0.02</v>
      </c>
      <c r="AA23" s="223">
        <f t="shared" si="32"/>
        <v>0.3</v>
      </c>
      <c r="AB23" s="224">
        <f t="shared" si="32"/>
        <v>0.02</v>
      </c>
      <c r="AC23" s="223">
        <f t="shared" si="32"/>
        <v>0.3</v>
      </c>
      <c r="AE23" s="794" t="s">
        <v>148</v>
      </c>
      <c r="AF23" s="124" t="s">
        <v>115</v>
      </c>
      <c r="AG23" s="124" t="s">
        <v>25</v>
      </c>
      <c r="AH23" s="221">
        <f>X23</f>
        <v>0.15</v>
      </c>
      <c r="AI23" s="222">
        <f>Y23</f>
        <v>0.6</v>
      </c>
      <c r="AJ23" s="221">
        <f t="shared" ref="AJ23:AJ26" si="33">Z23</f>
        <v>0.02</v>
      </c>
      <c r="AK23" s="223">
        <f t="shared" ref="AK23:AK26" si="34">AA23</f>
        <v>0.3</v>
      </c>
      <c r="AL23" s="224">
        <f t="shared" ref="AL23:AL26" si="35">AB23</f>
        <v>0.02</v>
      </c>
      <c r="AM23" s="223">
        <f t="shared" ref="AM23:AM26" si="36">AC23</f>
        <v>0.3</v>
      </c>
    </row>
    <row r="24" spans="1:39" ht="15.75" thickBot="1" x14ac:dyDescent="0.3">
      <c r="A24" s="795"/>
      <c r="B24" s="125" t="s">
        <v>116</v>
      </c>
      <c r="C24" s="125" t="s">
        <v>25</v>
      </c>
      <c r="D24" s="221">
        <f>Indata!D43</f>
        <v>0.15</v>
      </c>
      <c r="E24" s="221">
        <f>Indata!E43</f>
        <v>0.6</v>
      </c>
      <c r="F24" s="221">
        <f>Indata!F43</f>
        <v>0.02</v>
      </c>
      <c r="G24" s="221">
        <f>Indata!G43</f>
        <v>0.3</v>
      </c>
      <c r="H24" s="221">
        <f>Indata!H43</f>
        <v>0.02</v>
      </c>
      <c r="I24" s="221">
        <f>Indata!I43</f>
        <v>0.3</v>
      </c>
      <c r="K24" s="816"/>
      <c r="L24" s="747" t="s">
        <v>116</v>
      </c>
      <c r="M24" s="747" t="s">
        <v>25</v>
      </c>
      <c r="N24" s="225">
        <f>(MIN(D24+(1-D24)*'Indata - Effektsamband-Faktorer'!$D$10*N$8,1))</f>
        <v>0.15</v>
      </c>
      <c r="O24" s="225">
        <f>(MIN(E24+(1-E24)*'Indata - Effektsamband-Faktorer'!$E$10*O$8,1))</f>
        <v>0.6</v>
      </c>
      <c r="P24" s="225">
        <f>(MIN(F24+(1-F24)*'Indata - Effektsamband-Faktorer'!$D$10*P$8,1))</f>
        <v>0.02</v>
      </c>
      <c r="Q24" s="225">
        <f>(MIN(G24+(1-G24)*'Indata - Effektsamband-Faktorer'!$E$10*Q$8,1))</f>
        <v>0.3</v>
      </c>
      <c r="R24" s="225">
        <f>(MIN(H24+(1-H24)*'Indata - Effektsamband-Faktorer'!$D$10*R$8,1))</f>
        <v>0.02</v>
      </c>
      <c r="S24" s="754">
        <f>(MIN(I24+(1-I24)*'Indata - Effektsamband-Faktorer'!$E$10*S$8,1))</f>
        <v>0.3</v>
      </c>
      <c r="U24" s="795"/>
      <c r="V24" s="125" t="s">
        <v>116</v>
      </c>
      <c r="W24" s="125" t="s">
        <v>25</v>
      </c>
      <c r="X24" s="225">
        <f t="shared" si="32"/>
        <v>0.15</v>
      </c>
      <c r="Y24" s="226">
        <f t="shared" si="32"/>
        <v>0.6</v>
      </c>
      <c r="Z24" s="225">
        <f t="shared" si="32"/>
        <v>0.02</v>
      </c>
      <c r="AA24" s="227">
        <f t="shared" si="32"/>
        <v>0.3</v>
      </c>
      <c r="AB24" s="228">
        <f t="shared" si="32"/>
        <v>0.02</v>
      </c>
      <c r="AC24" s="227">
        <f t="shared" si="32"/>
        <v>0.3</v>
      </c>
      <c r="AE24" s="795"/>
      <c r="AF24" s="125" t="s">
        <v>116</v>
      </c>
      <c r="AG24" s="125" t="s">
        <v>25</v>
      </c>
      <c r="AH24" s="225">
        <f t="shared" ref="AH24" si="37">X24</f>
        <v>0.15</v>
      </c>
      <c r="AI24" s="226">
        <f t="shared" ref="AI24:AI25" si="38">Y24</f>
        <v>0.6</v>
      </c>
      <c r="AJ24" s="225">
        <f t="shared" si="33"/>
        <v>0.02</v>
      </c>
      <c r="AK24" s="227">
        <f t="shared" si="34"/>
        <v>0.3</v>
      </c>
      <c r="AL24" s="228">
        <f t="shared" si="35"/>
        <v>0.02</v>
      </c>
      <c r="AM24" s="227">
        <f t="shared" si="36"/>
        <v>0.3</v>
      </c>
    </row>
    <row r="25" spans="1:39" ht="15.75" thickBot="1" x14ac:dyDescent="0.3">
      <c r="A25" s="795"/>
      <c r="B25" s="125" t="s">
        <v>117</v>
      </c>
      <c r="C25" s="125" t="s">
        <v>25</v>
      </c>
      <c r="D25" s="221">
        <f>Indata!D44</f>
        <v>4.0427955013328291E-2</v>
      </c>
      <c r="E25" s="221">
        <f>Indata!E44</f>
        <v>0.16171182005331317</v>
      </c>
      <c r="F25" s="221">
        <f>Indata!F44</f>
        <v>0.02</v>
      </c>
      <c r="G25" s="221">
        <f>Indata!G44</f>
        <v>0.3</v>
      </c>
      <c r="H25" s="221">
        <f>Indata!H44</f>
        <v>0.02</v>
      </c>
      <c r="I25" s="221">
        <f>Indata!I44</f>
        <v>0.3</v>
      </c>
      <c r="K25" s="816"/>
      <c r="L25" s="747" t="s">
        <v>117</v>
      </c>
      <c r="M25" s="747" t="s">
        <v>25</v>
      </c>
      <c r="N25" s="752">
        <f>(MIN(D25+(1-D25)*'Indata - Effektsamband-Faktorer'!$D$10*N$8,1))</f>
        <v>4.0427955013328291E-2</v>
      </c>
      <c r="O25" s="752">
        <f>(MIN(E25+(1-E25)*'Indata - Effektsamband-Faktorer'!$E$10*O$8,1))</f>
        <v>0.16171182005331317</v>
      </c>
      <c r="P25" s="752">
        <f>(MIN(F25+(1-F25)*'Indata - Effektsamband-Faktorer'!$D$10*P$8,1))</f>
        <v>0.02</v>
      </c>
      <c r="Q25" s="752">
        <f>(MIN(G25+(1-G25)*'Indata - Effektsamband-Faktorer'!$E$10*Q$8,1))</f>
        <v>0.3</v>
      </c>
      <c r="R25" s="752">
        <f>(MIN(H25+(1-H25)*'Indata - Effektsamband-Faktorer'!$D$10*R$8,1))</f>
        <v>0.02</v>
      </c>
      <c r="S25" s="753">
        <f>(MIN(I25+(1-I25)*'Indata - Effektsamband-Faktorer'!$E$10*S$8,1))</f>
        <v>0.3</v>
      </c>
      <c r="U25" s="795"/>
      <c r="V25" s="125" t="s">
        <v>117</v>
      </c>
      <c r="W25" s="125" t="s">
        <v>25</v>
      </c>
      <c r="X25" s="225">
        <f t="shared" si="32"/>
        <v>4.0427955013328291E-2</v>
      </c>
      <c r="Y25" s="226">
        <f t="shared" si="32"/>
        <v>0.16171182005331317</v>
      </c>
      <c r="Z25" s="225">
        <f t="shared" si="32"/>
        <v>0.02</v>
      </c>
      <c r="AA25" s="227">
        <f t="shared" si="32"/>
        <v>0.3</v>
      </c>
      <c r="AB25" s="228">
        <f t="shared" si="32"/>
        <v>0.02</v>
      </c>
      <c r="AC25" s="227">
        <f t="shared" si="32"/>
        <v>0.3</v>
      </c>
      <c r="AE25" s="795"/>
      <c r="AF25" s="125" t="s">
        <v>117</v>
      </c>
      <c r="AG25" s="125" t="s">
        <v>25</v>
      </c>
      <c r="AH25" s="225">
        <f>X25</f>
        <v>4.0427955013328291E-2</v>
      </c>
      <c r="AI25" s="226">
        <f t="shared" si="38"/>
        <v>0.16171182005331317</v>
      </c>
      <c r="AJ25" s="225">
        <f t="shared" si="33"/>
        <v>0.02</v>
      </c>
      <c r="AK25" s="227">
        <f t="shared" si="34"/>
        <v>0.3</v>
      </c>
      <c r="AL25" s="228">
        <f t="shared" si="35"/>
        <v>0.02</v>
      </c>
      <c r="AM25" s="227">
        <f t="shared" si="36"/>
        <v>0.3</v>
      </c>
    </row>
    <row r="26" spans="1:39" ht="15.75" thickBot="1" x14ac:dyDescent="0.3">
      <c r="A26" s="796"/>
      <c r="B26" s="126" t="s">
        <v>118</v>
      </c>
      <c r="C26" s="126" t="s">
        <v>25</v>
      </c>
      <c r="D26" s="221">
        <f>Indata!D45</f>
        <v>0</v>
      </c>
      <c r="E26" s="221">
        <f>Indata!E45</f>
        <v>0</v>
      </c>
      <c r="F26" s="221">
        <f>Indata!F45</f>
        <v>0.02</v>
      </c>
      <c r="G26" s="221">
        <f>Indata!G45</f>
        <v>0.3</v>
      </c>
      <c r="H26" s="221">
        <f>Indata!H45</f>
        <v>0.02</v>
      </c>
      <c r="I26" s="221">
        <f>Indata!I45</f>
        <v>0.3</v>
      </c>
      <c r="K26" s="817"/>
      <c r="L26" s="748" t="s">
        <v>118</v>
      </c>
      <c r="M26" s="748" t="s">
        <v>25</v>
      </c>
      <c r="N26" s="749">
        <f>(MIN(D26+(1-D26)*'Indata - Effektsamband-Faktorer'!$D$10*N$8,1))</f>
        <v>0</v>
      </c>
      <c r="O26" s="749">
        <f>(MIN(E26+(1-E26)*'Indata - Effektsamband-Faktorer'!$E$10*O$8,1))</f>
        <v>0</v>
      </c>
      <c r="P26" s="749">
        <f>(MIN(F26+(1-F26)*'Indata - Effektsamband-Faktorer'!$D$10*P$8,1))</f>
        <v>0.02</v>
      </c>
      <c r="Q26" s="749">
        <f>(MIN(G26+(1-G26)*'Indata - Effektsamband-Faktorer'!$E$10*Q$8,1))</f>
        <v>0.3</v>
      </c>
      <c r="R26" s="749">
        <f>(MIN(H26+(1-H26)*'Indata - Effektsamband-Faktorer'!$D$10*R$8,1))</f>
        <v>0.02</v>
      </c>
      <c r="S26" s="750">
        <f>(MIN(I26+(1-I26)*'Indata - Effektsamband-Faktorer'!$E$10*S$8,1))</f>
        <v>0.3</v>
      </c>
      <c r="U26" s="796"/>
      <c r="V26" s="126" t="s">
        <v>118</v>
      </c>
      <c r="W26" s="126" t="s">
        <v>25</v>
      </c>
      <c r="X26" s="229">
        <f t="shared" si="32"/>
        <v>0</v>
      </c>
      <c r="Y26" s="230">
        <f t="shared" si="32"/>
        <v>0</v>
      </c>
      <c r="Z26" s="229">
        <f t="shared" si="32"/>
        <v>0.02</v>
      </c>
      <c r="AA26" s="231">
        <f t="shared" si="32"/>
        <v>0.3</v>
      </c>
      <c r="AB26" s="232">
        <f t="shared" si="32"/>
        <v>0.02</v>
      </c>
      <c r="AC26" s="231">
        <f t="shared" si="32"/>
        <v>0.3</v>
      </c>
      <c r="AE26" s="796"/>
      <c r="AF26" s="126" t="s">
        <v>118</v>
      </c>
      <c r="AG26" s="126" t="s">
        <v>25</v>
      </c>
      <c r="AH26" s="229">
        <f>X26</f>
        <v>0</v>
      </c>
      <c r="AI26" s="230">
        <f>Y26</f>
        <v>0</v>
      </c>
      <c r="AJ26" s="229">
        <f t="shared" si="33"/>
        <v>0.02</v>
      </c>
      <c r="AK26" s="231">
        <f t="shared" si="34"/>
        <v>0.3</v>
      </c>
      <c r="AL26" s="232">
        <f t="shared" si="35"/>
        <v>0.02</v>
      </c>
      <c r="AM26" s="231">
        <f t="shared" si="36"/>
        <v>0.3</v>
      </c>
    </row>
    <row r="27" spans="1:39" x14ac:dyDescent="0.25">
      <c r="D27" s="73"/>
      <c r="E27" s="73"/>
      <c r="F27" s="73"/>
      <c r="G27" s="73"/>
      <c r="H27" s="73"/>
      <c r="I27" s="73"/>
      <c r="N27" s="73"/>
      <c r="O27" s="73"/>
      <c r="P27" s="73"/>
      <c r="Q27" s="73"/>
      <c r="R27" s="73"/>
      <c r="S27" s="73"/>
      <c r="X27" s="73"/>
      <c r="Y27" s="73"/>
      <c r="Z27" s="73"/>
      <c r="AA27" s="73"/>
      <c r="AB27" s="73"/>
      <c r="AC27" s="73"/>
      <c r="AE27" s="38"/>
      <c r="AF27" s="38"/>
      <c r="AG27" s="38"/>
      <c r="AH27" s="73"/>
      <c r="AI27" s="73"/>
      <c r="AJ27" s="73"/>
      <c r="AK27" s="73"/>
      <c r="AL27" s="73"/>
      <c r="AM27" s="73"/>
    </row>
    <row r="28" spans="1:39" ht="15" customHeight="1" thickBot="1" x14ac:dyDescent="0.3">
      <c r="A28" s="40" t="s">
        <v>81</v>
      </c>
      <c r="D28" s="74"/>
      <c r="E28" s="74"/>
      <c r="F28" s="74"/>
      <c r="G28" s="74"/>
      <c r="H28" s="74"/>
      <c r="I28" s="74"/>
      <c r="K28" s="40" t="s">
        <v>158</v>
      </c>
      <c r="N28" s="74"/>
      <c r="O28" s="74"/>
      <c r="P28" s="74"/>
      <c r="Q28" s="74"/>
      <c r="R28" s="74"/>
      <c r="S28" s="74"/>
      <c r="U28" s="40" t="s">
        <v>91</v>
      </c>
      <c r="X28" s="74"/>
      <c r="Y28" s="74"/>
      <c r="Z28" s="74"/>
      <c r="AA28" s="74"/>
      <c r="AB28" s="74"/>
      <c r="AC28" s="74"/>
      <c r="AE28" s="40" t="s">
        <v>154</v>
      </c>
      <c r="AF28" s="38"/>
      <c r="AG28" s="38"/>
      <c r="AH28" s="74"/>
      <c r="AI28" s="74"/>
      <c r="AJ28" s="74"/>
      <c r="AK28" s="74"/>
      <c r="AL28" s="74"/>
      <c r="AM28" s="74"/>
    </row>
    <row r="29" spans="1:39" ht="14.45" customHeight="1" x14ac:dyDescent="0.25">
      <c r="A29" s="797" t="s">
        <v>21</v>
      </c>
      <c r="B29" s="124" t="s">
        <v>115</v>
      </c>
      <c r="C29" s="124" t="s">
        <v>74</v>
      </c>
      <c r="D29" s="190">
        <f>Indata!D$16*10</f>
        <v>0</v>
      </c>
      <c r="E29" s="215">
        <f>Indata!E$16*10</f>
        <v>0</v>
      </c>
      <c r="F29" s="190">
        <f>Indata!F$16*10</f>
        <v>0</v>
      </c>
      <c r="G29" s="191">
        <f>Indata!G$16*10</f>
        <v>0</v>
      </c>
      <c r="H29" s="192">
        <f>Indata!H$16*10</f>
        <v>0</v>
      </c>
      <c r="I29" s="191">
        <f>Indata!I$16*10</f>
        <v>0</v>
      </c>
      <c r="K29" s="797" t="s">
        <v>21</v>
      </c>
      <c r="L29" s="124" t="s">
        <v>115</v>
      </c>
      <c r="M29" s="124" t="s">
        <v>74</v>
      </c>
      <c r="N29" s="190">
        <f>D29</f>
        <v>0</v>
      </c>
      <c r="O29" s="215">
        <f t="shared" ref="O29:O32" si="39">E29</f>
        <v>0</v>
      </c>
      <c r="P29" s="190">
        <f t="shared" ref="P29:P32" si="40">F29</f>
        <v>0</v>
      </c>
      <c r="Q29" s="191">
        <f t="shared" ref="Q29:Q32" si="41">G29</f>
        <v>0</v>
      </c>
      <c r="R29" s="192">
        <f t="shared" ref="R29:R32" si="42">H29</f>
        <v>0</v>
      </c>
      <c r="S29" s="191">
        <f t="shared" ref="S29:S32" si="43">I29</f>
        <v>0</v>
      </c>
      <c r="U29" s="797" t="s">
        <v>21</v>
      </c>
      <c r="V29" s="124" t="s">
        <v>115</v>
      </c>
      <c r="W29" s="124" t="s">
        <v>74</v>
      </c>
      <c r="X29" s="190">
        <f t="shared" ref="X29:AC32" si="44">N29</f>
        <v>0</v>
      </c>
      <c r="Y29" s="215">
        <f t="shared" si="44"/>
        <v>0</v>
      </c>
      <c r="Z29" s="190">
        <f t="shared" si="44"/>
        <v>0</v>
      </c>
      <c r="AA29" s="191">
        <f t="shared" si="44"/>
        <v>0</v>
      </c>
      <c r="AB29" s="192">
        <f t="shared" si="44"/>
        <v>0</v>
      </c>
      <c r="AC29" s="191">
        <f t="shared" si="44"/>
        <v>0</v>
      </c>
      <c r="AE29" s="797" t="s">
        <v>21</v>
      </c>
      <c r="AF29" s="124" t="s">
        <v>115</v>
      </c>
      <c r="AG29" s="124" t="s">
        <v>74</v>
      </c>
      <c r="AH29" s="190">
        <f>X29</f>
        <v>0</v>
      </c>
      <c r="AI29" s="215">
        <f t="shared" ref="AI29:AI32" si="45">Y29</f>
        <v>0</v>
      </c>
      <c r="AJ29" s="190">
        <f t="shared" ref="AJ29:AJ32" si="46">Z29</f>
        <v>0</v>
      </c>
      <c r="AK29" s="191">
        <f t="shared" ref="AK29:AK32" si="47">AA29</f>
        <v>0</v>
      </c>
      <c r="AL29" s="192">
        <f t="shared" ref="AL29:AL32" si="48">AB29</f>
        <v>0</v>
      </c>
      <c r="AM29" s="191">
        <f t="shared" ref="AM29:AM32" si="49">AC29</f>
        <v>0</v>
      </c>
    </row>
    <row r="30" spans="1:39" x14ac:dyDescent="0.25">
      <c r="A30" s="798"/>
      <c r="B30" s="125" t="s">
        <v>116</v>
      </c>
      <c r="C30" s="125" t="s">
        <v>74</v>
      </c>
      <c r="D30" s="193">
        <f>Indata!D$16*10</f>
        <v>0</v>
      </c>
      <c r="E30" s="216">
        <f>Indata!E$16*10</f>
        <v>0</v>
      </c>
      <c r="F30" s="193">
        <f>Indata!F$16*10</f>
        <v>0</v>
      </c>
      <c r="G30" s="194">
        <f>Indata!G$16*10</f>
        <v>0</v>
      </c>
      <c r="H30" s="195">
        <f>Indata!H$16*10</f>
        <v>0</v>
      </c>
      <c r="I30" s="194">
        <f>Indata!I$16*10</f>
        <v>0</v>
      </c>
      <c r="K30" s="798"/>
      <c r="L30" s="125" t="s">
        <v>116</v>
      </c>
      <c r="M30" s="125" t="s">
        <v>74</v>
      </c>
      <c r="N30" s="193">
        <f t="shared" ref="N30:N32" si="50">D30</f>
        <v>0</v>
      </c>
      <c r="O30" s="216">
        <f t="shared" si="39"/>
        <v>0</v>
      </c>
      <c r="P30" s="193">
        <f t="shared" si="40"/>
        <v>0</v>
      </c>
      <c r="Q30" s="194">
        <f t="shared" si="41"/>
        <v>0</v>
      </c>
      <c r="R30" s="195">
        <f t="shared" si="42"/>
        <v>0</v>
      </c>
      <c r="S30" s="194">
        <f t="shared" si="43"/>
        <v>0</v>
      </c>
      <c r="U30" s="798"/>
      <c r="V30" s="125" t="s">
        <v>116</v>
      </c>
      <c r="W30" s="125" t="s">
        <v>74</v>
      </c>
      <c r="X30" s="193">
        <f t="shared" si="44"/>
        <v>0</v>
      </c>
      <c r="Y30" s="216">
        <f t="shared" si="44"/>
        <v>0</v>
      </c>
      <c r="Z30" s="193">
        <f t="shared" si="44"/>
        <v>0</v>
      </c>
      <c r="AA30" s="194">
        <f t="shared" si="44"/>
        <v>0</v>
      </c>
      <c r="AB30" s="195">
        <f t="shared" si="44"/>
        <v>0</v>
      </c>
      <c r="AC30" s="194">
        <f t="shared" si="44"/>
        <v>0</v>
      </c>
      <c r="AE30" s="798"/>
      <c r="AF30" s="125" t="s">
        <v>116</v>
      </c>
      <c r="AG30" s="125" t="s">
        <v>74</v>
      </c>
      <c r="AH30" s="193">
        <f t="shared" ref="AH30:AH32" si="51">X30</f>
        <v>0</v>
      </c>
      <c r="AI30" s="216">
        <f t="shared" si="45"/>
        <v>0</v>
      </c>
      <c r="AJ30" s="193">
        <f t="shared" si="46"/>
        <v>0</v>
      </c>
      <c r="AK30" s="194">
        <f t="shared" si="47"/>
        <v>0</v>
      </c>
      <c r="AL30" s="195">
        <f t="shared" si="48"/>
        <v>0</v>
      </c>
      <c r="AM30" s="194">
        <f t="shared" si="49"/>
        <v>0</v>
      </c>
    </row>
    <row r="31" spans="1:39" x14ac:dyDescent="0.25">
      <c r="A31" s="798"/>
      <c r="B31" s="125" t="s">
        <v>117</v>
      </c>
      <c r="C31" s="125" t="s">
        <v>74</v>
      </c>
      <c r="D31" s="269">
        <f>Indata!D$16*10</f>
        <v>0</v>
      </c>
      <c r="E31" s="270">
        <f>Indata!E$16*10</f>
        <v>0</v>
      </c>
      <c r="F31" s="269">
        <f>Indata!F$16*10</f>
        <v>0</v>
      </c>
      <c r="G31" s="271">
        <f>Indata!G$16*10</f>
        <v>0</v>
      </c>
      <c r="H31" s="272">
        <f>Indata!H$16*10</f>
        <v>0</v>
      </c>
      <c r="I31" s="271">
        <f>Indata!I$16*10</f>
        <v>0</v>
      </c>
      <c r="K31" s="798"/>
      <c r="L31" s="125" t="s">
        <v>117</v>
      </c>
      <c r="M31" s="125" t="s">
        <v>74</v>
      </c>
      <c r="N31" s="269">
        <f t="shared" si="50"/>
        <v>0</v>
      </c>
      <c r="O31" s="270">
        <f t="shared" si="39"/>
        <v>0</v>
      </c>
      <c r="P31" s="269">
        <f t="shared" si="40"/>
        <v>0</v>
      </c>
      <c r="Q31" s="271">
        <f t="shared" si="41"/>
        <v>0</v>
      </c>
      <c r="R31" s="272">
        <f t="shared" si="42"/>
        <v>0</v>
      </c>
      <c r="S31" s="271">
        <f t="shared" si="43"/>
        <v>0</v>
      </c>
      <c r="U31" s="798"/>
      <c r="V31" s="125" t="s">
        <v>117</v>
      </c>
      <c r="W31" s="125" t="s">
        <v>74</v>
      </c>
      <c r="X31" s="269">
        <f t="shared" si="44"/>
        <v>0</v>
      </c>
      <c r="Y31" s="270">
        <f t="shared" si="44"/>
        <v>0</v>
      </c>
      <c r="Z31" s="269">
        <f t="shared" si="44"/>
        <v>0</v>
      </c>
      <c r="AA31" s="271">
        <f t="shared" si="44"/>
        <v>0</v>
      </c>
      <c r="AB31" s="272">
        <f t="shared" si="44"/>
        <v>0</v>
      </c>
      <c r="AC31" s="271">
        <f t="shared" si="44"/>
        <v>0</v>
      </c>
      <c r="AE31" s="798"/>
      <c r="AF31" s="125" t="s">
        <v>117</v>
      </c>
      <c r="AG31" s="125" t="s">
        <v>74</v>
      </c>
      <c r="AH31" s="269">
        <f t="shared" si="51"/>
        <v>0</v>
      </c>
      <c r="AI31" s="270">
        <f t="shared" si="45"/>
        <v>0</v>
      </c>
      <c r="AJ31" s="269">
        <f t="shared" si="46"/>
        <v>0</v>
      </c>
      <c r="AK31" s="271">
        <f t="shared" si="47"/>
        <v>0</v>
      </c>
      <c r="AL31" s="272">
        <f t="shared" si="48"/>
        <v>0</v>
      </c>
      <c r="AM31" s="271">
        <f t="shared" si="49"/>
        <v>0</v>
      </c>
    </row>
    <row r="32" spans="1:39" ht="15.75" thickBot="1" x14ac:dyDescent="0.3">
      <c r="A32" s="799"/>
      <c r="B32" s="126" t="s">
        <v>118</v>
      </c>
      <c r="C32" s="126" t="s">
        <v>74</v>
      </c>
      <c r="D32" s="217">
        <f>Indata!D$16*10</f>
        <v>0</v>
      </c>
      <c r="E32" s="218">
        <f>Indata!E$16*10</f>
        <v>0</v>
      </c>
      <c r="F32" s="217">
        <f>Indata!F$16*10</f>
        <v>0</v>
      </c>
      <c r="G32" s="219">
        <f>Indata!G$16*10</f>
        <v>0</v>
      </c>
      <c r="H32" s="220">
        <f>Indata!H$16*10</f>
        <v>0</v>
      </c>
      <c r="I32" s="219">
        <f>Indata!I$16*10</f>
        <v>0</v>
      </c>
      <c r="K32" s="799"/>
      <c r="L32" s="126" t="s">
        <v>118</v>
      </c>
      <c r="M32" s="126" t="s">
        <v>74</v>
      </c>
      <c r="N32" s="217">
        <f t="shared" si="50"/>
        <v>0</v>
      </c>
      <c r="O32" s="218">
        <f t="shared" si="39"/>
        <v>0</v>
      </c>
      <c r="P32" s="217">
        <f t="shared" si="40"/>
        <v>0</v>
      </c>
      <c r="Q32" s="219">
        <f t="shared" si="41"/>
        <v>0</v>
      </c>
      <c r="R32" s="220">
        <f t="shared" si="42"/>
        <v>0</v>
      </c>
      <c r="S32" s="219">
        <f t="shared" si="43"/>
        <v>0</v>
      </c>
      <c r="U32" s="799"/>
      <c r="V32" s="126" t="s">
        <v>118</v>
      </c>
      <c r="W32" s="126" t="s">
        <v>74</v>
      </c>
      <c r="X32" s="217">
        <f t="shared" si="44"/>
        <v>0</v>
      </c>
      <c r="Y32" s="218">
        <f t="shared" si="44"/>
        <v>0</v>
      </c>
      <c r="Z32" s="217">
        <f t="shared" si="44"/>
        <v>0</v>
      </c>
      <c r="AA32" s="219">
        <f t="shared" si="44"/>
        <v>0</v>
      </c>
      <c r="AB32" s="220">
        <f t="shared" si="44"/>
        <v>0</v>
      </c>
      <c r="AC32" s="219">
        <f t="shared" si="44"/>
        <v>0</v>
      </c>
      <c r="AE32" s="799"/>
      <c r="AF32" s="126" t="s">
        <v>118</v>
      </c>
      <c r="AG32" s="126" t="s">
        <v>74</v>
      </c>
      <c r="AH32" s="217">
        <f t="shared" si="51"/>
        <v>0</v>
      </c>
      <c r="AI32" s="218">
        <f t="shared" si="45"/>
        <v>0</v>
      </c>
      <c r="AJ32" s="217">
        <f t="shared" si="46"/>
        <v>0</v>
      </c>
      <c r="AK32" s="219">
        <f t="shared" si="47"/>
        <v>0</v>
      </c>
      <c r="AL32" s="220">
        <f t="shared" si="48"/>
        <v>0</v>
      </c>
      <c r="AM32" s="219">
        <f t="shared" si="49"/>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0" t="s">
        <v>84</v>
      </c>
      <c r="K35" s="40" t="s">
        <v>675</v>
      </c>
      <c r="U35" s="40" t="s">
        <v>237</v>
      </c>
      <c r="AE35" s="40" t="s">
        <v>227</v>
      </c>
      <c r="AF35" s="38"/>
      <c r="AG35" s="38"/>
      <c r="AH35" s="38"/>
      <c r="AI35" s="38"/>
      <c r="AJ35" s="38"/>
      <c r="AK35" s="38"/>
      <c r="AL35" s="38"/>
      <c r="AM35" s="38"/>
    </row>
    <row r="36" spans="1:39" ht="15.75" thickBot="1" x14ac:dyDescent="0.3">
      <c r="A36" s="794" t="s">
        <v>17</v>
      </c>
      <c r="B36" s="124" t="s">
        <v>136</v>
      </c>
      <c r="C36" s="124" t="s">
        <v>36</v>
      </c>
      <c r="D36" s="261">
        <f>Indata!D61*(1+Indata!D$65)*(1-D23)</f>
        <v>0.18780957349145666</v>
      </c>
      <c r="E36" s="234">
        <f>Indata!E61*(1+Indata!E$65)*(1-E23)</f>
        <v>0.10326809430239073</v>
      </c>
      <c r="F36" s="233">
        <f>Indata!F61*(1+Indata!F$65)*(1-F23)</f>
        <v>0.21653339061367943</v>
      </c>
      <c r="G36" s="234">
        <f>Indata!G61*(1+Indata!G$65)*(1-G23)</f>
        <v>0.18071916502918375</v>
      </c>
      <c r="H36" s="235">
        <f>Indata!H61*(1+Indata!H$65)*(1-H23)</f>
        <v>0.21653339061367943</v>
      </c>
      <c r="I36" s="234">
        <f>Indata!I61*(1+Indata!I$65)*(1-I23)</f>
        <v>0.18071916502918375</v>
      </c>
      <c r="K36" s="815" t="s">
        <v>17</v>
      </c>
      <c r="L36" s="746" t="s">
        <v>136</v>
      </c>
      <c r="M36" s="746" t="s">
        <v>36</v>
      </c>
      <c r="N36" s="261">
        <f>D36</f>
        <v>0.18780957349145666</v>
      </c>
      <c r="O36" s="234">
        <f t="shared" ref="O36:O39" si="52">E36</f>
        <v>0.10326809430239073</v>
      </c>
      <c r="P36" s="234">
        <f>F46*(1-P23)</f>
        <v>0.21653339061367943</v>
      </c>
      <c r="Q36" s="234">
        <f>G46*(1-Q23)</f>
        <v>0.18071916502918375</v>
      </c>
      <c r="R36" s="234">
        <f>H46*(1-R23)</f>
        <v>0.21653339061367943</v>
      </c>
      <c r="S36" s="234">
        <f>I46*(1-S23)</f>
        <v>0.18071916502918375</v>
      </c>
      <c r="U36" s="794" t="s">
        <v>17</v>
      </c>
      <c r="V36" s="124" t="s">
        <v>136</v>
      </c>
      <c r="W36" s="124" t="s">
        <v>36</v>
      </c>
      <c r="X36" s="261">
        <f t="shared" ref="X36:X49" si="53">N36/N$50*X$50</f>
        <v>0.18780957349145669</v>
      </c>
      <c r="Y36" s="261">
        <f t="shared" ref="Y36:Y49" si="54">O36/O$50*Y$50</f>
        <v>0.10326809430239073</v>
      </c>
      <c r="Z36" s="261">
        <f t="shared" ref="Z36:Z49" si="55">P36/P$50*Z$50</f>
        <v>0.22509767853609611</v>
      </c>
      <c r="AA36" s="261">
        <f t="shared" ref="AA36:AA49" si="56">Q36/Q$50*AA$50</f>
        <v>0.18548238440333659</v>
      </c>
      <c r="AB36" s="261">
        <f t="shared" ref="AB36:AB49" si="57">R36/R$50*AB$50</f>
        <v>0.22509767853609611</v>
      </c>
      <c r="AC36" s="261">
        <f t="shared" ref="AC36:AC49" si="58">S36/S$50*AC$50</f>
        <v>0.18455940234999083</v>
      </c>
      <c r="AE36" s="794" t="s">
        <v>17</v>
      </c>
      <c r="AF36" s="124" t="s">
        <v>136</v>
      </c>
      <c r="AG36" s="124" t="s">
        <v>36</v>
      </c>
      <c r="AH36" s="261">
        <f>X36*(1-Indata!D$22)</f>
        <v>0.18780957349145669</v>
      </c>
      <c r="AI36" s="234">
        <f>Y36*(1-Indata!E$22)</f>
        <v>0.10326809430239073</v>
      </c>
      <c r="AJ36" s="233">
        <f>Z36*(1-Indata!F$22)</f>
        <v>0.22509767853609611</v>
      </c>
      <c r="AK36" s="234">
        <f>AA36*(1-Indata!G$22)</f>
        <v>0.18548238440333659</v>
      </c>
      <c r="AL36" s="235">
        <f>AB36*(1-Indata!H$22)</f>
        <v>0.22509767853609611</v>
      </c>
      <c r="AM36" s="234">
        <f>AC36*(1-Indata!I$22)</f>
        <v>0.18455940234999083</v>
      </c>
    </row>
    <row r="37" spans="1:39" ht="15.75" thickBot="1" x14ac:dyDescent="0.3">
      <c r="A37" s="795"/>
      <c r="B37" s="125" t="s">
        <v>137</v>
      </c>
      <c r="C37" s="125" t="s">
        <v>36</v>
      </c>
      <c r="D37" s="236">
        <f>Indata!D62*(1+Indata!D$65)*(1-D24)</f>
        <v>0.20441406642615551</v>
      </c>
      <c r="E37" s="237">
        <f>Indata!E62*(1+Indata!E$65)*(1-E24)</f>
        <v>0.11239816318198309</v>
      </c>
      <c r="F37" s="236">
        <f>Indata!F62*(1+Indata!F$65)*(1-F24)</f>
        <v>0.23567739423250869</v>
      </c>
      <c r="G37" s="237">
        <f>Indata!G62*(1+Indata!G$65)*(1-G24)</f>
        <v>0.19669678556847037</v>
      </c>
      <c r="H37" s="238">
        <f>Indata!H62*(1+Indata!H$65)*(1-H24)</f>
        <v>0.23567739423250869</v>
      </c>
      <c r="I37" s="237">
        <f>Indata!I62*(1+Indata!I$65)*(1-I24)</f>
        <v>0.19669678556847037</v>
      </c>
      <c r="K37" s="816"/>
      <c r="L37" s="747" t="s">
        <v>137</v>
      </c>
      <c r="M37" s="747" t="s">
        <v>36</v>
      </c>
      <c r="N37" s="236">
        <f>D37</f>
        <v>0.20441406642615551</v>
      </c>
      <c r="O37" s="237">
        <f t="shared" si="52"/>
        <v>0.11239816318198309</v>
      </c>
      <c r="P37" s="234">
        <f t="shared" ref="P37:Q39" si="59">F47*(1-P24)</f>
        <v>0.23567739423250869</v>
      </c>
      <c r="Q37" s="234">
        <f t="shared" si="59"/>
        <v>0.19669678556847037</v>
      </c>
      <c r="R37" s="234">
        <f t="shared" ref="R37:R39" si="60">H47*(1-R24)</f>
        <v>0.23567739423250869</v>
      </c>
      <c r="S37" s="234">
        <f t="shared" ref="S37:S39" si="61">I47*(1-S24)</f>
        <v>0.19669678556847037</v>
      </c>
      <c r="U37" s="795"/>
      <c r="V37" s="125" t="s">
        <v>137</v>
      </c>
      <c r="W37" s="125" t="s">
        <v>36</v>
      </c>
      <c r="X37" s="261">
        <f t="shared" si="53"/>
        <v>0.20441406642615551</v>
      </c>
      <c r="Y37" s="261">
        <f t="shared" si="54"/>
        <v>0.11239816318198309</v>
      </c>
      <c r="Z37" s="261">
        <f t="shared" si="55"/>
        <v>0.24499886218390274</v>
      </c>
      <c r="AA37" s="261">
        <f t="shared" si="56"/>
        <v>0.20188112747101303</v>
      </c>
      <c r="AB37" s="261">
        <f t="shared" si="57"/>
        <v>0.24499886218390274</v>
      </c>
      <c r="AC37" s="261">
        <f t="shared" si="58"/>
        <v>0.20087654335288047</v>
      </c>
      <c r="AE37" s="795"/>
      <c r="AF37" s="125" t="s">
        <v>137</v>
      </c>
      <c r="AG37" s="125" t="s">
        <v>36</v>
      </c>
      <c r="AH37" s="236">
        <f>X37*(1-Indata!D$22)</f>
        <v>0.20441406642615551</v>
      </c>
      <c r="AI37" s="237">
        <f>Y37*(1-Indata!E$22)</f>
        <v>0.11239816318198309</v>
      </c>
      <c r="AJ37" s="236">
        <f>Z37*(1-Indata!F$22)</f>
        <v>0.24499886218390274</v>
      </c>
      <c r="AK37" s="237">
        <f>AA37*(1-Indata!G$22)</f>
        <v>0.20188112747101303</v>
      </c>
      <c r="AL37" s="238">
        <f>AB37*(1-Indata!H$22)</f>
        <v>0.24499886218390274</v>
      </c>
      <c r="AM37" s="237">
        <f>AC37*(1-Indata!I$22)</f>
        <v>0.20087654335288047</v>
      </c>
    </row>
    <row r="38" spans="1:39" ht="15.75" thickBot="1" x14ac:dyDescent="0.3">
      <c r="A38" s="795"/>
      <c r="B38" s="125" t="s">
        <v>138</v>
      </c>
      <c r="C38" s="125" t="s">
        <v>36</v>
      </c>
      <c r="D38" s="236">
        <f>Indata!D63*(1+Indata!D$65)*(1-D25)</f>
        <v>1.888631464847943</v>
      </c>
      <c r="E38" s="237">
        <f>Indata!E63*(1+Indata!E$65)*(1-E25)</f>
        <v>1.9278371577004234</v>
      </c>
      <c r="F38" s="236">
        <f>Indata!F63*(1+Indata!F$65)*(1-F25)</f>
        <v>1.9288378034988423</v>
      </c>
      <c r="G38" s="237">
        <f>Indata!G63*(1+Indata!G$65)*(1-G25)</f>
        <v>1.6098115691862915</v>
      </c>
      <c r="H38" s="238">
        <f>Indata!H63*(1+Indata!H$65)*(1-H25)</f>
        <v>1.9288378034988423</v>
      </c>
      <c r="I38" s="237">
        <f>Indata!I63*(1+Indata!I$65)*(1-I25)</f>
        <v>1.6098115691862915</v>
      </c>
      <c r="K38" s="816"/>
      <c r="L38" s="747" t="s">
        <v>138</v>
      </c>
      <c r="M38" s="747" t="s">
        <v>36</v>
      </c>
      <c r="N38" s="236">
        <f t="shared" ref="N38:N39" si="62">D38</f>
        <v>1.888631464847943</v>
      </c>
      <c r="O38" s="237">
        <f t="shared" si="52"/>
        <v>1.9278371577004234</v>
      </c>
      <c r="P38" s="234">
        <f t="shared" si="59"/>
        <v>1.9288378034988423</v>
      </c>
      <c r="Q38" s="234">
        <f t="shared" si="59"/>
        <v>1.6098115691862915</v>
      </c>
      <c r="R38" s="234">
        <f t="shared" si="60"/>
        <v>1.9288378034988423</v>
      </c>
      <c r="S38" s="234">
        <f t="shared" si="61"/>
        <v>1.6098115691862915</v>
      </c>
      <c r="U38" s="795"/>
      <c r="V38" s="125" t="s">
        <v>138</v>
      </c>
      <c r="W38" s="125" t="s">
        <v>36</v>
      </c>
      <c r="X38" s="261">
        <f t="shared" si="53"/>
        <v>1.888631464847943</v>
      </c>
      <c r="Y38" s="261">
        <f t="shared" si="54"/>
        <v>1.9278371577004234</v>
      </c>
      <c r="Z38" s="261">
        <f t="shared" si="55"/>
        <v>2.0051268333708117</v>
      </c>
      <c r="AA38" s="261">
        <f t="shared" si="56"/>
        <v>1.6522414113883912</v>
      </c>
      <c r="AB38" s="261">
        <f t="shared" si="57"/>
        <v>2.0051268333708117</v>
      </c>
      <c r="AC38" s="261">
        <f t="shared" si="58"/>
        <v>1.6440196647496914</v>
      </c>
      <c r="AE38" s="795"/>
      <c r="AF38" s="125" t="s">
        <v>138</v>
      </c>
      <c r="AG38" s="125" t="s">
        <v>36</v>
      </c>
      <c r="AH38" s="236">
        <f>X38*(1-Indata!D$22)</f>
        <v>1.888631464847943</v>
      </c>
      <c r="AI38" s="237">
        <f>Y38*(1-Indata!E$22)</f>
        <v>1.9278371577004234</v>
      </c>
      <c r="AJ38" s="236">
        <f>Z38*(1-Indata!F$22)</f>
        <v>2.0051268333708117</v>
      </c>
      <c r="AK38" s="237">
        <f>AA38*(1-Indata!G$22)</f>
        <v>1.6522414113883912</v>
      </c>
      <c r="AL38" s="238">
        <f>AB38*(1-Indata!H$22)</f>
        <v>2.0051268333708117</v>
      </c>
      <c r="AM38" s="237">
        <f>AC38*(1-Indata!I$22)</f>
        <v>1.6440196647496914</v>
      </c>
    </row>
    <row r="39" spans="1:39" ht="15.75" thickBot="1" x14ac:dyDescent="0.3">
      <c r="A39" s="795"/>
      <c r="B39" s="125" t="s">
        <v>139</v>
      </c>
      <c r="C39" s="125" t="s">
        <v>36</v>
      </c>
      <c r="D39" s="262">
        <f>Indata!D64*(1+Indata!D$65)*(1-D26)</f>
        <v>3.5477319739661044</v>
      </c>
      <c r="E39" s="263">
        <f>Indata!E64*(1+Indata!E$65)*(1-E26)</f>
        <v>4.1453210591289906</v>
      </c>
      <c r="F39" s="262">
        <f>Indata!F64*(1+Indata!F$65)*(1-F26)</f>
        <v>3.4767773344867821</v>
      </c>
      <c r="G39" s="263">
        <f>Indata!G64*(1+Indata!G$65)*(1-G26)</f>
        <v>2.9017247413902933</v>
      </c>
      <c r="H39" s="264">
        <f>Indata!H64*(1+Indata!H$65)*(1-H26)</f>
        <v>3.4767773344867821</v>
      </c>
      <c r="I39" s="263">
        <f>Indata!I64*(1+Indata!I$65)*(1-I26)</f>
        <v>2.9017247413902933</v>
      </c>
      <c r="K39" s="816"/>
      <c r="L39" s="747" t="s">
        <v>139</v>
      </c>
      <c r="M39" s="747" t="s">
        <v>36</v>
      </c>
      <c r="N39" s="262">
        <f t="shared" si="62"/>
        <v>3.5477319739661044</v>
      </c>
      <c r="O39" s="263">
        <f t="shared" si="52"/>
        <v>4.1453210591289906</v>
      </c>
      <c r="P39" s="234">
        <f t="shared" si="59"/>
        <v>3.4767773344867816</v>
      </c>
      <c r="Q39" s="234">
        <f t="shared" si="59"/>
        <v>2.9017247413902933</v>
      </c>
      <c r="R39" s="234">
        <f t="shared" si="60"/>
        <v>3.4767773344867816</v>
      </c>
      <c r="S39" s="234">
        <f t="shared" si="61"/>
        <v>2.9017247413902933</v>
      </c>
      <c r="U39" s="795"/>
      <c r="V39" s="125" t="s">
        <v>139</v>
      </c>
      <c r="W39" s="125" t="s">
        <v>36</v>
      </c>
      <c r="X39" s="261">
        <f t="shared" si="53"/>
        <v>3.5477319739661044</v>
      </c>
      <c r="Y39" s="261">
        <f t="shared" si="54"/>
        <v>4.1453210591289906</v>
      </c>
      <c r="Z39" s="261">
        <f t="shared" si="55"/>
        <v>3.6142901774265628</v>
      </c>
      <c r="AA39" s="261">
        <f t="shared" si="56"/>
        <v>2.9782055701082482</v>
      </c>
      <c r="AB39" s="261">
        <f t="shared" si="57"/>
        <v>3.6142901774265628</v>
      </c>
      <c r="AC39" s="261">
        <f t="shared" si="58"/>
        <v>2.9633856706270834</v>
      </c>
      <c r="AE39" s="795"/>
      <c r="AF39" s="125" t="s">
        <v>139</v>
      </c>
      <c r="AG39" s="125" t="s">
        <v>36</v>
      </c>
      <c r="AH39" s="262">
        <f>X39*(1-Indata!D$22)</f>
        <v>3.5477319739661044</v>
      </c>
      <c r="AI39" s="263">
        <f>Y39*(1-Indata!E$22)</f>
        <v>4.1453210591289906</v>
      </c>
      <c r="AJ39" s="262">
        <f>Z39*(1-Indata!F$22)</f>
        <v>3.6142901774265628</v>
      </c>
      <c r="AK39" s="263">
        <f>AA39*(1-Indata!G$22)</f>
        <v>2.9782055701082482</v>
      </c>
      <c r="AL39" s="264">
        <f>AB39*(1-Indata!H$22)</f>
        <v>3.6142901774265628</v>
      </c>
      <c r="AM39" s="263">
        <f>AC39*(1-Indata!I$22)</f>
        <v>2.9633856706270834</v>
      </c>
    </row>
    <row r="40" spans="1:39" ht="15.75" thickBot="1" x14ac:dyDescent="0.3">
      <c r="A40" s="795"/>
      <c r="B40" s="175" t="s">
        <v>159</v>
      </c>
      <c r="C40" s="175" t="s">
        <v>36</v>
      </c>
      <c r="D40" s="258">
        <f>SUM(D36:D39)</f>
        <v>5.82858707873166</v>
      </c>
      <c r="E40" s="259">
        <f t="shared" ref="E40:I40" si="63">SUM(E36:E39)</f>
        <v>6.2888244743137882</v>
      </c>
      <c r="F40" s="258">
        <f t="shared" si="63"/>
        <v>5.8578259228318128</v>
      </c>
      <c r="G40" s="259">
        <f t="shared" si="63"/>
        <v>4.8889522611742393</v>
      </c>
      <c r="H40" s="260">
        <f t="shared" si="63"/>
        <v>5.8578259228318128</v>
      </c>
      <c r="I40" s="259">
        <f t="shared" si="63"/>
        <v>4.8889522611742393</v>
      </c>
      <c r="K40" s="816"/>
      <c r="L40" s="756" t="s">
        <v>159</v>
      </c>
      <c r="M40" s="756" t="s">
        <v>36</v>
      </c>
      <c r="N40" s="258">
        <f>SUM(N36:N39)</f>
        <v>5.82858707873166</v>
      </c>
      <c r="O40" s="259">
        <f t="shared" ref="O40" si="64">SUM(O36:O39)</f>
        <v>6.2888244743137882</v>
      </c>
      <c r="P40" s="258">
        <f t="shared" ref="P40" si="65">SUM(P36:P39)</f>
        <v>5.8578259228318119</v>
      </c>
      <c r="Q40" s="259">
        <f t="shared" ref="Q40" si="66">SUM(Q36:Q39)</f>
        <v>4.8889522611742393</v>
      </c>
      <c r="R40" s="260">
        <f t="shared" ref="R40" si="67">SUM(R36:R39)</f>
        <v>5.8578259228318119</v>
      </c>
      <c r="S40" s="259">
        <f t="shared" ref="S40" si="68">SUM(S36:S39)</f>
        <v>4.8889522611742393</v>
      </c>
      <c r="U40" s="795"/>
      <c r="V40" s="175" t="s">
        <v>159</v>
      </c>
      <c r="W40" s="175" t="s">
        <v>36</v>
      </c>
      <c r="X40" s="261">
        <f t="shared" si="53"/>
        <v>5.82858707873166</v>
      </c>
      <c r="Y40" s="261">
        <f t="shared" si="54"/>
        <v>6.2888244743137882</v>
      </c>
      <c r="Z40" s="261">
        <f t="shared" si="55"/>
        <v>6.0895135515173733</v>
      </c>
      <c r="AA40" s="261">
        <f t="shared" si="56"/>
        <v>5.0178104933709893</v>
      </c>
      <c r="AB40" s="261">
        <f t="shared" si="57"/>
        <v>6.0895135515173733</v>
      </c>
      <c r="AC40" s="261">
        <f t="shared" si="58"/>
        <v>4.9928412810796461</v>
      </c>
      <c r="AE40" s="795"/>
      <c r="AF40" s="175" t="s">
        <v>159</v>
      </c>
      <c r="AG40" s="175" t="s">
        <v>36</v>
      </c>
      <c r="AH40" s="258">
        <f>SUM(AH36:AH39)</f>
        <v>5.82858707873166</v>
      </c>
      <c r="AI40" s="259">
        <f>SUM(AI36:AI39)</f>
        <v>6.2888244743137882</v>
      </c>
      <c r="AJ40" s="258">
        <f>SUM(AJ36:AJ39)</f>
        <v>6.0895135515173733</v>
      </c>
      <c r="AK40" s="259">
        <f t="shared" ref="AK40" si="69">SUM(AK36:AK39)</f>
        <v>5.0178104933709893</v>
      </c>
      <c r="AL40" s="260">
        <f t="shared" ref="AL40" si="70">SUM(AL36:AL39)</f>
        <v>6.0895135515173733</v>
      </c>
      <c r="AM40" s="259">
        <f t="shared" ref="AM40" si="71">SUM(AM36:AM39)</f>
        <v>4.9928412810796461</v>
      </c>
    </row>
    <row r="41" spans="1:39" ht="15.75" thickBot="1" x14ac:dyDescent="0.3">
      <c r="A41" s="795"/>
      <c r="B41" s="125" t="s">
        <v>141</v>
      </c>
      <c r="C41" s="125" t="s">
        <v>36</v>
      </c>
      <c r="D41" s="262">
        <f>Indata!D61*(1+Indata!D$65)*(D23)</f>
        <v>3.3142865910257058E-2</v>
      </c>
      <c r="E41" s="263">
        <f>Indata!E61*(1+Indata!E$65)*(E23)</f>
        <v>0.15490214145358608</v>
      </c>
      <c r="F41" s="262">
        <f>Indata!F61*(1+Indata!F$65)*(F23)</f>
        <v>4.4190487880342742E-3</v>
      </c>
      <c r="G41" s="263">
        <f>Indata!G61*(1+Indata!G$65)*(G23)</f>
        <v>7.7451070726793039E-2</v>
      </c>
      <c r="H41" s="264">
        <f>Indata!H61*(1+Indata!H$65)*(H23)</f>
        <v>4.4190487880342742E-3</v>
      </c>
      <c r="I41" s="263">
        <f>Indata!I61*(1+Indata!I$65)*(I23)</f>
        <v>7.7451070726793039E-2</v>
      </c>
      <c r="K41" s="816"/>
      <c r="L41" s="747" t="s">
        <v>141</v>
      </c>
      <c r="M41" s="747" t="s">
        <v>36</v>
      </c>
      <c r="N41" s="262">
        <f t="shared" ref="N41:N44" si="72">D41</f>
        <v>3.3142865910257058E-2</v>
      </c>
      <c r="O41" s="263">
        <f t="shared" ref="O41:O44" si="73">E41</f>
        <v>0.15490214145358608</v>
      </c>
      <c r="P41" s="263">
        <f>F46*P23</f>
        <v>4.4190487880342742E-3</v>
      </c>
      <c r="Q41" s="263">
        <f>G46*Q23</f>
        <v>7.7451070726793039E-2</v>
      </c>
      <c r="R41" s="263">
        <f>H46*R23</f>
        <v>4.4190487880342742E-3</v>
      </c>
      <c r="S41" s="263">
        <f>I46*S23</f>
        <v>7.7451070726793039E-2</v>
      </c>
      <c r="U41" s="795"/>
      <c r="V41" s="125" t="s">
        <v>141</v>
      </c>
      <c r="W41" s="125" t="s">
        <v>36</v>
      </c>
      <c r="X41" s="261">
        <f t="shared" si="53"/>
        <v>3.3142865910257058E-2</v>
      </c>
      <c r="Y41" s="261">
        <f t="shared" si="54"/>
        <v>0.15490214145358608</v>
      </c>
      <c r="Z41" s="261">
        <f>P41/P$50*Z$50</f>
        <v>4.593830174206043E-3</v>
      </c>
      <c r="AA41" s="261">
        <f>Q41/Q$50*AA$50</f>
        <v>7.9492450458572811E-2</v>
      </c>
      <c r="AB41" s="261">
        <f t="shared" si="57"/>
        <v>4.593830174206043E-3</v>
      </c>
      <c r="AC41" s="261">
        <f t="shared" si="58"/>
        <v>7.9096886721424634E-2</v>
      </c>
      <c r="AE41" s="795"/>
      <c r="AF41" s="125" t="s">
        <v>141</v>
      </c>
      <c r="AG41" s="125" t="s">
        <v>36</v>
      </c>
      <c r="AH41" s="262">
        <f>X41*(1-Indata!D$22)</f>
        <v>3.3142865910257058E-2</v>
      </c>
      <c r="AI41" s="263">
        <f>Y41*(1-Indata!E$22)</f>
        <v>0.15490214145358608</v>
      </c>
      <c r="AJ41" s="262">
        <f>Z41*(1-Indata!F$22)</f>
        <v>4.593830174206043E-3</v>
      </c>
      <c r="AK41" s="263">
        <f>AA41*(1-Indata!G$22)</f>
        <v>7.9492450458572811E-2</v>
      </c>
      <c r="AL41" s="264">
        <f>AB41*(1-Indata!H$22)</f>
        <v>4.593830174206043E-3</v>
      </c>
      <c r="AM41" s="263">
        <f>AC41*(1-Indata!I$22)</f>
        <v>7.9096886721424634E-2</v>
      </c>
    </row>
    <row r="42" spans="1:39" ht="15.75" thickBot="1" x14ac:dyDescent="0.3">
      <c r="A42" s="795"/>
      <c r="B42" s="125" t="s">
        <v>142</v>
      </c>
      <c r="C42" s="125" t="s">
        <v>36</v>
      </c>
      <c r="D42" s="262">
        <f>Indata!D62*(1+Indata!D$65)*(D24)</f>
        <v>3.6073070545792146E-2</v>
      </c>
      <c r="E42" s="263">
        <f>Indata!E62*(1+Indata!E$65)*(E24)</f>
        <v>0.16859724477297461</v>
      </c>
      <c r="F42" s="262">
        <f>Indata!F62*(1+Indata!F$65)*(F24)</f>
        <v>4.8097427394389533E-3</v>
      </c>
      <c r="G42" s="263">
        <f>Indata!G62*(1+Indata!G$65)*(G24)</f>
        <v>8.4298622386487304E-2</v>
      </c>
      <c r="H42" s="264">
        <f>Indata!H62*(1+Indata!H$65)*(H24)</f>
        <v>4.8097427394389533E-3</v>
      </c>
      <c r="I42" s="263">
        <f>Indata!I62*(1+Indata!I$65)*(I24)</f>
        <v>8.4298622386487304E-2</v>
      </c>
      <c r="K42" s="816"/>
      <c r="L42" s="747" t="s">
        <v>142</v>
      </c>
      <c r="M42" s="747" t="s">
        <v>36</v>
      </c>
      <c r="N42" s="262">
        <f t="shared" si="72"/>
        <v>3.6073070545792146E-2</v>
      </c>
      <c r="O42" s="263">
        <f t="shared" si="73"/>
        <v>0.16859724477297461</v>
      </c>
      <c r="P42" s="263">
        <f t="shared" ref="P42:Q44" si="74">F47*P24</f>
        <v>4.8097427394389533E-3</v>
      </c>
      <c r="Q42" s="263">
        <f t="shared" si="74"/>
        <v>8.4298622386487304E-2</v>
      </c>
      <c r="R42" s="263">
        <f t="shared" ref="R42:R44" si="75">H47*R24</f>
        <v>4.8097427394389533E-3</v>
      </c>
      <c r="S42" s="263">
        <f t="shared" ref="S42:S44" si="76">I47*S24</f>
        <v>8.4298622386487304E-2</v>
      </c>
      <c r="U42" s="795"/>
      <c r="V42" s="125" t="s">
        <v>142</v>
      </c>
      <c r="W42" s="125" t="s">
        <v>36</v>
      </c>
      <c r="X42" s="261">
        <f t="shared" si="53"/>
        <v>3.6073070545792146E-2</v>
      </c>
      <c r="Y42" s="261">
        <f t="shared" si="54"/>
        <v>0.16859724477297461</v>
      </c>
      <c r="Z42" s="261">
        <f t="shared" si="55"/>
        <v>4.999976779263322E-3</v>
      </c>
      <c r="AA42" s="261">
        <f t="shared" si="56"/>
        <v>8.652048320186273E-2</v>
      </c>
      <c r="AB42" s="261">
        <f t="shared" si="57"/>
        <v>4.999976779263322E-3</v>
      </c>
      <c r="AC42" s="261">
        <f t="shared" si="58"/>
        <v>8.6089947151234497E-2</v>
      </c>
      <c r="AE42" s="795"/>
      <c r="AF42" s="125" t="s">
        <v>142</v>
      </c>
      <c r="AG42" s="125" t="s">
        <v>36</v>
      </c>
      <c r="AH42" s="262">
        <f>X42*(1-Indata!D$22)</f>
        <v>3.6073070545792146E-2</v>
      </c>
      <c r="AI42" s="263">
        <f>Y42*(1-Indata!E$22)</f>
        <v>0.16859724477297461</v>
      </c>
      <c r="AJ42" s="262">
        <f>Z42*(1-Indata!F$22)</f>
        <v>4.999976779263322E-3</v>
      </c>
      <c r="AK42" s="263">
        <f>AA42*(1-Indata!G$22)</f>
        <v>8.652048320186273E-2</v>
      </c>
      <c r="AL42" s="264">
        <f>AB42*(1-Indata!H$22)</f>
        <v>4.999976779263322E-3</v>
      </c>
      <c r="AM42" s="263">
        <f>AC42*(1-Indata!I$22)</f>
        <v>8.6089947151234497E-2</v>
      </c>
    </row>
    <row r="43" spans="1:39" ht="15.75" thickBot="1" x14ac:dyDescent="0.3">
      <c r="A43" s="795"/>
      <c r="B43" s="125" t="s">
        <v>143</v>
      </c>
      <c r="C43" s="125" t="s">
        <v>36</v>
      </c>
      <c r="D43" s="262">
        <f>Indata!D63*(1+Indata!D$65)*(D25)</f>
        <v>7.9570375456998105E-2</v>
      </c>
      <c r="E43" s="263">
        <f>Indata!E63*(1+Indata!E$65)*(E25)</f>
        <v>0.37189365542285041</v>
      </c>
      <c r="F43" s="262">
        <f>Indata!F63*(1+Indata!F$65)*(F25)</f>
        <v>3.9364036806098825E-2</v>
      </c>
      <c r="G43" s="263">
        <f>Indata!G63*(1+Indata!G$65)*(G25)</f>
        <v>0.68991924393698212</v>
      </c>
      <c r="H43" s="264">
        <f>Indata!H63*(1+Indata!H$65)*(H25)</f>
        <v>3.9364036806098825E-2</v>
      </c>
      <c r="I43" s="263">
        <f>Indata!I63*(1+Indata!I$65)*(I25)</f>
        <v>0.68991924393698212</v>
      </c>
      <c r="K43" s="816"/>
      <c r="L43" s="747" t="s">
        <v>143</v>
      </c>
      <c r="M43" s="747" t="s">
        <v>36</v>
      </c>
      <c r="N43" s="262">
        <f t="shared" si="72"/>
        <v>7.9570375456998105E-2</v>
      </c>
      <c r="O43" s="263">
        <f t="shared" si="73"/>
        <v>0.37189365542285041</v>
      </c>
      <c r="P43" s="263">
        <f t="shared" si="74"/>
        <v>3.9364036806098825E-2</v>
      </c>
      <c r="Q43" s="263">
        <f t="shared" si="74"/>
        <v>0.68991924393698212</v>
      </c>
      <c r="R43" s="263">
        <f t="shared" si="75"/>
        <v>3.9364036806098825E-2</v>
      </c>
      <c r="S43" s="263">
        <f t="shared" si="76"/>
        <v>0.68991924393698212</v>
      </c>
      <c r="U43" s="795"/>
      <c r="V43" s="125" t="s">
        <v>143</v>
      </c>
      <c r="W43" s="125" t="s">
        <v>36</v>
      </c>
      <c r="X43" s="261">
        <f t="shared" si="53"/>
        <v>7.9570375456998105E-2</v>
      </c>
      <c r="Y43" s="261">
        <f t="shared" si="54"/>
        <v>0.37189365542285041</v>
      </c>
      <c r="Z43" s="261">
        <f t="shared" si="55"/>
        <v>4.0920955783077799E-2</v>
      </c>
      <c r="AA43" s="261">
        <f>Q43/Q$50*AA$50</f>
        <v>0.70810346202359631</v>
      </c>
      <c r="AB43" s="261">
        <f t="shared" si="57"/>
        <v>4.0920955783077799E-2</v>
      </c>
      <c r="AC43" s="261">
        <f t="shared" si="58"/>
        <v>0.70457985632129638</v>
      </c>
      <c r="AE43" s="795"/>
      <c r="AF43" s="125" t="s">
        <v>143</v>
      </c>
      <c r="AG43" s="125" t="s">
        <v>36</v>
      </c>
      <c r="AH43" s="262">
        <f>X43*(1-Indata!D$22)</f>
        <v>7.9570375456998105E-2</v>
      </c>
      <c r="AI43" s="263">
        <f>Y43*(1-Indata!E$22)</f>
        <v>0.37189365542285041</v>
      </c>
      <c r="AJ43" s="262">
        <f>Z43*(1-Indata!F$22)</f>
        <v>4.0920955783077799E-2</v>
      </c>
      <c r="AK43" s="263">
        <f>AA43*(1-Indata!G$22)</f>
        <v>0.70810346202359631</v>
      </c>
      <c r="AL43" s="264">
        <f>AB43*(1-Indata!H$22)</f>
        <v>4.0920955783077799E-2</v>
      </c>
      <c r="AM43" s="263">
        <f>AC43*(1-Indata!I$22)</f>
        <v>0.70457985632129638</v>
      </c>
    </row>
    <row r="44" spans="1:39" ht="15.75" thickBot="1" x14ac:dyDescent="0.3">
      <c r="A44" s="795"/>
      <c r="B44" s="125" t="s">
        <v>144</v>
      </c>
      <c r="C44" s="125" t="s">
        <v>36</v>
      </c>
      <c r="D44" s="262">
        <f>Indata!D64*(1+Indata!D$65)*(D26)</f>
        <v>0</v>
      </c>
      <c r="E44" s="263">
        <f>Indata!E64*(1+Indata!E$65)*(E26)</f>
        <v>0</v>
      </c>
      <c r="F44" s="262">
        <f>Indata!F64*(1+Indata!F$65)*(F26)</f>
        <v>7.0954639479322096E-2</v>
      </c>
      <c r="G44" s="263">
        <f>Indata!G64*(1+Indata!G$65)*(G26)</f>
        <v>1.2435963177386971</v>
      </c>
      <c r="H44" s="264">
        <f>Indata!H64*(1+Indata!H$65)*(H26)</f>
        <v>7.0954639479322096E-2</v>
      </c>
      <c r="I44" s="263">
        <f>Indata!I64*(1+Indata!I$65)*(I26)</f>
        <v>1.2435963177386971</v>
      </c>
      <c r="K44" s="816"/>
      <c r="L44" s="747" t="s">
        <v>144</v>
      </c>
      <c r="M44" s="747" t="s">
        <v>36</v>
      </c>
      <c r="N44" s="262">
        <f t="shared" si="72"/>
        <v>0</v>
      </c>
      <c r="O44" s="263">
        <f t="shared" si="73"/>
        <v>0</v>
      </c>
      <c r="P44" s="263">
        <f t="shared" si="74"/>
        <v>7.0954639479322082E-2</v>
      </c>
      <c r="Q44" s="263">
        <f t="shared" si="74"/>
        <v>1.2435963177386971</v>
      </c>
      <c r="R44" s="263">
        <f t="shared" si="75"/>
        <v>7.0954639479322082E-2</v>
      </c>
      <c r="S44" s="263">
        <f t="shared" si="76"/>
        <v>1.2435963177386971</v>
      </c>
      <c r="U44" s="795"/>
      <c r="V44" s="125" t="s">
        <v>144</v>
      </c>
      <c r="W44" s="125" t="s">
        <v>36</v>
      </c>
      <c r="X44" s="261">
        <f t="shared" si="53"/>
        <v>0</v>
      </c>
      <c r="Y44" s="261">
        <f t="shared" si="54"/>
        <v>0</v>
      </c>
      <c r="Z44" s="261">
        <f t="shared" si="55"/>
        <v>7.3761024029113526E-2</v>
      </c>
      <c r="AA44" s="261">
        <f t="shared" si="56"/>
        <v>1.2763738157606777</v>
      </c>
      <c r="AB44" s="261">
        <f t="shared" si="57"/>
        <v>7.3761024029113526E-2</v>
      </c>
      <c r="AC44" s="261">
        <f t="shared" si="58"/>
        <v>1.2700224302687497</v>
      </c>
      <c r="AE44" s="795"/>
      <c r="AF44" s="125" t="s">
        <v>144</v>
      </c>
      <c r="AG44" s="125" t="s">
        <v>36</v>
      </c>
      <c r="AH44" s="262">
        <f>X44*(1-Indata!D$22)</f>
        <v>0</v>
      </c>
      <c r="AI44" s="263">
        <f>Y44*(1-Indata!E$22)</f>
        <v>0</v>
      </c>
      <c r="AJ44" s="262">
        <f>Z44*(1-Indata!F$22)</f>
        <v>7.3761024029113526E-2</v>
      </c>
      <c r="AK44" s="263">
        <f>AA44*(1-Indata!G$22)</f>
        <v>1.2763738157606777</v>
      </c>
      <c r="AL44" s="264">
        <f>AB44*(1-Indata!H$22)</f>
        <v>7.3761024029113526E-2</v>
      </c>
      <c r="AM44" s="263">
        <f>AC44*(1-Indata!I$22)</f>
        <v>1.2700224302687497</v>
      </c>
    </row>
    <row r="45" spans="1:39" ht="15.75" thickBot="1" x14ac:dyDescent="0.3">
      <c r="A45" s="795"/>
      <c r="B45" s="175" t="s">
        <v>160</v>
      </c>
      <c r="C45" s="175" t="s">
        <v>36</v>
      </c>
      <c r="D45" s="258">
        <f>SUM(D41:D44)</f>
        <v>0.14878631191304731</v>
      </c>
      <c r="E45" s="259">
        <f t="shared" ref="E45:I45" si="77">SUM(E41:E44)</f>
        <v>0.69539304164941118</v>
      </c>
      <c r="F45" s="258">
        <f t="shared" si="77"/>
        <v>0.11954746781289415</v>
      </c>
      <c r="G45" s="259">
        <f t="shared" si="77"/>
        <v>2.0952652547889596</v>
      </c>
      <c r="H45" s="260">
        <f t="shared" si="77"/>
        <v>0.11954746781289415</v>
      </c>
      <c r="I45" s="259">
        <f t="shared" si="77"/>
        <v>2.0952652547889596</v>
      </c>
      <c r="K45" s="816"/>
      <c r="L45" s="756" t="s">
        <v>160</v>
      </c>
      <c r="M45" s="756" t="s">
        <v>36</v>
      </c>
      <c r="N45" s="258">
        <f>SUM(N41:N44)</f>
        <v>0.14878631191304731</v>
      </c>
      <c r="O45" s="259">
        <f t="shared" ref="O45" si="78">SUM(O41:O44)</f>
        <v>0.69539304164941118</v>
      </c>
      <c r="P45" s="258">
        <f t="shared" ref="P45" si="79">SUM(P41:P44)</f>
        <v>0.11954746781289413</v>
      </c>
      <c r="Q45" s="259">
        <f t="shared" ref="Q45" si="80">SUM(Q41:Q44)</f>
        <v>2.0952652547889596</v>
      </c>
      <c r="R45" s="260">
        <f t="shared" ref="R45" si="81">SUM(R41:R44)</f>
        <v>0.11954746781289413</v>
      </c>
      <c r="S45" s="259">
        <f t="shared" ref="S45" si="82">SUM(S41:S44)</f>
        <v>2.0952652547889596</v>
      </c>
      <c r="U45" s="795"/>
      <c r="V45" s="175" t="s">
        <v>160</v>
      </c>
      <c r="W45" s="175" t="s">
        <v>36</v>
      </c>
      <c r="X45" s="261">
        <f t="shared" si="53"/>
        <v>0.14878631191304731</v>
      </c>
      <c r="Y45" s="261">
        <f t="shared" si="54"/>
        <v>0.69539304164941118</v>
      </c>
      <c r="Z45" s="261">
        <f t="shared" si="55"/>
        <v>0.12427578676566067</v>
      </c>
      <c r="AA45" s="261">
        <f>Q45/Q$50*AA$50</f>
        <v>2.1504902114447093</v>
      </c>
      <c r="AB45" s="261">
        <f t="shared" si="57"/>
        <v>0.12427578676566067</v>
      </c>
      <c r="AC45" s="261">
        <f t="shared" si="58"/>
        <v>2.1397891204627051</v>
      </c>
      <c r="AE45" s="795"/>
      <c r="AF45" s="175" t="s">
        <v>160</v>
      </c>
      <c r="AG45" s="175" t="s">
        <v>36</v>
      </c>
      <c r="AH45" s="258">
        <f>SUM(AH41:AH44)</f>
        <v>0.14878631191304731</v>
      </c>
      <c r="AI45" s="259">
        <f>SUM(AI41:AI44)</f>
        <v>0.69539304164941118</v>
      </c>
      <c r="AJ45" s="258">
        <f t="shared" ref="AJ45" si="83">SUM(AJ41:AJ44)</f>
        <v>0.12427578676566069</v>
      </c>
      <c r="AK45" s="259">
        <f t="shared" ref="AK45" si="84">SUM(AK41:AK44)</f>
        <v>2.1504902114447093</v>
      </c>
      <c r="AL45" s="260">
        <f t="shared" ref="AL45" si="85">SUM(AL41:AL44)</f>
        <v>0.12427578676566069</v>
      </c>
      <c r="AM45" s="259">
        <f t="shared" ref="AM45" si="86">SUM(AM41:AM44)</f>
        <v>2.1397891204627051</v>
      </c>
    </row>
    <row r="46" spans="1:39" ht="15.75" thickBot="1" x14ac:dyDescent="0.3">
      <c r="A46" s="795"/>
      <c r="B46" s="125" t="s">
        <v>161</v>
      </c>
      <c r="C46" s="125" t="s">
        <v>36</v>
      </c>
      <c r="D46" s="262">
        <f>D36+D41</f>
        <v>0.22095243940171372</v>
      </c>
      <c r="E46" s="263">
        <f t="shared" ref="E46:I46" si="87">E36+E41</f>
        <v>0.25817023575597681</v>
      </c>
      <c r="F46" s="262">
        <f t="shared" si="87"/>
        <v>0.22095243940171372</v>
      </c>
      <c r="G46" s="263">
        <f t="shared" si="87"/>
        <v>0.25817023575597681</v>
      </c>
      <c r="H46" s="264">
        <f t="shared" si="87"/>
        <v>0.22095243940171372</v>
      </c>
      <c r="I46" s="263">
        <f t="shared" si="87"/>
        <v>0.25817023575597681</v>
      </c>
      <c r="K46" s="816"/>
      <c r="L46" s="747" t="s">
        <v>161</v>
      </c>
      <c r="M46" s="747" t="s">
        <v>36</v>
      </c>
      <c r="N46" s="262">
        <f>N36+N41</f>
        <v>0.22095243940171372</v>
      </c>
      <c r="O46" s="263">
        <f t="shared" ref="O46:S46" si="88">O36+O41</f>
        <v>0.25817023575597681</v>
      </c>
      <c r="P46" s="262">
        <f t="shared" si="88"/>
        <v>0.22095243940171372</v>
      </c>
      <c r="Q46" s="263">
        <f t="shared" si="88"/>
        <v>0.25817023575597681</v>
      </c>
      <c r="R46" s="264">
        <f t="shared" si="88"/>
        <v>0.22095243940171372</v>
      </c>
      <c r="S46" s="263">
        <f t="shared" si="88"/>
        <v>0.25817023575597681</v>
      </c>
      <c r="U46" s="795"/>
      <c r="V46" s="125" t="s">
        <v>161</v>
      </c>
      <c r="W46" s="125" t="s">
        <v>36</v>
      </c>
      <c r="X46" s="261">
        <f t="shared" si="53"/>
        <v>0.22095243940171372</v>
      </c>
      <c r="Y46" s="261">
        <f t="shared" si="54"/>
        <v>0.25817023575597681</v>
      </c>
      <c r="Z46" s="261">
        <f t="shared" si="55"/>
        <v>0.22969150871030217</v>
      </c>
      <c r="AA46" s="261">
        <f t="shared" si="56"/>
        <v>0.26497483486190943</v>
      </c>
      <c r="AB46" s="261">
        <f t="shared" si="57"/>
        <v>0.22969150871030217</v>
      </c>
      <c r="AC46" s="261">
        <f t="shared" si="58"/>
        <v>0.26365628907141547</v>
      </c>
      <c r="AE46" s="795"/>
      <c r="AF46" s="125" t="s">
        <v>161</v>
      </c>
      <c r="AG46" s="125" t="s">
        <v>36</v>
      </c>
      <c r="AH46" s="262">
        <f>AH36+AH41</f>
        <v>0.22095243940171375</v>
      </c>
      <c r="AI46" s="263">
        <f t="shared" ref="AI46:AM46" si="89">AI36+AI41</f>
        <v>0.25817023575597681</v>
      </c>
      <c r="AJ46" s="262">
        <f t="shared" si="89"/>
        <v>0.22969150871030214</v>
      </c>
      <c r="AK46" s="263">
        <f t="shared" si="89"/>
        <v>0.26497483486190943</v>
      </c>
      <c r="AL46" s="264">
        <f t="shared" si="89"/>
        <v>0.22969150871030214</v>
      </c>
      <c r="AM46" s="263">
        <f t="shared" si="89"/>
        <v>0.26365628907141547</v>
      </c>
    </row>
    <row r="47" spans="1:39" ht="15.75" thickBot="1" x14ac:dyDescent="0.3">
      <c r="A47" s="795"/>
      <c r="B47" s="125" t="s">
        <v>162</v>
      </c>
      <c r="C47" s="125" t="s">
        <v>36</v>
      </c>
      <c r="D47" s="236">
        <f t="shared" ref="D47:I47" si="90">D37+D42</f>
        <v>0.24048713697194765</v>
      </c>
      <c r="E47" s="237">
        <f t="shared" si="90"/>
        <v>0.2809954079549577</v>
      </c>
      <c r="F47" s="236">
        <f t="shared" si="90"/>
        <v>0.24048713697194765</v>
      </c>
      <c r="G47" s="237">
        <f t="shared" si="90"/>
        <v>0.2809954079549577</v>
      </c>
      <c r="H47" s="238">
        <f t="shared" si="90"/>
        <v>0.24048713697194765</v>
      </c>
      <c r="I47" s="237">
        <f t="shared" si="90"/>
        <v>0.2809954079549577</v>
      </c>
      <c r="K47" s="816"/>
      <c r="L47" s="747" t="s">
        <v>162</v>
      </c>
      <c r="M47" s="747" t="s">
        <v>36</v>
      </c>
      <c r="N47" s="236">
        <f t="shared" ref="N47:S47" si="91">N37+N42</f>
        <v>0.24048713697194765</v>
      </c>
      <c r="O47" s="237">
        <f t="shared" si="91"/>
        <v>0.2809954079549577</v>
      </c>
      <c r="P47" s="236">
        <f t="shared" si="91"/>
        <v>0.24048713697194765</v>
      </c>
      <c r="Q47" s="237">
        <f t="shared" si="91"/>
        <v>0.2809954079549577</v>
      </c>
      <c r="R47" s="238">
        <f t="shared" si="91"/>
        <v>0.24048713697194765</v>
      </c>
      <c r="S47" s="237">
        <f t="shared" si="91"/>
        <v>0.2809954079549577</v>
      </c>
      <c r="U47" s="795"/>
      <c r="V47" s="125" t="s">
        <v>162</v>
      </c>
      <c r="W47" s="125" t="s">
        <v>36</v>
      </c>
      <c r="X47" s="261">
        <f t="shared" si="53"/>
        <v>0.24048713697194765</v>
      </c>
      <c r="Y47" s="261">
        <f t="shared" si="54"/>
        <v>0.2809954079549577</v>
      </c>
      <c r="Z47" s="261">
        <f t="shared" si="55"/>
        <v>0.2499988389631661</v>
      </c>
      <c r="AA47" s="261">
        <f t="shared" si="56"/>
        <v>0.28840161067287584</v>
      </c>
      <c r="AB47" s="261">
        <f t="shared" si="57"/>
        <v>0.2499988389631661</v>
      </c>
      <c r="AC47" s="261">
        <f t="shared" si="58"/>
        <v>0.28696649050411499</v>
      </c>
      <c r="AE47" s="795"/>
      <c r="AF47" s="125" t="s">
        <v>162</v>
      </c>
      <c r="AG47" s="125" t="s">
        <v>36</v>
      </c>
      <c r="AH47" s="236">
        <f t="shared" ref="AH47:AM47" si="92">AH37+AH42</f>
        <v>0.24048713697194765</v>
      </c>
      <c r="AI47" s="237">
        <f t="shared" si="92"/>
        <v>0.2809954079549577</v>
      </c>
      <c r="AJ47" s="236">
        <f t="shared" si="92"/>
        <v>0.24999883896316605</v>
      </c>
      <c r="AK47" s="237">
        <f t="shared" si="92"/>
        <v>0.28840161067287573</v>
      </c>
      <c r="AL47" s="238">
        <f t="shared" si="92"/>
        <v>0.24999883896316605</v>
      </c>
      <c r="AM47" s="237">
        <f t="shared" si="92"/>
        <v>0.28696649050411493</v>
      </c>
    </row>
    <row r="48" spans="1:39" ht="15.75" thickBot="1" x14ac:dyDescent="0.3">
      <c r="A48" s="795"/>
      <c r="B48" s="125" t="s">
        <v>163</v>
      </c>
      <c r="C48" s="125" t="s">
        <v>36</v>
      </c>
      <c r="D48" s="236">
        <f t="shared" ref="D48:I48" si="93">D38+D43</f>
        <v>1.9682018403049411</v>
      </c>
      <c r="E48" s="237">
        <f t="shared" si="93"/>
        <v>2.2997308131232739</v>
      </c>
      <c r="F48" s="236">
        <f t="shared" si="93"/>
        <v>1.9682018403049411</v>
      </c>
      <c r="G48" s="237">
        <f t="shared" si="93"/>
        <v>2.2997308131232739</v>
      </c>
      <c r="H48" s="238">
        <f t="shared" si="93"/>
        <v>1.9682018403049411</v>
      </c>
      <c r="I48" s="237">
        <f t="shared" si="93"/>
        <v>2.2997308131232739</v>
      </c>
      <c r="K48" s="816"/>
      <c r="L48" s="747" t="s">
        <v>163</v>
      </c>
      <c r="M48" s="747" t="s">
        <v>36</v>
      </c>
      <c r="N48" s="236">
        <f t="shared" ref="N48:S48" si="94">N38+N43</f>
        <v>1.9682018403049411</v>
      </c>
      <c r="O48" s="237">
        <f t="shared" si="94"/>
        <v>2.2997308131232739</v>
      </c>
      <c r="P48" s="236">
        <f t="shared" si="94"/>
        <v>1.9682018403049411</v>
      </c>
      <c r="Q48" s="237">
        <f t="shared" si="94"/>
        <v>2.2997308131232739</v>
      </c>
      <c r="R48" s="238">
        <f t="shared" si="94"/>
        <v>1.9682018403049411</v>
      </c>
      <c r="S48" s="237">
        <f t="shared" si="94"/>
        <v>2.2997308131232739</v>
      </c>
      <c r="U48" s="795"/>
      <c r="V48" s="125" t="s">
        <v>163</v>
      </c>
      <c r="W48" s="125" t="s">
        <v>36</v>
      </c>
      <c r="X48" s="261">
        <f t="shared" si="53"/>
        <v>1.9682018403049411</v>
      </c>
      <c r="Y48" s="261">
        <f t="shared" si="54"/>
        <v>2.2997308131232739</v>
      </c>
      <c r="Z48" s="261">
        <f t="shared" si="55"/>
        <v>2.0460477891538895</v>
      </c>
      <c r="AA48" s="261">
        <f t="shared" si="56"/>
        <v>2.3603448734119881</v>
      </c>
      <c r="AB48" s="261">
        <f t="shared" si="57"/>
        <v>2.0460477891538895</v>
      </c>
      <c r="AC48" s="261">
        <f t="shared" si="58"/>
        <v>2.3485995210709882</v>
      </c>
      <c r="AE48" s="795"/>
      <c r="AF48" s="125" t="s">
        <v>163</v>
      </c>
      <c r="AG48" s="125" t="s">
        <v>36</v>
      </c>
      <c r="AH48" s="236">
        <f t="shared" ref="AH48:AM48" si="95">AH38+AH43</f>
        <v>1.9682018403049411</v>
      </c>
      <c r="AI48" s="237">
        <f t="shared" si="95"/>
        <v>2.2997308131232739</v>
      </c>
      <c r="AJ48" s="236">
        <f t="shared" si="95"/>
        <v>2.0460477891538895</v>
      </c>
      <c r="AK48" s="237">
        <f t="shared" si="95"/>
        <v>2.3603448734119876</v>
      </c>
      <c r="AL48" s="238">
        <f t="shared" si="95"/>
        <v>2.0460477891538895</v>
      </c>
      <c r="AM48" s="237">
        <f t="shared" si="95"/>
        <v>2.3485995210709878</v>
      </c>
    </row>
    <row r="49" spans="1:39" x14ac:dyDescent="0.25">
      <c r="A49" s="795"/>
      <c r="B49" s="125" t="s">
        <v>164</v>
      </c>
      <c r="C49" s="125" t="s">
        <v>36</v>
      </c>
      <c r="D49" s="262">
        <f t="shared" ref="D49:I49" si="96">D39+D44</f>
        <v>3.5477319739661044</v>
      </c>
      <c r="E49" s="263">
        <f t="shared" si="96"/>
        <v>4.1453210591289906</v>
      </c>
      <c r="F49" s="262">
        <f t="shared" si="96"/>
        <v>3.547731973966104</v>
      </c>
      <c r="G49" s="263">
        <f t="shared" si="96"/>
        <v>4.1453210591289906</v>
      </c>
      <c r="H49" s="264">
        <f t="shared" si="96"/>
        <v>3.547731973966104</v>
      </c>
      <c r="I49" s="263">
        <f t="shared" si="96"/>
        <v>4.1453210591289906</v>
      </c>
      <c r="K49" s="816"/>
      <c r="L49" s="747" t="s">
        <v>164</v>
      </c>
      <c r="M49" s="747" t="s">
        <v>36</v>
      </c>
      <c r="N49" s="262">
        <f t="shared" ref="N49:S49" si="97">N39+N44</f>
        <v>3.5477319739661044</v>
      </c>
      <c r="O49" s="263">
        <f t="shared" si="97"/>
        <v>4.1453210591289906</v>
      </c>
      <c r="P49" s="262">
        <f>P39+P44</f>
        <v>3.5477319739661035</v>
      </c>
      <c r="Q49" s="263">
        <f t="shared" si="97"/>
        <v>4.1453210591289906</v>
      </c>
      <c r="R49" s="264">
        <f t="shared" si="97"/>
        <v>3.5477319739661035</v>
      </c>
      <c r="S49" s="263">
        <f t="shared" si="97"/>
        <v>4.1453210591289906</v>
      </c>
      <c r="U49" s="795"/>
      <c r="V49" s="125" t="s">
        <v>164</v>
      </c>
      <c r="W49" s="125" t="s">
        <v>36</v>
      </c>
      <c r="X49" s="261">
        <f t="shared" si="53"/>
        <v>3.5477319739661044</v>
      </c>
      <c r="Y49" s="261">
        <f t="shared" si="54"/>
        <v>4.1453210591289906</v>
      </c>
      <c r="Z49" s="261">
        <f t="shared" si="55"/>
        <v>3.6880512014556759</v>
      </c>
      <c r="AA49" s="261">
        <f t="shared" si="56"/>
        <v>4.2545793858689258</v>
      </c>
      <c r="AB49" s="261">
        <f t="shared" si="57"/>
        <v>3.6880512014556759</v>
      </c>
      <c r="AC49" s="261">
        <f t="shared" si="58"/>
        <v>4.2334081008958329</v>
      </c>
      <c r="AE49" s="795"/>
      <c r="AF49" s="125" t="s">
        <v>164</v>
      </c>
      <c r="AG49" s="125" t="s">
        <v>36</v>
      </c>
      <c r="AH49" s="262">
        <f t="shared" ref="AH49:AM49" si="98">AH39+AH44</f>
        <v>3.5477319739661044</v>
      </c>
      <c r="AI49" s="263">
        <f t="shared" si="98"/>
        <v>4.1453210591289906</v>
      </c>
      <c r="AJ49" s="262">
        <f t="shared" si="98"/>
        <v>3.6880512014556763</v>
      </c>
      <c r="AK49" s="263">
        <f t="shared" si="98"/>
        <v>4.2545793858689258</v>
      </c>
      <c r="AL49" s="264">
        <f t="shared" si="98"/>
        <v>3.6880512014556763</v>
      </c>
      <c r="AM49" s="263">
        <f t="shared" si="98"/>
        <v>4.2334081008958329</v>
      </c>
    </row>
    <row r="50" spans="1:39" ht="15.75" thickBot="1" x14ac:dyDescent="0.3">
      <c r="A50" s="796"/>
      <c r="B50" s="177" t="s">
        <v>165</v>
      </c>
      <c r="C50" s="177" t="s">
        <v>36</v>
      </c>
      <c r="D50" s="196">
        <f>SUM(D46:D49)</f>
        <v>5.9773733906447069</v>
      </c>
      <c r="E50" s="198">
        <f t="shared" ref="E50:I50" si="99">SUM(E46:E49)</f>
        <v>6.9842175159631985</v>
      </c>
      <c r="F50" s="196">
        <f t="shared" si="99"/>
        <v>5.977373390644706</v>
      </c>
      <c r="G50" s="198">
        <f t="shared" si="99"/>
        <v>6.9842175159631985</v>
      </c>
      <c r="H50" s="199">
        <f t="shared" si="99"/>
        <v>5.977373390644706</v>
      </c>
      <c r="I50" s="198">
        <f t="shared" si="99"/>
        <v>6.9842175159631985</v>
      </c>
      <c r="K50" s="817"/>
      <c r="L50" s="757" t="s">
        <v>165</v>
      </c>
      <c r="M50" s="757" t="s">
        <v>36</v>
      </c>
      <c r="N50" s="196">
        <f>SUM(N46:N49)</f>
        <v>5.9773733906447069</v>
      </c>
      <c r="O50" s="198">
        <f t="shared" ref="O50" si="100">SUM(O46:O49)</f>
        <v>6.9842175159631985</v>
      </c>
      <c r="P50" s="196">
        <f>SUM(P46:P49)</f>
        <v>5.977373390644706</v>
      </c>
      <c r="Q50" s="198">
        <f t="shared" ref="Q50" si="101">SUM(Q46:Q49)</f>
        <v>6.9842175159631985</v>
      </c>
      <c r="R50" s="199">
        <f t="shared" ref="R50" si="102">SUM(R46:R49)</f>
        <v>5.977373390644706</v>
      </c>
      <c r="S50" s="198">
        <f t="shared" ref="S50" si="103">SUM(S46:S49)</f>
        <v>6.9842175159631985</v>
      </c>
      <c r="U50" s="796"/>
      <c r="V50" s="177" t="s">
        <v>165</v>
      </c>
      <c r="W50" s="177" t="s">
        <v>36</v>
      </c>
      <c r="X50" s="196">
        <f>N50*(1+N$86*'Indata - Effektsamband-Faktorer'!$D$9)</f>
        <v>5.9773733906447069</v>
      </c>
      <c r="Y50" s="196">
        <f>O50*(1+O$86*'Indata - Effektsamband-Faktorer'!$E$9)</f>
        <v>6.9842175159631985</v>
      </c>
      <c r="Z50" s="196">
        <f>P50*(1+P$86*'Indata - Effektsamband-Faktorer'!$D$9)</f>
        <v>6.2137893382830338</v>
      </c>
      <c r="AA50" s="196">
        <f>Q50*(1+Q$86*'Indata - Effektsamband-Faktorer'!$E$9)</f>
        <v>7.1683007048156986</v>
      </c>
      <c r="AB50" s="196">
        <f>R50*(1+R$86*'Indata - Effektsamband-Faktorer'!$D$9)</f>
        <v>6.2137893382830338</v>
      </c>
      <c r="AC50" s="196">
        <f>S50*(1+S$86*'Indata - Effektsamband-Faktorer'!$E$9)</f>
        <v>7.1326304015423512</v>
      </c>
      <c r="AE50" s="796"/>
      <c r="AF50" s="177" t="s">
        <v>165</v>
      </c>
      <c r="AG50" s="177" t="s">
        <v>36</v>
      </c>
      <c r="AH50" s="196">
        <f>SUM(AH46:AH49)</f>
        <v>5.9773733906447069</v>
      </c>
      <c r="AI50" s="198">
        <f t="shared" ref="AI50" si="104">SUM(AI46:AI49)</f>
        <v>6.9842175159631985</v>
      </c>
      <c r="AJ50" s="196">
        <f t="shared" ref="AJ50" si="105">SUM(AJ46:AJ49)</f>
        <v>6.2137893382830338</v>
      </c>
      <c r="AK50" s="198">
        <f t="shared" ref="AK50" si="106">SUM(AK46:AK49)</f>
        <v>7.1683007048156986</v>
      </c>
      <c r="AL50" s="199">
        <f t="shared" ref="AL50" si="107">SUM(AL46:AL49)</f>
        <v>6.2137893382830338</v>
      </c>
      <c r="AM50" s="198">
        <f t="shared" ref="AM50" si="108">SUM(AM46:AM49)</f>
        <v>7.1326304015423512</v>
      </c>
    </row>
    <row r="51" spans="1:39" x14ac:dyDescent="0.25">
      <c r="D51" s="649"/>
      <c r="E51" s="649"/>
      <c r="F51" s="649"/>
      <c r="G51" s="649"/>
      <c r="H51" s="649"/>
      <c r="I51" s="649"/>
      <c r="N51" s="649"/>
      <c r="O51" s="649"/>
      <c r="P51" s="649"/>
      <c r="Q51" s="649"/>
      <c r="R51" s="649"/>
      <c r="S51" s="649"/>
      <c r="U51" s="648"/>
      <c r="V51" s="175"/>
      <c r="W51" s="175"/>
      <c r="X51" s="649"/>
      <c r="Y51" s="649"/>
      <c r="Z51" s="649"/>
      <c r="AA51" s="649"/>
      <c r="AB51" s="649"/>
      <c r="AC51" s="649"/>
      <c r="AE51" s="648"/>
      <c r="AF51" s="175"/>
      <c r="AG51" s="175"/>
      <c r="AH51" s="649"/>
      <c r="AI51" s="649"/>
      <c r="AJ51" s="649"/>
      <c r="AK51" s="649"/>
      <c r="AL51" s="649"/>
      <c r="AM51" s="649"/>
    </row>
    <row r="52" spans="1:39" ht="15.75" thickBot="1" x14ac:dyDescent="0.3">
      <c r="A52" s="40" t="s">
        <v>621</v>
      </c>
      <c r="D52" s="649"/>
      <c r="E52" s="649"/>
      <c r="F52" s="649"/>
      <c r="G52" s="649"/>
      <c r="H52" s="649"/>
      <c r="I52" s="649"/>
      <c r="K52" s="40" t="s">
        <v>632</v>
      </c>
      <c r="N52" s="649"/>
      <c r="O52" s="649"/>
      <c r="P52" s="649"/>
      <c r="Q52" s="649"/>
      <c r="R52" s="649"/>
      <c r="S52" s="649"/>
      <c r="U52" s="40" t="s">
        <v>633</v>
      </c>
      <c r="X52" s="649"/>
      <c r="Y52" s="649"/>
      <c r="Z52" s="649"/>
      <c r="AA52" s="649"/>
      <c r="AB52" s="649"/>
      <c r="AC52" s="649"/>
      <c r="AE52" s="648"/>
      <c r="AF52" s="175"/>
      <c r="AG52" s="175"/>
      <c r="AH52" s="649"/>
      <c r="AI52" s="649"/>
      <c r="AJ52" s="649"/>
      <c r="AK52" s="649"/>
      <c r="AL52" s="649"/>
      <c r="AM52" s="649"/>
    </row>
    <row r="53" spans="1:39" ht="15.75" thickBot="1" x14ac:dyDescent="0.3">
      <c r="A53" s="812" t="s">
        <v>77</v>
      </c>
      <c r="B53" s="651" t="s">
        <v>136</v>
      </c>
      <c r="C53" s="651" t="s">
        <v>74</v>
      </c>
      <c r="D53" s="261">
        <f>Indata!D54</f>
        <v>171.96222222222224</v>
      </c>
      <c r="E53" s="261">
        <f>D53</f>
        <v>171.96222222222224</v>
      </c>
      <c r="F53" s="261">
        <f>D53</f>
        <v>171.96222222222224</v>
      </c>
      <c r="G53" s="261">
        <f>D53</f>
        <v>171.96222222222224</v>
      </c>
      <c r="H53" s="261">
        <f>D53</f>
        <v>171.96222222222224</v>
      </c>
      <c r="I53" s="261">
        <f>D53</f>
        <v>171.96222222222224</v>
      </c>
      <c r="K53" s="812" t="s">
        <v>77</v>
      </c>
      <c r="L53" s="651" t="s">
        <v>136</v>
      </c>
      <c r="M53" s="651" t="s">
        <v>74</v>
      </c>
      <c r="N53" s="261">
        <f>Indata!D54*(1+Indata!D$71*'Förarlösa lastbilar - beräkning'!D$5)</f>
        <v>171.96222222222224</v>
      </c>
      <c r="O53" s="261">
        <f>Indata!E54*(1+Indata!E$71*'Förarlösa lastbilar - beräkning'!E$5)</f>
        <v>171.96222222222224</v>
      </c>
      <c r="P53" s="261">
        <f>Indata!F54*(1+Indata!F$71*'Förarlösa lastbilar - beräkning'!F$5)</f>
        <v>134.44319191919195</v>
      </c>
      <c r="Q53" s="261">
        <f>Indata!G54*(1+Indata!G$71*'Förarlösa lastbilar - beräkning'!G$5)</f>
        <v>171.96222222222224</v>
      </c>
      <c r="R53" s="261">
        <f>Indata!H54*(1+Indata!H$71*'Förarlösa lastbilar - beräkning'!H$5)</f>
        <v>134.44319191919195</v>
      </c>
      <c r="S53" s="261">
        <f>Indata!I54*(1+Indata!I$71*'Förarlösa lastbilar - beräkning'!I$5)</f>
        <v>171.96222222222224</v>
      </c>
      <c r="U53" s="812" t="s">
        <v>77</v>
      </c>
      <c r="V53" s="651" t="s">
        <v>136</v>
      </c>
      <c r="W53" s="651" t="s">
        <v>74</v>
      </c>
      <c r="X53" s="261">
        <f>N53</f>
        <v>171.96222222222224</v>
      </c>
      <c r="Y53" s="261">
        <f t="shared" ref="Y53:AC53" si="109">O53</f>
        <v>171.96222222222224</v>
      </c>
      <c r="Z53" s="261">
        <f t="shared" si="109"/>
        <v>134.44319191919195</v>
      </c>
      <c r="AA53" s="261">
        <f t="shared" si="109"/>
        <v>171.96222222222224</v>
      </c>
      <c r="AB53" s="261">
        <f t="shared" si="109"/>
        <v>134.44319191919195</v>
      </c>
      <c r="AC53" s="261">
        <f t="shared" si="109"/>
        <v>171.96222222222224</v>
      </c>
      <c r="AE53" s="812" t="s">
        <v>77</v>
      </c>
      <c r="AF53" s="651" t="s">
        <v>136</v>
      </c>
      <c r="AG53" s="651" t="s">
        <v>74</v>
      </c>
      <c r="AH53" s="261">
        <f>X53</f>
        <v>171.96222222222224</v>
      </c>
      <c r="AI53" s="261">
        <f t="shared" ref="AI53:AI56" si="110">Y53</f>
        <v>171.96222222222224</v>
      </c>
      <c r="AJ53" s="261">
        <f t="shared" ref="AJ53:AJ56" si="111">Z53</f>
        <v>134.44319191919195</v>
      </c>
      <c r="AK53" s="261">
        <f t="shared" ref="AK53:AK56" si="112">AA53</f>
        <v>171.96222222222224</v>
      </c>
      <c r="AL53" s="261">
        <f t="shared" ref="AL53:AL56" si="113">AB53</f>
        <v>134.44319191919195</v>
      </c>
      <c r="AM53" s="261">
        <f t="shared" ref="AM53:AM56" si="114">AC53</f>
        <v>171.96222222222224</v>
      </c>
    </row>
    <row r="54" spans="1:39" ht="15.75" thickBot="1" x14ac:dyDescent="0.3">
      <c r="A54" s="813"/>
      <c r="B54" s="652" t="s">
        <v>137</v>
      </c>
      <c r="C54" s="652" t="s">
        <v>74</v>
      </c>
      <c r="D54" s="261">
        <f>Indata!D55</f>
        <v>151.47333333333327</v>
      </c>
      <c r="E54" s="261">
        <f t="shared" ref="E54:E56" si="115">D54</f>
        <v>151.47333333333327</v>
      </c>
      <c r="F54" s="261">
        <f t="shared" ref="F54:F56" si="116">D54</f>
        <v>151.47333333333327</v>
      </c>
      <c r="G54" s="261">
        <f t="shared" ref="G54:G56" si="117">D54</f>
        <v>151.47333333333327</v>
      </c>
      <c r="H54" s="261">
        <f t="shared" ref="H54:H56" si="118">D54</f>
        <v>151.47333333333327</v>
      </c>
      <c r="I54" s="261">
        <f t="shared" ref="I54:I56" si="119">D54</f>
        <v>151.47333333333327</v>
      </c>
      <c r="K54" s="813"/>
      <c r="L54" s="652" t="s">
        <v>137</v>
      </c>
      <c r="M54" s="652" t="s">
        <v>74</v>
      </c>
      <c r="N54" s="261">
        <f>Indata!D55*(1+Indata!D$71*'Förarlösa lastbilar - beräkning'!D$5)</f>
        <v>151.47333333333327</v>
      </c>
      <c r="O54" s="261">
        <f>Indata!E55*(1+Indata!E$71*'Förarlösa lastbilar - beräkning'!E$5)</f>
        <v>151.47333333333327</v>
      </c>
      <c r="P54" s="261">
        <f>Indata!F55*(1+Indata!F$71*'Förarlösa lastbilar - beräkning'!F$5)</f>
        <v>118.42460606060602</v>
      </c>
      <c r="Q54" s="261">
        <f>Indata!G55*(1+Indata!G$71*'Förarlösa lastbilar - beräkning'!G$5)</f>
        <v>151.47333333333327</v>
      </c>
      <c r="R54" s="261">
        <f>Indata!H55*(1+Indata!H$71*'Förarlösa lastbilar - beräkning'!H$5)</f>
        <v>118.42460606060602</v>
      </c>
      <c r="S54" s="261">
        <f>Indata!I55*(1+Indata!I$71*'Förarlösa lastbilar - beräkning'!I$5)</f>
        <v>151.47333333333327</v>
      </c>
      <c r="U54" s="813"/>
      <c r="V54" s="652" t="s">
        <v>137</v>
      </c>
      <c r="W54" s="652" t="s">
        <v>74</v>
      </c>
      <c r="X54" s="261">
        <f t="shared" ref="X54:X56" si="120">N54</f>
        <v>151.47333333333327</v>
      </c>
      <c r="Y54" s="261">
        <f t="shared" ref="Y54:Y56" si="121">O54</f>
        <v>151.47333333333327</v>
      </c>
      <c r="Z54" s="261">
        <f t="shared" ref="Z54:Z56" si="122">P54</f>
        <v>118.42460606060602</v>
      </c>
      <c r="AA54" s="261">
        <f t="shared" ref="AA54:AA55" si="123">Q54</f>
        <v>151.47333333333327</v>
      </c>
      <c r="AB54" s="261">
        <f t="shared" ref="AB54:AB56" si="124">R54</f>
        <v>118.42460606060602</v>
      </c>
      <c r="AC54" s="261">
        <f t="shared" ref="AC54:AC56" si="125">S54</f>
        <v>151.47333333333327</v>
      </c>
      <c r="AE54" s="813"/>
      <c r="AF54" s="652" t="s">
        <v>137</v>
      </c>
      <c r="AG54" s="652" t="s">
        <v>74</v>
      </c>
      <c r="AH54" s="261">
        <f t="shared" ref="AH54:AH56" si="126">X54</f>
        <v>151.47333333333327</v>
      </c>
      <c r="AI54" s="261">
        <f t="shared" si="110"/>
        <v>151.47333333333327</v>
      </c>
      <c r="AJ54" s="261">
        <f t="shared" si="111"/>
        <v>118.42460606060602</v>
      </c>
      <c r="AK54" s="261">
        <f t="shared" si="112"/>
        <v>151.47333333333327</v>
      </c>
      <c r="AL54" s="261">
        <f t="shared" si="113"/>
        <v>118.42460606060602</v>
      </c>
      <c r="AM54" s="261">
        <f t="shared" si="114"/>
        <v>151.47333333333327</v>
      </c>
    </row>
    <row r="55" spans="1:39" ht="15.75" thickBot="1" x14ac:dyDescent="0.3">
      <c r="A55" s="813"/>
      <c r="B55" s="652" t="s">
        <v>138</v>
      </c>
      <c r="C55" s="652" t="s">
        <v>74</v>
      </c>
      <c r="D55" s="261">
        <f>Indata!D56</f>
        <v>131.61270986021509</v>
      </c>
      <c r="E55" s="261">
        <f t="shared" si="115"/>
        <v>131.61270986021509</v>
      </c>
      <c r="F55" s="261">
        <f t="shared" si="116"/>
        <v>131.61270986021509</v>
      </c>
      <c r="G55" s="261">
        <f t="shared" si="117"/>
        <v>131.61270986021509</v>
      </c>
      <c r="H55" s="261">
        <f t="shared" si="118"/>
        <v>131.61270986021509</v>
      </c>
      <c r="I55" s="261">
        <f t="shared" si="119"/>
        <v>131.61270986021509</v>
      </c>
      <c r="K55" s="813"/>
      <c r="L55" s="652" t="s">
        <v>138</v>
      </c>
      <c r="M55" s="652" t="s">
        <v>74</v>
      </c>
      <c r="N55" s="261">
        <f>Indata!D56*(1+Indata!D$71*'Förarlösa lastbilar - beräkning'!D$5)</f>
        <v>131.61270986021509</v>
      </c>
      <c r="O55" s="261">
        <f>Indata!E56*(1+Indata!E$71*'Förarlösa lastbilar - beräkning'!E$5)</f>
        <v>131.61270986021509</v>
      </c>
      <c r="P55" s="261">
        <f>Indata!F56*(1+Indata!F$71*'Förarlösa lastbilar - beräkning'!F$5)</f>
        <v>102.89720952707725</v>
      </c>
      <c r="Q55" s="261">
        <f>Indata!G56*(1+Indata!G$71*'Förarlösa lastbilar - beräkning'!G$5)</f>
        <v>131.61270986021509</v>
      </c>
      <c r="R55" s="261">
        <f>Indata!H56*(1+Indata!H$71*'Förarlösa lastbilar - beräkning'!H$5)</f>
        <v>102.89720952707725</v>
      </c>
      <c r="S55" s="261">
        <f>Indata!I56*(1+Indata!I$71*'Förarlösa lastbilar - beräkning'!I$5)</f>
        <v>131.61270986021509</v>
      </c>
      <c r="U55" s="813"/>
      <c r="V55" s="652" t="s">
        <v>138</v>
      </c>
      <c r="W55" s="652" t="s">
        <v>74</v>
      </c>
      <c r="X55" s="261">
        <f t="shared" si="120"/>
        <v>131.61270986021509</v>
      </c>
      <c r="Y55" s="261">
        <f t="shared" si="121"/>
        <v>131.61270986021509</v>
      </c>
      <c r="Z55" s="261">
        <f t="shared" si="122"/>
        <v>102.89720952707725</v>
      </c>
      <c r="AA55" s="261">
        <f t="shared" si="123"/>
        <v>131.61270986021509</v>
      </c>
      <c r="AB55" s="261">
        <f t="shared" si="124"/>
        <v>102.89720952707725</v>
      </c>
      <c r="AC55" s="261">
        <f t="shared" si="125"/>
        <v>131.61270986021509</v>
      </c>
      <c r="AE55" s="813"/>
      <c r="AF55" s="652" t="s">
        <v>138</v>
      </c>
      <c r="AG55" s="652" t="s">
        <v>74</v>
      </c>
      <c r="AH55" s="261">
        <f t="shared" si="126"/>
        <v>131.61270986021509</v>
      </c>
      <c r="AI55" s="261">
        <f t="shared" si="110"/>
        <v>131.61270986021509</v>
      </c>
      <c r="AJ55" s="261">
        <f t="shared" si="111"/>
        <v>102.89720952707725</v>
      </c>
      <c r="AK55" s="261">
        <f t="shared" si="112"/>
        <v>131.61270986021509</v>
      </c>
      <c r="AL55" s="261">
        <f t="shared" si="113"/>
        <v>102.89720952707725</v>
      </c>
      <c r="AM55" s="261">
        <f t="shared" si="114"/>
        <v>131.61270986021509</v>
      </c>
    </row>
    <row r="56" spans="1:39" x14ac:dyDescent="0.25">
      <c r="A56" s="813"/>
      <c r="B56" s="652" t="s">
        <v>139</v>
      </c>
      <c r="C56" s="652" t="s">
        <v>74</v>
      </c>
      <c r="D56" s="261">
        <f>Indata!D57</f>
        <v>138.28043235708435</v>
      </c>
      <c r="E56" s="261">
        <f t="shared" si="115"/>
        <v>138.28043235708435</v>
      </c>
      <c r="F56" s="261">
        <f t="shared" si="116"/>
        <v>138.28043235708435</v>
      </c>
      <c r="G56" s="261">
        <f t="shared" si="117"/>
        <v>138.28043235708435</v>
      </c>
      <c r="H56" s="261">
        <f t="shared" si="118"/>
        <v>138.28043235708435</v>
      </c>
      <c r="I56" s="261">
        <f t="shared" si="119"/>
        <v>138.28043235708435</v>
      </c>
      <c r="K56" s="813"/>
      <c r="L56" s="652" t="s">
        <v>139</v>
      </c>
      <c r="M56" s="652" t="s">
        <v>74</v>
      </c>
      <c r="N56" s="261">
        <f>Indata!D57*(1+Indata!D$71*'Förarlösa lastbilar - beräkning'!D$5)</f>
        <v>138.28043235708435</v>
      </c>
      <c r="O56" s="261">
        <f>Indata!E57*(1+Indata!E$71*'Förarlösa lastbilar - beräkning'!E$5)</f>
        <v>138.28043235708435</v>
      </c>
      <c r="P56" s="261">
        <f>Indata!F57*(1+Indata!F$71*'Förarlösa lastbilar - beräkning'!F$5)</f>
        <v>108.11015620644777</v>
      </c>
      <c r="Q56" s="261">
        <f>Indata!G57*(1+Indata!G$71*'Förarlösa lastbilar - beräkning'!G$5)</f>
        <v>138.28043235708435</v>
      </c>
      <c r="R56" s="261">
        <f>Indata!H57*(1+Indata!H$71*'Förarlösa lastbilar - beräkning'!H$5)</f>
        <v>108.11015620644777</v>
      </c>
      <c r="S56" s="261">
        <f>Indata!I57*(1+Indata!I$71*'Förarlösa lastbilar - beräkning'!I$5)</f>
        <v>138.28043235708435</v>
      </c>
      <c r="U56" s="813"/>
      <c r="V56" s="652" t="s">
        <v>139</v>
      </c>
      <c r="W56" s="652" t="s">
        <v>74</v>
      </c>
      <c r="X56" s="261">
        <f t="shared" si="120"/>
        <v>138.28043235708435</v>
      </c>
      <c r="Y56" s="261">
        <f t="shared" si="121"/>
        <v>138.28043235708435</v>
      </c>
      <c r="Z56" s="261">
        <f t="shared" si="122"/>
        <v>108.11015620644777</v>
      </c>
      <c r="AA56" s="261">
        <f>Q56</f>
        <v>138.28043235708435</v>
      </c>
      <c r="AB56" s="261">
        <f t="shared" si="124"/>
        <v>108.11015620644777</v>
      </c>
      <c r="AC56" s="261">
        <f t="shared" si="125"/>
        <v>138.28043235708435</v>
      </c>
      <c r="AE56" s="813"/>
      <c r="AF56" s="652" t="s">
        <v>139</v>
      </c>
      <c r="AG56" s="652" t="s">
        <v>74</v>
      </c>
      <c r="AH56" s="261">
        <f t="shared" si="126"/>
        <v>138.28043235708435</v>
      </c>
      <c r="AI56" s="261">
        <f t="shared" si="110"/>
        <v>138.28043235708435</v>
      </c>
      <c r="AJ56" s="261">
        <f t="shared" si="111"/>
        <v>108.11015620644777</v>
      </c>
      <c r="AK56" s="261">
        <f t="shared" si="112"/>
        <v>138.28043235708435</v>
      </c>
      <c r="AL56" s="261">
        <f t="shared" si="113"/>
        <v>108.11015620644777</v>
      </c>
      <c r="AM56" s="261">
        <f t="shared" si="114"/>
        <v>138.28043235708435</v>
      </c>
    </row>
    <row r="57" spans="1:39" ht="15.75" thickBot="1" x14ac:dyDescent="0.3">
      <c r="A57" s="813"/>
      <c r="B57" s="653" t="s">
        <v>184</v>
      </c>
      <c r="C57" s="653" t="s">
        <v>74</v>
      </c>
      <c r="D57" s="258">
        <f>SUMPRODUCT(D53:D56,D36:D39)/D40</f>
        <v>137.66788366685776</v>
      </c>
      <c r="E57" s="258">
        <f t="shared" ref="E57:I57" si="127">SUMPRODUCT(E53:E56,E36:E39)/E40</f>
        <v>137.02532162373504</v>
      </c>
      <c r="F57" s="258">
        <f t="shared" si="127"/>
        <v>137.86074516226122</v>
      </c>
      <c r="G57" s="258">
        <f t="shared" si="127"/>
        <v>137.86074516226122</v>
      </c>
      <c r="H57" s="258">
        <f t="shared" si="127"/>
        <v>137.86074516226122</v>
      </c>
      <c r="I57" s="258">
        <f t="shared" si="127"/>
        <v>137.86074516226122</v>
      </c>
      <c r="K57" s="813"/>
      <c r="L57" s="653" t="s">
        <v>184</v>
      </c>
      <c r="M57" s="653" t="s">
        <v>74</v>
      </c>
      <c r="N57" s="258">
        <f>SUMPRODUCT(N53:N56,N36:N39)/N40</f>
        <v>137.66788366685776</v>
      </c>
      <c r="O57" s="258">
        <f t="shared" ref="O57" si="128">SUMPRODUCT(O53:O56,O36:O39)/O40</f>
        <v>137.02532162373504</v>
      </c>
      <c r="P57" s="258">
        <f t="shared" ref="P57" si="129">SUMPRODUCT(P53:P56,P36:P39)/P40</f>
        <v>107.78203712685878</v>
      </c>
      <c r="Q57" s="258">
        <f>IFERROR(SUMPRODUCT(Q53:Q56,Q36:Q39)/Q40,SUMPRODUCT(Q53:Q56,Q36:Q39))</f>
        <v>137.86074516226122</v>
      </c>
      <c r="R57" s="258">
        <f t="shared" ref="R57" si="130">SUMPRODUCT(R53:R56,R36:R39)/R40</f>
        <v>107.78203712685878</v>
      </c>
      <c r="S57" s="258">
        <f t="shared" ref="S57" si="131">SUMPRODUCT(S53:S56,S36:S39)/S40</f>
        <v>137.86074516226122</v>
      </c>
      <c r="U57" s="813"/>
      <c r="V57" s="653" t="s">
        <v>184</v>
      </c>
      <c r="W57" s="653" t="s">
        <v>74</v>
      </c>
      <c r="X57" s="258">
        <f>SUMPRODUCT(X53:X56,X36:X39)/X40</f>
        <v>137.66788366685776</v>
      </c>
      <c r="Y57" s="258">
        <f t="shared" ref="Y57:AC57" si="132">SUMPRODUCT(Y53:Y56,Y36:Y39)/Y40</f>
        <v>137.02532162373504</v>
      </c>
      <c r="Z57" s="258">
        <f t="shared" si="132"/>
        <v>107.78203712685878</v>
      </c>
      <c r="AA57" s="258">
        <f>IFERROR(SUMPRODUCT(AA53:AA56,AA36:AA39)/AA40,AVERAGE(AA53:AA56))</f>
        <v>137.86074516226122</v>
      </c>
      <c r="AB57" s="258">
        <f t="shared" si="132"/>
        <v>107.78203712685878</v>
      </c>
      <c r="AC57" s="258">
        <f t="shared" si="132"/>
        <v>137.86074516226122</v>
      </c>
      <c r="AE57" s="813"/>
      <c r="AF57" s="653" t="s">
        <v>184</v>
      </c>
      <c r="AG57" s="653" t="s">
        <v>74</v>
      </c>
      <c r="AH57" s="258">
        <f>SUMPRODUCT(AH53:AH56,AH36:AH39)/AH40</f>
        <v>137.66788366685776</v>
      </c>
      <c r="AI57" s="258">
        <f t="shared" ref="AI57:AM57" si="133">SUMPRODUCT(AI53:AI56,AI36:AI39)/AI40</f>
        <v>137.02532162373504</v>
      </c>
      <c r="AJ57" s="258">
        <f t="shared" si="133"/>
        <v>107.78203712685878</v>
      </c>
      <c r="AK57" s="258">
        <f>IFERROR(SUMPRODUCT(AK53:AK56,AK36:AK39)/AK40,AVERAGE(AK53:AK56))</f>
        <v>137.86074516226122</v>
      </c>
      <c r="AL57" s="258">
        <f t="shared" si="133"/>
        <v>107.78203712685878</v>
      </c>
      <c r="AM57" s="258">
        <f t="shared" si="133"/>
        <v>137.86074516226122</v>
      </c>
    </row>
    <row r="58" spans="1:39" ht="15.75" thickBot="1" x14ac:dyDescent="0.3">
      <c r="A58" s="813"/>
      <c r="B58" s="652" t="s">
        <v>141</v>
      </c>
      <c r="C58" s="652" t="s">
        <v>74</v>
      </c>
      <c r="D58" s="262">
        <f>Indata!D54</f>
        <v>171.96222222222224</v>
      </c>
      <c r="E58" s="261">
        <f>D58</f>
        <v>171.96222222222224</v>
      </c>
      <c r="F58" s="261">
        <f>D58</f>
        <v>171.96222222222224</v>
      </c>
      <c r="G58" s="261">
        <f>D58</f>
        <v>171.96222222222224</v>
      </c>
      <c r="H58" s="261">
        <f>D58</f>
        <v>171.96222222222224</v>
      </c>
      <c r="I58" s="261">
        <f>D58</f>
        <v>171.96222222222224</v>
      </c>
      <c r="K58" s="813"/>
      <c r="L58" s="652" t="s">
        <v>141</v>
      </c>
      <c r="M58" s="652" t="s">
        <v>74</v>
      </c>
      <c r="N58" s="262">
        <f>Indata!D54*(1+Indata!D$71*'Förarlösa lastbilar - beräkning'!D$5)</f>
        <v>171.96222222222224</v>
      </c>
      <c r="O58" s="262">
        <f>Indata!E54*(1+Indata!E$71*'Förarlösa lastbilar - beräkning'!E$5)</f>
        <v>171.96222222222224</v>
      </c>
      <c r="P58" s="262">
        <f>Indata!F54*(1+Indata!F$71*'Förarlösa lastbilar - beräkning'!F$5)</f>
        <v>134.44319191919195</v>
      </c>
      <c r="Q58" s="262">
        <f>Indata!G54*(1+Indata!G$71*'Förarlösa lastbilar - beräkning'!G$5)</f>
        <v>171.96222222222224</v>
      </c>
      <c r="R58" s="262">
        <f>Indata!H54*(1+Indata!H$71*'Förarlösa lastbilar - beräkning'!H$5)</f>
        <v>134.44319191919195</v>
      </c>
      <c r="S58" s="262">
        <f>Indata!I54*(1+Indata!I$71*'Förarlösa lastbilar - beräkning'!I$5)</f>
        <v>171.96222222222224</v>
      </c>
      <c r="U58" s="813"/>
      <c r="V58" s="652" t="s">
        <v>141</v>
      </c>
      <c r="W58" s="652" t="s">
        <v>74</v>
      </c>
      <c r="X58" s="261">
        <f>N58</f>
        <v>171.96222222222224</v>
      </c>
      <c r="Y58" s="261">
        <f t="shared" ref="Y58:Y61" si="134">O58</f>
        <v>171.96222222222224</v>
      </c>
      <c r="Z58" s="261">
        <f t="shared" ref="Z58:Z61" si="135">P58</f>
        <v>134.44319191919195</v>
      </c>
      <c r="AA58" s="261">
        <f t="shared" ref="AA58:AA61" si="136">Q58</f>
        <v>171.96222222222224</v>
      </c>
      <c r="AB58" s="261">
        <f t="shared" ref="AB58:AB61" si="137">R58</f>
        <v>134.44319191919195</v>
      </c>
      <c r="AC58" s="261">
        <f t="shared" ref="AC58:AC61" si="138">S58</f>
        <v>171.96222222222224</v>
      </c>
      <c r="AE58" s="813"/>
      <c r="AF58" s="652" t="s">
        <v>141</v>
      </c>
      <c r="AG58" s="652" t="s">
        <v>74</v>
      </c>
      <c r="AH58" s="261">
        <f>X58</f>
        <v>171.96222222222224</v>
      </c>
      <c r="AI58" s="261">
        <f t="shared" ref="AI58:AI61" si="139">Y58</f>
        <v>171.96222222222224</v>
      </c>
      <c r="AJ58" s="261">
        <f t="shared" ref="AJ58:AJ61" si="140">Z58</f>
        <v>134.44319191919195</v>
      </c>
      <c r="AK58" s="261">
        <f t="shared" ref="AK58:AK61" si="141">AA58</f>
        <v>171.96222222222224</v>
      </c>
      <c r="AL58" s="261">
        <f t="shared" ref="AL58:AL61" si="142">AB58</f>
        <v>134.44319191919195</v>
      </c>
      <c r="AM58" s="261">
        <f t="shared" ref="AM58:AM61" si="143">AC58</f>
        <v>171.96222222222224</v>
      </c>
    </row>
    <row r="59" spans="1:39" ht="15.75" thickBot="1" x14ac:dyDescent="0.3">
      <c r="A59" s="813"/>
      <c r="B59" s="652" t="s">
        <v>142</v>
      </c>
      <c r="C59" s="652" t="s">
        <v>74</v>
      </c>
      <c r="D59" s="262">
        <f>Indata!D55</f>
        <v>151.47333333333327</v>
      </c>
      <c r="E59" s="261">
        <f t="shared" ref="E59:E61" si="144">D59</f>
        <v>151.47333333333327</v>
      </c>
      <c r="F59" s="261">
        <f t="shared" ref="F59:F61" si="145">D59</f>
        <v>151.47333333333327</v>
      </c>
      <c r="G59" s="261">
        <f t="shared" ref="G59:G61" si="146">D59</f>
        <v>151.47333333333327</v>
      </c>
      <c r="H59" s="261">
        <f t="shared" ref="H59:H61" si="147">D59</f>
        <v>151.47333333333327</v>
      </c>
      <c r="I59" s="261">
        <f t="shared" ref="I59:I61" si="148">D59</f>
        <v>151.47333333333327</v>
      </c>
      <c r="K59" s="813"/>
      <c r="L59" s="652" t="s">
        <v>142</v>
      </c>
      <c r="M59" s="652" t="s">
        <v>74</v>
      </c>
      <c r="N59" s="262">
        <f>Indata!D55*(1+Indata!D$71*'Förarlösa lastbilar - beräkning'!D$5)</f>
        <v>151.47333333333327</v>
      </c>
      <c r="O59" s="262">
        <f>Indata!E55*(1+Indata!E$71*'Förarlösa lastbilar - beräkning'!E$5)</f>
        <v>151.47333333333327</v>
      </c>
      <c r="P59" s="262">
        <f>Indata!F55*(1+Indata!F$71*'Förarlösa lastbilar - beräkning'!F$5)</f>
        <v>118.42460606060602</v>
      </c>
      <c r="Q59" s="262">
        <f>Indata!G55*(1+Indata!G$71*'Förarlösa lastbilar - beräkning'!G$5)</f>
        <v>151.47333333333327</v>
      </c>
      <c r="R59" s="262">
        <f>Indata!H55*(1+Indata!H$71*'Förarlösa lastbilar - beräkning'!H$5)</f>
        <v>118.42460606060602</v>
      </c>
      <c r="S59" s="262">
        <f>Indata!I55*(1+Indata!I$71*'Förarlösa lastbilar - beräkning'!I$5)</f>
        <v>151.47333333333327</v>
      </c>
      <c r="U59" s="813"/>
      <c r="V59" s="652" t="s">
        <v>142</v>
      </c>
      <c r="W59" s="652" t="s">
        <v>74</v>
      </c>
      <c r="X59" s="261">
        <f t="shared" ref="X59:X61" si="149">N59</f>
        <v>151.47333333333327</v>
      </c>
      <c r="Y59" s="261">
        <f t="shared" si="134"/>
        <v>151.47333333333327</v>
      </c>
      <c r="Z59" s="261">
        <f t="shared" si="135"/>
        <v>118.42460606060602</v>
      </c>
      <c r="AA59" s="261">
        <f t="shared" si="136"/>
        <v>151.47333333333327</v>
      </c>
      <c r="AB59" s="261">
        <f t="shared" si="137"/>
        <v>118.42460606060602</v>
      </c>
      <c r="AC59" s="261">
        <f t="shared" si="138"/>
        <v>151.47333333333327</v>
      </c>
      <c r="AE59" s="813"/>
      <c r="AF59" s="652" t="s">
        <v>142</v>
      </c>
      <c r="AG59" s="652" t="s">
        <v>74</v>
      </c>
      <c r="AH59" s="261">
        <f t="shared" ref="AH59:AH61" si="150">X59</f>
        <v>151.47333333333327</v>
      </c>
      <c r="AI59" s="261">
        <f t="shared" si="139"/>
        <v>151.47333333333327</v>
      </c>
      <c r="AJ59" s="261">
        <f t="shared" si="140"/>
        <v>118.42460606060602</v>
      </c>
      <c r="AK59" s="261">
        <f t="shared" si="141"/>
        <v>151.47333333333327</v>
      </c>
      <c r="AL59" s="261">
        <f t="shared" si="142"/>
        <v>118.42460606060602</v>
      </c>
      <c r="AM59" s="261">
        <f t="shared" si="143"/>
        <v>151.47333333333327</v>
      </c>
    </row>
    <row r="60" spans="1:39" ht="15.75" thickBot="1" x14ac:dyDescent="0.3">
      <c r="A60" s="813"/>
      <c r="B60" s="652" t="s">
        <v>143</v>
      </c>
      <c r="C60" s="652" t="s">
        <v>74</v>
      </c>
      <c r="D60" s="262">
        <f>Indata!D56</f>
        <v>131.61270986021509</v>
      </c>
      <c r="E60" s="261">
        <f t="shared" si="144"/>
        <v>131.61270986021509</v>
      </c>
      <c r="F60" s="261">
        <f t="shared" si="145"/>
        <v>131.61270986021509</v>
      </c>
      <c r="G60" s="261">
        <f t="shared" si="146"/>
        <v>131.61270986021509</v>
      </c>
      <c r="H60" s="261">
        <f t="shared" si="147"/>
        <v>131.61270986021509</v>
      </c>
      <c r="I60" s="261">
        <f t="shared" si="148"/>
        <v>131.61270986021509</v>
      </c>
      <c r="K60" s="813"/>
      <c r="L60" s="652" t="s">
        <v>143</v>
      </c>
      <c r="M60" s="652" t="s">
        <v>74</v>
      </c>
      <c r="N60" s="262">
        <f>Indata!D56*(1+Indata!D$71*'Förarlösa lastbilar - beräkning'!D$5)</f>
        <v>131.61270986021509</v>
      </c>
      <c r="O60" s="262">
        <f>Indata!E56*(1+Indata!E$71*'Förarlösa lastbilar - beräkning'!E$5)</f>
        <v>131.61270986021509</v>
      </c>
      <c r="P60" s="262">
        <f>Indata!F56*(1+Indata!F$71*'Förarlösa lastbilar - beräkning'!F$5)</f>
        <v>102.89720952707725</v>
      </c>
      <c r="Q60" s="262">
        <f>Indata!G56*(1+Indata!G$71*'Förarlösa lastbilar - beräkning'!G$5)</f>
        <v>131.61270986021509</v>
      </c>
      <c r="R60" s="262">
        <f>Indata!H56*(1+Indata!H$71*'Förarlösa lastbilar - beräkning'!H$5)</f>
        <v>102.89720952707725</v>
      </c>
      <c r="S60" s="262">
        <f>Indata!I56*(1+Indata!I$71*'Förarlösa lastbilar - beräkning'!I$5)</f>
        <v>131.61270986021509</v>
      </c>
      <c r="U60" s="813"/>
      <c r="V60" s="652" t="s">
        <v>143</v>
      </c>
      <c r="W60" s="652" t="s">
        <v>74</v>
      </c>
      <c r="X60" s="261">
        <f t="shared" si="149"/>
        <v>131.61270986021509</v>
      </c>
      <c r="Y60" s="261">
        <f t="shared" si="134"/>
        <v>131.61270986021509</v>
      </c>
      <c r="Z60" s="261">
        <f t="shared" si="135"/>
        <v>102.89720952707725</v>
      </c>
      <c r="AA60" s="261">
        <f t="shared" si="136"/>
        <v>131.61270986021509</v>
      </c>
      <c r="AB60" s="261">
        <f t="shared" si="137"/>
        <v>102.89720952707725</v>
      </c>
      <c r="AC60" s="261">
        <f t="shared" si="138"/>
        <v>131.61270986021509</v>
      </c>
      <c r="AE60" s="813"/>
      <c r="AF60" s="652" t="s">
        <v>143</v>
      </c>
      <c r="AG60" s="652" t="s">
        <v>74</v>
      </c>
      <c r="AH60" s="261">
        <f t="shared" si="150"/>
        <v>131.61270986021509</v>
      </c>
      <c r="AI60" s="261">
        <f t="shared" si="139"/>
        <v>131.61270986021509</v>
      </c>
      <c r="AJ60" s="261">
        <f t="shared" si="140"/>
        <v>102.89720952707725</v>
      </c>
      <c r="AK60" s="261">
        <f t="shared" si="141"/>
        <v>131.61270986021509</v>
      </c>
      <c r="AL60" s="261">
        <f t="shared" si="142"/>
        <v>102.89720952707725</v>
      </c>
      <c r="AM60" s="261">
        <f t="shared" si="143"/>
        <v>131.61270986021509</v>
      </c>
    </row>
    <row r="61" spans="1:39" x14ac:dyDescent="0.25">
      <c r="A61" s="813"/>
      <c r="B61" s="652" t="s">
        <v>144</v>
      </c>
      <c r="C61" s="652" t="s">
        <v>74</v>
      </c>
      <c r="D61" s="262">
        <f>Indata!D57</f>
        <v>138.28043235708435</v>
      </c>
      <c r="E61" s="261">
        <f t="shared" si="144"/>
        <v>138.28043235708435</v>
      </c>
      <c r="F61" s="261">
        <f t="shared" si="145"/>
        <v>138.28043235708435</v>
      </c>
      <c r="G61" s="261">
        <f t="shared" si="146"/>
        <v>138.28043235708435</v>
      </c>
      <c r="H61" s="261">
        <f t="shared" si="147"/>
        <v>138.28043235708435</v>
      </c>
      <c r="I61" s="261">
        <f t="shared" si="148"/>
        <v>138.28043235708435</v>
      </c>
      <c r="K61" s="813"/>
      <c r="L61" s="652" t="s">
        <v>144</v>
      </c>
      <c r="M61" s="652" t="s">
        <v>74</v>
      </c>
      <c r="N61" s="262">
        <f>Indata!D57*(1+Indata!D$71*'Förarlösa lastbilar - beräkning'!D$5)</f>
        <v>138.28043235708435</v>
      </c>
      <c r="O61" s="262">
        <f>Indata!E57*(1+Indata!E$71*'Förarlösa lastbilar - beräkning'!E$5)</f>
        <v>138.28043235708435</v>
      </c>
      <c r="P61" s="262">
        <f>Indata!F57*(1+Indata!F$71*'Förarlösa lastbilar - beräkning'!F$5)</f>
        <v>108.11015620644777</v>
      </c>
      <c r="Q61" s="262">
        <f>Indata!G57*(1+Indata!G$71*'Förarlösa lastbilar - beräkning'!G$5)</f>
        <v>138.28043235708435</v>
      </c>
      <c r="R61" s="262">
        <f>Indata!H57*(1+Indata!H$71*'Förarlösa lastbilar - beräkning'!H$5)</f>
        <v>108.11015620644777</v>
      </c>
      <c r="S61" s="262">
        <f>Indata!I57*(1+Indata!I$71*'Förarlösa lastbilar - beräkning'!I$5)</f>
        <v>138.28043235708435</v>
      </c>
      <c r="U61" s="813"/>
      <c r="V61" s="652" t="s">
        <v>144</v>
      </c>
      <c r="W61" s="652" t="s">
        <v>74</v>
      </c>
      <c r="X61" s="261">
        <f t="shared" si="149"/>
        <v>138.28043235708435</v>
      </c>
      <c r="Y61" s="261">
        <f t="shared" si="134"/>
        <v>138.28043235708435</v>
      </c>
      <c r="Z61" s="261">
        <f t="shared" si="135"/>
        <v>108.11015620644777</v>
      </c>
      <c r="AA61" s="261">
        <f t="shared" si="136"/>
        <v>138.28043235708435</v>
      </c>
      <c r="AB61" s="261">
        <f t="shared" si="137"/>
        <v>108.11015620644777</v>
      </c>
      <c r="AC61" s="261">
        <f t="shared" si="138"/>
        <v>138.28043235708435</v>
      </c>
      <c r="AE61" s="813"/>
      <c r="AF61" s="652" t="s">
        <v>144</v>
      </c>
      <c r="AG61" s="652" t="s">
        <v>74</v>
      </c>
      <c r="AH61" s="261">
        <f t="shared" si="150"/>
        <v>138.28043235708435</v>
      </c>
      <c r="AI61" s="261">
        <f t="shared" si="139"/>
        <v>138.28043235708435</v>
      </c>
      <c r="AJ61" s="261">
        <f t="shared" si="140"/>
        <v>108.11015620644777</v>
      </c>
      <c r="AK61" s="261">
        <f t="shared" si="141"/>
        <v>138.28043235708435</v>
      </c>
      <c r="AL61" s="261">
        <f t="shared" si="142"/>
        <v>108.11015620644777</v>
      </c>
      <c r="AM61" s="261">
        <f t="shared" si="143"/>
        <v>138.28043235708435</v>
      </c>
    </row>
    <row r="62" spans="1:39" x14ac:dyDescent="0.25">
      <c r="A62" s="813"/>
      <c r="B62" s="653" t="s">
        <v>185</v>
      </c>
      <c r="C62" s="653" t="s">
        <v>74</v>
      </c>
      <c r="D62" s="258">
        <f>SUMPRODUCT(D58:D61,D41:D44)/D45</f>
        <v>145.41594298684637</v>
      </c>
      <c r="E62" s="258">
        <f t="shared" ref="E62:I62" si="151">SUMPRODUCT(E58:E61,E41:E44)/E45</f>
        <v>145.41594298684637</v>
      </c>
      <c r="F62" s="258">
        <f t="shared" si="151"/>
        <v>137.86074516226122</v>
      </c>
      <c r="G62" s="258">
        <f t="shared" si="151"/>
        <v>137.86074516226122</v>
      </c>
      <c r="H62" s="258">
        <f t="shared" si="151"/>
        <v>137.86074516226122</v>
      </c>
      <c r="I62" s="258">
        <f t="shared" si="151"/>
        <v>137.86074516226122</v>
      </c>
      <c r="K62" s="813"/>
      <c r="L62" s="653" t="s">
        <v>185</v>
      </c>
      <c r="M62" s="653" t="s">
        <v>74</v>
      </c>
      <c r="N62" s="258">
        <f>SUMPRODUCT(N58:N61,N41:N44)/N45</f>
        <v>145.41594298684637</v>
      </c>
      <c r="O62" s="258">
        <f t="shared" ref="O62" si="152">SUMPRODUCT(O58:O61,O41:O44)/O45</f>
        <v>145.41594298684637</v>
      </c>
      <c r="P62" s="258">
        <f t="shared" ref="P62" si="153">SUMPRODUCT(P58:P61,P41:P44)/P45</f>
        <v>107.78203712685878</v>
      </c>
      <c r="Q62" s="258">
        <f t="shared" ref="Q62" si="154">SUMPRODUCT(Q58:Q61,Q41:Q44)/Q45</f>
        <v>137.86074516226122</v>
      </c>
      <c r="R62" s="258">
        <f t="shared" ref="R62" si="155">SUMPRODUCT(R58:R61,R41:R44)/R45</f>
        <v>107.78203712685878</v>
      </c>
      <c r="S62" s="258">
        <f t="shared" ref="S62" si="156">SUMPRODUCT(S58:S61,S41:S44)/S45</f>
        <v>137.86074516226122</v>
      </c>
      <c r="U62" s="813"/>
      <c r="V62" s="653" t="s">
        <v>185</v>
      </c>
      <c r="W62" s="653" t="s">
        <v>74</v>
      </c>
      <c r="X62" s="258">
        <f>SUMPRODUCT(X58:X61,X41:X44)/X45</f>
        <v>145.41594298684637</v>
      </c>
      <c r="Y62" s="258">
        <f t="shared" ref="Y62:AC62" si="157">SUMPRODUCT(Y58:Y61,Y41:Y44)/Y45</f>
        <v>145.41594298684637</v>
      </c>
      <c r="Z62" s="258">
        <f t="shared" si="157"/>
        <v>107.78203712685878</v>
      </c>
      <c r="AA62" s="258">
        <f t="shared" si="157"/>
        <v>137.86074516226125</v>
      </c>
      <c r="AB62" s="258">
        <f t="shared" si="157"/>
        <v>107.78203712685878</v>
      </c>
      <c r="AC62" s="258">
        <f t="shared" si="157"/>
        <v>137.86074516226122</v>
      </c>
      <c r="AE62" s="813"/>
      <c r="AF62" s="653" t="s">
        <v>185</v>
      </c>
      <c r="AG62" s="653" t="s">
        <v>74</v>
      </c>
      <c r="AH62" s="258">
        <f>SUMPRODUCT(AH58:AH61,AH41:AH44)/AH45</f>
        <v>145.41594298684637</v>
      </c>
      <c r="AI62" s="258">
        <f t="shared" ref="AI62:AM62" si="158">SUMPRODUCT(AI58:AI61,AI41:AI44)/AI45</f>
        <v>145.41594298684637</v>
      </c>
      <c r="AJ62" s="258">
        <f t="shared" si="158"/>
        <v>107.78203712685877</v>
      </c>
      <c r="AK62" s="258">
        <f t="shared" si="158"/>
        <v>137.86074516226125</v>
      </c>
      <c r="AL62" s="258">
        <f t="shared" si="158"/>
        <v>107.78203712685877</v>
      </c>
      <c r="AM62" s="258">
        <f t="shared" si="158"/>
        <v>137.86074516226122</v>
      </c>
    </row>
    <row r="63" spans="1:39" x14ac:dyDescent="0.25">
      <c r="A63" s="813"/>
      <c r="B63" s="652" t="s">
        <v>161</v>
      </c>
      <c r="C63" s="652" t="s">
        <v>74</v>
      </c>
      <c r="D63" s="262">
        <f>(1-D23)*D53+D23*D58</f>
        <v>171.96222222222224</v>
      </c>
      <c r="E63" s="262">
        <f t="shared" ref="E63:I63" si="159">(1-E23)*E53+E23*E58</f>
        <v>171.96222222222224</v>
      </c>
      <c r="F63" s="262">
        <f t="shared" si="159"/>
        <v>171.96222222222224</v>
      </c>
      <c r="G63" s="262">
        <f t="shared" si="159"/>
        <v>171.96222222222224</v>
      </c>
      <c r="H63" s="262">
        <f t="shared" si="159"/>
        <v>171.96222222222224</v>
      </c>
      <c r="I63" s="262">
        <f t="shared" si="159"/>
        <v>171.96222222222224</v>
      </c>
      <c r="K63" s="813"/>
      <c r="L63" s="652" t="s">
        <v>161</v>
      </c>
      <c r="M63" s="652" t="s">
        <v>74</v>
      </c>
      <c r="N63" s="262">
        <f>(1-N23)*N53+N23*N58</f>
        <v>171.96222222222224</v>
      </c>
      <c r="O63" s="262">
        <f t="shared" ref="O63:S63" si="160">(1-O23)*O53+O23*O58</f>
        <v>171.96222222222224</v>
      </c>
      <c r="P63" s="262">
        <f t="shared" si="160"/>
        <v>134.44319191919195</v>
      </c>
      <c r="Q63" s="262">
        <f t="shared" si="160"/>
        <v>171.96222222222224</v>
      </c>
      <c r="R63" s="262">
        <f t="shared" si="160"/>
        <v>134.44319191919195</v>
      </c>
      <c r="S63" s="262">
        <f t="shared" si="160"/>
        <v>171.96222222222224</v>
      </c>
      <c r="U63" s="813"/>
      <c r="V63" s="652" t="s">
        <v>161</v>
      </c>
      <c r="W63" s="652" t="s">
        <v>74</v>
      </c>
      <c r="X63" s="262">
        <f>(1-X23)*X53+X23*X58</f>
        <v>171.96222222222224</v>
      </c>
      <c r="Y63" s="262">
        <f t="shared" ref="Y63:AC63" si="161">(1-Y23)*Y53+Y23*Y58</f>
        <v>171.96222222222224</v>
      </c>
      <c r="Z63" s="262">
        <f t="shared" si="161"/>
        <v>134.44319191919195</v>
      </c>
      <c r="AA63" s="262">
        <f t="shared" si="161"/>
        <v>171.96222222222224</v>
      </c>
      <c r="AB63" s="262">
        <f t="shared" si="161"/>
        <v>134.44319191919195</v>
      </c>
      <c r="AC63" s="262">
        <f t="shared" si="161"/>
        <v>171.96222222222224</v>
      </c>
      <c r="AE63" s="813"/>
      <c r="AF63" s="652" t="s">
        <v>161</v>
      </c>
      <c r="AG63" s="652" t="s">
        <v>74</v>
      </c>
      <c r="AH63" s="262">
        <f>(1-AH23)*AH53+AH23*AH58</f>
        <v>171.96222222222224</v>
      </c>
      <c r="AI63" s="262">
        <f t="shared" ref="AI63:AM63" si="162">(1-AI23)*AI53+AI23*AI58</f>
        <v>171.96222222222224</v>
      </c>
      <c r="AJ63" s="262">
        <f t="shared" si="162"/>
        <v>134.44319191919195</v>
      </c>
      <c r="AK63" s="262">
        <f t="shared" si="162"/>
        <v>171.96222222222224</v>
      </c>
      <c r="AL63" s="262">
        <f t="shared" si="162"/>
        <v>134.44319191919195</v>
      </c>
      <c r="AM63" s="262">
        <f t="shared" si="162"/>
        <v>171.96222222222224</v>
      </c>
    </row>
    <row r="64" spans="1:39" x14ac:dyDescent="0.25">
      <c r="A64" s="813"/>
      <c r="B64" s="652" t="s">
        <v>162</v>
      </c>
      <c r="C64" s="652" t="s">
        <v>74</v>
      </c>
      <c r="D64" s="262">
        <f t="shared" ref="D64:D66" si="163">(1-D24)*D54+D24*D59</f>
        <v>151.47333333333324</v>
      </c>
      <c r="E64" s="262">
        <f t="shared" ref="E64:I64" si="164">(1-E24)*E54+E24*E59</f>
        <v>151.47333333333327</v>
      </c>
      <c r="F64" s="262">
        <f t="shared" si="164"/>
        <v>151.47333333333327</v>
      </c>
      <c r="G64" s="262">
        <f t="shared" si="164"/>
        <v>151.47333333333324</v>
      </c>
      <c r="H64" s="262">
        <f t="shared" si="164"/>
        <v>151.47333333333327</v>
      </c>
      <c r="I64" s="262">
        <f t="shared" si="164"/>
        <v>151.47333333333324</v>
      </c>
      <c r="K64" s="813"/>
      <c r="L64" s="652" t="s">
        <v>162</v>
      </c>
      <c r="M64" s="652" t="s">
        <v>74</v>
      </c>
      <c r="N64" s="262">
        <f t="shared" ref="N64:S64" si="165">(1-N24)*N54+N24*N59</f>
        <v>151.47333333333324</v>
      </c>
      <c r="O64" s="262">
        <f t="shared" si="165"/>
        <v>151.47333333333327</v>
      </c>
      <c r="P64" s="262">
        <f t="shared" si="165"/>
        <v>118.42460606060601</v>
      </c>
      <c r="Q64" s="262">
        <f t="shared" si="165"/>
        <v>151.47333333333324</v>
      </c>
      <c r="R64" s="262">
        <f t="shared" si="165"/>
        <v>118.42460606060601</v>
      </c>
      <c r="S64" s="262">
        <f t="shared" si="165"/>
        <v>151.47333333333324</v>
      </c>
      <c r="U64" s="813"/>
      <c r="V64" s="652" t="s">
        <v>162</v>
      </c>
      <c r="W64" s="652" t="s">
        <v>74</v>
      </c>
      <c r="X64" s="262">
        <f t="shared" ref="X64:AC64" si="166">(1-X24)*X54+X24*X59</f>
        <v>151.47333333333324</v>
      </c>
      <c r="Y64" s="262">
        <f t="shared" si="166"/>
        <v>151.47333333333327</v>
      </c>
      <c r="Z64" s="262">
        <f t="shared" si="166"/>
        <v>118.42460606060601</v>
      </c>
      <c r="AA64" s="262">
        <f t="shared" si="166"/>
        <v>151.47333333333324</v>
      </c>
      <c r="AB64" s="262">
        <f t="shared" si="166"/>
        <v>118.42460606060601</v>
      </c>
      <c r="AC64" s="262">
        <f t="shared" si="166"/>
        <v>151.47333333333324</v>
      </c>
      <c r="AE64" s="813"/>
      <c r="AF64" s="652" t="s">
        <v>162</v>
      </c>
      <c r="AG64" s="652" t="s">
        <v>74</v>
      </c>
      <c r="AH64" s="262">
        <f t="shared" ref="AH64:AM64" si="167">(1-AH24)*AH54+AH24*AH59</f>
        <v>151.47333333333324</v>
      </c>
      <c r="AI64" s="262">
        <f t="shared" si="167"/>
        <v>151.47333333333327</v>
      </c>
      <c r="AJ64" s="262">
        <f t="shared" si="167"/>
        <v>118.42460606060601</v>
      </c>
      <c r="AK64" s="262">
        <f t="shared" si="167"/>
        <v>151.47333333333324</v>
      </c>
      <c r="AL64" s="262">
        <f t="shared" si="167"/>
        <v>118.42460606060601</v>
      </c>
      <c r="AM64" s="262">
        <f t="shared" si="167"/>
        <v>151.47333333333324</v>
      </c>
    </row>
    <row r="65" spans="1:39" x14ac:dyDescent="0.25">
      <c r="A65" s="813"/>
      <c r="B65" s="652" t="s">
        <v>163</v>
      </c>
      <c r="C65" s="652" t="s">
        <v>74</v>
      </c>
      <c r="D65" s="262">
        <f t="shared" si="163"/>
        <v>131.61270986021509</v>
      </c>
      <c r="E65" s="262">
        <f t="shared" ref="E65:I65" si="168">(1-E25)*E55+E25*E60</f>
        <v>131.61270986021509</v>
      </c>
      <c r="F65" s="262">
        <f t="shared" si="168"/>
        <v>131.61270986021509</v>
      </c>
      <c r="G65" s="262">
        <f t="shared" si="168"/>
        <v>131.61270986021509</v>
      </c>
      <c r="H65" s="262">
        <f t="shared" si="168"/>
        <v>131.61270986021509</v>
      </c>
      <c r="I65" s="262">
        <f t="shared" si="168"/>
        <v>131.61270986021509</v>
      </c>
      <c r="K65" s="813"/>
      <c r="L65" s="652" t="s">
        <v>163</v>
      </c>
      <c r="M65" s="652" t="s">
        <v>74</v>
      </c>
      <c r="N65" s="262">
        <f t="shared" ref="N65:S65" si="169">(1-N25)*N55+N25*N60</f>
        <v>131.61270986021509</v>
      </c>
      <c r="O65" s="262">
        <f t="shared" si="169"/>
        <v>131.61270986021509</v>
      </c>
      <c r="P65" s="262">
        <f t="shared" si="169"/>
        <v>102.89720952707725</v>
      </c>
      <c r="Q65" s="262">
        <f t="shared" si="169"/>
        <v>131.61270986021509</v>
      </c>
      <c r="R65" s="262">
        <f t="shared" si="169"/>
        <v>102.89720952707725</v>
      </c>
      <c r="S65" s="262">
        <f t="shared" si="169"/>
        <v>131.61270986021509</v>
      </c>
      <c r="U65" s="813"/>
      <c r="V65" s="652" t="s">
        <v>163</v>
      </c>
      <c r="W65" s="652" t="s">
        <v>74</v>
      </c>
      <c r="X65" s="262">
        <f t="shared" ref="X65:AC65" si="170">(1-X25)*X55+X25*X60</f>
        <v>131.61270986021509</v>
      </c>
      <c r="Y65" s="262">
        <f t="shared" si="170"/>
        <v>131.61270986021509</v>
      </c>
      <c r="Z65" s="262">
        <f t="shared" si="170"/>
        <v>102.89720952707725</v>
      </c>
      <c r="AA65" s="262">
        <f t="shared" si="170"/>
        <v>131.61270986021509</v>
      </c>
      <c r="AB65" s="262">
        <f t="shared" si="170"/>
        <v>102.89720952707725</v>
      </c>
      <c r="AC65" s="262">
        <f t="shared" si="170"/>
        <v>131.61270986021509</v>
      </c>
      <c r="AE65" s="813"/>
      <c r="AF65" s="652" t="s">
        <v>163</v>
      </c>
      <c r="AG65" s="652" t="s">
        <v>74</v>
      </c>
      <c r="AH65" s="262">
        <f t="shared" ref="AH65:AM65" si="171">(1-AH25)*AH55+AH25*AH60</f>
        <v>131.61270986021509</v>
      </c>
      <c r="AI65" s="262">
        <f t="shared" si="171"/>
        <v>131.61270986021509</v>
      </c>
      <c r="AJ65" s="262">
        <f t="shared" si="171"/>
        <v>102.89720952707725</v>
      </c>
      <c r="AK65" s="262">
        <f t="shared" si="171"/>
        <v>131.61270986021509</v>
      </c>
      <c r="AL65" s="262">
        <f t="shared" si="171"/>
        <v>102.89720952707725</v>
      </c>
      <c r="AM65" s="262">
        <f t="shared" si="171"/>
        <v>131.61270986021509</v>
      </c>
    </row>
    <row r="66" spans="1:39" x14ac:dyDescent="0.25">
      <c r="A66" s="813"/>
      <c r="B66" s="652" t="s">
        <v>164</v>
      </c>
      <c r="C66" s="652" t="s">
        <v>74</v>
      </c>
      <c r="D66" s="262">
        <f t="shared" si="163"/>
        <v>138.28043235708435</v>
      </c>
      <c r="E66" s="262">
        <f t="shared" ref="E66:I66" si="172">(1-E26)*E56+E26*E61</f>
        <v>138.28043235708435</v>
      </c>
      <c r="F66" s="262">
        <f t="shared" si="172"/>
        <v>138.28043235708435</v>
      </c>
      <c r="G66" s="262">
        <f t="shared" si="172"/>
        <v>138.28043235708435</v>
      </c>
      <c r="H66" s="262">
        <f t="shared" si="172"/>
        <v>138.28043235708435</v>
      </c>
      <c r="I66" s="262">
        <f t="shared" si="172"/>
        <v>138.28043235708435</v>
      </c>
      <c r="K66" s="813"/>
      <c r="L66" s="652" t="s">
        <v>164</v>
      </c>
      <c r="M66" s="652" t="s">
        <v>74</v>
      </c>
      <c r="N66" s="262">
        <f t="shared" ref="N66:S66" si="173">(1-N26)*N56+N26*N61</f>
        <v>138.28043235708435</v>
      </c>
      <c r="O66" s="262">
        <f t="shared" si="173"/>
        <v>138.28043235708435</v>
      </c>
      <c r="P66" s="262">
        <f t="shared" si="173"/>
        <v>108.11015620644777</v>
      </c>
      <c r="Q66" s="262">
        <f t="shared" si="173"/>
        <v>138.28043235708435</v>
      </c>
      <c r="R66" s="262">
        <f t="shared" si="173"/>
        <v>108.11015620644777</v>
      </c>
      <c r="S66" s="262">
        <f t="shared" si="173"/>
        <v>138.28043235708435</v>
      </c>
      <c r="U66" s="813"/>
      <c r="V66" s="652" t="s">
        <v>164</v>
      </c>
      <c r="W66" s="652" t="s">
        <v>74</v>
      </c>
      <c r="X66" s="262">
        <f t="shared" ref="X66:AC66" si="174">(1-X26)*X56+X26*X61</f>
        <v>138.28043235708435</v>
      </c>
      <c r="Y66" s="262">
        <f t="shared" si="174"/>
        <v>138.28043235708435</v>
      </c>
      <c r="Z66" s="262">
        <f t="shared" si="174"/>
        <v>108.11015620644777</v>
      </c>
      <c r="AA66" s="262">
        <f t="shared" si="174"/>
        <v>138.28043235708435</v>
      </c>
      <c r="AB66" s="262">
        <f t="shared" si="174"/>
        <v>108.11015620644777</v>
      </c>
      <c r="AC66" s="262">
        <f t="shared" si="174"/>
        <v>138.28043235708435</v>
      </c>
      <c r="AE66" s="813"/>
      <c r="AF66" s="652" t="s">
        <v>164</v>
      </c>
      <c r="AG66" s="652" t="s">
        <v>74</v>
      </c>
      <c r="AH66" s="262">
        <f t="shared" ref="AH66:AM66" si="175">(1-AH26)*AH56+AH26*AH61</f>
        <v>138.28043235708435</v>
      </c>
      <c r="AI66" s="262">
        <f t="shared" si="175"/>
        <v>138.28043235708435</v>
      </c>
      <c r="AJ66" s="262">
        <f t="shared" si="175"/>
        <v>108.11015620644777</v>
      </c>
      <c r="AK66" s="262">
        <f t="shared" si="175"/>
        <v>138.28043235708435</v>
      </c>
      <c r="AL66" s="262">
        <f t="shared" si="175"/>
        <v>108.11015620644777</v>
      </c>
      <c r="AM66" s="262">
        <f t="shared" si="175"/>
        <v>138.28043235708435</v>
      </c>
    </row>
    <row r="67" spans="1:39" x14ac:dyDescent="0.25">
      <c r="A67" s="813"/>
      <c r="B67" s="653" t="s">
        <v>186</v>
      </c>
      <c r="C67" s="653" t="s">
        <v>74</v>
      </c>
      <c r="D67" s="186">
        <f>SUMPRODUCT(D63:D66,D46:D49)/D50</f>
        <v>137.86074516226122</v>
      </c>
      <c r="E67" s="186">
        <f t="shared" ref="E67:I67" si="176">SUMPRODUCT(E63:E66,E46:E49)/E50</f>
        <v>137.86074516226125</v>
      </c>
      <c r="F67" s="186">
        <f t="shared" si="176"/>
        <v>137.86074516226122</v>
      </c>
      <c r="G67" s="186">
        <f t="shared" si="176"/>
        <v>137.86074516226125</v>
      </c>
      <c r="H67" s="186">
        <f t="shared" si="176"/>
        <v>137.86074516226122</v>
      </c>
      <c r="I67" s="186">
        <f t="shared" si="176"/>
        <v>137.86074516226125</v>
      </c>
      <c r="K67" s="813"/>
      <c r="L67" s="653" t="s">
        <v>186</v>
      </c>
      <c r="M67" s="653" t="s">
        <v>74</v>
      </c>
      <c r="N67" s="186">
        <f>SUMPRODUCT(N63:N66,N46:N49)/N50</f>
        <v>137.86074516226122</v>
      </c>
      <c r="O67" s="186">
        <f t="shared" ref="O67" si="177">SUMPRODUCT(O63:O66,O46:O49)/O50</f>
        <v>137.86074516226125</v>
      </c>
      <c r="P67" s="186">
        <f t="shared" ref="P67" si="178">SUMPRODUCT(P63:P66,P46:P49)/P50</f>
        <v>107.78203712685878</v>
      </c>
      <c r="Q67" s="186">
        <f t="shared" ref="Q67" si="179">SUMPRODUCT(Q63:Q66,Q46:Q49)/Q50</f>
        <v>137.86074516226125</v>
      </c>
      <c r="R67" s="186">
        <f t="shared" ref="R67" si="180">SUMPRODUCT(R63:R66,R46:R49)/R50</f>
        <v>107.78203712685878</v>
      </c>
      <c r="S67" s="186">
        <f t="shared" ref="S67" si="181">SUMPRODUCT(S63:S66,S46:S49)/S50</f>
        <v>137.86074516226125</v>
      </c>
      <c r="U67" s="813"/>
      <c r="V67" s="653" t="s">
        <v>186</v>
      </c>
      <c r="W67" s="653" t="s">
        <v>74</v>
      </c>
      <c r="X67" s="186">
        <f>SUMPRODUCT(X63:X66,X46:X49)/X50</f>
        <v>137.86074516226122</v>
      </c>
      <c r="Y67" s="186">
        <f t="shared" ref="Y67:AC67" si="182">SUMPRODUCT(Y63:Y66,Y46:Y49)/Y50</f>
        <v>137.86074516226125</v>
      </c>
      <c r="Z67" s="186">
        <f t="shared" si="182"/>
        <v>107.78203712685878</v>
      </c>
      <c r="AA67" s="186">
        <f t="shared" si="182"/>
        <v>137.86074516226122</v>
      </c>
      <c r="AB67" s="186">
        <f t="shared" si="182"/>
        <v>107.78203712685878</v>
      </c>
      <c r="AC67" s="186">
        <f t="shared" si="182"/>
        <v>137.86074516226122</v>
      </c>
      <c r="AE67" s="813"/>
      <c r="AF67" s="653" t="s">
        <v>186</v>
      </c>
      <c r="AG67" s="653" t="s">
        <v>74</v>
      </c>
      <c r="AH67" s="186">
        <f>SUMPRODUCT(AH63:AH66,AH46:AH49)/AH50</f>
        <v>137.86074516226122</v>
      </c>
      <c r="AI67" s="186">
        <f t="shared" ref="AI67:AM67" si="183">SUMPRODUCT(AI63:AI66,AI46:AI49)/AI50</f>
        <v>137.86074516226125</v>
      </c>
      <c r="AJ67" s="186">
        <f t="shared" si="183"/>
        <v>107.7820371268588</v>
      </c>
      <c r="AK67" s="186">
        <f t="shared" si="183"/>
        <v>137.86074516226122</v>
      </c>
      <c r="AL67" s="186">
        <f t="shared" si="183"/>
        <v>107.7820371268588</v>
      </c>
      <c r="AM67" s="186">
        <f t="shared" si="183"/>
        <v>137.86074516226122</v>
      </c>
    </row>
    <row r="68" spans="1:39" ht="15.75" thickBot="1" x14ac:dyDescent="0.3">
      <c r="A68" s="814"/>
      <c r="B68" s="654" t="s">
        <v>229</v>
      </c>
      <c r="C68" s="654" t="s">
        <v>25</v>
      </c>
      <c r="D68" s="212" t="s">
        <v>78</v>
      </c>
      <c r="E68" s="213" t="s">
        <v>78</v>
      </c>
      <c r="F68" s="212" t="s">
        <v>78</v>
      </c>
      <c r="G68" s="213" t="s">
        <v>78</v>
      </c>
      <c r="H68" s="214" t="s">
        <v>78</v>
      </c>
      <c r="I68" s="213" t="s">
        <v>78</v>
      </c>
      <c r="K68" s="814"/>
      <c r="L68" s="654" t="s">
        <v>229</v>
      </c>
      <c r="M68" s="654" t="s">
        <v>25</v>
      </c>
      <c r="N68" s="212">
        <f>(N67-D67)/D67</f>
        <v>0</v>
      </c>
      <c r="O68" s="212">
        <f t="shared" ref="O68:S68" si="184">(O67-E67)/E67</f>
        <v>0</v>
      </c>
      <c r="P68" s="212">
        <f t="shared" si="184"/>
        <v>-0.21818181818181814</v>
      </c>
      <c r="Q68" s="212">
        <f t="shared" si="184"/>
        <v>0</v>
      </c>
      <c r="R68" s="212">
        <f t="shared" si="184"/>
        <v>-0.21818181818181814</v>
      </c>
      <c r="S68" s="212">
        <f t="shared" si="184"/>
        <v>0</v>
      </c>
      <c r="U68" s="814"/>
      <c r="V68" s="654" t="s">
        <v>229</v>
      </c>
      <c r="W68" s="654" t="s">
        <v>25</v>
      </c>
      <c r="X68" s="212"/>
      <c r="Y68" s="213" t="s">
        <v>78</v>
      </c>
      <c r="Z68" s="212" t="s">
        <v>78</v>
      </c>
      <c r="AA68" s="213" t="s">
        <v>78</v>
      </c>
      <c r="AB68" s="214" t="s">
        <v>78</v>
      </c>
      <c r="AC68" s="213" t="s">
        <v>78</v>
      </c>
      <c r="AE68" s="814"/>
      <c r="AF68" s="654" t="s">
        <v>229</v>
      </c>
      <c r="AG68" s="654" t="s">
        <v>25</v>
      </c>
      <c r="AH68" s="212" t="s">
        <v>78</v>
      </c>
      <c r="AI68" s="213" t="s">
        <v>78</v>
      </c>
      <c r="AJ68" s="212" t="s">
        <v>78</v>
      </c>
      <c r="AK68" s="213" t="s">
        <v>78</v>
      </c>
      <c r="AL68" s="214" t="s">
        <v>78</v>
      </c>
      <c r="AM68" s="213" t="s">
        <v>78</v>
      </c>
    </row>
    <row r="69" spans="1:39" x14ac:dyDescent="0.25">
      <c r="A69" s="75"/>
      <c r="B69" s="75"/>
      <c r="C69" s="75"/>
      <c r="Y69" s="164"/>
      <c r="AE69" s="38"/>
      <c r="AF69" s="38"/>
      <c r="AG69" s="38"/>
      <c r="AH69" s="38"/>
      <c r="AI69" s="38"/>
      <c r="AJ69" s="38"/>
      <c r="AK69" s="38"/>
      <c r="AL69" s="38"/>
      <c r="AM69" s="38"/>
    </row>
    <row r="70" spans="1:39" ht="15" customHeight="1" thickBot="1" x14ac:dyDescent="0.3">
      <c r="A70" s="370" t="s">
        <v>630</v>
      </c>
      <c r="B70" s="75"/>
      <c r="C70" s="75"/>
      <c r="D70" s="73"/>
      <c r="E70" s="73"/>
      <c r="F70" s="73"/>
      <c r="G70" s="73"/>
      <c r="H70" s="73"/>
      <c r="I70" s="73"/>
      <c r="K70" s="40" t="s">
        <v>631</v>
      </c>
      <c r="N70" s="73"/>
      <c r="O70" s="73"/>
      <c r="P70" s="73"/>
      <c r="Q70" s="73"/>
      <c r="R70" s="73"/>
      <c r="S70" s="73"/>
      <c r="U70" s="40" t="s">
        <v>87</v>
      </c>
      <c r="X70" s="73"/>
      <c r="Y70" s="73"/>
      <c r="Z70" s="73"/>
      <c r="AA70" s="73"/>
      <c r="AB70" s="73"/>
      <c r="AC70" s="73"/>
      <c r="AE70" s="40" t="s">
        <v>156</v>
      </c>
      <c r="AF70" s="38"/>
      <c r="AG70" s="38"/>
      <c r="AH70" s="73"/>
      <c r="AI70" s="73"/>
      <c r="AJ70" s="73"/>
      <c r="AK70" s="73"/>
      <c r="AL70" s="73"/>
      <c r="AM70" s="73"/>
    </row>
    <row r="71" spans="1:39" ht="15.75" thickBot="1" x14ac:dyDescent="0.3">
      <c r="A71" s="812" t="s">
        <v>77</v>
      </c>
      <c r="B71" s="651" t="s">
        <v>136</v>
      </c>
      <c r="C71" s="651" t="s">
        <v>74</v>
      </c>
      <c r="D71" s="261">
        <f>D$6*D11+D29+D53</f>
        <v>190.94521430530281</v>
      </c>
      <c r="E71" s="261">
        <f t="shared" ref="E71:I71" si="185">E$6*E11+E29+E53</f>
        <v>189.90718274018499</v>
      </c>
      <c r="F71" s="261">
        <f t="shared" si="185"/>
        <v>190.94521430530281</v>
      </c>
      <c r="G71" s="261">
        <f>G$6*G11+G29+G53</f>
        <v>189.90718274018499</v>
      </c>
      <c r="H71" s="261">
        <f t="shared" si="185"/>
        <v>190.94521430530281</v>
      </c>
      <c r="I71" s="261">
        <f t="shared" si="185"/>
        <v>189.90718274018499</v>
      </c>
      <c r="K71" s="794" t="s">
        <v>77</v>
      </c>
      <c r="L71" s="124" t="s">
        <v>136</v>
      </c>
      <c r="M71" s="124" t="s">
        <v>74</v>
      </c>
      <c r="N71" s="261">
        <f>N$6*N11+N29+N53</f>
        <v>190.94521430530281</v>
      </c>
      <c r="O71" s="261">
        <f t="shared" ref="O71:S71" si="186">O$6*O11+O29+O53</f>
        <v>189.90718274018499</v>
      </c>
      <c r="P71" s="261">
        <f>P$6*P11+P29+P53</f>
        <v>152.90846603637033</v>
      </c>
      <c r="Q71" s="261">
        <f t="shared" si="186"/>
        <v>189.3270764821664</v>
      </c>
      <c r="R71" s="261">
        <f t="shared" si="186"/>
        <v>152.90846603637033</v>
      </c>
      <c r="S71" s="261">
        <f t="shared" si="186"/>
        <v>189.90718274018499</v>
      </c>
      <c r="U71" s="794" t="s">
        <v>77</v>
      </c>
      <c r="V71" s="124" t="s">
        <v>136</v>
      </c>
      <c r="W71" s="124" t="s">
        <v>74</v>
      </c>
      <c r="X71" s="261">
        <f t="shared" ref="X71:AC74" si="187">N71</f>
        <v>190.94521430530281</v>
      </c>
      <c r="Y71" s="234">
        <f t="shared" si="187"/>
        <v>189.90718274018499</v>
      </c>
      <c r="Z71" s="233">
        <f t="shared" si="187"/>
        <v>152.90846603637033</v>
      </c>
      <c r="AA71" s="234">
        <f t="shared" si="187"/>
        <v>189.3270764821664</v>
      </c>
      <c r="AB71" s="235">
        <f t="shared" si="187"/>
        <v>152.90846603637033</v>
      </c>
      <c r="AC71" s="234">
        <f t="shared" si="187"/>
        <v>189.90718274018499</v>
      </c>
      <c r="AE71" s="794" t="s">
        <v>77</v>
      </c>
      <c r="AF71" s="124" t="s">
        <v>136</v>
      </c>
      <c r="AG71" s="124" t="s">
        <v>74</v>
      </c>
      <c r="AH71" s="261">
        <f>X71</f>
        <v>190.94521430530281</v>
      </c>
      <c r="AI71" s="234">
        <f t="shared" ref="AI71:AI74" si="188">Y71</f>
        <v>189.90718274018499</v>
      </c>
      <c r="AJ71" s="233">
        <f>Z71</f>
        <v>152.90846603637033</v>
      </c>
      <c r="AK71" s="234">
        <f t="shared" ref="AK71:AK74" si="189">AA71</f>
        <v>189.3270764821664</v>
      </c>
      <c r="AL71" s="235">
        <f t="shared" ref="AL71:AL74" si="190">AB71</f>
        <v>152.90846603637033</v>
      </c>
      <c r="AM71" s="234">
        <f t="shared" ref="AM71:AM74" si="191">AC71</f>
        <v>189.90718274018499</v>
      </c>
    </row>
    <row r="72" spans="1:39" ht="15.75" thickBot="1" x14ac:dyDescent="0.3">
      <c r="A72" s="813"/>
      <c r="B72" s="652" t="s">
        <v>137</v>
      </c>
      <c r="C72" s="652" t="s">
        <v>74</v>
      </c>
      <c r="D72" s="261">
        <f t="shared" ref="D72:I72" si="192">D$6*D12+D30+D54</f>
        <v>176.41566333567897</v>
      </c>
      <c r="E72" s="261">
        <f t="shared" si="192"/>
        <v>174.85681886619025</v>
      </c>
      <c r="F72" s="261">
        <f t="shared" si="192"/>
        <v>176.41566333567897</v>
      </c>
      <c r="G72" s="261">
        <f t="shared" si="192"/>
        <v>174.85681886619025</v>
      </c>
      <c r="H72" s="261">
        <f t="shared" si="192"/>
        <v>176.41566333567897</v>
      </c>
      <c r="I72" s="261">
        <f t="shared" si="192"/>
        <v>174.85681886619025</v>
      </c>
      <c r="K72" s="795"/>
      <c r="L72" s="125" t="s">
        <v>137</v>
      </c>
      <c r="M72" s="125" t="s">
        <v>74</v>
      </c>
      <c r="N72" s="261">
        <f>N$6*N12+N30+N54</f>
        <v>176.41566333567897</v>
      </c>
      <c r="O72" s="261">
        <f t="shared" ref="O72:S72" si="193">O$6*O12+O30+O54</f>
        <v>174.85681886619025</v>
      </c>
      <c r="P72" s="261">
        <f t="shared" si="193"/>
        <v>142.68669069925139</v>
      </c>
      <c r="Q72" s="261">
        <f t="shared" si="193"/>
        <v>174.10090155568298</v>
      </c>
      <c r="R72" s="261">
        <f t="shared" si="193"/>
        <v>142.68669069925139</v>
      </c>
      <c r="S72" s="261">
        <f t="shared" si="193"/>
        <v>174.85681886619025</v>
      </c>
      <c r="U72" s="795"/>
      <c r="V72" s="125" t="s">
        <v>137</v>
      </c>
      <c r="W72" s="125" t="s">
        <v>74</v>
      </c>
      <c r="X72" s="236">
        <f t="shared" si="187"/>
        <v>176.41566333567897</v>
      </c>
      <c r="Y72" s="237">
        <f t="shared" si="187"/>
        <v>174.85681886619025</v>
      </c>
      <c r="Z72" s="236">
        <f t="shared" si="187"/>
        <v>142.68669069925139</v>
      </c>
      <c r="AA72" s="237">
        <f t="shared" si="187"/>
        <v>174.10090155568298</v>
      </c>
      <c r="AB72" s="238">
        <f t="shared" si="187"/>
        <v>142.68669069925139</v>
      </c>
      <c r="AC72" s="237">
        <f t="shared" si="187"/>
        <v>174.85681886619025</v>
      </c>
      <c r="AE72" s="795"/>
      <c r="AF72" s="125" t="s">
        <v>137</v>
      </c>
      <c r="AG72" s="125" t="s">
        <v>74</v>
      </c>
      <c r="AH72" s="236">
        <f>X72</f>
        <v>176.41566333567897</v>
      </c>
      <c r="AI72" s="237">
        <f t="shared" si="188"/>
        <v>174.85681886619025</v>
      </c>
      <c r="AJ72" s="236">
        <f t="shared" ref="AJ72:AJ74" si="194">Z72</f>
        <v>142.68669069925139</v>
      </c>
      <c r="AK72" s="237">
        <f t="shared" si="189"/>
        <v>174.10090155568298</v>
      </c>
      <c r="AL72" s="238">
        <f t="shared" si="190"/>
        <v>142.68669069925139</v>
      </c>
      <c r="AM72" s="237">
        <f t="shared" si="191"/>
        <v>174.85681886619025</v>
      </c>
    </row>
    <row r="73" spans="1:39" ht="15.75" thickBot="1" x14ac:dyDescent="0.3">
      <c r="A73" s="813"/>
      <c r="B73" s="652" t="s">
        <v>138</v>
      </c>
      <c r="C73" s="652" t="s">
        <v>74</v>
      </c>
      <c r="D73" s="261">
        <f t="shared" ref="D73:I73" si="195">D$6*D13+D31+D55</f>
        <v>162.27025001897198</v>
      </c>
      <c r="E73" s="261">
        <f t="shared" si="195"/>
        <v>160.62442291737943</v>
      </c>
      <c r="F73" s="261">
        <f t="shared" si="195"/>
        <v>162.27025001897198</v>
      </c>
      <c r="G73" s="261">
        <f t="shared" si="195"/>
        <v>160.62442291737943</v>
      </c>
      <c r="H73" s="261">
        <f t="shared" si="195"/>
        <v>162.27025001897198</v>
      </c>
      <c r="I73" s="261">
        <f t="shared" si="195"/>
        <v>160.62442291737943</v>
      </c>
      <c r="K73" s="795"/>
      <c r="L73" s="125" t="s">
        <v>138</v>
      </c>
      <c r="M73" s="125" t="s">
        <v>74</v>
      </c>
      <c r="N73" s="261">
        <f t="shared" ref="N73:S73" si="196">N$6*N13+N31+N55</f>
        <v>162.27025001897198</v>
      </c>
      <c r="O73" s="261">
        <f t="shared" si="196"/>
        <v>160.62442291737943</v>
      </c>
      <c r="P73" s="261">
        <f t="shared" si="196"/>
        <v>132.71863495423167</v>
      </c>
      <c r="Q73" s="261">
        <f>Q$6*Q13+Q31+Q55</f>
        <v>159.68656204644276</v>
      </c>
      <c r="R73" s="261">
        <f t="shared" si="196"/>
        <v>132.71863495423167</v>
      </c>
      <c r="S73" s="261">
        <f t="shared" si="196"/>
        <v>160.62442291737943</v>
      </c>
      <c r="U73" s="795"/>
      <c r="V73" s="125" t="s">
        <v>138</v>
      </c>
      <c r="W73" s="125" t="s">
        <v>74</v>
      </c>
      <c r="X73" s="236">
        <f t="shared" si="187"/>
        <v>162.27025001897198</v>
      </c>
      <c r="Y73" s="237">
        <f t="shared" si="187"/>
        <v>160.62442291737943</v>
      </c>
      <c r="Z73" s="236">
        <f t="shared" si="187"/>
        <v>132.71863495423167</v>
      </c>
      <c r="AA73" s="237">
        <f t="shared" si="187"/>
        <v>159.68656204644276</v>
      </c>
      <c r="AB73" s="238">
        <f t="shared" si="187"/>
        <v>132.71863495423167</v>
      </c>
      <c r="AC73" s="237">
        <f t="shared" si="187"/>
        <v>160.62442291737943</v>
      </c>
      <c r="AE73" s="795"/>
      <c r="AF73" s="125" t="s">
        <v>138</v>
      </c>
      <c r="AG73" s="125" t="s">
        <v>74</v>
      </c>
      <c r="AH73" s="236">
        <f>X73</f>
        <v>162.27025001897198</v>
      </c>
      <c r="AI73" s="237">
        <f t="shared" si="188"/>
        <v>160.62442291737943</v>
      </c>
      <c r="AJ73" s="236">
        <f t="shared" si="194"/>
        <v>132.71863495423167</v>
      </c>
      <c r="AK73" s="237">
        <f t="shared" si="189"/>
        <v>159.68656204644276</v>
      </c>
      <c r="AL73" s="238">
        <f t="shared" si="190"/>
        <v>132.71863495423167</v>
      </c>
      <c r="AM73" s="237">
        <f t="shared" si="191"/>
        <v>160.62442291737943</v>
      </c>
    </row>
    <row r="74" spans="1:39" x14ac:dyDescent="0.25">
      <c r="A74" s="813"/>
      <c r="B74" s="652" t="s">
        <v>139</v>
      </c>
      <c r="C74" s="652" t="s">
        <v>74</v>
      </c>
      <c r="D74" s="261">
        <f t="shared" ref="D74:I74" si="197">D$6*D14+D32+D56</f>
        <v>177.82507729823442</v>
      </c>
      <c r="E74" s="261">
        <f t="shared" si="197"/>
        <v>175.89906720881777</v>
      </c>
      <c r="F74" s="261">
        <f t="shared" si="197"/>
        <v>177.82507729823442</v>
      </c>
      <c r="G74" s="261">
        <f t="shared" si="197"/>
        <v>175.89906720881777</v>
      </c>
      <c r="H74" s="261">
        <f t="shared" si="197"/>
        <v>177.82507729823442</v>
      </c>
      <c r="I74" s="261">
        <f t="shared" si="197"/>
        <v>175.89906720881777</v>
      </c>
      <c r="K74" s="795"/>
      <c r="L74" s="125" t="s">
        <v>139</v>
      </c>
      <c r="M74" s="125" t="s">
        <v>74</v>
      </c>
      <c r="N74" s="261">
        <f>N$6*N14+N32+N56</f>
        <v>177.82507729823442</v>
      </c>
      <c r="O74" s="261">
        <f t="shared" ref="O74:S74" si="198">O$6*O14+O32+O56</f>
        <v>175.89906720881777</v>
      </c>
      <c r="P74" s="261">
        <f t="shared" si="198"/>
        <v>146.57631083102103</v>
      </c>
      <c r="Q74" s="261">
        <f t="shared" si="198"/>
        <v>174.68297060755961</v>
      </c>
      <c r="R74" s="261">
        <f t="shared" si="198"/>
        <v>146.57631083102103</v>
      </c>
      <c r="S74" s="261">
        <f t="shared" si="198"/>
        <v>175.89906720881777</v>
      </c>
      <c r="U74" s="795"/>
      <c r="V74" s="125" t="s">
        <v>139</v>
      </c>
      <c r="W74" s="125" t="s">
        <v>74</v>
      </c>
      <c r="X74" s="262">
        <f t="shared" si="187"/>
        <v>177.82507729823442</v>
      </c>
      <c r="Y74" s="263">
        <f t="shared" si="187"/>
        <v>175.89906720881777</v>
      </c>
      <c r="Z74" s="262">
        <f t="shared" si="187"/>
        <v>146.57631083102103</v>
      </c>
      <c r="AA74" s="263">
        <f t="shared" si="187"/>
        <v>174.68297060755961</v>
      </c>
      <c r="AB74" s="264">
        <f t="shared" si="187"/>
        <v>146.57631083102103</v>
      </c>
      <c r="AC74" s="263">
        <f t="shared" si="187"/>
        <v>175.89906720881777</v>
      </c>
      <c r="AE74" s="795"/>
      <c r="AF74" s="125" t="s">
        <v>139</v>
      </c>
      <c r="AG74" s="125" t="s">
        <v>74</v>
      </c>
      <c r="AH74" s="262">
        <f t="shared" ref="AH74" si="199">X74</f>
        <v>177.82507729823442</v>
      </c>
      <c r="AI74" s="263">
        <f t="shared" si="188"/>
        <v>175.89906720881777</v>
      </c>
      <c r="AJ74" s="262">
        <f t="shared" si="194"/>
        <v>146.57631083102103</v>
      </c>
      <c r="AK74" s="263">
        <f t="shared" si="189"/>
        <v>174.68297060755961</v>
      </c>
      <c r="AL74" s="264">
        <f t="shared" si="190"/>
        <v>146.57631083102103</v>
      </c>
      <c r="AM74" s="263">
        <f t="shared" si="191"/>
        <v>175.89906720881777</v>
      </c>
    </row>
    <row r="75" spans="1:39" x14ac:dyDescent="0.25">
      <c r="A75" s="813"/>
      <c r="B75" s="653" t="s">
        <v>184</v>
      </c>
      <c r="C75" s="653" t="s">
        <v>74</v>
      </c>
      <c r="D75" s="258">
        <f>SUMPRODUCT(D71:D74,D36:D39)/D40</f>
        <v>173.15819104151814</v>
      </c>
      <c r="E75" s="259">
        <f t="shared" ref="E75" si="200">SUMPRODUCT(E71:E74,E36:E39)/E40</f>
        <v>171.42802777145798</v>
      </c>
      <c r="F75" s="258">
        <f t="shared" ref="F75" si="201">SUMPRODUCT(F71:F74,F36:F39)/F40</f>
        <v>173.13153424933503</v>
      </c>
      <c r="G75" s="259">
        <f t="shared" ref="G75" si="202">SUMPRODUCT(G71:G74,G36:G39)/G40</f>
        <v>171.34537761183375</v>
      </c>
      <c r="H75" s="260">
        <f t="shared" ref="H75" si="203">SUMPRODUCT(H71:H74,H36:H39)/H40</f>
        <v>173.13153424933503</v>
      </c>
      <c r="I75" s="259">
        <f t="shared" ref="I75" si="204">SUMPRODUCT(I71:I74,I36:I39)/I40</f>
        <v>171.34537761183375</v>
      </c>
      <c r="K75" s="795"/>
      <c r="L75" s="175" t="s">
        <v>184</v>
      </c>
      <c r="M75" s="175" t="s">
        <v>74</v>
      </c>
      <c r="N75" s="258">
        <f>SUMPRODUCT(N71:N74,N36:N39)/N40</f>
        <v>173.15819104151814</v>
      </c>
      <c r="O75" s="259">
        <f t="shared" ref="O75:S75" si="205">SUMPRODUCT(O71:O74,O36:O39)/O40</f>
        <v>171.42802777145798</v>
      </c>
      <c r="P75" s="258">
        <f t="shared" si="205"/>
        <v>142.09089560246696</v>
      </c>
      <c r="Q75" s="259">
        <f>IFERROR(SUMPRODUCT(Q71:Q74,Q36:Q39)/Q40,AVERAGE(Q71:Q74))</f>
        <v>170.26292079550331</v>
      </c>
      <c r="R75" s="260">
        <f t="shared" si="205"/>
        <v>142.09089560246696</v>
      </c>
      <c r="S75" s="259">
        <f t="shared" si="205"/>
        <v>171.34537761183375</v>
      </c>
      <c r="U75" s="795"/>
      <c r="V75" s="175" t="s">
        <v>184</v>
      </c>
      <c r="W75" s="175" t="s">
        <v>74</v>
      </c>
      <c r="X75" s="258">
        <f>SUMPRODUCT(X71:X74,X36:X39)/X40</f>
        <v>173.15819104151814</v>
      </c>
      <c r="Y75" s="259">
        <f t="shared" ref="Y75" si="206">SUMPRODUCT(Y71:Y74,Y36:Y39)/Y40</f>
        <v>171.42802777145798</v>
      </c>
      <c r="Z75" s="258">
        <f t="shared" ref="Z75" si="207">SUMPRODUCT(Z71:Z74,Z36:Z39)/Z40</f>
        <v>142.09089560246696</v>
      </c>
      <c r="AA75" s="259">
        <f>IFERROR(SUMPRODUCT(AA71:AA74,AA36:AA39)/AA40,AVERAGE(AA71:AA74))</f>
        <v>170.26292079550331</v>
      </c>
      <c r="AB75" s="260">
        <f t="shared" ref="AB75" si="208">SUMPRODUCT(AB71:AB74,AB36:AB39)/AB40</f>
        <v>142.09089560246696</v>
      </c>
      <c r="AC75" s="259">
        <f t="shared" ref="AC75" si="209">SUMPRODUCT(AC71:AC74,AC36:AC39)/AC40</f>
        <v>171.34537761183375</v>
      </c>
      <c r="AE75" s="795"/>
      <c r="AF75" s="175" t="s">
        <v>184</v>
      </c>
      <c r="AG75" s="175" t="s">
        <v>74</v>
      </c>
      <c r="AH75" s="258">
        <f>SUMPRODUCT(AH71:AH74,AH36:AH39)/AH40</f>
        <v>173.15819104151814</v>
      </c>
      <c r="AI75" s="259">
        <f t="shared" ref="AI75" si="210">SUMPRODUCT(AI71:AI74,AI36:AI39)/AI40</f>
        <v>171.42802777145798</v>
      </c>
      <c r="AJ75" s="258">
        <f>SUMPRODUCT(AJ71:AJ74,AJ36:AJ39)/AJ40</f>
        <v>142.09089560246696</v>
      </c>
      <c r="AK75" s="259">
        <f>IFERROR(SUMPRODUCT(AK71:AK74,AK36:AK39)/AK40,AVERAGE(AK71:AK74))</f>
        <v>170.26292079550331</v>
      </c>
      <c r="AL75" s="260">
        <f t="shared" ref="AL75" si="211">SUMPRODUCT(AL71:AL74,AL36:AL39)/AL40</f>
        <v>142.09089560246696</v>
      </c>
      <c r="AM75" s="259">
        <f t="shared" ref="AM75" si="212">SUMPRODUCT(AM71:AM74,AM36:AM39)/AM40</f>
        <v>171.34537761183375</v>
      </c>
    </row>
    <row r="76" spans="1:39" x14ac:dyDescent="0.25">
      <c r="A76" s="813"/>
      <c r="B76" s="652" t="s">
        <v>141</v>
      </c>
      <c r="C76" s="652" t="s">
        <v>74</v>
      </c>
      <c r="D76" s="262">
        <f>D$7*D16+D29+D58</f>
        <v>182.10919972655253</v>
      </c>
      <c r="E76" s="262">
        <f t="shared" ref="E76:I76" si="213">E$7*E16+E29+E58</f>
        <v>183.85358449241139</v>
      </c>
      <c r="F76" s="262">
        <f t="shared" si="213"/>
        <v>182.10919972655253</v>
      </c>
      <c r="G76" s="262">
        <f t="shared" si="213"/>
        <v>183.85358449241139</v>
      </c>
      <c r="H76" s="262">
        <f t="shared" si="213"/>
        <v>182.10919972655253</v>
      </c>
      <c r="I76" s="262">
        <f t="shared" si="213"/>
        <v>183.85358449241139</v>
      </c>
      <c r="K76" s="795"/>
      <c r="L76" s="125" t="s">
        <v>141</v>
      </c>
      <c r="M76" s="125" t="s">
        <v>74</v>
      </c>
      <c r="N76" s="262">
        <f>N$7*N16+N29+N58</f>
        <v>182.10919972655253</v>
      </c>
      <c r="O76" s="262">
        <f t="shared" ref="O76:S76" si="214">O$7*O16+O29+O58</f>
        <v>183.85358449241139</v>
      </c>
      <c r="P76" s="262">
        <f t="shared" si="214"/>
        <v>144.31343367340415</v>
      </c>
      <c r="Q76" s="262">
        <f t="shared" si="214"/>
        <v>183.84763881127628</v>
      </c>
      <c r="R76" s="262">
        <f t="shared" si="214"/>
        <v>144.31343367340415</v>
      </c>
      <c r="S76" s="262">
        <f t="shared" si="214"/>
        <v>183.85358449241139</v>
      </c>
      <c r="U76" s="795"/>
      <c r="V76" s="125" t="s">
        <v>141</v>
      </c>
      <c r="W76" s="125" t="s">
        <v>74</v>
      </c>
      <c r="X76" s="262">
        <f t="shared" ref="X76:AC79" si="215">N76</f>
        <v>182.10919972655253</v>
      </c>
      <c r="Y76" s="263">
        <f t="shared" si="215"/>
        <v>183.85358449241139</v>
      </c>
      <c r="Z76" s="262">
        <f t="shared" si="215"/>
        <v>144.31343367340415</v>
      </c>
      <c r="AA76" s="263">
        <f t="shared" si="215"/>
        <v>183.84763881127628</v>
      </c>
      <c r="AB76" s="264">
        <f t="shared" si="215"/>
        <v>144.31343367340415</v>
      </c>
      <c r="AC76" s="263">
        <f t="shared" si="215"/>
        <v>183.85358449241139</v>
      </c>
      <c r="AE76" s="795"/>
      <c r="AF76" s="125" t="s">
        <v>141</v>
      </c>
      <c r="AG76" s="125" t="s">
        <v>74</v>
      </c>
      <c r="AH76" s="262">
        <f>X76</f>
        <v>182.10919972655253</v>
      </c>
      <c r="AI76" s="263">
        <f t="shared" ref="AI76:AI79" si="216">Y76</f>
        <v>183.85358449241139</v>
      </c>
      <c r="AJ76" s="262">
        <f>Z76</f>
        <v>144.31343367340415</v>
      </c>
      <c r="AK76" s="263">
        <f t="shared" ref="AK76:AK79" si="217">AA76</f>
        <v>183.84763881127628</v>
      </c>
      <c r="AL76" s="264">
        <f>AB76</f>
        <v>144.31343367340415</v>
      </c>
      <c r="AM76" s="263">
        <f t="shared" ref="AM76:AM79" si="218">AC76</f>
        <v>183.85358449241139</v>
      </c>
    </row>
    <row r="77" spans="1:39" x14ac:dyDescent="0.25">
      <c r="A77" s="813"/>
      <c r="B77" s="652" t="s">
        <v>142</v>
      </c>
      <c r="C77" s="652" t="s">
        <v>74</v>
      </c>
      <c r="D77" s="262">
        <f t="shared" ref="D77:I77" si="219">D$7*D17+D30+D59</f>
        <v>161.62031083766357</v>
      </c>
      <c r="E77" s="262">
        <f t="shared" si="219"/>
        <v>163.36469560352242</v>
      </c>
      <c r="F77" s="262">
        <f t="shared" si="219"/>
        <v>161.62031083766357</v>
      </c>
      <c r="G77" s="262">
        <f t="shared" si="219"/>
        <v>163.36469560352242</v>
      </c>
      <c r="H77" s="262">
        <f t="shared" si="219"/>
        <v>161.62031083766357</v>
      </c>
      <c r="I77" s="262">
        <f t="shared" si="219"/>
        <v>163.36469560352242</v>
      </c>
      <c r="K77" s="795"/>
      <c r="L77" s="125" t="s">
        <v>142</v>
      </c>
      <c r="M77" s="125" t="s">
        <v>74</v>
      </c>
      <c r="N77" s="262">
        <f t="shared" ref="N77:S77" si="220">N$7*N17+N30+N59</f>
        <v>161.62031083766357</v>
      </c>
      <c r="O77" s="262">
        <f t="shared" si="220"/>
        <v>163.36469560352242</v>
      </c>
      <c r="P77" s="262">
        <f t="shared" si="220"/>
        <v>128.29484781481821</v>
      </c>
      <c r="Q77" s="262">
        <f t="shared" si="220"/>
        <v>163.35874992238735</v>
      </c>
      <c r="R77" s="262">
        <f t="shared" si="220"/>
        <v>128.29484781481821</v>
      </c>
      <c r="S77" s="262">
        <f t="shared" si="220"/>
        <v>163.36469560352242</v>
      </c>
      <c r="U77" s="795"/>
      <c r="V77" s="125" t="s">
        <v>142</v>
      </c>
      <c r="W77" s="125" t="s">
        <v>74</v>
      </c>
      <c r="X77" s="262">
        <f t="shared" si="215"/>
        <v>161.62031083766357</v>
      </c>
      <c r="Y77" s="263">
        <f t="shared" si="215"/>
        <v>163.36469560352242</v>
      </c>
      <c r="Z77" s="262">
        <f t="shared" si="215"/>
        <v>128.29484781481821</v>
      </c>
      <c r="AA77" s="263">
        <f t="shared" si="215"/>
        <v>163.35874992238735</v>
      </c>
      <c r="AB77" s="264">
        <f t="shared" si="215"/>
        <v>128.29484781481821</v>
      </c>
      <c r="AC77" s="263">
        <f t="shared" si="215"/>
        <v>163.36469560352242</v>
      </c>
      <c r="AE77" s="795"/>
      <c r="AF77" s="125" t="s">
        <v>142</v>
      </c>
      <c r="AG77" s="125" t="s">
        <v>74</v>
      </c>
      <c r="AH77" s="262">
        <f>X77</f>
        <v>161.62031083766357</v>
      </c>
      <c r="AI77" s="263">
        <f t="shared" si="216"/>
        <v>163.36469560352242</v>
      </c>
      <c r="AJ77" s="262">
        <f t="shared" ref="AJ77:AJ79" si="221">Z77</f>
        <v>128.29484781481821</v>
      </c>
      <c r="AK77" s="263">
        <f t="shared" si="217"/>
        <v>163.35874992238735</v>
      </c>
      <c r="AL77" s="264">
        <f t="shared" ref="AL77:AL79" si="222">AB77</f>
        <v>128.29484781481821</v>
      </c>
      <c r="AM77" s="263">
        <f t="shared" si="218"/>
        <v>163.36469560352242</v>
      </c>
    </row>
    <row r="78" spans="1:39" x14ac:dyDescent="0.25">
      <c r="A78" s="813"/>
      <c r="B78" s="652" t="s">
        <v>143</v>
      </c>
      <c r="C78" s="652" t="s">
        <v>74</v>
      </c>
      <c r="D78" s="262">
        <f t="shared" ref="D78:I78" si="223">D$7*D18+D31+D60</f>
        <v>147.62870710368779</v>
      </c>
      <c r="E78" s="262">
        <f t="shared" si="223"/>
        <v>150.38204538492755</v>
      </c>
      <c r="F78" s="262">
        <f t="shared" si="223"/>
        <v>147.62870710368779</v>
      </c>
      <c r="G78" s="262">
        <f t="shared" si="223"/>
        <v>150.38204538492755</v>
      </c>
      <c r="H78" s="262">
        <f t="shared" si="223"/>
        <v>147.62870710368779</v>
      </c>
      <c r="I78" s="262">
        <f t="shared" si="223"/>
        <v>150.38204538492755</v>
      </c>
      <c r="K78" s="795"/>
      <c r="L78" s="125" t="s">
        <v>143</v>
      </c>
      <c r="M78" s="125" t="s">
        <v>74</v>
      </c>
      <c r="N78" s="262">
        <f>N$7*N18+N31+N60</f>
        <v>147.62870710368779</v>
      </c>
      <c r="O78" s="262">
        <f t="shared" ref="O78:S78" si="224">O$7*O18+O31+O60</f>
        <v>150.38204538492755</v>
      </c>
      <c r="P78" s="262">
        <f t="shared" si="224"/>
        <v>118.47640684572796</v>
      </c>
      <c r="Q78" s="262">
        <f t="shared" si="224"/>
        <v>150.37266071716522</v>
      </c>
      <c r="R78" s="262">
        <f t="shared" si="224"/>
        <v>118.47640684572796</v>
      </c>
      <c r="S78" s="262">
        <f t="shared" si="224"/>
        <v>150.38204538492755</v>
      </c>
      <c r="U78" s="795"/>
      <c r="V78" s="125" t="s">
        <v>143</v>
      </c>
      <c r="W78" s="125" t="s">
        <v>74</v>
      </c>
      <c r="X78" s="262">
        <f t="shared" si="215"/>
        <v>147.62870710368779</v>
      </c>
      <c r="Y78" s="263">
        <f t="shared" si="215"/>
        <v>150.38204538492755</v>
      </c>
      <c r="Z78" s="262">
        <f t="shared" si="215"/>
        <v>118.47640684572796</v>
      </c>
      <c r="AA78" s="263">
        <f t="shared" si="215"/>
        <v>150.37266071716522</v>
      </c>
      <c r="AB78" s="264">
        <f t="shared" si="215"/>
        <v>118.47640684572796</v>
      </c>
      <c r="AC78" s="263">
        <f t="shared" si="215"/>
        <v>150.38204538492755</v>
      </c>
      <c r="AE78" s="795"/>
      <c r="AF78" s="125" t="s">
        <v>143</v>
      </c>
      <c r="AG78" s="125" t="s">
        <v>74</v>
      </c>
      <c r="AH78" s="262">
        <f>X78</f>
        <v>147.62870710368779</v>
      </c>
      <c r="AI78" s="263">
        <f t="shared" si="216"/>
        <v>150.38204538492755</v>
      </c>
      <c r="AJ78" s="262">
        <f t="shared" si="221"/>
        <v>118.47640684572796</v>
      </c>
      <c r="AK78" s="263">
        <f t="shared" si="217"/>
        <v>150.37266071716522</v>
      </c>
      <c r="AL78" s="264">
        <f t="shared" si="222"/>
        <v>118.47640684572796</v>
      </c>
      <c r="AM78" s="263">
        <f t="shared" si="218"/>
        <v>150.38204538492755</v>
      </c>
    </row>
    <row r="79" spans="1:39" x14ac:dyDescent="0.25">
      <c r="A79" s="813"/>
      <c r="B79" s="652" t="s">
        <v>144</v>
      </c>
      <c r="C79" s="652" t="s">
        <v>74</v>
      </c>
      <c r="D79" s="262">
        <f t="shared" ref="D79:I79" si="225">D$7*D19+D32+D61</f>
        <v>156.46187669078199</v>
      </c>
      <c r="E79" s="262">
        <f t="shared" si="225"/>
        <v>159.58748079343013</v>
      </c>
      <c r="F79" s="262">
        <f t="shared" si="225"/>
        <v>156.46187669078199</v>
      </c>
      <c r="G79" s="262">
        <f t="shared" si="225"/>
        <v>159.58748079343013</v>
      </c>
      <c r="H79" s="262">
        <f t="shared" si="225"/>
        <v>156.46187669078199</v>
      </c>
      <c r="I79" s="262">
        <f t="shared" si="225"/>
        <v>159.58748079343013</v>
      </c>
      <c r="K79" s="795"/>
      <c r="L79" s="125" t="s">
        <v>144</v>
      </c>
      <c r="M79" s="125" t="s">
        <v>74</v>
      </c>
      <c r="N79" s="262">
        <f t="shared" ref="N79:S79" si="226">N$7*N19+N32+N61</f>
        <v>156.46187669078199</v>
      </c>
      <c r="O79" s="262">
        <f t="shared" si="226"/>
        <v>159.58748079343013</v>
      </c>
      <c r="P79" s="262">
        <f t="shared" si="226"/>
        <v>125.7957429674082</v>
      </c>
      <c r="Q79" s="262">
        <f t="shared" si="226"/>
        <v>159.57682726921198</v>
      </c>
      <c r="R79" s="262">
        <f t="shared" si="226"/>
        <v>125.7957429674082</v>
      </c>
      <c r="S79" s="262">
        <f t="shared" si="226"/>
        <v>159.58748079343013</v>
      </c>
      <c r="U79" s="795"/>
      <c r="V79" s="125" t="s">
        <v>144</v>
      </c>
      <c r="W79" s="125" t="s">
        <v>74</v>
      </c>
      <c r="X79" s="262">
        <f t="shared" si="215"/>
        <v>156.46187669078199</v>
      </c>
      <c r="Y79" s="263">
        <f t="shared" si="215"/>
        <v>159.58748079343013</v>
      </c>
      <c r="Z79" s="262">
        <f t="shared" si="215"/>
        <v>125.7957429674082</v>
      </c>
      <c r="AA79" s="263">
        <f t="shared" si="215"/>
        <v>159.57682726921198</v>
      </c>
      <c r="AB79" s="264">
        <f t="shared" si="215"/>
        <v>125.7957429674082</v>
      </c>
      <c r="AC79" s="263">
        <f t="shared" si="215"/>
        <v>159.58748079343013</v>
      </c>
      <c r="AE79" s="795"/>
      <c r="AF79" s="125" t="s">
        <v>144</v>
      </c>
      <c r="AG79" s="125" t="s">
        <v>74</v>
      </c>
      <c r="AH79" s="262">
        <f t="shared" ref="AH79" si="227">X79</f>
        <v>156.46187669078199</v>
      </c>
      <c r="AI79" s="263">
        <f t="shared" si="216"/>
        <v>159.58748079343013</v>
      </c>
      <c r="AJ79" s="262">
        <f t="shared" si="221"/>
        <v>125.7957429674082</v>
      </c>
      <c r="AK79" s="263">
        <f t="shared" si="217"/>
        <v>159.57682726921198</v>
      </c>
      <c r="AL79" s="264">
        <f t="shared" si="222"/>
        <v>125.7957429674082</v>
      </c>
      <c r="AM79" s="263">
        <f t="shared" si="218"/>
        <v>159.58748079343013</v>
      </c>
    </row>
    <row r="80" spans="1:39" x14ac:dyDescent="0.25">
      <c r="A80" s="813"/>
      <c r="B80" s="653" t="s">
        <v>185</v>
      </c>
      <c r="C80" s="653" t="s">
        <v>74</v>
      </c>
      <c r="D80" s="258">
        <f>SUMPRODUCT(D76:D79,D41:D44)/D45</f>
        <v>158.70165078298615</v>
      </c>
      <c r="E80" s="259">
        <f t="shared" ref="E80" si="228">SUMPRODUCT(E76:E79,E41:E44)/E45</f>
        <v>160.98562019883911</v>
      </c>
      <c r="F80" s="258">
        <f>SUMPRODUCT(F76:F79,F41:F44)/F45</f>
        <v>154.70891860967484</v>
      </c>
      <c r="G80" s="259">
        <f t="shared" ref="G80" si="229">SUMPRODUCT(G76:G79,G41:G44)/G45</f>
        <v>157.60531776712583</v>
      </c>
      <c r="H80" s="260">
        <f t="shared" ref="H80" si="230">SUMPRODUCT(H76:H79,H41:H44)/H45</f>
        <v>154.70891860967484</v>
      </c>
      <c r="I80" s="259">
        <f t="shared" ref="I80" si="231">SUMPRODUCT(I76:I79,I41:I44)/I45</f>
        <v>157.60531776712583</v>
      </c>
      <c r="K80" s="795"/>
      <c r="L80" s="175" t="s">
        <v>185</v>
      </c>
      <c r="M80" s="175" t="s">
        <v>74</v>
      </c>
      <c r="N80" s="258">
        <f>SUMPRODUCT(N76:N79,N41:N44)/N45</f>
        <v>158.70165078298615</v>
      </c>
      <c r="O80" s="259">
        <f t="shared" ref="O80" si="232">SUMPRODUCT(O76:O79,O41:O44)/O45</f>
        <v>160.98562019883911</v>
      </c>
      <c r="P80" s="258">
        <f>SUMPRODUCT(P76:P79,P41:P44)/P45</f>
        <v>124.1707149347975</v>
      </c>
      <c r="Q80" s="259">
        <f t="shared" ref="Q80:S80" si="233">SUMPRODUCT(Q76:Q79,Q41:Q44)/Q45</f>
        <v>157.59544548082343</v>
      </c>
      <c r="R80" s="260">
        <f t="shared" si="233"/>
        <v>124.1707149347975</v>
      </c>
      <c r="S80" s="259">
        <f t="shared" si="233"/>
        <v>157.60531776712583</v>
      </c>
      <c r="U80" s="795"/>
      <c r="V80" s="175" t="s">
        <v>185</v>
      </c>
      <c r="W80" s="175" t="s">
        <v>74</v>
      </c>
      <c r="X80" s="258">
        <f>SUMPRODUCT(X76:X79,X41:X44)/X45</f>
        <v>158.70165078298615</v>
      </c>
      <c r="Y80" s="259">
        <f t="shared" ref="Y80" si="234">SUMPRODUCT(Y76:Y79,Y41:Y44)/Y45</f>
        <v>160.98562019883911</v>
      </c>
      <c r="Z80" s="258">
        <f t="shared" ref="Z80" si="235">SUMPRODUCT(Z76:Z79,Z41:Z44)/Z45</f>
        <v>124.17071493479753</v>
      </c>
      <c r="AA80" s="259">
        <f t="shared" ref="AA80" si="236">SUMPRODUCT(AA76:AA79,AA41:AA44)/AA45</f>
        <v>157.59544548082346</v>
      </c>
      <c r="AB80" s="260">
        <f t="shared" ref="AB80" si="237">SUMPRODUCT(AB76:AB79,AB41:AB44)/AB45</f>
        <v>124.17071493479753</v>
      </c>
      <c r="AC80" s="259">
        <f t="shared" ref="AC80" si="238">SUMPRODUCT(AC76:AC79,AC41:AC44)/AC45</f>
        <v>157.60531776712585</v>
      </c>
      <c r="AE80" s="795"/>
      <c r="AF80" s="175" t="s">
        <v>185</v>
      </c>
      <c r="AG80" s="175" t="s">
        <v>74</v>
      </c>
      <c r="AH80" s="258">
        <f>SUMPRODUCT(AH76:AH79,AH41:AH44)/AH45</f>
        <v>158.70165078298615</v>
      </c>
      <c r="AI80" s="259">
        <f t="shared" ref="AI80" si="239">SUMPRODUCT(AI76:AI79,AI41:AI44)/AI45</f>
        <v>160.98562019883911</v>
      </c>
      <c r="AJ80" s="258">
        <f>SUMPRODUCT(AJ76:AJ79,AJ41:AJ44)/AJ45</f>
        <v>124.17071493479752</v>
      </c>
      <c r="AK80" s="259">
        <f t="shared" ref="AK80" si="240">SUMPRODUCT(AK76:AK79,AK41:AK44)/AK45</f>
        <v>157.59544548082346</v>
      </c>
      <c r="AL80" s="260">
        <f>SUMPRODUCT(AL76:AL79,AL41:AL44)/AL45</f>
        <v>124.17071493479752</v>
      </c>
      <c r="AM80" s="259">
        <f t="shared" ref="AM80" si="241">SUMPRODUCT(AM76:AM79,AM41:AM44)/AM45</f>
        <v>157.60531776712585</v>
      </c>
    </row>
    <row r="81" spans="1:39" x14ac:dyDescent="0.25">
      <c r="A81" s="813"/>
      <c r="B81" s="652" t="s">
        <v>161</v>
      </c>
      <c r="C81" s="652" t="s">
        <v>74</v>
      </c>
      <c r="D81" s="262">
        <f>(1-D23)*(D$6*D11+D53)+D23*(D$7*D16+D58)+D29</f>
        <v>189.61981211849027</v>
      </c>
      <c r="E81" s="262">
        <f t="shared" ref="E81:I81" si="242">(1-E23)*(E$6*E11+E53)+E23*(E$7*E16+E58)+E29</f>
        <v>186.27502379152082</v>
      </c>
      <c r="F81" s="262">
        <f t="shared" si="242"/>
        <v>190.7684940137278</v>
      </c>
      <c r="G81" s="262">
        <f t="shared" si="242"/>
        <v>188.09110326585289</v>
      </c>
      <c r="H81" s="262">
        <f t="shared" si="242"/>
        <v>190.7684940137278</v>
      </c>
      <c r="I81" s="262">
        <f t="shared" si="242"/>
        <v>188.09110326585289</v>
      </c>
      <c r="K81" s="795"/>
      <c r="L81" s="125" t="s">
        <v>161</v>
      </c>
      <c r="M81" s="125" t="s">
        <v>74</v>
      </c>
      <c r="N81" s="262">
        <f>(1-N23)*(N$6*N11+N53)+N23*(N$7*N16+N58)+N29</f>
        <v>189.61981211849027</v>
      </c>
      <c r="O81" s="262">
        <f t="shared" ref="O81:S81" si="243">(1-O23)*(O$6*O11+O53)+O23*(O$7*O16+O58)+O29</f>
        <v>186.27502379152082</v>
      </c>
      <c r="P81" s="262">
        <f t="shared" si="243"/>
        <v>152.73656538911101</v>
      </c>
      <c r="Q81" s="262">
        <f t="shared" si="243"/>
        <v>187.68324518089938</v>
      </c>
      <c r="R81" s="262">
        <f t="shared" si="243"/>
        <v>152.73656538911101</v>
      </c>
      <c r="S81" s="262">
        <f t="shared" si="243"/>
        <v>188.09110326585289</v>
      </c>
      <c r="U81" s="795"/>
      <c r="V81" s="125" t="s">
        <v>161</v>
      </c>
      <c r="W81" s="125" t="s">
        <v>74</v>
      </c>
      <c r="X81" s="262">
        <f t="shared" ref="X81:AC84" si="244">N81</f>
        <v>189.61981211849027</v>
      </c>
      <c r="Y81" s="263">
        <f t="shared" si="244"/>
        <v>186.27502379152082</v>
      </c>
      <c r="Z81" s="262">
        <f t="shared" si="244"/>
        <v>152.73656538911101</v>
      </c>
      <c r="AA81" s="263">
        <f t="shared" si="244"/>
        <v>187.68324518089938</v>
      </c>
      <c r="AB81" s="264">
        <f t="shared" si="244"/>
        <v>152.73656538911101</v>
      </c>
      <c r="AC81" s="263">
        <f t="shared" si="244"/>
        <v>188.09110326585289</v>
      </c>
      <c r="AE81" s="795"/>
      <c r="AF81" s="125" t="s">
        <v>161</v>
      </c>
      <c r="AG81" s="125" t="s">
        <v>74</v>
      </c>
      <c r="AH81" s="262">
        <f>X81</f>
        <v>189.61981211849027</v>
      </c>
      <c r="AI81" s="263">
        <f t="shared" ref="AI81:AI84" si="245">Y81</f>
        <v>186.27502379152082</v>
      </c>
      <c r="AJ81" s="262">
        <f>Z81</f>
        <v>152.73656538911101</v>
      </c>
      <c r="AK81" s="263">
        <f t="shared" ref="AK81:AK84" si="246">AA81</f>
        <v>187.68324518089938</v>
      </c>
      <c r="AL81" s="264">
        <f>AB81</f>
        <v>152.73656538911101</v>
      </c>
      <c r="AM81" s="263">
        <f t="shared" ref="AM81:AM84" si="247">AC81</f>
        <v>188.09110326585289</v>
      </c>
    </row>
    <row r="82" spans="1:39" x14ac:dyDescent="0.25">
      <c r="A82" s="813"/>
      <c r="B82" s="652" t="s">
        <v>162</v>
      </c>
      <c r="C82" s="652" t="s">
        <v>74</v>
      </c>
      <c r="D82" s="262">
        <f t="shared" ref="D82:I84" si="248">(1-D24)*(D$6*D12+D54)+D24*(D$7*D17+D59)+D30</f>
        <v>174.19636046097665</v>
      </c>
      <c r="E82" s="262">
        <f t="shared" si="248"/>
        <v>167.96154490858956</v>
      </c>
      <c r="F82" s="262">
        <f t="shared" si="248"/>
        <v>176.11975628571867</v>
      </c>
      <c r="G82" s="262">
        <f t="shared" si="248"/>
        <v>171.40918188738988</v>
      </c>
      <c r="H82" s="262">
        <f t="shared" si="248"/>
        <v>176.11975628571867</v>
      </c>
      <c r="I82" s="262">
        <f t="shared" si="248"/>
        <v>171.40918188738988</v>
      </c>
      <c r="K82" s="795"/>
      <c r="L82" s="125" t="s">
        <v>162</v>
      </c>
      <c r="M82" s="125" t="s">
        <v>74</v>
      </c>
      <c r="N82" s="262">
        <f t="shared" ref="N82:S82" si="249">(1-N24)*(N$6*N12+N54)+N24*(N$7*N17+N59)+N30</f>
        <v>174.19636046097665</v>
      </c>
      <c r="O82" s="262">
        <f t="shared" si="249"/>
        <v>167.96154490858956</v>
      </c>
      <c r="P82" s="262">
        <f t="shared" si="249"/>
        <v>142.39885384156273</v>
      </c>
      <c r="Q82" s="262">
        <f t="shared" si="249"/>
        <v>170.87825606569427</v>
      </c>
      <c r="R82" s="262">
        <f t="shared" si="249"/>
        <v>142.39885384156273</v>
      </c>
      <c r="S82" s="262">
        <f t="shared" si="249"/>
        <v>171.40918188738988</v>
      </c>
      <c r="U82" s="795"/>
      <c r="V82" s="125" t="s">
        <v>162</v>
      </c>
      <c r="W82" s="125" t="s">
        <v>74</v>
      </c>
      <c r="X82" s="236">
        <f t="shared" si="244"/>
        <v>174.19636046097665</v>
      </c>
      <c r="Y82" s="237">
        <f t="shared" si="244"/>
        <v>167.96154490858956</v>
      </c>
      <c r="Z82" s="236">
        <f t="shared" si="244"/>
        <v>142.39885384156273</v>
      </c>
      <c r="AA82" s="237">
        <f t="shared" si="244"/>
        <v>170.87825606569427</v>
      </c>
      <c r="AB82" s="238">
        <f t="shared" si="244"/>
        <v>142.39885384156273</v>
      </c>
      <c r="AC82" s="237">
        <f t="shared" si="244"/>
        <v>171.40918188738988</v>
      </c>
      <c r="AE82" s="795"/>
      <c r="AF82" s="125" t="s">
        <v>162</v>
      </c>
      <c r="AG82" s="125" t="s">
        <v>74</v>
      </c>
      <c r="AH82" s="236">
        <f>X82</f>
        <v>174.19636046097665</v>
      </c>
      <c r="AI82" s="237">
        <f t="shared" si="245"/>
        <v>167.96154490858956</v>
      </c>
      <c r="AJ82" s="236">
        <f t="shared" ref="AJ82:AJ84" si="250">Z82</f>
        <v>142.39885384156273</v>
      </c>
      <c r="AK82" s="237">
        <f t="shared" si="246"/>
        <v>170.87825606569427</v>
      </c>
      <c r="AL82" s="238">
        <f t="shared" ref="AL82:AL84" si="251">AB82</f>
        <v>142.39885384156273</v>
      </c>
      <c r="AM82" s="237">
        <f t="shared" si="247"/>
        <v>171.40918188738988</v>
      </c>
    </row>
    <row r="83" spans="1:39" x14ac:dyDescent="0.25">
      <c r="A83" s="813"/>
      <c r="B83" s="652" t="s">
        <v>163</v>
      </c>
      <c r="C83" s="652" t="s">
        <v>74</v>
      </c>
      <c r="D83" s="262">
        <f t="shared" si="248"/>
        <v>161.67832238066717</v>
      </c>
      <c r="E83" s="262">
        <f t="shared" si="248"/>
        <v>158.96810940493347</v>
      </c>
      <c r="F83" s="262">
        <f t="shared" si="248"/>
        <v>161.9774191606663</v>
      </c>
      <c r="G83" s="262">
        <f t="shared" si="248"/>
        <v>157.55170965764387</v>
      </c>
      <c r="H83" s="262">
        <f t="shared" si="248"/>
        <v>161.9774191606663</v>
      </c>
      <c r="I83" s="262">
        <f t="shared" si="248"/>
        <v>157.55170965764387</v>
      </c>
      <c r="K83" s="795"/>
      <c r="L83" s="125" t="s">
        <v>163</v>
      </c>
      <c r="M83" s="125" t="s">
        <v>74</v>
      </c>
      <c r="N83" s="262">
        <f t="shared" ref="N83:S83" si="252">(1-N25)*(N$6*N13+N55)+N25*(N$7*N18+N60)+N31</f>
        <v>161.67832238066717</v>
      </c>
      <c r="O83" s="262">
        <f t="shared" si="252"/>
        <v>158.96810940493347</v>
      </c>
      <c r="P83" s="262">
        <f t="shared" si="252"/>
        <v>132.43379039206161</v>
      </c>
      <c r="Q83" s="262">
        <f t="shared" si="252"/>
        <v>156.89239164765951</v>
      </c>
      <c r="R83" s="262">
        <f t="shared" si="252"/>
        <v>132.43379039206161</v>
      </c>
      <c r="S83" s="262">
        <f t="shared" si="252"/>
        <v>157.55170965764387</v>
      </c>
      <c r="U83" s="795"/>
      <c r="V83" s="125" t="s">
        <v>163</v>
      </c>
      <c r="W83" s="125" t="s">
        <v>74</v>
      </c>
      <c r="X83" s="236">
        <f t="shared" si="244"/>
        <v>161.67832238066717</v>
      </c>
      <c r="Y83" s="237">
        <f t="shared" si="244"/>
        <v>158.96810940493347</v>
      </c>
      <c r="Z83" s="236">
        <f t="shared" si="244"/>
        <v>132.43379039206161</v>
      </c>
      <c r="AA83" s="237">
        <f t="shared" si="244"/>
        <v>156.89239164765951</v>
      </c>
      <c r="AB83" s="238">
        <f t="shared" si="244"/>
        <v>132.43379039206161</v>
      </c>
      <c r="AC83" s="237">
        <f t="shared" si="244"/>
        <v>157.55170965764387</v>
      </c>
      <c r="AE83" s="795"/>
      <c r="AF83" s="125" t="s">
        <v>163</v>
      </c>
      <c r="AG83" s="125" t="s">
        <v>74</v>
      </c>
      <c r="AH83" s="236">
        <f>X83</f>
        <v>161.67832238066717</v>
      </c>
      <c r="AI83" s="237">
        <f t="shared" si="245"/>
        <v>158.96810940493347</v>
      </c>
      <c r="AJ83" s="236">
        <f t="shared" si="250"/>
        <v>132.43379039206161</v>
      </c>
      <c r="AK83" s="237">
        <f t="shared" si="246"/>
        <v>156.89239164765951</v>
      </c>
      <c r="AL83" s="238">
        <f t="shared" si="251"/>
        <v>132.43379039206161</v>
      </c>
      <c r="AM83" s="237">
        <f t="shared" si="247"/>
        <v>157.55170965764387</v>
      </c>
    </row>
    <row r="84" spans="1:39" x14ac:dyDescent="0.25">
      <c r="A84" s="813"/>
      <c r="B84" s="652" t="s">
        <v>164</v>
      </c>
      <c r="C84" s="652" t="s">
        <v>74</v>
      </c>
      <c r="D84" s="262">
        <f t="shared" si="248"/>
        <v>177.82507729823442</v>
      </c>
      <c r="E84" s="262">
        <f t="shared" si="248"/>
        <v>175.89906720881777</v>
      </c>
      <c r="F84" s="262">
        <f t="shared" si="248"/>
        <v>177.39781328608535</v>
      </c>
      <c r="G84" s="262">
        <f t="shared" si="248"/>
        <v>171.00559128420147</v>
      </c>
      <c r="H84" s="262">
        <f t="shared" si="248"/>
        <v>177.39781328608535</v>
      </c>
      <c r="I84" s="262">
        <f t="shared" si="248"/>
        <v>171.00559128420147</v>
      </c>
      <c r="K84" s="795"/>
      <c r="L84" s="125" t="s">
        <v>164</v>
      </c>
      <c r="M84" s="125" t="s">
        <v>74</v>
      </c>
      <c r="N84" s="262">
        <f t="shared" ref="N84:S84" si="253">(1-N26)*(N$6*N14+N56)+N26*(N$7*N19+N61)+N32</f>
        <v>177.82507729823442</v>
      </c>
      <c r="O84" s="262">
        <f t="shared" si="253"/>
        <v>175.89906720881777</v>
      </c>
      <c r="P84" s="262">
        <f t="shared" si="253"/>
        <v>146.16069947374876</v>
      </c>
      <c r="Q84" s="262">
        <f t="shared" si="253"/>
        <v>170.1511276060553</v>
      </c>
      <c r="R84" s="262">
        <f t="shared" si="253"/>
        <v>146.16069947374876</v>
      </c>
      <c r="S84" s="262">
        <f t="shared" si="253"/>
        <v>171.00559128420147</v>
      </c>
      <c r="U84" s="795"/>
      <c r="V84" s="125" t="s">
        <v>164</v>
      </c>
      <c r="W84" s="125" t="s">
        <v>74</v>
      </c>
      <c r="X84" s="262">
        <f t="shared" si="244"/>
        <v>177.82507729823442</v>
      </c>
      <c r="Y84" s="263">
        <f t="shared" si="244"/>
        <v>175.89906720881777</v>
      </c>
      <c r="Z84" s="262">
        <f t="shared" si="244"/>
        <v>146.16069947374876</v>
      </c>
      <c r="AA84" s="263">
        <f t="shared" si="244"/>
        <v>170.1511276060553</v>
      </c>
      <c r="AB84" s="264">
        <f t="shared" si="244"/>
        <v>146.16069947374876</v>
      </c>
      <c r="AC84" s="263">
        <f t="shared" si="244"/>
        <v>171.00559128420147</v>
      </c>
      <c r="AE84" s="795"/>
      <c r="AF84" s="125" t="s">
        <v>164</v>
      </c>
      <c r="AG84" s="125" t="s">
        <v>74</v>
      </c>
      <c r="AH84" s="262">
        <f t="shared" ref="AH84" si="254">X84</f>
        <v>177.82507729823442</v>
      </c>
      <c r="AI84" s="263">
        <f t="shared" si="245"/>
        <v>175.89906720881777</v>
      </c>
      <c r="AJ84" s="262">
        <f t="shared" si="250"/>
        <v>146.16069947374876</v>
      </c>
      <c r="AK84" s="263">
        <f t="shared" si="246"/>
        <v>170.1511276060553</v>
      </c>
      <c r="AL84" s="264">
        <f t="shared" si="251"/>
        <v>146.16069947374876</v>
      </c>
      <c r="AM84" s="263">
        <f t="shared" si="247"/>
        <v>171.00559128420147</v>
      </c>
    </row>
    <row r="85" spans="1:39" x14ac:dyDescent="0.25">
      <c r="A85" s="813"/>
      <c r="B85" s="653" t="s">
        <v>186</v>
      </c>
      <c r="C85" s="653" t="s">
        <v>74</v>
      </c>
      <c r="D85" s="186">
        <f>SUMPRODUCT(D81:D84,D46:D49)/D50</f>
        <v>172.79834480680643</v>
      </c>
      <c r="E85" s="187">
        <f t="shared" ref="E85:I85" si="255">SUMPRODUCT(E81:E84,E46:E49)/E50</f>
        <v>170.38831537025214</v>
      </c>
      <c r="F85" s="186">
        <f t="shared" si="255"/>
        <v>172.76308193654182</v>
      </c>
      <c r="G85" s="187">
        <f t="shared" si="255"/>
        <v>167.22335965842137</v>
      </c>
      <c r="H85" s="188">
        <f t="shared" si="255"/>
        <v>172.76308193654182</v>
      </c>
      <c r="I85" s="187">
        <f t="shared" si="255"/>
        <v>167.22335965842137</v>
      </c>
      <c r="K85" s="795"/>
      <c r="L85" s="175" t="s">
        <v>186</v>
      </c>
      <c r="M85" s="175" t="s">
        <v>74</v>
      </c>
      <c r="N85" s="186">
        <f>SUMPRODUCT(N81:N84,N46:N49)/N50</f>
        <v>172.79834480680643</v>
      </c>
      <c r="O85" s="187">
        <f t="shared" ref="O85:S85" si="256">SUMPRODUCT(O81:O84,O46:O49)/O50</f>
        <v>170.38831537025214</v>
      </c>
      <c r="P85" s="186">
        <f t="shared" si="256"/>
        <v>141.73249198911356</v>
      </c>
      <c r="Q85" s="187">
        <f t="shared" si="256"/>
        <v>166.46267820109935</v>
      </c>
      <c r="R85" s="188">
        <f t="shared" si="256"/>
        <v>141.73249198911356</v>
      </c>
      <c r="S85" s="187">
        <f t="shared" si="256"/>
        <v>167.22335965842137</v>
      </c>
      <c r="U85" s="795"/>
      <c r="V85" s="175" t="s">
        <v>186</v>
      </c>
      <c r="W85" s="175" t="s">
        <v>74</v>
      </c>
      <c r="X85" s="186">
        <f>SUMPRODUCT(X81:X84,X46:X49)/X50</f>
        <v>172.79834480680643</v>
      </c>
      <c r="Y85" s="187">
        <f t="shared" ref="Y85:AC85" si="257">SUMPRODUCT(Y81:Y84,Y46:Y49)/Y50</f>
        <v>170.38831537025214</v>
      </c>
      <c r="Z85" s="186">
        <f t="shared" si="257"/>
        <v>141.73249198911356</v>
      </c>
      <c r="AA85" s="187">
        <f t="shared" si="257"/>
        <v>166.46267820109935</v>
      </c>
      <c r="AB85" s="188">
        <f t="shared" si="257"/>
        <v>141.73249198911356</v>
      </c>
      <c r="AC85" s="187">
        <f t="shared" si="257"/>
        <v>167.22335965842134</v>
      </c>
      <c r="AE85" s="795"/>
      <c r="AF85" s="175" t="s">
        <v>186</v>
      </c>
      <c r="AG85" s="175" t="s">
        <v>74</v>
      </c>
      <c r="AH85" s="186">
        <f t="shared" ref="AH85:AM85" si="258">SUMPRODUCT(AH81:AH84,AH46:AH49)/AH50</f>
        <v>172.79834480680643</v>
      </c>
      <c r="AI85" s="187">
        <f t="shared" si="258"/>
        <v>170.38831537025214</v>
      </c>
      <c r="AJ85" s="186">
        <f>SUMPRODUCT(AJ81:AJ84,AJ46:AJ49)/AJ50</f>
        <v>141.73249198911356</v>
      </c>
      <c r="AK85" s="187">
        <f t="shared" si="258"/>
        <v>166.46267820109932</v>
      </c>
      <c r="AL85" s="188">
        <f>SUMPRODUCT(AL81:AL84,AL46:AL49)/AL50</f>
        <v>141.73249198911356</v>
      </c>
      <c r="AM85" s="187">
        <f t="shared" si="258"/>
        <v>167.22335965842134</v>
      </c>
    </row>
    <row r="86" spans="1:39" ht="15.75" thickBot="1" x14ac:dyDescent="0.3">
      <c r="A86" s="814"/>
      <c r="B86" s="654" t="s">
        <v>229</v>
      </c>
      <c r="C86" s="654" t="s">
        <v>25</v>
      </c>
      <c r="D86" s="212" t="s">
        <v>78</v>
      </c>
      <c r="E86" s="213" t="s">
        <v>78</v>
      </c>
      <c r="F86" s="212" t="s">
        <v>78</v>
      </c>
      <c r="G86" s="213" t="s">
        <v>78</v>
      </c>
      <c r="H86" s="214" t="s">
        <v>78</v>
      </c>
      <c r="I86" s="213" t="s">
        <v>78</v>
      </c>
      <c r="K86" s="796"/>
      <c r="L86" s="176" t="s">
        <v>229</v>
      </c>
      <c r="M86" s="176" t="s">
        <v>25</v>
      </c>
      <c r="N86" s="212">
        <f>N85/D85-1</f>
        <v>0</v>
      </c>
      <c r="O86" s="213">
        <f t="shared" ref="O86" si="259">O85/E85-1</f>
        <v>0</v>
      </c>
      <c r="P86" s="212">
        <f>P85/D85-1</f>
        <v>-0.17978096290462386</v>
      </c>
      <c r="Q86" s="213">
        <f>Q85/E85-1</f>
        <v>-2.3039356663762001E-2</v>
      </c>
      <c r="R86" s="214">
        <f>R85/D85-1</f>
        <v>-0.17978096290462386</v>
      </c>
      <c r="S86" s="213">
        <f>S85/E85-1</f>
        <v>-1.8574957472602183E-2</v>
      </c>
      <c r="U86" s="796"/>
      <c r="V86" s="176" t="s">
        <v>229</v>
      </c>
      <c r="W86" s="176" t="s">
        <v>25</v>
      </c>
      <c r="X86" s="212">
        <f>X85/D85-1</f>
        <v>0</v>
      </c>
      <c r="Y86" s="213">
        <f>Y85/E85-1</f>
        <v>0</v>
      </c>
      <c r="Z86" s="212">
        <f>Z85/D85-1</f>
        <v>-0.17978096290462386</v>
      </c>
      <c r="AA86" s="213">
        <f>AA85/E85-1</f>
        <v>-2.3039356663762001E-2</v>
      </c>
      <c r="AB86" s="214">
        <f>AB85/D85-1</f>
        <v>-0.17978096290462386</v>
      </c>
      <c r="AC86" s="213">
        <f>AC85/E85-1</f>
        <v>-1.8574957472602405E-2</v>
      </c>
      <c r="AE86" s="796"/>
      <c r="AF86" s="176" t="s">
        <v>229</v>
      </c>
      <c r="AG86" s="176" t="s">
        <v>25</v>
      </c>
      <c r="AH86" s="212">
        <f>AH85/D85-1</f>
        <v>0</v>
      </c>
      <c r="AI86" s="213">
        <f>AI85/E85-1</f>
        <v>0</v>
      </c>
      <c r="AJ86" s="212">
        <f>AJ85/D85-1</f>
        <v>-0.17978096290462386</v>
      </c>
      <c r="AK86" s="213">
        <f>AK85/E85-1</f>
        <v>-2.3039356663762112E-2</v>
      </c>
      <c r="AL86" s="214">
        <f>AL85/D85-1</f>
        <v>-0.17978096290462386</v>
      </c>
      <c r="AM86" s="213">
        <f>AM85/E85-1</f>
        <v>-1.8574957472602405E-2</v>
      </c>
    </row>
    <row r="87" spans="1:39" x14ac:dyDescent="0.25">
      <c r="A87" s="26"/>
      <c r="B87" s="26"/>
      <c r="C87" s="26"/>
      <c r="D87" s="26"/>
      <c r="E87" s="26"/>
      <c r="F87" s="26"/>
      <c r="G87" s="26"/>
      <c r="H87" s="26"/>
      <c r="I87" s="26"/>
      <c r="K87" s="26"/>
      <c r="L87" s="26"/>
      <c r="M87" s="26"/>
      <c r="N87" s="26"/>
      <c r="O87" s="26"/>
      <c r="P87" s="26"/>
      <c r="Q87" s="26"/>
      <c r="R87" s="26"/>
      <c r="S87" s="26"/>
      <c r="U87" s="26"/>
      <c r="V87" s="26"/>
      <c r="W87" s="26"/>
      <c r="X87" s="26"/>
      <c r="Y87" s="26"/>
      <c r="Z87" s="26"/>
      <c r="AA87" s="26"/>
      <c r="AB87" s="26"/>
      <c r="AC87" s="26"/>
    </row>
    <row r="88" spans="1:39" ht="15.75" thickBot="1" x14ac:dyDescent="0.3">
      <c r="AE88" s="381" t="s">
        <v>262</v>
      </c>
      <c r="AF88" s="382"/>
      <c r="AG88" s="382"/>
      <c r="AH88" s="38"/>
      <c r="AI88" s="38"/>
      <c r="AJ88" s="38"/>
      <c r="AK88" s="38"/>
      <c r="AL88" s="38"/>
      <c r="AM88" s="38"/>
    </row>
    <row r="89" spans="1:39" x14ac:dyDescent="0.25">
      <c r="D89" s="38">
        <f>D15*D6/D57</f>
        <v>0.25779656394328893</v>
      </c>
      <c r="AE89" s="794" t="s">
        <v>260</v>
      </c>
      <c r="AF89" s="124" t="s">
        <v>9</v>
      </c>
      <c r="AG89" s="124" t="s">
        <v>127</v>
      </c>
      <c r="AH89" s="233">
        <f>(1-Indata!D$11-Indata!D$12)*'Indata - Effektsamband-Faktorer'!$D$12*'Modell - Tunga fordon'!AH$15*'Modell - Tunga fordon'!AH$40/10</f>
        <v>2.6531104436628112</v>
      </c>
      <c r="AI89" s="234">
        <f>(1-Indata!E$11-Indata!E$12)*'Indata - Effektsamband-Faktorer'!$E$12*'Modell - Tunga fordon'!AI$15*'Modell - Tunga fordon'!AI$40/10</f>
        <v>2.2855080268112538</v>
      </c>
      <c r="AJ89" s="233">
        <f>(1-Indata!F$11-Indata!F$12)*'Indata - Effektsamband-Faktorer'!$D$12*'Modell - Tunga fordon'!AJ$15*'Modell - Tunga fordon'!AJ$40/10</f>
        <v>2.6796072799184878</v>
      </c>
      <c r="AK89" s="234">
        <f>IFERROR((1-Indata!G$11-Indata!G$12)*'Indata - Effektsamband-Faktorer'!$E$12*'Modell - Tunga fordon'!AK$15*'Modell - Tunga fordon'!AK$40/10,0)</f>
        <v>1.9566611058119729</v>
      </c>
      <c r="AL89" s="233">
        <f>(1-Indata!H$11-Indata!H$12)*'Indata - Effektsamband-Faktorer'!$D$12*'Modell - Tunga fordon'!AL$15*'Modell - Tunga fordon'!AL$40/10</f>
        <v>2.6796072799184878</v>
      </c>
      <c r="AM89" s="234">
        <f>(1-Indata!I$11-Indata!I$12)*'Indata - Effektsamband-Faktorer'!$E$12*'Modell - Tunga fordon'!AM$15*'Modell - Tunga fordon'!AM$40/10</f>
        <v>1.7660946222159428</v>
      </c>
    </row>
    <row r="90" spans="1:39" x14ac:dyDescent="0.25">
      <c r="AE90" s="795"/>
      <c r="AF90" s="125" t="s">
        <v>7</v>
      </c>
      <c r="AG90" s="125" t="s">
        <v>127</v>
      </c>
      <c r="AH90" s="379">
        <f>'Indata - Effektsamband-Faktorer'!$D$13*'Modell - Tunga fordon'!AH$20*'Modell - Tunga fordon'!AH$45/10</f>
        <v>0</v>
      </c>
      <c r="AI90" s="380">
        <f>'Indata - Effektsamband-Faktorer'!$E$13*'Modell - Tunga fordon'!AI$20*'Modell - Tunga fordon'!AI$45/10</f>
        <v>0</v>
      </c>
      <c r="AJ90" s="379">
        <f>'Indata - Effektsamband-Faktorer'!$D$13*'Modell - Tunga fordon'!AJ$20*'Modell - Tunga fordon'!AJ$45/10</f>
        <v>0</v>
      </c>
      <c r="AK90" s="380">
        <f>'Indata - Effektsamband-Faktorer'!$E$13*'Modell - Tunga fordon'!AK$20*'Modell - Tunga fordon'!AK$45/10</f>
        <v>0</v>
      </c>
      <c r="AL90" s="379">
        <f>'Indata - Effektsamband-Faktorer'!$D$13*'Modell - Tunga fordon'!AL$20*'Modell - Tunga fordon'!AL$45/10</f>
        <v>0</v>
      </c>
      <c r="AM90" s="380">
        <f>'Indata - Effektsamband-Faktorer'!$E$13*'Modell - Tunga fordon'!AM$20*'Modell - Tunga fordon'!AM$45/10</f>
        <v>0</v>
      </c>
    </row>
    <row r="91" spans="1:39" ht="15.75" thickBot="1" x14ac:dyDescent="0.3">
      <c r="AE91" s="796"/>
      <c r="AF91" s="177" t="s">
        <v>16</v>
      </c>
      <c r="AG91" s="177" t="s">
        <v>127</v>
      </c>
      <c r="AH91" s="209">
        <f>SUM(AH89:AH90)</f>
        <v>2.6531104436628112</v>
      </c>
      <c r="AI91" s="210">
        <f t="shared" ref="AI91:AM91" si="260">SUM(AI89:AI90)</f>
        <v>2.2855080268112538</v>
      </c>
      <c r="AJ91" s="209">
        <f t="shared" si="260"/>
        <v>2.6796072799184878</v>
      </c>
      <c r="AK91" s="210">
        <f>SUM(AK89:AK90)</f>
        <v>1.9566611058119729</v>
      </c>
      <c r="AL91" s="209">
        <f t="shared" si="260"/>
        <v>2.6796072799184878</v>
      </c>
      <c r="AM91" s="210">
        <f t="shared" si="260"/>
        <v>1.7660946222159428</v>
      </c>
    </row>
    <row r="92" spans="1:39" x14ac:dyDescent="0.25">
      <c r="AE92" s="794" t="s">
        <v>271</v>
      </c>
      <c r="AF92" s="124" t="s">
        <v>9</v>
      </c>
      <c r="AG92" s="124" t="s">
        <v>320</v>
      </c>
      <c r="AH92" s="233">
        <f>'Indata - Effektsamband-Faktorer'!$D$16*'Modell - Tunga fordon'!AH$40</f>
        <v>1.9535949121051688</v>
      </c>
      <c r="AI92" s="234">
        <f>'Indata - Effektsamband-Faktorer'!$E$16*'Modell - Tunga fordon'!AI$40</f>
        <v>1.8007325460695351</v>
      </c>
      <c r="AJ92" s="233">
        <f>'Indata - Effektsamband-Faktorer'!$D$16*'Modell - Tunga fordon'!AJ$40</f>
        <v>2.0410508637418459</v>
      </c>
      <c r="AK92" s="234">
        <f>'Indata - Effektsamband-Faktorer'!$E$16*'Modell - Tunga fordon'!AK$40</f>
        <v>1.4367923134646423</v>
      </c>
      <c r="AL92" s="233">
        <f>'Indata - Effektsamband-Faktorer'!$D$16*'Modell - Tunga fordon'!AL$40</f>
        <v>2.0410508637418459</v>
      </c>
      <c r="AM92" s="234">
        <f>'Indata - Effektsamband-Faktorer'!$E$16*'Modell - Tunga fordon'!AM$40</f>
        <v>1.4296426667530211</v>
      </c>
    </row>
    <row r="93" spans="1:39" x14ac:dyDescent="0.25">
      <c r="AE93" s="795"/>
      <c r="AF93" s="125" t="s">
        <v>7</v>
      </c>
      <c r="AG93" s="125" t="s">
        <v>320</v>
      </c>
      <c r="AH93" s="379">
        <v>0</v>
      </c>
      <c r="AI93" s="380">
        <v>0</v>
      </c>
      <c r="AJ93" s="379">
        <v>0</v>
      </c>
      <c r="AK93" s="380">
        <v>0</v>
      </c>
      <c r="AL93" s="379">
        <v>0</v>
      </c>
      <c r="AM93" s="380">
        <v>0</v>
      </c>
    </row>
    <row r="94" spans="1:39" ht="15.75" thickBot="1" x14ac:dyDescent="0.3">
      <c r="AE94" s="796"/>
      <c r="AF94" s="177" t="s">
        <v>16</v>
      </c>
      <c r="AG94" s="177" t="s">
        <v>320</v>
      </c>
      <c r="AH94" s="209">
        <f t="shared" ref="AH94:AM94" si="261">SUM(AH92:AH93)</f>
        <v>1.9535949121051688</v>
      </c>
      <c r="AI94" s="210">
        <f t="shared" si="261"/>
        <v>1.8007325460695351</v>
      </c>
      <c r="AJ94" s="209">
        <f t="shared" si="261"/>
        <v>2.0410508637418459</v>
      </c>
      <c r="AK94" s="210">
        <f t="shared" si="261"/>
        <v>1.4367923134646423</v>
      </c>
      <c r="AL94" s="209">
        <f t="shared" si="261"/>
        <v>2.0410508637418459</v>
      </c>
      <c r="AM94" s="210">
        <f t="shared" si="261"/>
        <v>1.4296426667530211</v>
      </c>
    </row>
    <row r="95" spans="1:39" x14ac:dyDescent="0.25">
      <c r="AE95" s="794" t="s">
        <v>265</v>
      </c>
      <c r="AF95" s="124" t="s">
        <v>9</v>
      </c>
      <c r="AG95" s="124" t="s">
        <v>320</v>
      </c>
      <c r="AH95" s="233">
        <f>'Indata - Effektsamband-Faktorer'!$D$19*'Modell - Tunga fordon'!AH$40</f>
        <v>3.1735896971207704E-2</v>
      </c>
      <c r="AI95" s="234">
        <f>'Indata - Effektsamband-Faktorer'!$E$19*'Modell - Tunga fordon'!AI$40</f>
        <v>2.9040061764818929E-2</v>
      </c>
      <c r="AJ95" s="233">
        <f>'Indata - Effektsamband-Faktorer'!$D$19*'Modell - Tunga fordon'!AJ$40</f>
        <v>3.3156607607513405E-2</v>
      </c>
      <c r="AK95" s="234">
        <f>'Indata - Effektsamband-Faktorer'!$E$19*'Modell - Tunga fordon'!AK$40</f>
        <v>2.3170868776322493E-2</v>
      </c>
      <c r="AL95" s="233">
        <f>'Indata - Effektsamband-Faktorer'!$D$19*'Modell - Tunga fordon'!AL$40</f>
        <v>3.3156607607513405E-2</v>
      </c>
      <c r="AM95" s="234">
        <f>'Indata - Effektsamband-Faktorer'!$E$19*'Modell - Tunga fordon'!AM$40</f>
        <v>2.3055567821410945E-2</v>
      </c>
    </row>
    <row r="96" spans="1:39" x14ac:dyDescent="0.25">
      <c r="AE96" s="795"/>
      <c r="AF96" s="125" t="s">
        <v>7</v>
      </c>
      <c r="AG96" s="125" t="s">
        <v>320</v>
      </c>
      <c r="AH96" s="379">
        <v>0</v>
      </c>
      <c r="AI96" s="380">
        <v>0</v>
      </c>
      <c r="AJ96" s="379">
        <v>0</v>
      </c>
      <c r="AK96" s="380">
        <v>0</v>
      </c>
      <c r="AL96" s="379">
        <v>0</v>
      </c>
      <c r="AM96" s="380">
        <v>0</v>
      </c>
    </row>
    <row r="97" spans="31:39" ht="15.75" thickBot="1" x14ac:dyDescent="0.3">
      <c r="AE97" s="796"/>
      <c r="AF97" s="177" t="s">
        <v>16</v>
      </c>
      <c r="AG97" s="177" t="s">
        <v>320</v>
      </c>
      <c r="AH97" s="209">
        <f t="shared" ref="AH97:AM97" si="262">SUM(AH95:AH96)</f>
        <v>3.1735896971207704E-2</v>
      </c>
      <c r="AI97" s="210">
        <f t="shared" si="262"/>
        <v>2.9040061764818929E-2</v>
      </c>
      <c r="AJ97" s="209">
        <f t="shared" si="262"/>
        <v>3.3156607607513405E-2</v>
      </c>
      <c r="AK97" s="210">
        <f t="shared" si="262"/>
        <v>2.3170868776322493E-2</v>
      </c>
      <c r="AL97" s="209">
        <f t="shared" si="262"/>
        <v>3.3156607607513405E-2</v>
      </c>
      <c r="AM97" s="210">
        <f t="shared" si="262"/>
        <v>2.3055567821410945E-2</v>
      </c>
    </row>
    <row r="98" spans="31:39" ht="15" customHeight="1" x14ac:dyDescent="0.25">
      <c r="AE98" s="365" t="s">
        <v>266</v>
      </c>
      <c r="AF98" s="124" t="s">
        <v>16</v>
      </c>
      <c r="AG98" s="124" t="s">
        <v>320</v>
      </c>
      <c r="AH98" s="437">
        <f>'Indata - Effektsamband-Faktorer'!$D$21*'Modell - Tunga fordon'!AH$50</f>
        <v>1.1954746781289414</v>
      </c>
      <c r="AI98" s="438">
        <f>'Indata - Effektsamband-Faktorer'!$E$21*'Modell - Tunga fordon'!AI$50</f>
        <v>1.3968435031926398</v>
      </c>
      <c r="AJ98" s="437">
        <f>'Indata - Effektsamband-Faktorer'!$D$21*'Modell - Tunga fordon'!AJ$50</f>
        <v>1.2427578676566069</v>
      </c>
      <c r="AK98" s="438">
        <f>'Indata - Effektsamband-Faktorer'!$E$21*'Modell - Tunga fordon'!AK$50</f>
        <v>1.4336601409631398</v>
      </c>
      <c r="AL98" s="437">
        <f>'Indata - Effektsamband-Faktorer'!$D$21*'Modell - Tunga fordon'!AL$50</f>
        <v>1.2427578676566069</v>
      </c>
      <c r="AM98" s="438">
        <f>'Indata - Effektsamband-Faktorer'!$E$21*'Modell - Tunga fordon'!AM$50</f>
        <v>1.4265260803084703</v>
      </c>
    </row>
    <row r="100" spans="31:39" ht="15.75" thickBot="1" x14ac:dyDescent="0.3">
      <c r="AE100" s="40" t="s">
        <v>263</v>
      </c>
      <c r="AF100" s="38"/>
      <c r="AG100" s="38"/>
      <c r="AH100" s="38"/>
      <c r="AI100" s="38"/>
      <c r="AJ100" s="38"/>
      <c r="AK100" s="38"/>
      <c r="AL100" s="38"/>
      <c r="AM100" s="38"/>
    </row>
    <row r="101" spans="31:39" x14ac:dyDescent="0.25">
      <c r="AE101" s="794" t="s">
        <v>129</v>
      </c>
      <c r="AF101" s="124" t="s">
        <v>96</v>
      </c>
      <c r="AG101" s="178" t="s">
        <v>128</v>
      </c>
      <c r="AH101" s="233">
        <f>(1-Indata!D$11-Indata!D$12)*'Indata - Effektsamband-Faktorer'!$D23*'Modell - Tunga fordon'!AH$15*'Modell - Tunga fordon'!AH$40/10</f>
        <v>10.236410373187224</v>
      </c>
      <c r="AI101" s="234">
        <f>(1-Indata!E$11-Indata!E$12)*'Indata - Effektsamband-Faktorer'!$E23*'Modell - Tunga fordon'!AI$15*'Modell - Tunga fordon'!AI$40/10</f>
        <v>8.8181018357284593</v>
      </c>
      <c r="AJ101" s="233">
        <f>(1-Indata!F$11-Indata!F$12)*'Indata - Effektsamband-Faktorer'!$D23*'Modell - Tunga fordon'!AJ$15*'Modell - Tunga fordon'!AJ$40/10</f>
        <v>10.338642261102828</v>
      </c>
      <c r="AK101" s="234">
        <f>IFERROR((1-Indata!G$11-Indata!G$12)*'Indata - Effektsamband-Faktorer'!$E23*'Modell - Tunga fordon'!AK$15*'Modell - Tunga fordon'!AK$40/10,0)</f>
        <v>7.5493223767548558</v>
      </c>
      <c r="AL101" s="235">
        <f>(1-Indata!H$11-Indata!H$12)*'Indata - Effektsamband-Faktorer'!$D23*'Modell - Tunga fordon'!AL$15*'Modell - Tunga fordon'!AL$40/10</f>
        <v>10.338642261102828</v>
      </c>
      <c r="AM101" s="234">
        <f>(1-Indata!I$11-Indata!I$12)*'Indata - Effektsamband-Faktorer'!$E23*'Modell - Tunga fordon'!AM$15*'Modell - Tunga fordon'!AM$40/10</f>
        <v>6.8140658652426138</v>
      </c>
    </row>
    <row r="102" spans="31:39" x14ac:dyDescent="0.25">
      <c r="AE102" s="795"/>
      <c r="AF102" s="125" t="s">
        <v>99</v>
      </c>
      <c r="AG102" s="179" t="s">
        <v>128</v>
      </c>
      <c r="AH102" s="236">
        <f>(Indata!D$11*'Indata - Effektsamband-Faktorer'!$D$26+Indata!D$12*'Indata - Effektsamband-Faktorer'!$D$27)*'Modell - Tunga fordon'!AH$15*'Modell - Tunga fordon'!AH$40/10</f>
        <v>4.6111465034920069</v>
      </c>
      <c r="AI102" s="237">
        <f>(Indata!E$11*'Indata - Effektsamband-Faktorer'!$E$26+Indata!E$12*'Indata - Effektsamband-Faktorer'!$E$27)*'Modell - Tunga fordon'!AI$15*'Modell - Tunga fordon'!AI$40/10</f>
        <v>3.972247884254692</v>
      </c>
      <c r="AJ102" s="236">
        <f>(Indata!F$11*'Indata - Effektsamband-Faktorer'!$D$26+Indata!F$12*'Indata - Effektsamband-Faktorer'!$D$27)*'Modell - Tunga fordon'!AJ$15*'Modell - Tunga fordon'!AJ$40/10</f>
        <v>4.6571984099046491</v>
      </c>
      <c r="AK102" s="237">
        <f>IFERROR((Indata!G$11*'Indata - Effektsamband-Faktorer'!$E$26+Indata!G$12*'Indata - Effektsamband-Faktorer'!$E$27)*'Modell - Tunga fordon'!AK$15*'Modell - Tunga fordon'!AK$40/10,0)</f>
        <v>2.4045875668327605</v>
      </c>
      <c r="AL102" s="238">
        <f>(Indata!H$11*'Indata - Effektsamband-Faktorer'!$D$26+Indata!H$12*'Indata - Effektsamband-Faktorer'!$D$27)*'Modell - Tunga fordon'!AL$15*'Modell - Tunga fordon'!AL$40/10</f>
        <v>4.6571984099046491</v>
      </c>
      <c r="AM102" s="237">
        <f>(Indata!I$11*'Indata - Effektsamband-Faktorer'!$E$26+Indata!I$12*'Indata - Effektsamband-Faktorer'!$E$27)*'Modell - Tunga fordon'!AM$15*'Modell - Tunga fordon'!AM$40/10</f>
        <v>3.0694994479099345</v>
      </c>
    </row>
    <row r="103" spans="31:39" ht="15.75" thickBot="1" x14ac:dyDescent="0.3">
      <c r="AE103" s="796"/>
      <c r="AF103" s="126" t="s">
        <v>7</v>
      </c>
      <c r="AG103" s="181" t="s">
        <v>128</v>
      </c>
      <c r="AH103" s="239">
        <f t="shared" ref="AH103:AM103" si="263">AH20*AH45/10</f>
        <v>0.1650673257837407</v>
      </c>
      <c r="AI103" s="240">
        <f t="shared" si="263"/>
        <v>0.77148676029265761</v>
      </c>
      <c r="AJ103" s="239">
        <f t="shared" si="263"/>
        <v>0.17007633121242888</v>
      </c>
      <c r="AK103" s="240">
        <f t="shared" si="263"/>
        <v>3.0240330526480532</v>
      </c>
      <c r="AL103" s="241">
        <f t="shared" si="263"/>
        <v>0.17007633121242888</v>
      </c>
      <c r="AM103" s="240">
        <f t="shared" si="263"/>
        <v>3.0104903554279105</v>
      </c>
    </row>
    <row r="105" spans="31:39" ht="15.75" thickBot="1" x14ac:dyDescent="0.3">
      <c r="AE105" s="40" t="s">
        <v>270</v>
      </c>
      <c r="AF105" s="38"/>
      <c r="AG105" s="38"/>
      <c r="AH105" s="38"/>
      <c r="AI105" s="38"/>
      <c r="AJ105" s="38"/>
      <c r="AK105" s="38"/>
      <c r="AL105" s="38"/>
      <c r="AM105" s="38"/>
    </row>
    <row r="106" spans="31:39" ht="14.45" customHeight="1" x14ac:dyDescent="0.25">
      <c r="AE106" s="794" t="s">
        <v>238</v>
      </c>
      <c r="AF106" s="124" t="s">
        <v>96</v>
      </c>
      <c r="AG106" s="124" t="s">
        <v>135</v>
      </c>
      <c r="AH106" s="233">
        <f>(1-Indata!D$11-Indata!D$12)*'Modell - Drivmedelpriser'!E$57*'Modell - Tunga fordon'!AH$15*'Modell - Tunga fordon'!AH$40/10</f>
        <v>5.8833096119358101</v>
      </c>
      <c r="AI106" s="441">
        <f>(1-Indata!E$11-Indata!E$12)*'Modell - Drivmedelpriser'!F$57*'Modell - Tunga fordon'!AI$15*'Modell - Tunga fordon'!AI$40/10</f>
        <v>6.178041813034266</v>
      </c>
      <c r="AJ106" s="233">
        <f>(1-Indata!F$11-Indata!F$12)*'Modell - Drivmedelpriser'!G$57*'Modell - Tunga fordon'!AJ$15*'Modell - Tunga fordon'!AJ$40/10</f>
        <v>5.9420667178833861</v>
      </c>
      <c r="AK106" s="441">
        <f>IFERROR((1-Indata!G$11-Indata!G$12)*'Modell - Drivmedelpriser'!H$57*'Modell - Tunga fordon'!AK$15*'Modell - Tunga fordon'!AK$40/10,0)</f>
        <v>5.2891234613207221</v>
      </c>
      <c r="AL106" s="233">
        <f>(1-Indata!H$11-Indata!H$12)*'Modell - Drivmedelpriser'!I$57*'Modell - Tunga fordon'!AL$15*'Modell - Tunga fordon'!AL$40/10</f>
        <v>5.9420667178833861</v>
      </c>
      <c r="AM106" s="234">
        <f>(1-Indata!I$11-Indata!I$12)*'Modell - Drivmedelpriser'!J$57*'Modell - Tunga fordon'!AM$15*'Modell - Tunga fordon'!AM$40/10</f>
        <v>4.7739961066984788</v>
      </c>
    </row>
    <row r="107" spans="31:39" x14ac:dyDescent="0.25">
      <c r="AE107" s="795"/>
      <c r="AF107" s="125" t="s">
        <v>99</v>
      </c>
      <c r="AG107" s="125" t="s">
        <v>135</v>
      </c>
      <c r="AH107" s="236">
        <f>(Indata!D$11+Indata!D$12)*'Modell - Drivmedelpriser'!E$57*'Modell - Tunga fordon'!AH$15*'Modell - Tunga fordon'!AH$40/10</f>
        <v>2.768616287969794</v>
      </c>
      <c r="AI107" s="442">
        <f>(Indata!E$11+Indata!E$12)*'Modell - Drivmedelpriser'!F$57*'Modell - Tunga fordon'!AI$15*'Modell - Tunga fordon'!AI$40/10</f>
        <v>2.9073137943690668</v>
      </c>
      <c r="AJ107" s="236">
        <f>(Indata!F$11+Indata!F$12)*'Modell - Drivmedelpriser'!G$57*'Modell - Tunga fordon'!AJ$15*'Modell - Tunga fordon'!AJ$40/10</f>
        <v>2.7962666907686518</v>
      </c>
      <c r="AK107" s="442">
        <f>IFERROR((Indata!G$11+Indata!G$12)*'Modell - Drivmedelpriser'!H$57*'Modell - Tunga fordon'!AK$15*'Modell - Tunga fordon'!AK$40/10,0)</f>
        <v>1.763041153773574</v>
      </c>
      <c r="AL107" s="236">
        <f>(Indata!H$11+Indata!H$12)*'Modell - Drivmedelpriser'!I$57*'Modell - Tunga fordon'!AL$15*'Modell - Tunga fordon'!AL$40/10</f>
        <v>2.7962666907686518</v>
      </c>
      <c r="AM107" s="237">
        <f>(Indata!I$11+Indata!I$12)*'Modell - Drivmedelpriser'!J$57*'Modell - Tunga fordon'!AM$15*'Modell - Tunga fordon'!AM$40/10</f>
        <v>2.246586403152226</v>
      </c>
    </row>
    <row r="108" spans="31:39" x14ac:dyDescent="0.25">
      <c r="AE108" s="795"/>
      <c r="AF108" s="125" t="s">
        <v>7</v>
      </c>
      <c r="AG108" s="125" t="s">
        <v>135</v>
      </c>
      <c r="AH108" s="236">
        <f>'Modell - Drivmedelpriser'!E83*'Modell - Tunga fordon'!AH$20*'Modell - Tunga fordon'!AH$45/10</f>
        <v>5.5561661858807121E-2</v>
      </c>
      <c r="AI108" s="442">
        <f>'Modell - Drivmedelpriser'!F83*'Modell - Tunga fordon'!AI$20*'Modell - Tunga fordon'!AI$45/10</f>
        <v>0.25968244351450853</v>
      </c>
      <c r="AJ108" s="236">
        <f>'Modell - Drivmedelpriser'!G83*'Modell - Tunga fordon'!AJ$20*'Modell - Tunga fordon'!AJ$45/10</f>
        <v>5.7247693086103557E-2</v>
      </c>
      <c r="AK108" s="442">
        <f>'Modell - Drivmedelpriser'!H83*'Modell - Tunga fordon'!AK$20*'Modell - Tunga fordon'!AK$45/10</f>
        <v>1.0178895255213347</v>
      </c>
      <c r="AL108" s="236">
        <f>'Modell - Drivmedelpriser'!I83*'Modell - Tunga fordon'!AL$20*'Modell - Tunga fordon'!AL$45/10</f>
        <v>5.7247693086103557E-2</v>
      </c>
      <c r="AM108" s="237">
        <f>'Modell - Drivmedelpriser'!J83*'Modell - Tunga fordon'!AM$20*'Modell - Tunga fordon'!AM$45/10</f>
        <v>1.0133310536370346</v>
      </c>
    </row>
    <row r="109" spans="31:39" ht="15.75" thickBot="1" x14ac:dyDescent="0.3">
      <c r="AE109" s="795"/>
      <c r="AF109" s="175" t="s">
        <v>16</v>
      </c>
      <c r="AG109" s="175" t="s">
        <v>135</v>
      </c>
      <c r="AH109" s="209">
        <f>SUM(AH106:AH108)</f>
        <v>8.7074875617644114</v>
      </c>
      <c r="AI109" s="443">
        <f t="shared" ref="AI109:AM109" si="264">SUM(AI106:AI108)</f>
        <v>9.3450380509178412</v>
      </c>
      <c r="AJ109" s="209">
        <f t="shared" si="264"/>
        <v>8.7955811017381418</v>
      </c>
      <c r="AK109" s="443">
        <f t="shared" si="264"/>
        <v>8.0700541406156301</v>
      </c>
      <c r="AL109" s="209">
        <f t="shared" si="264"/>
        <v>8.7955811017381418</v>
      </c>
      <c r="AM109" s="210">
        <f t="shared" si="264"/>
        <v>8.0339135634877401</v>
      </c>
    </row>
    <row r="110" spans="31:39" ht="14.45" customHeight="1" x14ac:dyDescent="0.25">
      <c r="AE110" s="794" t="s">
        <v>197</v>
      </c>
      <c r="AF110" s="124" t="s">
        <v>115</v>
      </c>
      <c r="AG110" s="124" t="s">
        <v>135</v>
      </c>
      <c r="AH110" s="439">
        <f t="shared" ref="AH110:AM113" si="265">AH46/10*AH29</f>
        <v>0</v>
      </c>
      <c r="AI110" s="440">
        <f t="shared" si="265"/>
        <v>0</v>
      </c>
      <c r="AJ110" s="439">
        <f t="shared" si="265"/>
        <v>0</v>
      </c>
      <c r="AK110" s="440">
        <f t="shared" si="265"/>
        <v>0</v>
      </c>
      <c r="AL110" s="444">
        <f t="shared" si="265"/>
        <v>0</v>
      </c>
      <c r="AM110" s="440">
        <f t="shared" si="265"/>
        <v>0</v>
      </c>
    </row>
    <row r="111" spans="31:39" x14ac:dyDescent="0.25">
      <c r="AE111" s="795"/>
      <c r="AF111" s="125" t="s">
        <v>116</v>
      </c>
      <c r="AG111" s="125" t="s">
        <v>135</v>
      </c>
      <c r="AH111" s="193">
        <f t="shared" si="265"/>
        <v>0</v>
      </c>
      <c r="AI111" s="194">
        <f t="shared" si="265"/>
        <v>0</v>
      </c>
      <c r="AJ111" s="193">
        <f t="shared" si="265"/>
        <v>0</v>
      </c>
      <c r="AK111" s="194">
        <f t="shared" si="265"/>
        <v>0</v>
      </c>
      <c r="AL111" s="195">
        <f t="shared" si="265"/>
        <v>0</v>
      </c>
      <c r="AM111" s="194">
        <f t="shared" si="265"/>
        <v>0</v>
      </c>
    </row>
    <row r="112" spans="31:39" x14ac:dyDescent="0.25">
      <c r="AE112" s="795"/>
      <c r="AF112" s="125" t="s">
        <v>117</v>
      </c>
      <c r="AG112" s="125" t="s">
        <v>135</v>
      </c>
      <c r="AH112" s="193">
        <f t="shared" si="265"/>
        <v>0</v>
      </c>
      <c r="AI112" s="194">
        <f t="shared" si="265"/>
        <v>0</v>
      </c>
      <c r="AJ112" s="193">
        <f t="shared" si="265"/>
        <v>0</v>
      </c>
      <c r="AK112" s="194">
        <f t="shared" si="265"/>
        <v>0</v>
      </c>
      <c r="AL112" s="195">
        <f t="shared" si="265"/>
        <v>0</v>
      </c>
      <c r="AM112" s="194">
        <f t="shared" si="265"/>
        <v>0</v>
      </c>
    </row>
    <row r="113" spans="31:39" x14ac:dyDescent="0.25">
      <c r="AE113" s="795"/>
      <c r="AF113" s="125" t="s">
        <v>118</v>
      </c>
      <c r="AG113" s="125" t="s">
        <v>135</v>
      </c>
      <c r="AH113" s="193">
        <f t="shared" si="265"/>
        <v>0</v>
      </c>
      <c r="AI113" s="194">
        <f t="shared" si="265"/>
        <v>0</v>
      </c>
      <c r="AJ113" s="193">
        <f t="shared" si="265"/>
        <v>0</v>
      </c>
      <c r="AK113" s="194">
        <f t="shared" si="265"/>
        <v>0</v>
      </c>
      <c r="AL113" s="195">
        <f t="shared" si="265"/>
        <v>0</v>
      </c>
      <c r="AM113" s="194">
        <f t="shared" si="265"/>
        <v>0</v>
      </c>
    </row>
    <row r="114" spans="31:39" ht="15.75" thickBot="1" x14ac:dyDescent="0.3">
      <c r="AE114" s="796"/>
      <c r="AF114" s="177" t="s">
        <v>16</v>
      </c>
      <c r="AG114" s="177" t="s">
        <v>135</v>
      </c>
      <c r="AH114" s="196">
        <f>SUM(AH110:AH113)</f>
        <v>0</v>
      </c>
      <c r="AI114" s="198">
        <f t="shared" ref="AI114:AM114" si="266">SUM(AI110:AI113)</f>
        <v>0</v>
      </c>
      <c r="AJ114" s="196">
        <f t="shared" si="266"/>
        <v>0</v>
      </c>
      <c r="AK114" s="198">
        <f t="shared" si="266"/>
        <v>0</v>
      </c>
      <c r="AL114" s="199">
        <f t="shared" si="266"/>
        <v>0</v>
      </c>
      <c r="AM114" s="198">
        <f t="shared" si="266"/>
        <v>0</v>
      </c>
    </row>
  </sheetData>
  <mergeCells count="54">
    <mergeCell ref="AE110:AE114"/>
    <mergeCell ref="A3:A4"/>
    <mergeCell ref="B3:C4"/>
    <mergeCell ref="K3:K4"/>
    <mergeCell ref="L3:M4"/>
    <mergeCell ref="U3:U4"/>
    <mergeCell ref="V3:W4"/>
    <mergeCell ref="AE3:AE4"/>
    <mergeCell ref="K71:K86"/>
    <mergeCell ref="A71:A86"/>
    <mergeCell ref="U71:U86"/>
    <mergeCell ref="AE71:AE86"/>
    <mergeCell ref="A6:A8"/>
    <mergeCell ref="K6:K8"/>
    <mergeCell ref="A23:A26"/>
    <mergeCell ref="K23:K26"/>
    <mergeCell ref="AL3:AM3"/>
    <mergeCell ref="D3:E3"/>
    <mergeCell ref="F3:G3"/>
    <mergeCell ref="H3:I3"/>
    <mergeCell ref="N3:O3"/>
    <mergeCell ref="P3:Q3"/>
    <mergeCell ref="R3:S3"/>
    <mergeCell ref="AF3:AG4"/>
    <mergeCell ref="X3:Y3"/>
    <mergeCell ref="Z3:AA3"/>
    <mergeCell ref="AB3:AC3"/>
    <mergeCell ref="AH3:AI3"/>
    <mergeCell ref="AJ3:AK3"/>
    <mergeCell ref="A11:A20"/>
    <mergeCell ref="K11:K20"/>
    <mergeCell ref="AE89:AE91"/>
    <mergeCell ref="AE101:AE103"/>
    <mergeCell ref="A36:A50"/>
    <mergeCell ref="K36:K50"/>
    <mergeCell ref="U36:U50"/>
    <mergeCell ref="AE36:AE50"/>
    <mergeCell ref="A29:A32"/>
    <mergeCell ref="K29:K32"/>
    <mergeCell ref="U11:U20"/>
    <mergeCell ref="AE11:AE20"/>
    <mergeCell ref="U29:U32"/>
    <mergeCell ref="A53:A68"/>
    <mergeCell ref="K53:K68"/>
    <mergeCell ref="AE29:AE32"/>
    <mergeCell ref="U23:U26"/>
    <mergeCell ref="AE23:AE26"/>
    <mergeCell ref="U6:U8"/>
    <mergeCell ref="AE106:AE109"/>
    <mergeCell ref="AE92:AE94"/>
    <mergeCell ref="AE95:AE97"/>
    <mergeCell ref="U53:U68"/>
    <mergeCell ref="AE53:AE68"/>
    <mergeCell ref="AE6:AE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7"/>
  <sheetViews>
    <sheetView zoomScale="80" zoomScaleNormal="80" workbookViewId="0">
      <pane xSplit="3" ySplit="6" topLeftCell="D59" activePane="bottomRight" state="frozen"/>
      <selection pane="topRight" activeCell="D1" sqref="D1"/>
      <selection pane="bottomLeft" activeCell="A6" sqref="A6"/>
      <selection pane="bottomRight" activeCell="G78" sqref="G78"/>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17" t="s">
        <v>176</v>
      </c>
      <c r="B1" s="38"/>
      <c r="C1" s="38"/>
      <c r="D1" s="38"/>
      <c r="E1" s="38"/>
      <c r="F1" s="38"/>
      <c r="G1" s="38"/>
      <c r="H1" s="38"/>
      <c r="I1" s="38"/>
      <c r="J1" s="38"/>
      <c r="K1" s="38"/>
      <c r="L1" s="38"/>
      <c r="M1" s="38"/>
      <c r="N1" s="38"/>
      <c r="O1" s="38"/>
      <c r="P1" s="38"/>
      <c r="Q1" s="38"/>
    </row>
    <row r="2" spans="1:17" x14ac:dyDescent="0.25">
      <c r="A2" s="75" t="s">
        <v>275</v>
      </c>
      <c r="B2" s="38"/>
      <c r="C2" s="38"/>
      <c r="D2" s="38"/>
      <c r="E2" s="38"/>
      <c r="F2" s="38"/>
      <c r="G2" s="38"/>
      <c r="H2" s="38"/>
      <c r="I2" s="38"/>
      <c r="J2" s="38"/>
      <c r="K2" s="38"/>
      <c r="L2" s="38"/>
      <c r="M2" s="38"/>
      <c r="N2" s="38"/>
      <c r="O2" s="38"/>
      <c r="P2" s="38"/>
      <c r="Q2" s="38"/>
    </row>
    <row r="3" spans="1:17" ht="16.5" thickBot="1" x14ac:dyDescent="0.3">
      <c r="A3" s="37"/>
      <c r="B3" s="38"/>
      <c r="C3" s="38"/>
      <c r="D3" s="38"/>
      <c r="E3" s="38"/>
      <c r="F3" s="38"/>
      <c r="G3" s="38"/>
      <c r="H3" s="38"/>
      <c r="I3" s="38"/>
      <c r="J3" s="38"/>
      <c r="K3" s="38"/>
      <c r="L3" s="38"/>
      <c r="M3" s="38"/>
      <c r="N3" s="38"/>
      <c r="O3" s="38"/>
      <c r="P3" s="38"/>
      <c r="Q3" s="38"/>
    </row>
    <row r="4" spans="1:17" ht="16.5" thickBot="1" x14ac:dyDescent="0.3">
      <c r="A4" s="120" t="s">
        <v>255</v>
      </c>
      <c r="B4" s="121" t="s">
        <v>18</v>
      </c>
      <c r="C4" s="121" t="s">
        <v>14</v>
      </c>
      <c r="D4" s="785" t="s">
        <v>64</v>
      </c>
      <c r="E4" s="786"/>
      <c r="F4" s="785" t="s">
        <v>65</v>
      </c>
      <c r="G4" s="786"/>
      <c r="H4" s="785" t="s">
        <v>66</v>
      </c>
      <c r="I4" s="786"/>
      <c r="J4" s="38"/>
      <c r="K4" s="38"/>
      <c r="L4" s="38"/>
      <c r="M4" s="38"/>
      <c r="N4" s="38"/>
      <c r="O4" s="38"/>
      <c r="P4" s="38"/>
      <c r="Q4" s="38"/>
    </row>
    <row r="5" spans="1:17" s="64" customFormat="1" ht="61.9" customHeight="1" thickBot="1" x14ac:dyDescent="0.3">
      <c r="A5" s="277" t="s">
        <v>203</v>
      </c>
      <c r="B5" s="278"/>
      <c r="C5" s="279"/>
      <c r="D5" s="818" t="str">
        <f>Indata!D6</f>
        <v>Beslutad politik - Trafikverkets basscenario, ändras ej av EMA!</v>
      </c>
      <c r="E5" s="819"/>
      <c r="F5" s="818" t="str">
        <f>Indata!F6</f>
        <v>Policy scenario (EMA)</v>
      </c>
      <c r="G5" s="819"/>
      <c r="H5" s="818" t="str">
        <f>Indata!H6</f>
        <v>Reference scenario (EMA -beslutad politik, varierande X)</v>
      </c>
      <c r="I5" s="819"/>
      <c r="J5" s="63"/>
      <c r="K5" s="63"/>
      <c r="L5" s="63"/>
      <c r="M5" s="63"/>
      <c r="N5" s="63"/>
      <c r="O5" s="63"/>
      <c r="P5" s="63"/>
      <c r="Q5" s="63"/>
    </row>
    <row r="6" spans="1:17" s="119" customFormat="1" ht="16.5" thickBot="1" x14ac:dyDescent="0.3">
      <c r="A6" s="120" t="s">
        <v>178</v>
      </c>
      <c r="B6" s="121" t="s">
        <v>18</v>
      </c>
      <c r="C6" s="121" t="s">
        <v>14</v>
      </c>
      <c r="D6" s="122">
        <v>2030</v>
      </c>
      <c r="E6" s="123">
        <v>2040</v>
      </c>
      <c r="F6" s="122">
        <v>2030</v>
      </c>
      <c r="G6" s="123">
        <v>2040</v>
      </c>
      <c r="H6" s="122">
        <v>2030</v>
      </c>
      <c r="I6" s="123">
        <v>2040</v>
      </c>
      <c r="J6" s="118"/>
      <c r="K6" s="118"/>
      <c r="L6" s="118"/>
      <c r="M6" s="118"/>
      <c r="N6" s="118"/>
      <c r="O6" s="118"/>
      <c r="P6" s="118"/>
      <c r="Q6" s="118"/>
    </row>
    <row r="7" spans="1:17" x14ac:dyDescent="0.25">
      <c r="A7" s="820" t="s">
        <v>0</v>
      </c>
      <c r="B7" s="280" t="s">
        <v>101</v>
      </c>
      <c r="C7" s="280" t="s">
        <v>205</v>
      </c>
      <c r="D7" s="445">
        <f>'Modell - Lätta fordon'!AH6</f>
        <v>17.911754192557677</v>
      </c>
      <c r="E7" s="446">
        <f>'Modell - Lätta fordon'!AI6</f>
        <v>21.293751803814949</v>
      </c>
      <c r="F7" s="445">
        <f>'Modell - Lätta fordon'!AJ6</f>
        <v>17.911754192557677</v>
      </c>
      <c r="G7" s="447">
        <f>'Modell - Lätta fordon'!AK6</f>
        <v>22.28085706697285</v>
      </c>
      <c r="H7" s="448">
        <f>'Modell - Lätta fordon'!AL6</f>
        <v>17.911754192557677</v>
      </c>
      <c r="I7" s="447">
        <f>'Modell - Lätta fordon'!AM6</f>
        <v>21.293751803814949</v>
      </c>
    </row>
    <row r="8" spans="1:17" x14ac:dyDescent="0.25">
      <c r="A8" s="822"/>
      <c r="B8" s="75" t="s">
        <v>102</v>
      </c>
      <c r="C8" s="75" t="s">
        <v>205</v>
      </c>
      <c r="D8" s="449">
        <f>'Modell - Lätta fordon'!AH7</f>
        <v>19.069168234099362</v>
      </c>
      <c r="E8" s="450">
        <f>'Modell - Lätta fordon'!AI7</f>
        <v>22.557131724953557</v>
      </c>
      <c r="F8" s="449">
        <f>'Modell - Lätta fordon'!AJ7</f>
        <v>19.069168234099362</v>
      </c>
      <c r="G8" s="451">
        <f>'Modell - Lätta fordon'!AK7</f>
        <v>22.124513303900926</v>
      </c>
      <c r="H8" s="452">
        <f>'Modell - Lätta fordon'!AL7</f>
        <v>19.069168234099362</v>
      </c>
      <c r="I8" s="451">
        <f>'Modell - Lätta fordon'!AM7</f>
        <v>22.557131724953557</v>
      </c>
    </row>
    <row r="9" spans="1:17" x14ac:dyDescent="0.25">
      <c r="A9" s="822"/>
      <c r="B9" s="75" t="s">
        <v>103</v>
      </c>
      <c r="C9" s="75" t="s">
        <v>182</v>
      </c>
      <c r="D9" s="449">
        <f>'Modell - Lätta fordon'!AH8</f>
        <v>3.4709076086956521</v>
      </c>
      <c r="E9" s="450">
        <f>'Modell - Lätta fordon'!AI8</f>
        <v>4.1598749999999995</v>
      </c>
      <c r="F9" s="449">
        <f>'Modell - Lätta fordon'!AJ8</f>
        <v>3.4709076086956521</v>
      </c>
      <c r="G9" s="451">
        <f>'Modell - Lätta fordon'!AK8</f>
        <v>4.1598749999999995</v>
      </c>
      <c r="H9" s="452">
        <f>'Modell - Lätta fordon'!AL8</f>
        <v>3.4709076086956521</v>
      </c>
      <c r="I9" s="451">
        <f>'Modell - Lätta fordon'!AM8</f>
        <v>4.1598749999999995</v>
      </c>
    </row>
    <row r="10" spans="1:17" x14ac:dyDescent="0.25">
      <c r="A10" s="822"/>
      <c r="B10" s="75" t="s">
        <v>180</v>
      </c>
      <c r="C10" s="75" t="s">
        <v>257</v>
      </c>
      <c r="D10" s="449">
        <f>'Modell - Tunga fordon'!AH6</f>
        <v>13.466674098111907</v>
      </c>
      <c r="E10" s="450">
        <f>'Modell - Tunga fordon'!AI6</f>
        <v>16.350158148247193</v>
      </c>
      <c r="F10" s="449">
        <f>'Modell - Tunga fordon'!AJ6</f>
        <v>13.466674098111907</v>
      </c>
      <c r="G10" s="451">
        <f>'Modell - Tunga fordon'!AK6</f>
        <v>15.829521784610829</v>
      </c>
      <c r="H10" s="452">
        <f>'Modell - Tunga fordon'!AL6</f>
        <v>13.466674098111907</v>
      </c>
      <c r="I10" s="451">
        <f>'Modell - Tunga fordon'!AM6</f>
        <v>16.350158148247193</v>
      </c>
    </row>
    <row r="11" spans="1:17" ht="15.75" thickBot="1" x14ac:dyDescent="0.3">
      <c r="A11" s="821"/>
      <c r="B11" s="281" t="s">
        <v>181</v>
      </c>
      <c r="C11" s="281" t="s">
        <v>258</v>
      </c>
      <c r="D11" s="453">
        <f>'Modell - Tunga fordon'!AH7</f>
        <v>1.1975304347826086</v>
      </c>
      <c r="E11" s="454">
        <f>'Modell - Tunga fordon'!AI7</f>
        <v>1.4034</v>
      </c>
      <c r="F11" s="453">
        <f>'Modell - Tunga fordon'!AJ7</f>
        <v>1.1975304347826086</v>
      </c>
      <c r="G11" s="455">
        <f>'Modell - Tunga fordon'!AK7</f>
        <v>1.4034</v>
      </c>
      <c r="H11" s="456">
        <f>'Modell - Tunga fordon'!AL7</f>
        <v>1.1975304347826086</v>
      </c>
      <c r="I11" s="455">
        <f>'Modell - Tunga fordon'!AM7</f>
        <v>1.4034</v>
      </c>
    </row>
    <row r="12" spans="1:17" x14ac:dyDescent="0.25">
      <c r="A12" s="820" t="s">
        <v>38</v>
      </c>
      <c r="B12" s="280" t="s">
        <v>101</v>
      </c>
      <c r="C12" s="280" t="s">
        <v>39</v>
      </c>
      <c r="D12" s="445">
        <f>'Modell - Lätta fordon'!AH13</f>
        <v>0.60765334265455651</v>
      </c>
      <c r="E12" s="446">
        <f>'Modell - Lätta fordon'!AI13</f>
        <v>0.49219920755019081</v>
      </c>
      <c r="F12" s="445">
        <f>'Modell - Lätta fordon'!AJ13</f>
        <v>0.60765334265455651</v>
      </c>
      <c r="G12" s="447">
        <f>'Modell - Lätta fordon'!AK13</f>
        <v>0.49189118489092554</v>
      </c>
      <c r="H12" s="448">
        <f>'Modell - Lätta fordon'!AL13</f>
        <v>0.60765334265455651</v>
      </c>
      <c r="I12" s="447">
        <f>'Modell - Lätta fordon'!AM13</f>
        <v>0.49219920755019081</v>
      </c>
    </row>
    <row r="13" spans="1:17" x14ac:dyDescent="0.25">
      <c r="A13" s="822"/>
      <c r="B13" s="75" t="s">
        <v>102</v>
      </c>
      <c r="C13" s="75" t="s">
        <v>39</v>
      </c>
      <c r="D13" s="449">
        <f>'Modell - Lätta fordon'!AH14</f>
        <v>0.60691454404542722</v>
      </c>
      <c r="E13" s="450">
        <f>'Modell - Lätta fordon'!AI14</f>
        <v>0.49160078067679608</v>
      </c>
      <c r="F13" s="449">
        <f>'Modell - Lätta fordon'!AJ14</f>
        <v>0.60691454404542722</v>
      </c>
      <c r="G13" s="451">
        <f>'Modell - Lätta fordon'!AK14</f>
        <v>0.49129313251841189</v>
      </c>
      <c r="H13" s="452">
        <f>'Modell - Lätta fordon'!AL14</f>
        <v>0.60691454404542722</v>
      </c>
      <c r="I13" s="451">
        <f>'Modell - Lätta fordon'!AM14</f>
        <v>0.49160078067679608</v>
      </c>
    </row>
    <row r="14" spans="1:17" x14ac:dyDescent="0.25">
      <c r="A14" s="822"/>
      <c r="B14" s="75" t="s">
        <v>103</v>
      </c>
      <c r="C14" s="75" t="s">
        <v>40</v>
      </c>
      <c r="D14" s="449">
        <f>'Modell - Lätta fordon'!AH15</f>
        <v>1.6150000000000002</v>
      </c>
      <c r="E14" s="450">
        <f>'Modell - Lätta fordon'!AI15</f>
        <v>1.6150000000000002</v>
      </c>
      <c r="F14" s="449">
        <f>'Modell - Lätta fordon'!AJ15</f>
        <v>1.6150000000000002</v>
      </c>
      <c r="G14" s="451">
        <f>'Modell - Lätta fordon'!AK15</f>
        <v>1.6150000000000002</v>
      </c>
      <c r="H14" s="452">
        <f>'Modell - Lätta fordon'!AL15</f>
        <v>1.6150000000000002</v>
      </c>
      <c r="I14" s="451">
        <f>'Modell - Lätta fordon'!AM15</f>
        <v>1.6150000000000002</v>
      </c>
    </row>
    <row r="15" spans="1:17" x14ac:dyDescent="0.25">
      <c r="A15" s="822"/>
      <c r="B15" s="75" t="s">
        <v>352</v>
      </c>
      <c r="C15" s="75" t="s">
        <v>39</v>
      </c>
      <c r="D15" s="457">
        <f>'Modell - Tunga fordon'!AH15</f>
        <v>2.635417410126252</v>
      </c>
      <c r="E15" s="450">
        <f>'Modell - Tunga fordon'!AI15</f>
        <v>2.104120696313331</v>
      </c>
      <c r="F15" s="449">
        <f>'Modell - Tunga fordon'!AJ15</f>
        <v>2.54768610464988</v>
      </c>
      <c r="G15" s="451">
        <f>'Modell - Tunga fordon'!AK15</f>
        <v>2.0469459579469351</v>
      </c>
      <c r="H15" s="452">
        <f>'Modell - Tunga fordon'!AL15</f>
        <v>2.54768610464988</v>
      </c>
      <c r="I15" s="451">
        <f>'Modell - Tunga fordon'!AM15</f>
        <v>2.0479699429183946</v>
      </c>
    </row>
    <row r="16" spans="1:17" ht="15.75" thickBot="1" x14ac:dyDescent="0.3">
      <c r="A16" s="821"/>
      <c r="B16" s="281" t="s">
        <v>318</v>
      </c>
      <c r="C16" s="281" t="s">
        <v>40</v>
      </c>
      <c r="D16" s="453">
        <f>'Modell - Tunga fordon'!AH16</f>
        <v>8.4732522945626005</v>
      </c>
      <c r="E16" s="454">
        <f>'Modell - Tunga fordon'!AI16</f>
        <v>8.4732522945626005</v>
      </c>
      <c r="F16" s="453">
        <f>'Modell - Tunga fordon'!AJ16</f>
        <v>8.242163595619985</v>
      </c>
      <c r="G16" s="455">
        <f>'Modell - Tunga fordon'!AK16</f>
        <v>8.4690156684153202</v>
      </c>
      <c r="H16" s="456">
        <f>'Modell - Tunga fordon'!AL16</f>
        <v>8.242163595619985</v>
      </c>
      <c r="I16" s="455">
        <f>'Modell - Tunga fordon'!AM16</f>
        <v>8.4732522945626005</v>
      </c>
    </row>
    <row r="17" spans="1:11" x14ac:dyDescent="0.25">
      <c r="A17" s="820" t="s">
        <v>21</v>
      </c>
      <c r="B17" s="280" t="s">
        <v>183</v>
      </c>
      <c r="C17" s="280" t="s">
        <v>74</v>
      </c>
      <c r="D17" s="445">
        <f>'Modell - Lätta fordon'!AH24</f>
        <v>0</v>
      </c>
      <c r="E17" s="446">
        <f>'Modell - Lätta fordon'!AI24</f>
        <v>0</v>
      </c>
      <c r="F17" s="445">
        <f>'Modell - Lätta fordon'!AJ24</f>
        <v>0</v>
      </c>
      <c r="G17" s="447">
        <f>'Modell - Lätta fordon'!AK24</f>
        <v>0</v>
      </c>
      <c r="H17" s="448">
        <f>'Modell - Lätta fordon'!AL24</f>
        <v>0</v>
      </c>
      <c r="I17" s="447">
        <f>'Modell - Lätta fordon'!AM24</f>
        <v>0</v>
      </c>
    </row>
    <row r="18" spans="1:11" ht="15.75" thickBot="1" x14ac:dyDescent="0.3">
      <c r="A18" s="821"/>
      <c r="B18" s="281" t="s">
        <v>319</v>
      </c>
      <c r="C18" s="281" t="s">
        <v>74</v>
      </c>
      <c r="D18" s="453">
        <f>'Modell - Tunga fordon'!AH29</f>
        <v>0</v>
      </c>
      <c r="E18" s="454">
        <f>'Modell - Tunga fordon'!AI29</f>
        <v>0</v>
      </c>
      <c r="F18" s="453">
        <f>'Modell - Tunga fordon'!AJ29</f>
        <v>0</v>
      </c>
      <c r="G18" s="455">
        <f>'Modell - Tunga fordon'!AK29</f>
        <v>0</v>
      </c>
      <c r="H18" s="456">
        <f>'Modell - Tunga fordon'!AL29</f>
        <v>0</v>
      </c>
      <c r="I18" s="455">
        <f>'Modell - Tunga fordon'!AM29</f>
        <v>0</v>
      </c>
    </row>
    <row r="19" spans="1:11" ht="15.75" thickBot="1" x14ac:dyDescent="0.3">
      <c r="A19" s="363" t="s">
        <v>75</v>
      </c>
      <c r="B19" s="280" t="s">
        <v>183</v>
      </c>
      <c r="C19" s="280" t="s">
        <v>74</v>
      </c>
      <c r="D19" s="445">
        <f>'Modell - Lätta fordon'!AH29</f>
        <v>10.009999999999998</v>
      </c>
      <c r="E19" s="446">
        <f>'Modell - Lätta fordon'!AI29</f>
        <v>10.009999999999998</v>
      </c>
      <c r="F19" s="445">
        <f>'Modell - Lätta fordon'!AJ29</f>
        <v>10.009999999999998</v>
      </c>
      <c r="G19" s="447">
        <f>'Modell - Lätta fordon'!AK29</f>
        <v>10.009999999999998</v>
      </c>
      <c r="H19" s="448">
        <f>'Modell - Lätta fordon'!AL29</f>
        <v>10.009999999999998</v>
      </c>
      <c r="I19" s="447">
        <f>'Modell - Lätta fordon'!AM29</f>
        <v>10.009999999999998</v>
      </c>
    </row>
    <row r="20" spans="1:11" x14ac:dyDescent="0.25">
      <c r="A20" s="820" t="s">
        <v>77</v>
      </c>
      <c r="B20" s="280" t="s">
        <v>101</v>
      </c>
      <c r="C20" s="280" t="s">
        <v>74</v>
      </c>
      <c r="D20" s="458">
        <f>'Modell - Lätta fordon'!AH40</f>
        <v>20.894137307914438</v>
      </c>
      <c r="E20" s="459">
        <f>'Modell - Lätta fordon'!AI40</f>
        <v>20.490767763608162</v>
      </c>
      <c r="F20" s="445">
        <f>'Modell - Lätta fordon'!AJ40</f>
        <v>20.894137307914438</v>
      </c>
      <c r="G20" s="447">
        <f>'Modell - Lätta fordon'!AK40</f>
        <v>20.969757183058626</v>
      </c>
      <c r="H20" s="448">
        <f>'Modell - Lätta fordon'!AL40</f>
        <v>20.894137307914438</v>
      </c>
      <c r="I20" s="447">
        <f>'Modell - Lätta fordon'!AM40</f>
        <v>20.490767763608162</v>
      </c>
      <c r="J20" s="374"/>
      <c r="K20" s="403"/>
    </row>
    <row r="21" spans="1:11" x14ac:dyDescent="0.25">
      <c r="A21" s="822"/>
      <c r="B21" s="75" t="s">
        <v>102</v>
      </c>
      <c r="C21" s="75" t="s">
        <v>74</v>
      </c>
      <c r="D21" s="457">
        <f>'Modell - Lätta fordon'!AH41</f>
        <v>21.583355544123954</v>
      </c>
      <c r="E21" s="460">
        <f>'Modell - Lätta fordon'!AI41</f>
        <v>21.099103565816492</v>
      </c>
      <c r="F21" s="449">
        <f>'Modell - Lätta fordon'!AJ41</f>
        <v>21.583355544123954</v>
      </c>
      <c r="G21" s="451">
        <f>'Modell - Lätta fordon'!AK41</f>
        <v>20.879621446518762</v>
      </c>
      <c r="H21" s="452">
        <f>'Modell - Lätta fordon'!AL41</f>
        <v>21.583355544123954</v>
      </c>
      <c r="I21" s="451">
        <f>'Modell - Lätta fordon'!AM41</f>
        <v>21.099103565816492</v>
      </c>
    </row>
    <row r="22" spans="1:11" x14ac:dyDescent="0.25">
      <c r="A22" s="822"/>
      <c r="B22" s="75" t="s">
        <v>103</v>
      </c>
      <c r="C22" s="75" t="s">
        <v>74</v>
      </c>
      <c r="D22" s="457">
        <f>'Modell - Lätta fordon'!AH42</f>
        <v>15.615515788043478</v>
      </c>
      <c r="E22" s="460">
        <f>'Modell - Lätta fordon'!AI42</f>
        <v>16.728198124999999</v>
      </c>
      <c r="F22" s="449">
        <f>'Modell - Lätta fordon'!AJ42</f>
        <v>15.615515788043478</v>
      </c>
      <c r="G22" s="451">
        <f>'Modell - Lätta fordon'!AK42</f>
        <v>16.728198124999999</v>
      </c>
      <c r="H22" s="452">
        <f>'Modell - Lätta fordon'!AL42</f>
        <v>15.615515788043478</v>
      </c>
      <c r="I22" s="451">
        <f>'Modell - Lätta fordon'!AM42</f>
        <v>16.728198124999999</v>
      </c>
    </row>
    <row r="23" spans="1:11" x14ac:dyDescent="0.25">
      <c r="A23" s="822"/>
      <c r="B23" s="370" t="s">
        <v>179</v>
      </c>
      <c r="C23" s="370" t="s">
        <v>74</v>
      </c>
      <c r="D23" s="461">
        <f>'Modell - Lätta fordon'!AH43</f>
        <v>20.74</v>
      </c>
      <c r="E23" s="462">
        <f>'Modell - Lätta fordon'!AI43</f>
        <v>19.655019213344737</v>
      </c>
      <c r="F23" s="461">
        <f>'Modell - Lätta fordon'!AJ43</f>
        <v>20.236024700220387</v>
      </c>
      <c r="G23" s="463">
        <f>'Modell - Lätta fordon'!AK43</f>
        <v>18.067825305008299</v>
      </c>
      <c r="H23" s="464">
        <f>'Modell - Lätta fordon'!AL43</f>
        <v>20.236024700220387</v>
      </c>
      <c r="I23" s="463">
        <f>'Modell - Lätta fordon'!AM43</f>
        <v>19.250316494987008</v>
      </c>
    </row>
    <row r="24" spans="1:11" x14ac:dyDescent="0.25">
      <c r="A24" s="822"/>
      <c r="B24" s="75" t="s">
        <v>352</v>
      </c>
      <c r="C24" s="75" t="s">
        <v>74</v>
      </c>
      <c r="D24" s="449">
        <f>'Modell - Tunga fordon'!AH75</f>
        <v>173.15819104151814</v>
      </c>
      <c r="E24" s="450">
        <f>'Modell - Tunga fordon'!AI75</f>
        <v>171.42802777145798</v>
      </c>
      <c r="F24" s="449">
        <f>'Modell - Tunga fordon'!AJ75</f>
        <v>142.09089560246696</v>
      </c>
      <c r="G24" s="451">
        <f>'Modell - Tunga fordon'!AK75</f>
        <v>170.26292079550331</v>
      </c>
      <c r="H24" s="452">
        <f>'Modell - Tunga fordon'!AL75</f>
        <v>142.09089560246696</v>
      </c>
      <c r="I24" s="451">
        <f>'Modell - Tunga fordon'!AM75</f>
        <v>171.34537761183375</v>
      </c>
    </row>
    <row r="25" spans="1:11" x14ac:dyDescent="0.25">
      <c r="A25" s="822"/>
      <c r="B25" s="75" t="s">
        <v>318</v>
      </c>
      <c r="C25" s="75" t="s">
        <v>74</v>
      </c>
      <c r="D25" s="465">
        <f>'Modell - Tunga fordon'!AH80</f>
        <v>158.70165078298615</v>
      </c>
      <c r="E25" s="466">
        <f>'Modell - Tunga fordon'!AI80</f>
        <v>160.98562019883911</v>
      </c>
      <c r="F25" s="465">
        <f>'Modell - Tunga fordon'!AJ80</f>
        <v>124.17071493479752</v>
      </c>
      <c r="G25" s="467">
        <f>'Modell - Tunga fordon'!AK80</f>
        <v>157.59544548082346</v>
      </c>
      <c r="H25" s="468">
        <f>'Modell - Tunga fordon'!AL80</f>
        <v>124.17071493479752</v>
      </c>
      <c r="I25" s="467">
        <f>'Modell - Tunga fordon'!AM80</f>
        <v>157.60531776712585</v>
      </c>
    </row>
    <row r="26" spans="1:11" ht="15.75" thickBot="1" x14ac:dyDescent="0.3">
      <c r="A26" s="821"/>
      <c r="B26" s="371" t="s">
        <v>353</v>
      </c>
      <c r="C26" s="371" t="s">
        <v>74</v>
      </c>
      <c r="D26" s="469">
        <f>'Modell - Tunga fordon'!AH85</f>
        <v>172.79834480680643</v>
      </c>
      <c r="E26" s="470">
        <f>'Modell - Tunga fordon'!AI85</f>
        <v>170.38831537025214</v>
      </c>
      <c r="F26" s="469">
        <f>'Modell - Tunga fordon'!AJ85</f>
        <v>141.73249198911356</v>
      </c>
      <c r="G26" s="404">
        <f>'Modell - Tunga fordon'!AK85</f>
        <v>166.46267820109932</v>
      </c>
      <c r="H26" s="402">
        <f>'Modell - Tunga fordon'!AL85</f>
        <v>141.73249198911356</v>
      </c>
      <c r="I26" s="404">
        <f>'Modell - Tunga fordon'!AM85</f>
        <v>167.22335965842134</v>
      </c>
    </row>
    <row r="27" spans="1:11" x14ac:dyDescent="0.25">
      <c r="A27" s="820" t="s">
        <v>17</v>
      </c>
      <c r="B27" s="280" t="s">
        <v>101</v>
      </c>
      <c r="C27" s="280" t="s">
        <v>36</v>
      </c>
      <c r="D27" s="445">
        <f>'Modell - Lätta fordon'!AH34</f>
        <v>34.972878293330716</v>
      </c>
      <c r="E27" s="446">
        <f>'Modell - Lätta fordon'!AI34</f>
        <v>30.723785715740984</v>
      </c>
      <c r="F27" s="445">
        <f>'Modell - Lätta fordon'!AJ34</f>
        <v>35.228240198326176</v>
      </c>
      <c r="G27" s="447">
        <f>'Modell - Lätta fordon'!AK34</f>
        <v>16.205036074771979</v>
      </c>
      <c r="H27" s="448">
        <f>'Modell - Lätta fordon'!AL34</f>
        <v>35.228240198326176</v>
      </c>
      <c r="I27" s="447">
        <f>'Modell - Lätta fordon'!AM34</f>
        <v>30.913829807482287</v>
      </c>
    </row>
    <row r="28" spans="1:11" x14ac:dyDescent="0.25">
      <c r="A28" s="822"/>
      <c r="B28" s="75" t="s">
        <v>102</v>
      </c>
      <c r="C28" s="75" t="s">
        <v>36</v>
      </c>
      <c r="D28" s="533">
        <f>'Modell - Lätta fordon'!AH35</f>
        <v>37.395523495653713</v>
      </c>
      <c r="E28" s="534">
        <f>'Modell - Lätta fordon'!AI35</f>
        <v>30.966214284259014</v>
      </c>
      <c r="F28" s="533">
        <f>'Modell - Lätta fordon'!AJ35</f>
        <v>37.668574859572288</v>
      </c>
      <c r="G28" s="535">
        <f>'Modell - Lätta fordon'!AK35</f>
        <v>16.332903250215047</v>
      </c>
      <c r="H28" s="536">
        <f>'Modell - Lätta fordon'!AL35</f>
        <v>37.668574859572288</v>
      </c>
      <c r="I28" s="535">
        <f>'Modell - Lätta fordon'!AM35</f>
        <v>31.157757934601015</v>
      </c>
    </row>
    <row r="29" spans="1:11" x14ac:dyDescent="0.25">
      <c r="A29" s="822"/>
      <c r="B29" s="75" t="s">
        <v>103</v>
      </c>
      <c r="C29" s="75" t="s">
        <v>36</v>
      </c>
      <c r="D29" s="533">
        <f>'Modell - Lätta fordon'!AH36</f>
        <v>15.885746734167313</v>
      </c>
      <c r="E29" s="534">
        <f>'Modell - Lätta fordon'!AI36</f>
        <v>37.81</v>
      </c>
      <c r="F29" s="533">
        <f>'Modell - Lätta fordon'!AJ36</f>
        <v>16.001739890758198</v>
      </c>
      <c r="G29" s="535">
        <f>'Modell - Lätta fordon'!AK36</f>
        <v>69.385502545849278</v>
      </c>
      <c r="H29" s="536">
        <f>'Modell - Lätta fordon'!AL36</f>
        <v>16.001739890758198</v>
      </c>
      <c r="I29" s="535">
        <f>'Modell - Lätta fordon'!AM36</f>
        <v>38.043876358051058</v>
      </c>
    </row>
    <row r="30" spans="1:11" x14ac:dyDescent="0.25">
      <c r="A30" s="822"/>
      <c r="B30" s="370" t="s">
        <v>104</v>
      </c>
      <c r="C30" s="370" t="s">
        <v>36</v>
      </c>
      <c r="D30" s="532">
        <f>'Modell - Lätta fordon'!AH37</f>
        <v>88.254148523151741</v>
      </c>
      <c r="E30" s="537">
        <f>'Modell - Lätta fordon'!AI37</f>
        <v>99.5</v>
      </c>
      <c r="F30" s="538">
        <f>'Modell - Lätta fordon'!AJ37</f>
        <v>88.898554948656667</v>
      </c>
      <c r="G30" s="539">
        <f>'Modell - Lätta fordon'!AK37</f>
        <v>101.9234418708363</v>
      </c>
      <c r="H30" s="540">
        <f>'Modell - Lätta fordon'!AL37</f>
        <v>88.898554948656667</v>
      </c>
      <c r="I30" s="539">
        <f>'Modell - Lätta fordon'!AM37</f>
        <v>100.11546410013436</v>
      </c>
    </row>
    <row r="31" spans="1:11" x14ac:dyDescent="0.25">
      <c r="A31" s="822"/>
      <c r="B31" s="75" t="s">
        <v>354</v>
      </c>
      <c r="C31" s="75" t="s">
        <v>36</v>
      </c>
      <c r="D31" s="533">
        <f>'Modell - Tunga fordon'!AH40</f>
        <v>5.82858707873166</v>
      </c>
      <c r="E31" s="534">
        <f>'Modell - Tunga fordon'!AI40</f>
        <v>6.2888244743137882</v>
      </c>
      <c r="F31" s="533">
        <f>'Modell - Tunga fordon'!AJ40</f>
        <v>6.0895135515173733</v>
      </c>
      <c r="G31" s="535">
        <f>'Modell - Tunga fordon'!AK40</f>
        <v>5.0178104933709893</v>
      </c>
      <c r="H31" s="536">
        <f>'Modell - Tunga fordon'!AL40</f>
        <v>6.0895135515173733</v>
      </c>
      <c r="I31" s="535">
        <f>'Modell - Tunga fordon'!AM40</f>
        <v>4.9928412810796461</v>
      </c>
    </row>
    <row r="32" spans="1:11" x14ac:dyDescent="0.25">
      <c r="A32" s="822"/>
      <c r="B32" s="75" t="s">
        <v>318</v>
      </c>
      <c r="C32" s="75" t="s">
        <v>36</v>
      </c>
      <c r="D32" s="541">
        <f>'Modell - Tunga fordon'!AH45</f>
        <v>0.14878631191304731</v>
      </c>
      <c r="E32" s="542">
        <f>'Modell - Tunga fordon'!AI45</f>
        <v>0.69539304164941118</v>
      </c>
      <c r="F32" s="541">
        <f>'Modell - Tunga fordon'!AJ45</f>
        <v>0.12427578676566069</v>
      </c>
      <c r="G32" s="543">
        <f>'Modell - Tunga fordon'!AK45</f>
        <v>2.1504902114447093</v>
      </c>
      <c r="H32" s="544">
        <f>'Modell - Tunga fordon'!AL45</f>
        <v>0.12427578676566069</v>
      </c>
      <c r="I32" s="543">
        <f>'Modell - Tunga fordon'!AM45</f>
        <v>2.1397891204627051</v>
      </c>
    </row>
    <row r="33" spans="1:9" x14ac:dyDescent="0.25">
      <c r="A33" s="822"/>
      <c r="B33" s="370" t="s">
        <v>355</v>
      </c>
      <c r="C33" s="370" t="s">
        <v>36</v>
      </c>
      <c r="D33" s="532">
        <f>'Modell - Tunga fordon'!AH50</f>
        <v>5.9773733906447069</v>
      </c>
      <c r="E33" s="537">
        <f>'Modell - Tunga fordon'!AI50</f>
        <v>6.9842175159631985</v>
      </c>
      <c r="F33" s="532">
        <f>'Modell - Tunga fordon'!AJ50</f>
        <v>6.2137893382830338</v>
      </c>
      <c r="G33" s="539">
        <f>'Modell - Tunga fordon'!AK50</f>
        <v>7.1683007048156986</v>
      </c>
      <c r="H33" s="540">
        <f>'Modell - Tunga fordon'!AL50</f>
        <v>6.2137893382830338</v>
      </c>
      <c r="I33" s="539">
        <f>'Modell - Tunga fordon'!AM50</f>
        <v>7.1326304015423512</v>
      </c>
    </row>
    <row r="34" spans="1:9" ht="15.75" thickBot="1" x14ac:dyDescent="0.3">
      <c r="A34" s="821"/>
      <c r="B34" s="371" t="s">
        <v>332</v>
      </c>
      <c r="C34" s="371" t="s">
        <v>36</v>
      </c>
      <c r="D34" s="545">
        <f>D30+D33</f>
        <v>94.231521913796442</v>
      </c>
      <c r="E34" s="546">
        <f t="shared" ref="E34:I34" si="0">E30+E33</f>
        <v>106.48421751596319</v>
      </c>
      <c r="F34" s="545">
        <f t="shared" si="0"/>
        <v>95.112344286939702</v>
      </c>
      <c r="G34" s="547">
        <f>G30+G33</f>
        <v>109.09174257565199</v>
      </c>
      <c r="H34" s="548">
        <f t="shared" si="0"/>
        <v>95.112344286939702</v>
      </c>
      <c r="I34" s="547">
        <f t="shared" si="0"/>
        <v>107.24809450167672</v>
      </c>
    </row>
    <row r="35" spans="1:9" x14ac:dyDescent="0.25">
      <c r="A35" s="822" t="s">
        <v>285</v>
      </c>
      <c r="B35" s="75" t="s">
        <v>183</v>
      </c>
      <c r="C35" s="75" t="s">
        <v>19</v>
      </c>
      <c r="D35" s="98">
        <f>D29/D30</f>
        <v>0.18</v>
      </c>
      <c r="E35" s="99">
        <f t="shared" ref="E35:I35" si="1">E29/E30</f>
        <v>0.38</v>
      </c>
      <c r="F35" s="98">
        <f t="shared" si="1"/>
        <v>0.18</v>
      </c>
      <c r="G35" s="100">
        <f t="shared" si="1"/>
        <v>0.68076098365848836</v>
      </c>
      <c r="H35" s="101">
        <f t="shared" si="1"/>
        <v>0.18</v>
      </c>
      <c r="I35" s="100">
        <f t="shared" si="1"/>
        <v>0.38</v>
      </c>
    </row>
    <row r="36" spans="1:9" ht="15.75" thickBot="1" x14ac:dyDescent="0.3">
      <c r="A36" s="821"/>
      <c r="B36" s="281" t="s">
        <v>319</v>
      </c>
      <c r="C36" s="281" t="s">
        <v>19</v>
      </c>
      <c r="D36" s="486">
        <f t="shared" ref="D36:I36" si="2">D32/D33</f>
        <v>2.4891587356064355E-2</v>
      </c>
      <c r="E36" s="487">
        <f>E32/E33</f>
        <v>9.9566349424257447E-2</v>
      </c>
      <c r="F36" s="95">
        <f t="shared" si="2"/>
        <v>0.02</v>
      </c>
      <c r="G36" s="96">
        <f>G32/G33</f>
        <v>0.3</v>
      </c>
      <c r="H36" s="97">
        <f t="shared" si="2"/>
        <v>0.02</v>
      </c>
      <c r="I36" s="96">
        <f t="shared" si="2"/>
        <v>0.3</v>
      </c>
    </row>
    <row r="37" spans="1:9" x14ac:dyDescent="0.25">
      <c r="A37" s="823" t="s">
        <v>274</v>
      </c>
      <c r="B37" s="280" t="s">
        <v>183</v>
      </c>
      <c r="C37" s="280" t="s">
        <v>187</v>
      </c>
      <c r="D37" s="472">
        <f>'Modell - Lätta fordon'!AH56</f>
        <v>8.5592112689865587</v>
      </c>
      <c r="E37" s="473">
        <f>'Modell - Lätta fordon'!AI56</f>
        <v>5.9305004479852048</v>
      </c>
      <c r="F37" s="472">
        <f>'Modell - Lätta fordon'!AJ56</f>
        <v>8.6217081694868458</v>
      </c>
      <c r="G37" s="473">
        <f>'Modell - Lätta fordon'!AK56</f>
        <v>3.033564727743471</v>
      </c>
      <c r="H37" s="472">
        <f>'Modell - Lätta fordon'!AL56</f>
        <v>8.6217081694868458</v>
      </c>
      <c r="I37" s="473">
        <f>'Modell - Lätta fordon'!AM56</f>
        <v>5.9671839667949103</v>
      </c>
    </row>
    <row r="38" spans="1:9" x14ac:dyDescent="0.25">
      <c r="A38" s="824"/>
      <c r="B38" s="75" t="s">
        <v>319</v>
      </c>
      <c r="C38" s="75" t="s">
        <v>187</v>
      </c>
      <c r="D38" s="474">
        <f>'Modell - Tunga fordon'!AH91</f>
        <v>2.6531104436628112</v>
      </c>
      <c r="E38" s="475">
        <f>'Modell - Tunga fordon'!AI91</f>
        <v>2.2855080268112538</v>
      </c>
      <c r="F38" s="474">
        <f>'Modell - Tunga fordon'!AJ91</f>
        <v>2.6796072799184878</v>
      </c>
      <c r="G38" s="475">
        <f>'Modell - Tunga fordon'!AK91</f>
        <v>1.9566611058119729</v>
      </c>
      <c r="H38" s="474">
        <f>'Modell - Tunga fordon'!AL91</f>
        <v>2.6796072799184878</v>
      </c>
      <c r="I38" s="475">
        <f>'Modell - Tunga fordon'!AM91</f>
        <v>1.7660946222159428</v>
      </c>
    </row>
    <row r="39" spans="1:9" x14ac:dyDescent="0.25">
      <c r="A39" s="824"/>
      <c r="B39" s="75" t="s">
        <v>310</v>
      </c>
      <c r="C39" s="75" t="s">
        <v>187</v>
      </c>
      <c r="D39" s="488">
        <v>0</v>
      </c>
      <c r="E39" s="489">
        <v>0</v>
      </c>
      <c r="F39" s="488">
        <v>0</v>
      </c>
      <c r="G39" s="489">
        <v>0</v>
      </c>
      <c r="H39" s="488">
        <v>0</v>
      </c>
      <c r="I39" s="489">
        <v>0</v>
      </c>
    </row>
    <row r="40" spans="1:9" x14ac:dyDescent="0.25">
      <c r="A40" s="824"/>
      <c r="B40" s="370" t="s">
        <v>16</v>
      </c>
      <c r="C40" s="370" t="s">
        <v>187</v>
      </c>
      <c r="D40" s="476">
        <f>SUM(D37:D39)</f>
        <v>11.21232171264937</v>
      </c>
      <c r="E40" s="477">
        <f t="shared" ref="E40:I40" si="3">SUM(E37:E39)</f>
        <v>8.2160084747964586</v>
      </c>
      <c r="F40" s="476">
        <f t="shared" si="3"/>
        <v>11.301315449405333</v>
      </c>
      <c r="G40" s="477">
        <f>SUM(G37:G39)</f>
        <v>4.9902258335554439</v>
      </c>
      <c r="H40" s="476">
        <f t="shared" si="3"/>
        <v>11.301315449405333</v>
      </c>
      <c r="I40" s="477">
        <f t="shared" si="3"/>
        <v>7.7332785890108529</v>
      </c>
    </row>
    <row r="41" spans="1:9" ht="15.75" thickBot="1" x14ac:dyDescent="0.3">
      <c r="A41" s="824"/>
      <c r="B41" s="492" t="s">
        <v>356</v>
      </c>
      <c r="C41" s="492" t="s">
        <v>25</v>
      </c>
      <c r="D41" s="493">
        <f>D40/SUM('Indata - Utsläpp'!$B$15:$B$17)-1</f>
        <v>-0.40662988396224764</v>
      </c>
      <c r="E41" s="494">
        <f>E40/SUM('Indata - Utsläpp'!$B$15:$B$17)-1</f>
        <v>-0.56519853541509013</v>
      </c>
      <c r="F41" s="490">
        <f>F40/SUM('Indata - Utsläpp'!$B$15:$B$17)-1</f>
        <v>-0.40192022388837145</v>
      </c>
      <c r="G41" s="491">
        <f>G40/SUM('Indata - Utsläpp'!$B$15:$B$17)-1</f>
        <v>-0.73591099526061377</v>
      </c>
      <c r="H41" s="490">
        <f>H40/SUM('Indata - Utsläpp'!$B$15:$B$17)-1</f>
        <v>-0.40192022388837145</v>
      </c>
      <c r="I41" s="491">
        <f>I40/SUM('Indata - Utsläpp'!$B$15:$B$17)-1</f>
        <v>-0.59074520591602175</v>
      </c>
    </row>
    <row r="42" spans="1:9" x14ac:dyDescent="0.25">
      <c r="A42" s="820" t="s">
        <v>271</v>
      </c>
      <c r="B42" s="280" t="s">
        <v>183</v>
      </c>
      <c r="C42" s="280" t="s">
        <v>320</v>
      </c>
      <c r="D42" s="472">
        <f>'Modell - Lätta fordon'!AH60</f>
        <v>7.8686899346495895</v>
      </c>
      <c r="E42" s="473">
        <f>'Modell - Lätta fordon'!AI60</f>
        <v>4.4792893434791239</v>
      </c>
      <c r="F42" s="472">
        <f>'Modell - Lätta fordon'!AJ60</f>
        <v>7.9261448468440436</v>
      </c>
      <c r="G42" s="473">
        <f>'Modell - Lätta fordon'!AK60</f>
        <v>2.3625684045580275</v>
      </c>
      <c r="H42" s="472">
        <f>'Modell - Lätta fordon'!AL60</f>
        <v>7.9261448468440436</v>
      </c>
      <c r="I42" s="473">
        <f>'Modell - Lätta fordon'!AM60</f>
        <v>4.5069962960924492</v>
      </c>
    </row>
    <row r="43" spans="1:9" x14ac:dyDescent="0.25">
      <c r="A43" s="822"/>
      <c r="B43" s="75" t="s">
        <v>319</v>
      </c>
      <c r="C43" s="75" t="s">
        <v>320</v>
      </c>
      <c r="D43" s="474">
        <f>'Modell - Tunga fordon'!AH94</f>
        <v>1.9535949121051688</v>
      </c>
      <c r="E43" s="475">
        <f>'Modell - Tunga fordon'!AI94</f>
        <v>1.8007325460695351</v>
      </c>
      <c r="F43" s="474">
        <f>'Modell - Tunga fordon'!AJ94</f>
        <v>2.0410508637418459</v>
      </c>
      <c r="G43" s="475">
        <f>'Modell - Tunga fordon'!AK94</f>
        <v>1.4367923134646423</v>
      </c>
      <c r="H43" s="474">
        <f>'Modell - Tunga fordon'!AL94</f>
        <v>2.0410508637418459</v>
      </c>
      <c r="I43" s="475">
        <f>'Modell - Tunga fordon'!AM94</f>
        <v>1.4296426667530211</v>
      </c>
    </row>
    <row r="44" spans="1:9" x14ac:dyDescent="0.25">
      <c r="A44" s="822"/>
      <c r="B44" s="370" t="s">
        <v>16</v>
      </c>
      <c r="C44" s="370" t="s">
        <v>320</v>
      </c>
      <c r="D44" s="476">
        <f t="shared" ref="D44:I44" si="4">SUM(D42:D43)</f>
        <v>9.8222848467547585</v>
      </c>
      <c r="E44" s="477">
        <f t="shared" si="4"/>
        <v>6.2800218895486593</v>
      </c>
      <c r="F44" s="476">
        <f t="shared" si="4"/>
        <v>9.967195710585889</v>
      </c>
      <c r="G44" s="477">
        <f t="shared" si="4"/>
        <v>3.7993607180226698</v>
      </c>
      <c r="H44" s="476">
        <f t="shared" si="4"/>
        <v>9.967195710585889</v>
      </c>
      <c r="I44" s="477">
        <f t="shared" si="4"/>
        <v>5.9366389628454703</v>
      </c>
    </row>
    <row r="45" spans="1:9" ht="15.75" thickBot="1" x14ac:dyDescent="0.3">
      <c r="A45" s="405"/>
      <c r="B45" s="367" t="s">
        <v>356</v>
      </c>
      <c r="C45" s="367" t="s">
        <v>25</v>
      </c>
      <c r="D45" s="490">
        <f>D44/'Indata - Utsläpp'!$B$26-1</f>
        <v>-0.83589785185198895</v>
      </c>
      <c r="E45" s="491">
        <f>E44/'Indata - Utsläpp'!$B$26-1</f>
        <v>-0.8950788845395824</v>
      </c>
      <c r="F45" s="490">
        <f>F44/'Indata - Utsläpp'!$B$26-1</f>
        <v>-0.83347680782652178</v>
      </c>
      <c r="G45" s="491">
        <f>G44/'Indata - Utsläpp'!$B$26-1</f>
        <v>-0.93652360269080503</v>
      </c>
      <c r="H45" s="490">
        <f>H44/'Indata - Utsläpp'!$B$26-1</f>
        <v>-0.83347680782652178</v>
      </c>
      <c r="I45" s="491">
        <f>I44/'Indata - Utsläpp'!$B$26-1</f>
        <v>-0.90081582627854673</v>
      </c>
    </row>
    <row r="46" spans="1:9" x14ac:dyDescent="0.25">
      <c r="A46" s="822" t="s">
        <v>265</v>
      </c>
      <c r="B46" s="75" t="s">
        <v>183</v>
      </c>
      <c r="C46" s="283" t="s">
        <v>320</v>
      </c>
      <c r="D46" s="472">
        <f>'Modell - Lätta fordon'!AH64</f>
        <v>0.12869512966322685</v>
      </c>
      <c r="E46" s="473">
        <f>'Modell - Lätta fordon'!AI64</f>
        <v>0.1036167257327123</v>
      </c>
      <c r="F46" s="472">
        <f>'Modell - Lätta fordon'!AJ64</f>
        <v>0.12963482450900987</v>
      </c>
      <c r="G46" s="473">
        <f>'Modell - Lätta fordon'!AK64</f>
        <v>5.4651884178064755E-2</v>
      </c>
      <c r="H46" s="472">
        <f>'Modell - Lätta fordon'!AL64</f>
        <v>0.12963482450900987</v>
      </c>
      <c r="I46" s="473">
        <f>'Modell - Lätta fordon'!AM64</f>
        <v>0.10425765412328467</v>
      </c>
    </row>
    <row r="47" spans="1:9" x14ac:dyDescent="0.25">
      <c r="A47" s="822"/>
      <c r="B47" s="75" t="s">
        <v>319</v>
      </c>
      <c r="C47" s="283" t="s">
        <v>320</v>
      </c>
      <c r="D47" s="474">
        <f>'Modell - Tunga fordon'!AH97</f>
        <v>3.1735896971207704E-2</v>
      </c>
      <c r="E47" s="475">
        <f>'Modell - Tunga fordon'!AI97</f>
        <v>2.9040061764818929E-2</v>
      </c>
      <c r="F47" s="474">
        <f>'Modell - Tunga fordon'!AJ97</f>
        <v>3.3156607607513405E-2</v>
      </c>
      <c r="G47" s="475">
        <f>'Modell - Tunga fordon'!AK97</f>
        <v>2.3170868776322493E-2</v>
      </c>
      <c r="H47" s="474">
        <f>'Modell - Tunga fordon'!AL97</f>
        <v>3.3156607607513405E-2</v>
      </c>
      <c r="I47" s="475">
        <f>'Modell - Tunga fordon'!AM97</f>
        <v>2.3055567821410945E-2</v>
      </c>
    </row>
    <row r="48" spans="1:9" x14ac:dyDescent="0.25">
      <c r="A48" s="822"/>
      <c r="B48" s="370" t="s">
        <v>16</v>
      </c>
      <c r="C48" s="372" t="s">
        <v>320</v>
      </c>
      <c r="D48" s="476">
        <f t="shared" ref="D48:I48" si="5">SUM(D46:D47)</f>
        <v>0.16043102663443456</v>
      </c>
      <c r="E48" s="477">
        <f t="shared" si="5"/>
        <v>0.13265678749753124</v>
      </c>
      <c r="F48" s="476">
        <f t="shared" si="5"/>
        <v>0.16279143211652328</v>
      </c>
      <c r="G48" s="477">
        <f t="shared" si="5"/>
        <v>7.7822752954387245E-2</v>
      </c>
      <c r="H48" s="476">
        <f t="shared" si="5"/>
        <v>0.16279143211652328</v>
      </c>
      <c r="I48" s="477">
        <f t="shared" si="5"/>
        <v>0.1273132219446956</v>
      </c>
    </row>
    <row r="49" spans="1:15" ht="15.75" thickBot="1" x14ac:dyDescent="0.3">
      <c r="A49" s="406"/>
      <c r="B49" s="367" t="s">
        <v>356</v>
      </c>
      <c r="C49" s="372"/>
      <c r="D49" s="490">
        <f>D48/'Indata - Utsläpp'!$B$24-1</f>
        <v>-0.88501216554297979</v>
      </c>
      <c r="E49" s="491">
        <f>E48/'Indata - Utsläpp'!$B$24-1</f>
        <v>-0.90491916033720532</v>
      </c>
      <c r="F49" s="490">
        <f>F48/'Indata - Utsläpp'!$B$24-1</f>
        <v>-0.88332036115501489</v>
      </c>
      <c r="G49" s="491">
        <f>G48/'Indata - Utsläpp'!$B$24-1</f>
        <v>-0.94422107729760085</v>
      </c>
      <c r="H49" s="490">
        <f>H48/'Indata - Utsläpp'!$B$24-1</f>
        <v>-0.88332036115501489</v>
      </c>
      <c r="I49" s="491">
        <f>I48/'Indata - Utsläpp'!$B$24-1</f>
        <v>-0.90874912417954734</v>
      </c>
    </row>
    <row r="50" spans="1:15" x14ac:dyDescent="0.25">
      <c r="A50" s="820" t="s">
        <v>266</v>
      </c>
      <c r="B50" s="280" t="s">
        <v>183</v>
      </c>
      <c r="C50" s="282" t="s">
        <v>320</v>
      </c>
      <c r="D50" s="472">
        <f>'Modell - Lätta fordon'!AH65</f>
        <v>17.65082970463035</v>
      </c>
      <c r="E50" s="473">
        <f>'Modell - Lätta fordon'!AI65</f>
        <v>19.900000000000002</v>
      </c>
      <c r="F50" s="472">
        <f>'Modell - Lätta fordon'!AJ65</f>
        <v>17.779710989731335</v>
      </c>
      <c r="G50" s="473">
        <f>'Modell - Lätta fordon'!AK65</f>
        <v>20.384688374167261</v>
      </c>
      <c r="H50" s="472">
        <f>'Modell - Lätta fordon'!AL65</f>
        <v>17.779710989731335</v>
      </c>
      <c r="I50" s="473">
        <f>'Modell - Lätta fordon'!AM65</f>
        <v>20.023092820026875</v>
      </c>
    </row>
    <row r="51" spans="1:15" x14ac:dyDescent="0.25">
      <c r="A51" s="822"/>
      <c r="B51" s="75" t="s">
        <v>319</v>
      </c>
      <c r="C51" s="283" t="s">
        <v>320</v>
      </c>
      <c r="D51" s="474">
        <f>'Modell - Tunga fordon'!AH98</f>
        <v>1.1954746781289414</v>
      </c>
      <c r="E51" s="475">
        <f>'Modell - Tunga fordon'!AI98</f>
        <v>1.3968435031926398</v>
      </c>
      <c r="F51" s="474">
        <f>'Modell - Tunga fordon'!AJ98</f>
        <v>1.2427578676566069</v>
      </c>
      <c r="G51" s="475">
        <f>'Modell - Tunga fordon'!AK98</f>
        <v>1.4336601409631398</v>
      </c>
      <c r="H51" s="474">
        <f>'Modell - Tunga fordon'!AL98</f>
        <v>1.2427578676566069</v>
      </c>
      <c r="I51" s="475">
        <f>'Modell - Tunga fordon'!AM98</f>
        <v>1.4265260803084703</v>
      </c>
    </row>
    <row r="52" spans="1:15" x14ac:dyDescent="0.25">
      <c r="A52" s="822"/>
      <c r="B52" s="370" t="s">
        <v>16</v>
      </c>
      <c r="C52" s="372" t="s">
        <v>320</v>
      </c>
      <c r="D52" s="476">
        <f t="shared" ref="D52:I52" si="6">SUM(D50:D51)</f>
        <v>18.846304382759293</v>
      </c>
      <c r="E52" s="477">
        <f t="shared" si="6"/>
        <v>21.29684350319264</v>
      </c>
      <c r="F52" s="476">
        <f t="shared" si="6"/>
        <v>19.022468857387942</v>
      </c>
      <c r="G52" s="477">
        <f t="shared" si="6"/>
        <v>21.818348515130403</v>
      </c>
      <c r="H52" s="476">
        <f>SUM(H50:H51)</f>
        <v>19.022468857387942</v>
      </c>
      <c r="I52" s="477">
        <f t="shared" si="6"/>
        <v>21.449618900335345</v>
      </c>
    </row>
    <row r="53" spans="1:15" ht="15.75" thickBot="1" x14ac:dyDescent="0.3">
      <c r="A53" s="406"/>
      <c r="B53" s="492" t="s">
        <v>356</v>
      </c>
      <c r="C53" s="370"/>
      <c r="D53" s="493">
        <f>D52/'Indata - Utsläpp'!$B$25-1</f>
        <v>0.35023459160894221</v>
      </c>
      <c r="E53" s="494">
        <f>E52/'Indata - Utsläpp'!$B$25-1</f>
        <v>0.52580231148122492</v>
      </c>
      <c r="F53" s="493">
        <f>F52/'Indata - Utsläpp'!$B$25-1</f>
        <v>0.36285581233345821</v>
      </c>
      <c r="G53" s="494">
        <f>G52/'Indata - Utsläpp'!$B$25-1</f>
        <v>0.56316529217572997</v>
      </c>
      <c r="H53" s="493">
        <f>H52/'Indata - Utsläpp'!$B$25-1</f>
        <v>0.36285581233345821</v>
      </c>
      <c r="I53" s="494">
        <f>I52/'Indata - Utsläpp'!$B$25-1</f>
        <v>0.5367478327770383</v>
      </c>
    </row>
    <row r="54" spans="1:15" x14ac:dyDescent="0.25">
      <c r="A54" s="825" t="s">
        <v>129</v>
      </c>
      <c r="B54" s="280" t="s">
        <v>192</v>
      </c>
      <c r="C54" s="280" t="s">
        <v>128</v>
      </c>
      <c r="D54" s="472">
        <f>'Modell - Lätta fordon'!AH73</f>
        <v>33.012893657749572</v>
      </c>
      <c r="E54" s="473">
        <f>'Modell - Lätta fordon'!AI73</f>
        <v>22.873748469091744</v>
      </c>
      <c r="F54" s="472">
        <f>'Modell - Lätta fordon'!AJ73</f>
        <v>33.253944318297087</v>
      </c>
      <c r="G54" s="473">
        <f>'Modell - Lätta fordon'!AK73</f>
        <v>11.700790032977352</v>
      </c>
      <c r="H54" s="472">
        <f>'Modell - Lätta fordon'!AL73</f>
        <v>33.253944318297087</v>
      </c>
      <c r="I54" s="473">
        <f>'Modell - Lätta fordon'!AM73</f>
        <v>23.015235615003597</v>
      </c>
    </row>
    <row r="55" spans="1:15" x14ac:dyDescent="0.25">
      <c r="A55" s="826"/>
      <c r="B55" s="75" t="s">
        <v>315</v>
      </c>
      <c r="C55" s="75" t="s">
        <v>128</v>
      </c>
      <c r="D55" s="474">
        <f>'Modell - Lätta fordon'!AH74</f>
        <v>7.7470767782154928</v>
      </c>
      <c r="E55" s="475">
        <f>'Modell - Lätta fordon'!AI74</f>
        <v>5.2344186079651784</v>
      </c>
      <c r="F55" s="474">
        <f>'Modell - Lätta fordon'!AJ74</f>
        <v>7.8036437060971027</v>
      </c>
      <c r="G55" s="475">
        <f>'Modell - Lätta fordon'!AK74</f>
        <v>3.0598747292571153</v>
      </c>
      <c r="H55" s="474">
        <f>'Modell - Lätta fordon'!AL74</f>
        <v>7.8036437060971027</v>
      </c>
      <c r="I55" s="475">
        <f>'Modell - Lätta fordon'!AM74</f>
        <v>5.2667964646312866</v>
      </c>
    </row>
    <row r="56" spans="1:15" x14ac:dyDescent="0.25">
      <c r="A56" s="826"/>
      <c r="B56" s="75" t="s">
        <v>103</v>
      </c>
      <c r="C56" s="75" t="s">
        <v>128</v>
      </c>
      <c r="D56" s="474">
        <f>'Modell - Lätta fordon'!AH75</f>
        <v>2.5655480975680214</v>
      </c>
      <c r="E56" s="475">
        <f>'Modell - Lätta fordon'!AI75</f>
        <v>6.1063150000000013</v>
      </c>
      <c r="F56" s="474">
        <f>'Modell - Lätta fordon'!AJ75</f>
        <v>2.5842809923574492</v>
      </c>
      <c r="G56" s="475">
        <f>'Modell - Lätta fordon'!AK75</f>
        <v>11.205758661154659</v>
      </c>
      <c r="H56" s="474">
        <f>'Modell - Lätta fordon'!AL75</f>
        <v>2.5842809923574492</v>
      </c>
      <c r="I56" s="475">
        <f>'Modell - Lätta fordon'!AM75</f>
        <v>6.144086031825247</v>
      </c>
    </row>
    <row r="57" spans="1:15" x14ac:dyDescent="0.25">
      <c r="A57" s="826"/>
      <c r="B57" s="75" t="s">
        <v>312</v>
      </c>
      <c r="C57" s="75" t="s">
        <v>128</v>
      </c>
      <c r="D57" s="474">
        <f>'Modell - Tunga fordon'!AH101</f>
        <v>10.236410373187224</v>
      </c>
      <c r="E57" s="475">
        <f>'Modell - Tunga fordon'!AI101</f>
        <v>8.8181018357284593</v>
      </c>
      <c r="F57" s="474">
        <f>'Modell - Tunga fordon'!AJ101</f>
        <v>10.338642261102828</v>
      </c>
      <c r="G57" s="475">
        <f>'Modell - Tunga fordon'!AK101</f>
        <v>7.5493223767548558</v>
      </c>
      <c r="H57" s="474">
        <f>'Modell - Tunga fordon'!AL101</f>
        <v>10.338642261102828</v>
      </c>
      <c r="I57" s="475">
        <f>'Modell - Tunga fordon'!AM101</f>
        <v>6.8140658652426138</v>
      </c>
      <c r="L57" s="495"/>
      <c r="M57" s="495"/>
      <c r="N57" s="495"/>
      <c r="O57" s="495"/>
    </row>
    <row r="58" spans="1:15" x14ac:dyDescent="0.25">
      <c r="A58" s="826"/>
      <c r="B58" s="75" t="s">
        <v>313</v>
      </c>
      <c r="C58" s="75" t="s">
        <v>128</v>
      </c>
      <c r="D58" s="474">
        <f>'Modell - Tunga fordon'!AH102+Indata!D67</f>
        <v>7.651146503492007</v>
      </c>
      <c r="E58" s="475">
        <f>'Modell - Tunga fordon'!AI102+Indata!E67</f>
        <v>5.8622478842546917</v>
      </c>
      <c r="F58" s="474">
        <f>'Modell - Tunga fordon'!AJ102+Indata!F67</f>
        <v>7.6971984099046491</v>
      </c>
      <c r="G58" s="475">
        <f>'Modell - Tunga fordon'!AK102+Indata!G67</f>
        <v>3.3745875668327603</v>
      </c>
      <c r="H58" s="474">
        <f>'Modell - Tunga fordon'!AL102+Indata!H67</f>
        <v>7.6971984099046491</v>
      </c>
      <c r="I58" s="475">
        <f>'Modell - Tunga fordon'!AM102+Indata!I67</f>
        <v>4.9594994479099341</v>
      </c>
    </row>
    <row r="59" spans="1:15" x14ac:dyDescent="0.25">
      <c r="A59" s="826"/>
      <c r="B59" s="75" t="s">
        <v>314</v>
      </c>
      <c r="C59" s="75" t="s">
        <v>128</v>
      </c>
      <c r="D59" s="474">
        <f>'Modell - Tunga fordon'!AH103+Indata!D68</f>
        <v>0.42506732578374073</v>
      </c>
      <c r="E59" s="475">
        <f>'Modell - Tunga fordon'!AI103+Indata!E68</f>
        <v>1.3314867602926577</v>
      </c>
      <c r="F59" s="474">
        <f>'Modell - Tunga fordon'!AJ103+Indata!F68</f>
        <v>0.43007633121242889</v>
      </c>
      <c r="G59" s="475">
        <f>'Modell - Tunga fordon'!AK103+Indata!G68</f>
        <v>4.1440330526480533</v>
      </c>
      <c r="H59" s="474">
        <f>'Modell - Tunga fordon'!AL103+Indata!H68</f>
        <v>0.43007633121242889</v>
      </c>
      <c r="I59" s="475">
        <f>'Modell - Tunga fordon'!AM103+Indata!I68</f>
        <v>3.5704903554279106</v>
      </c>
    </row>
    <row r="60" spans="1:15" x14ac:dyDescent="0.25">
      <c r="A60" s="826"/>
      <c r="B60" s="370" t="s">
        <v>194</v>
      </c>
      <c r="C60" s="370" t="s">
        <v>128</v>
      </c>
      <c r="D60" s="476">
        <f>D54+D57</f>
        <v>43.249304030936798</v>
      </c>
      <c r="E60" s="477">
        <f t="shared" ref="E60:I60" si="7">E54+E57</f>
        <v>31.691850304820203</v>
      </c>
      <c r="F60" s="476">
        <f t="shared" si="7"/>
        <v>43.592586579399914</v>
      </c>
      <c r="G60" s="477">
        <f>G54+G57</f>
        <v>19.250112409732207</v>
      </c>
      <c r="H60" s="476">
        <f t="shared" si="7"/>
        <v>43.592586579399914</v>
      </c>
      <c r="I60" s="477">
        <f t="shared" si="7"/>
        <v>29.829301480246212</v>
      </c>
      <c r="L60" s="495"/>
      <c r="M60" s="495"/>
      <c r="N60" s="495"/>
      <c r="O60" s="495"/>
    </row>
    <row r="61" spans="1:15" x14ac:dyDescent="0.25">
      <c r="A61" s="826"/>
      <c r="B61" s="370" t="s">
        <v>195</v>
      </c>
      <c r="C61" s="370" t="s">
        <v>128</v>
      </c>
      <c r="D61" s="476">
        <f>D55+D58</f>
        <v>15.3982232817075</v>
      </c>
      <c r="E61" s="477">
        <f t="shared" ref="E61:I61" si="8">E55+E58</f>
        <v>11.096666492219871</v>
      </c>
      <c r="F61" s="476">
        <f>F55+F58</f>
        <v>15.500842116001753</v>
      </c>
      <c r="G61" s="477">
        <f>G55+G58</f>
        <v>6.4344622960898761</v>
      </c>
      <c r="H61" s="476">
        <f t="shared" si="8"/>
        <v>15.500842116001753</v>
      </c>
      <c r="I61" s="477">
        <f t="shared" si="8"/>
        <v>10.226295912541222</v>
      </c>
    </row>
    <row r="62" spans="1:15" x14ac:dyDescent="0.25">
      <c r="A62" s="826"/>
      <c r="B62" s="370" t="s">
        <v>196</v>
      </c>
      <c r="C62" s="370" t="s">
        <v>128</v>
      </c>
      <c r="D62" s="476">
        <f>D56+D59</f>
        <v>2.9906154233517621</v>
      </c>
      <c r="E62" s="477">
        <f>E56+E59</f>
        <v>7.4378017602926594</v>
      </c>
      <c r="F62" s="476">
        <f>F56+F59</f>
        <v>3.014357323569878</v>
      </c>
      <c r="G62" s="477">
        <f>G56+G59</f>
        <v>15.349791713802713</v>
      </c>
      <c r="H62" s="476">
        <f>H56+H59</f>
        <v>3.014357323569878</v>
      </c>
      <c r="I62" s="477">
        <f>I56+I59</f>
        <v>9.7145763872531568</v>
      </c>
    </row>
    <row r="63" spans="1:15" ht="15.75" thickBot="1" x14ac:dyDescent="0.3">
      <c r="A63" s="827"/>
      <c r="B63" s="371" t="s">
        <v>358</v>
      </c>
      <c r="C63" s="371" t="s">
        <v>128</v>
      </c>
      <c r="D63" s="478">
        <f>SUM(D60:D62)</f>
        <v>61.638142735996063</v>
      </c>
      <c r="E63" s="479">
        <f t="shared" ref="E63:I63" si="9">SUM(E60:E62)</f>
        <v>50.226318557332732</v>
      </c>
      <c r="F63" s="478">
        <f t="shared" si="9"/>
        <v>62.107786018971545</v>
      </c>
      <c r="G63" s="479">
        <f t="shared" si="9"/>
        <v>41.034366419624796</v>
      </c>
      <c r="H63" s="478">
        <f t="shared" si="9"/>
        <v>62.107786018971545</v>
      </c>
      <c r="I63" s="479">
        <f t="shared" si="9"/>
        <v>49.770173780040594</v>
      </c>
    </row>
    <row r="64" spans="1:15" x14ac:dyDescent="0.25">
      <c r="A64" s="826" t="s">
        <v>240</v>
      </c>
      <c r="B64" s="75" t="s">
        <v>192</v>
      </c>
      <c r="C64" s="283" t="s">
        <v>135</v>
      </c>
      <c r="D64" s="480">
        <f>'Modell - Lätta fordon'!AH83</f>
        <v>24.335398812970908</v>
      </c>
      <c r="E64" s="481">
        <f>'Modell - Lätta fordon'!AI83</f>
        <v>20.676195209416434</v>
      </c>
      <c r="F64" s="480">
        <f>'Modell - Lätta fordon'!AJ83</f>
        <v>24.513088900346119</v>
      </c>
      <c r="G64" s="496">
        <f>'Modell - Lätta fordon'!AK83</f>
        <v>10.317818606286284</v>
      </c>
      <c r="H64" s="497">
        <f>'Modell - Lätta fordon'!AL83</f>
        <v>24.513088900346119</v>
      </c>
      <c r="I64" s="496">
        <f>'Modell - Lätta fordon'!AM83</f>
        <v>20.804089238348755</v>
      </c>
    </row>
    <row r="65" spans="1:9" x14ac:dyDescent="0.25">
      <c r="A65" s="826"/>
      <c r="B65" s="75" t="s">
        <v>193</v>
      </c>
      <c r="C65" s="283" t="s">
        <v>135</v>
      </c>
      <c r="D65" s="449">
        <f>'Modell - Lätta fordon'!AH84</f>
        <v>5.3590207809846397</v>
      </c>
      <c r="E65" s="450">
        <f>'Modell - Lätta fordon'!AI84</f>
        <v>4.4448355030893012</v>
      </c>
      <c r="F65" s="449">
        <f>'Modell - Lätta fordon'!AJ84</f>
        <v>5.398150810376686</v>
      </c>
      <c r="G65" s="451">
        <f>'Modell - Lätta fordon'!AK84</f>
        <v>2.9237934100567129</v>
      </c>
      <c r="H65" s="452">
        <f>'Modell - Lätta fordon'!AL84</f>
        <v>5.398150810376686</v>
      </c>
      <c r="I65" s="451">
        <f>'Modell - Lätta fordon'!AM84</f>
        <v>4.4723293391009014</v>
      </c>
    </row>
    <row r="66" spans="1:9" x14ac:dyDescent="0.25">
      <c r="A66" s="826"/>
      <c r="B66" s="75" t="s">
        <v>103</v>
      </c>
      <c r="C66" s="283" t="s">
        <v>135</v>
      </c>
      <c r="D66" s="449">
        <f>'Modell - Lätta fordon'!AH85</f>
        <v>0.86356348964139595</v>
      </c>
      <c r="E66" s="450">
        <f>'Modell - Lätta fordon'!AI85</f>
        <v>2.0553856290000003</v>
      </c>
      <c r="F66" s="449">
        <f>'Modell - Lätta fordon'!AJ85</f>
        <v>0.86986898202751739</v>
      </c>
      <c r="G66" s="451">
        <f>'Modell - Lätta fordon'!AK85</f>
        <v>3.771858365344658</v>
      </c>
      <c r="H66" s="452">
        <f>'Modell - Lätta fordon'!AL85</f>
        <v>0.86986898202751739</v>
      </c>
      <c r="I66" s="451">
        <f>'Modell - Lätta fordon'!AM85</f>
        <v>2.0680993583123781</v>
      </c>
    </row>
    <row r="67" spans="1:9" x14ac:dyDescent="0.25">
      <c r="A67" s="826"/>
      <c r="B67" s="75" t="s">
        <v>317</v>
      </c>
      <c r="C67" s="283" t="s">
        <v>135</v>
      </c>
      <c r="D67" s="449">
        <f>'Modell - Tunga fordon'!AH106</f>
        <v>5.8833096119358101</v>
      </c>
      <c r="E67" s="450">
        <f>'Modell - Tunga fordon'!AI106</f>
        <v>6.178041813034266</v>
      </c>
      <c r="F67" s="449">
        <f>'Modell - Tunga fordon'!AJ106</f>
        <v>5.9420667178833861</v>
      </c>
      <c r="G67" s="451">
        <f>'Modell - Tunga fordon'!AK106</f>
        <v>5.2891234613207221</v>
      </c>
      <c r="H67" s="452">
        <f>'Modell - Tunga fordon'!AL106</f>
        <v>5.9420667178833861</v>
      </c>
      <c r="I67" s="451">
        <f>'Modell - Tunga fordon'!AM106</f>
        <v>4.7739961066984788</v>
      </c>
    </row>
    <row r="68" spans="1:9" x14ac:dyDescent="0.25">
      <c r="A68" s="826"/>
      <c r="B68" s="75" t="s">
        <v>316</v>
      </c>
      <c r="C68" s="283" t="s">
        <v>135</v>
      </c>
      <c r="D68" s="449">
        <f>'Modell - Tunga fordon'!AH107</f>
        <v>2.768616287969794</v>
      </c>
      <c r="E68" s="450">
        <f>'Modell - Tunga fordon'!AI107</f>
        <v>2.9073137943690668</v>
      </c>
      <c r="F68" s="449">
        <f>'Modell - Tunga fordon'!AJ107</f>
        <v>2.7962666907686518</v>
      </c>
      <c r="G68" s="451">
        <f>'Modell - Tunga fordon'!AK107</f>
        <v>1.763041153773574</v>
      </c>
      <c r="H68" s="452">
        <f>'Modell - Tunga fordon'!AL107</f>
        <v>2.7962666907686518</v>
      </c>
      <c r="I68" s="451">
        <f>'Modell - Tunga fordon'!AM107</f>
        <v>2.246586403152226</v>
      </c>
    </row>
    <row r="69" spans="1:9" x14ac:dyDescent="0.25">
      <c r="A69" s="826"/>
      <c r="B69" s="75" t="s">
        <v>318</v>
      </c>
      <c r="C69" s="283" t="s">
        <v>135</v>
      </c>
      <c r="D69" s="449">
        <f>'Modell - Tunga fordon'!AH108</f>
        <v>5.5561661858807121E-2</v>
      </c>
      <c r="E69" s="450">
        <f>'Modell - Tunga fordon'!AI108</f>
        <v>0.25968244351450853</v>
      </c>
      <c r="F69" s="449">
        <f>'Modell - Tunga fordon'!AJ108</f>
        <v>5.7247693086103557E-2</v>
      </c>
      <c r="G69" s="451">
        <f>'Modell - Tunga fordon'!AK108</f>
        <v>1.0178895255213347</v>
      </c>
      <c r="H69" s="452">
        <f>'Modell - Tunga fordon'!AL108</f>
        <v>5.7247693086103557E-2</v>
      </c>
      <c r="I69" s="451">
        <f>'Modell - Tunga fordon'!AM108</f>
        <v>1.0133310536370346</v>
      </c>
    </row>
    <row r="70" spans="1:9" x14ac:dyDescent="0.25">
      <c r="A70" s="826"/>
      <c r="B70" s="370" t="s">
        <v>194</v>
      </c>
      <c r="C70" s="372" t="s">
        <v>135</v>
      </c>
      <c r="D70" s="461">
        <f>D64+D67</f>
        <v>30.218708424906719</v>
      </c>
      <c r="E70" s="471">
        <f t="shared" ref="E70:I70" si="10">E64+E67</f>
        <v>26.8542370224507</v>
      </c>
      <c r="F70" s="461">
        <f t="shared" si="10"/>
        <v>30.455155618229504</v>
      </c>
      <c r="G70" s="463">
        <f t="shared" si="10"/>
        <v>15.606942067607006</v>
      </c>
      <c r="H70" s="464">
        <f t="shared" si="10"/>
        <v>30.455155618229504</v>
      </c>
      <c r="I70" s="463">
        <f t="shared" si="10"/>
        <v>25.578085345047235</v>
      </c>
    </row>
    <row r="71" spans="1:9" x14ac:dyDescent="0.25">
      <c r="A71" s="826"/>
      <c r="B71" s="370" t="s">
        <v>195</v>
      </c>
      <c r="C71" s="372" t="s">
        <v>135</v>
      </c>
      <c r="D71" s="461">
        <f>D65+D68</f>
        <v>8.1276370689544333</v>
      </c>
      <c r="E71" s="471">
        <f t="shared" ref="E71:I71" si="11">E65+E68</f>
        <v>7.352149297458368</v>
      </c>
      <c r="F71" s="461">
        <f t="shared" si="11"/>
        <v>8.1944175011453382</v>
      </c>
      <c r="G71" s="463">
        <f t="shared" si="11"/>
        <v>4.6868345638302866</v>
      </c>
      <c r="H71" s="464">
        <f t="shared" si="11"/>
        <v>8.1944175011453382</v>
      </c>
      <c r="I71" s="463">
        <f t="shared" si="11"/>
        <v>6.7189157422531274</v>
      </c>
    </row>
    <row r="72" spans="1:9" ht="15.75" thickBot="1" x14ac:dyDescent="0.3">
      <c r="A72" s="827"/>
      <c r="B72" s="371" t="s">
        <v>196</v>
      </c>
      <c r="C72" s="373" t="s">
        <v>135</v>
      </c>
      <c r="D72" s="482">
        <f>D66+D69</f>
        <v>0.91912515150020302</v>
      </c>
      <c r="E72" s="483">
        <f t="shared" ref="E72:I72" si="12">E66+E69</f>
        <v>2.3150680725145087</v>
      </c>
      <c r="F72" s="482">
        <f>F66+F69</f>
        <v>0.92711667511362095</v>
      </c>
      <c r="G72" s="484">
        <f t="shared" si="12"/>
        <v>4.7897478908659927</v>
      </c>
      <c r="H72" s="485">
        <f t="shared" si="12"/>
        <v>0.92711667511362095</v>
      </c>
      <c r="I72" s="484">
        <f t="shared" si="12"/>
        <v>3.0814304119494125</v>
      </c>
    </row>
    <row r="73" spans="1:9" x14ac:dyDescent="0.25">
      <c r="A73" s="825" t="s">
        <v>199</v>
      </c>
      <c r="B73" s="280" t="s">
        <v>183</v>
      </c>
      <c r="C73" s="280" t="s">
        <v>135</v>
      </c>
      <c r="D73" s="445">
        <f>'Modell - Lätta fordon'!AH89</f>
        <v>0</v>
      </c>
      <c r="E73" s="446">
        <f>'Modell - Lätta fordon'!AI89</f>
        <v>0</v>
      </c>
      <c r="F73" s="445">
        <f>'Modell - Lätta fordon'!AJ89</f>
        <v>0</v>
      </c>
      <c r="G73" s="447">
        <f>'Modell - Lätta fordon'!AK89</f>
        <v>0</v>
      </c>
      <c r="H73" s="448">
        <f>'Modell - Lätta fordon'!AL89</f>
        <v>0</v>
      </c>
      <c r="I73" s="447">
        <f>'Modell - Lätta fordon'!AM89</f>
        <v>0</v>
      </c>
    </row>
    <row r="74" spans="1:9" x14ac:dyDescent="0.25">
      <c r="A74" s="826"/>
      <c r="B74" s="75" t="s">
        <v>319</v>
      </c>
      <c r="C74" s="283" t="s">
        <v>135</v>
      </c>
      <c r="D74" s="449">
        <f>'Modell - Tunga fordon'!AH114</f>
        <v>0</v>
      </c>
      <c r="E74" s="450">
        <f>'Modell - Tunga fordon'!AI114</f>
        <v>0</v>
      </c>
      <c r="F74" s="449">
        <f>'Modell - Tunga fordon'!AJ114</f>
        <v>0</v>
      </c>
      <c r="G74" s="451">
        <f>'Modell - Tunga fordon'!AK114</f>
        <v>0</v>
      </c>
      <c r="H74" s="452">
        <f>'Modell - Tunga fordon'!AL114</f>
        <v>0</v>
      </c>
      <c r="I74" s="451">
        <f>'Modell - Tunga fordon'!AM114</f>
        <v>0</v>
      </c>
    </row>
    <row r="75" spans="1:9" ht="15.75" thickBot="1" x14ac:dyDescent="0.3">
      <c r="A75" s="827"/>
      <c r="B75" s="371" t="s">
        <v>273</v>
      </c>
      <c r="C75" s="371" t="s">
        <v>135</v>
      </c>
      <c r="D75" s="469">
        <f>SUM(D73:D74)</f>
        <v>0</v>
      </c>
      <c r="E75" s="470">
        <f t="shared" ref="E75:I75" si="13">SUM(E73:E74)</f>
        <v>0</v>
      </c>
      <c r="F75" s="469">
        <f t="shared" si="13"/>
        <v>0</v>
      </c>
      <c r="G75" s="404">
        <f t="shared" si="13"/>
        <v>0</v>
      </c>
      <c r="H75" s="402">
        <f t="shared" si="13"/>
        <v>0</v>
      </c>
      <c r="I75" s="404">
        <f t="shared" si="13"/>
        <v>0</v>
      </c>
    </row>
    <row r="76" spans="1:9" x14ac:dyDescent="0.25">
      <c r="A76" s="825" t="s">
        <v>200</v>
      </c>
      <c r="B76" s="280" t="s">
        <v>183</v>
      </c>
      <c r="C76" s="280" t="s">
        <v>135</v>
      </c>
      <c r="D76" s="445">
        <f>SUM(D64:D66,D73)</f>
        <v>30.557983083596945</v>
      </c>
      <c r="E76" s="446">
        <f t="shared" ref="E76:I76" si="14">SUM(E64:E66,E73)</f>
        <v>27.176416341505735</v>
      </c>
      <c r="F76" s="445">
        <f t="shared" si="14"/>
        <v>30.781108692750323</v>
      </c>
      <c r="G76" s="447">
        <f t="shared" si="14"/>
        <v>17.013470381687657</v>
      </c>
      <c r="H76" s="448">
        <f t="shared" si="14"/>
        <v>30.781108692750323</v>
      </c>
      <c r="I76" s="447">
        <f t="shared" si="14"/>
        <v>27.344517935762035</v>
      </c>
    </row>
    <row r="77" spans="1:9" x14ac:dyDescent="0.25">
      <c r="A77" s="826"/>
      <c r="B77" s="75" t="s">
        <v>319</v>
      </c>
      <c r="C77" s="283" t="s">
        <v>135</v>
      </c>
      <c r="D77" s="449">
        <f>SUM(D67:D69,D74)</f>
        <v>8.7074875617644114</v>
      </c>
      <c r="E77" s="450">
        <f t="shared" ref="E77:I77" si="15">SUM(E67:E69,E74)</f>
        <v>9.3450380509178412</v>
      </c>
      <c r="F77" s="449">
        <f t="shared" si="15"/>
        <v>8.7955811017381418</v>
      </c>
      <c r="G77" s="451">
        <f t="shared" si="15"/>
        <v>8.0700541406156301</v>
      </c>
      <c r="H77" s="452">
        <f t="shared" si="15"/>
        <v>8.7955811017381418</v>
      </c>
      <c r="I77" s="451">
        <f t="shared" si="15"/>
        <v>8.0339135634877401</v>
      </c>
    </row>
    <row r="78" spans="1:9" ht="15.75" thickBot="1" x14ac:dyDescent="0.3">
      <c r="A78" s="826"/>
      <c r="B78" s="370" t="s">
        <v>273</v>
      </c>
      <c r="C78" s="370" t="s">
        <v>135</v>
      </c>
      <c r="D78" s="555">
        <f>SUM(D76:D77)</f>
        <v>39.265470645361354</v>
      </c>
      <c r="E78" s="556">
        <f t="shared" ref="E78" si="16">SUM(E76:E77)</f>
        <v>36.521454392423578</v>
      </c>
      <c r="F78" s="555">
        <f t="shared" ref="F78" si="17">SUM(F76:F77)</f>
        <v>39.576689794488466</v>
      </c>
      <c r="G78" s="557">
        <f t="shared" ref="G78" si="18">SUM(G76:G77)</f>
        <v>25.083524522303286</v>
      </c>
      <c r="H78" s="558">
        <f t="shared" ref="H78" si="19">SUM(H76:H77)</f>
        <v>39.576689794488466</v>
      </c>
      <c r="I78" s="557">
        <f t="shared" ref="I78" si="20">SUM(I76:I77)</f>
        <v>35.378431499249771</v>
      </c>
    </row>
    <row r="79" spans="1:9" x14ac:dyDescent="0.25">
      <c r="A79" s="828" t="s">
        <v>489</v>
      </c>
      <c r="B79" s="280" t="s">
        <v>183</v>
      </c>
      <c r="C79" s="280" t="s">
        <v>135</v>
      </c>
      <c r="D79" s="561"/>
      <c r="E79" s="566"/>
      <c r="F79" s="571">
        <f>'Beräkningar konsumentöverskott'!G29</f>
        <v>0</v>
      </c>
      <c r="G79" s="559">
        <f>'Beräkningar konsumentöverskott'!H29</f>
        <v>11.731669538627239</v>
      </c>
      <c r="H79" s="582"/>
      <c r="I79" s="559"/>
    </row>
    <row r="80" spans="1:9" x14ac:dyDescent="0.25">
      <c r="A80" s="829"/>
      <c r="B80" s="75" t="s">
        <v>319</v>
      </c>
      <c r="C80" s="75" t="s">
        <v>135</v>
      </c>
      <c r="D80" s="563"/>
      <c r="E80" s="567"/>
      <c r="F80" s="572">
        <f>'Beräkningar konsumentöverskott'!G30</f>
        <v>0</v>
      </c>
      <c r="G80" s="560">
        <f>'Beräkningar konsumentöverskott'!H30</f>
        <v>0.54120928192460505</v>
      </c>
      <c r="H80" s="583"/>
      <c r="I80" s="560"/>
    </row>
    <row r="81" spans="1:9" ht="15.75" thickBot="1" x14ac:dyDescent="0.3">
      <c r="A81" s="830"/>
      <c r="B81" s="371" t="s">
        <v>273</v>
      </c>
      <c r="C81" s="371" t="s">
        <v>135</v>
      </c>
      <c r="D81" s="587"/>
      <c r="E81" s="568"/>
      <c r="F81" s="575">
        <f>SUM(F79:F80)</f>
        <v>0</v>
      </c>
      <c r="G81" s="576">
        <f>SUM(G79:G80)</f>
        <v>12.272878820551844</v>
      </c>
      <c r="H81" s="588"/>
      <c r="I81" s="576"/>
    </row>
    <row r="82" spans="1:9" x14ac:dyDescent="0.25">
      <c r="A82" s="831" t="s">
        <v>490</v>
      </c>
      <c r="B82" s="280" t="s">
        <v>183</v>
      </c>
      <c r="C82" s="280" t="s">
        <v>135</v>
      </c>
      <c r="D82" s="561"/>
      <c r="E82" s="566"/>
      <c r="F82" s="573">
        <f t="shared" ref="F82:G84" si="21">F76-H76</f>
        <v>0</v>
      </c>
      <c r="G82" s="562">
        <f t="shared" si="21"/>
        <v>-10.331047554074377</v>
      </c>
      <c r="H82" s="590"/>
      <c r="I82" s="562"/>
    </row>
    <row r="83" spans="1:9" x14ac:dyDescent="0.25">
      <c r="A83" s="832"/>
      <c r="B83" s="75" t="s">
        <v>319</v>
      </c>
      <c r="C83" s="75" t="s">
        <v>135</v>
      </c>
      <c r="D83" s="563"/>
      <c r="E83" s="569"/>
      <c r="F83" s="574">
        <f t="shared" si="21"/>
        <v>0</v>
      </c>
      <c r="G83" s="564">
        <f t="shared" si="21"/>
        <v>3.6140577127889983E-2</v>
      </c>
      <c r="H83" s="584"/>
      <c r="I83" s="564"/>
    </row>
    <row r="84" spans="1:9" ht="15.75" thickBot="1" x14ac:dyDescent="0.3">
      <c r="A84" s="833"/>
      <c r="B84" s="371" t="s">
        <v>273</v>
      </c>
      <c r="C84" s="371" t="s">
        <v>135</v>
      </c>
      <c r="D84" s="565"/>
      <c r="E84" s="570"/>
      <c r="F84" s="586">
        <f t="shared" si="21"/>
        <v>0</v>
      </c>
      <c r="G84" s="581">
        <f t="shared" si="21"/>
        <v>-10.294906976946486</v>
      </c>
      <c r="H84" s="585"/>
      <c r="I84" s="581"/>
    </row>
    <row r="85" spans="1:9" x14ac:dyDescent="0.25">
      <c r="A85" s="828" t="s">
        <v>491</v>
      </c>
      <c r="B85" s="280" t="s">
        <v>183</v>
      </c>
      <c r="C85" s="280" t="s">
        <v>135</v>
      </c>
      <c r="D85" s="577"/>
      <c r="E85" s="578"/>
      <c r="F85" s="579">
        <f t="shared" ref="F85:G87" si="22">F82+F79</f>
        <v>0</v>
      </c>
      <c r="G85" s="580">
        <f t="shared" si="22"/>
        <v>1.4006219845528616</v>
      </c>
      <c r="H85" s="589"/>
      <c r="I85" s="580"/>
    </row>
    <row r="86" spans="1:9" x14ac:dyDescent="0.25">
      <c r="A86" s="829"/>
      <c r="B86" s="75" t="s">
        <v>319</v>
      </c>
      <c r="C86" s="75" t="s">
        <v>135</v>
      </c>
      <c r="D86" s="563"/>
      <c r="E86" s="569"/>
      <c r="F86" s="574">
        <f t="shared" si="22"/>
        <v>0</v>
      </c>
      <c r="G86" s="564">
        <f t="shared" si="22"/>
        <v>0.57734985905249503</v>
      </c>
      <c r="H86" s="584"/>
      <c r="I86" s="564"/>
    </row>
    <row r="87" spans="1:9" ht="15.75" thickBot="1" x14ac:dyDescent="0.3">
      <c r="A87" s="830"/>
      <c r="B87" s="371" t="s">
        <v>273</v>
      </c>
      <c r="C87" s="371" t="s">
        <v>135</v>
      </c>
      <c r="D87" s="565"/>
      <c r="E87" s="570"/>
      <c r="F87" s="586">
        <f t="shared" si="22"/>
        <v>0</v>
      </c>
      <c r="G87" s="581">
        <f t="shared" si="22"/>
        <v>1.9779718436053582</v>
      </c>
      <c r="H87" s="585"/>
      <c r="I87" s="581"/>
    </row>
  </sheetData>
  <mergeCells count="23">
    <mergeCell ref="A79:A81"/>
    <mergeCell ref="A82:A84"/>
    <mergeCell ref="A85:A87"/>
    <mergeCell ref="A73:A75"/>
    <mergeCell ref="A76:A78"/>
    <mergeCell ref="A37:A41"/>
    <mergeCell ref="A54:A63"/>
    <mergeCell ref="A64:A72"/>
    <mergeCell ref="A42:A44"/>
    <mergeCell ref="A46:A48"/>
    <mergeCell ref="A50:A52"/>
    <mergeCell ref="A17:A18"/>
    <mergeCell ref="A20:A26"/>
    <mergeCell ref="A35:A36"/>
    <mergeCell ref="A7:A11"/>
    <mergeCell ref="A12:A16"/>
    <mergeCell ref="A27:A34"/>
    <mergeCell ref="D4:E4"/>
    <mergeCell ref="F4:G4"/>
    <mergeCell ref="H4:I4"/>
    <mergeCell ref="D5:E5"/>
    <mergeCell ref="F5:G5"/>
    <mergeCell ref="H5:I5"/>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1"/>
  <sheetViews>
    <sheetView topLeftCell="B1" zoomScale="115" zoomScaleNormal="115" workbookViewId="0">
      <selection activeCell="H20" sqref="H20"/>
    </sheetView>
  </sheetViews>
  <sheetFormatPr defaultRowHeight="15" x14ac:dyDescent="0.25"/>
  <cols>
    <col min="1" max="1" width="58.42578125" customWidth="1"/>
    <col min="2" max="2" width="29.42578125" customWidth="1"/>
    <col min="3" max="4" width="14.140625" customWidth="1"/>
    <col min="5" max="6" width="12" bestFit="1" customWidth="1"/>
    <col min="7" max="7" width="11" bestFit="1" customWidth="1"/>
    <col min="8" max="10" width="12" bestFit="1" customWidth="1"/>
  </cols>
  <sheetData>
    <row r="3" spans="1:10" ht="15.75" thickBot="1" x14ac:dyDescent="0.3"/>
    <row r="4" spans="1:10" ht="16.5" thickBot="1" x14ac:dyDescent="0.3">
      <c r="E4" s="834" t="s">
        <v>64</v>
      </c>
      <c r="F4" s="835"/>
      <c r="G4" s="785" t="s">
        <v>65</v>
      </c>
      <c r="H4" s="786"/>
      <c r="I4" s="785" t="s">
        <v>66</v>
      </c>
      <c r="J4" s="786"/>
    </row>
    <row r="5" spans="1:10" ht="48" customHeight="1" thickBot="1" x14ac:dyDescent="0.4">
      <c r="A5" s="550" t="s">
        <v>386</v>
      </c>
      <c r="B5" s="550"/>
      <c r="C5" s="550"/>
      <c r="E5" s="818" t="str">
        <f>Indata!D6</f>
        <v>Beslutad politik - Trafikverkets basscenario, ändras ej av EMA!</v>
      </c>
      <c r="F5" s="819"/>
      <c r="G5" s="818" t="str">
        <f>Indata!F6</f>
        <v>Policy scenario (EMA)</v>
      </c>
      <c r="H5" s="819"/>
      <c r="I5" s="818" t="str">
        <f>Indata!H6</f>
        <v>Reference scenario (EMA -beslutad politik, varierande X)</v>
      </c>
      <c r="J5" s="819"/>
    </row>
    <row r="6" spans="1:10" ht="16.5" thickBot="1" x14ac:dyDescent="0.3">
      <c r="A6" s="120" t="s">
        <v>178</v>
      </c>
      <c r="B6" s="121" t="s">
        <v>18</v>
      </c>
      <c r="C6" s="121" t="s">
        <v>14</v>
      </c>
      <c r="D6" s="121" t="s">
        <v>389</v>
      </c>
      <c r="E6" s="122">
        <v>2030</v>
      </c>
      <c r="F6" s="123">
        <v>2040</v>
      </c>
      <c r="G6" s="122">
        <v>2030</v>
      </c>
      <c r="H6" s="123">
        <v>2040</v>
      </c>
      <c r="I6" s="122">
        <v>2030</v>
      </c>
      <c r="J6" s="123">
        <v>2040</v>
      </c>
    </row>
    <row r="7" spans="1:10" x14ac:dyDescent="0.25">
      <c r="A7" t="s">
        <v>387</v>
      </c>
      <c r="B7" t="str">
        <f>Resultat!B23</f>
        <v>Lätta fordon - Sammanvägd</v>
      </c>
      <c r="C7" t="str">
        <f>Resultat!C23</f>
        <v>kr/mil</v>
      </c>
      <c r="D7" t="s">
        <v>390</v>
      </c>
      <c r="E7" s="552">
        <f>Resultat!D23</f>
        <v>20.74</v>
      </c>
      <c r="F7" s="552">
        <f>Resultat!E23</f>
        <v>19.655019213344737</v>
      </c>
      <c r="G7" s="552">
        <f>Resultat!F23</f>
        <v>20.236024700220387</v>
      </c>
      <c r="H7" s="552">
        <f>Resultat!G23</f>
        <v>18.067825305008299</v>
      </c>
      <c r="I7" s="552">
        <f>Resultat!H23</f>
        <v>20.236024700220387</v>
      </c>
      <c r="J7" s="552">
        <f>Resultat!I23</f>
        <v>19.250316494987008</v>
      </c>
    </row>
    <row r="8" spans="1:10" x14ac:dyDescent="0.25">
      <c r="A8" t="s">
        <v>387</v>
      </c>
      <c r="B8" t="str">
        <f>Resultat!B26</f>
        <v>Tunga lastbilar - Sammanvägd</v>
      </c>
      <c r="C8" t="str">
        <f>Resultat!C26</f>
        <v>kr/mil</v>
      </c>
      <c r="D8" t="s">
        <v>390</v>
      </c>
      <c r="E8" s="552">
        <f>Resultat!D26</f>
        <v>172.79834480680643</v>
      </c>
      <c r="F8" s="552">
        <f>Resultat!E26</f>
        <v>170.38831537025214</v>
      </c>
      <c r="G8" s="552">
        <f>Resultat!F26</f>
        <v>141.73249198911356</v>
      </c>
      <c r="H8" s="552">
        <f>Resultat!G26</f>
        <v>166.46267820109932</v>
      </c>
      <c r="I8" s="552">
        <f>Resultat!H26</f>
        <v>141.73249198911356</v>
      </c>
      <c r="J8" s="552">
        <f>Resultat!I26</f>
        <v>167.22335965842134</v>
      </c>
    </row>
    <row r="9" spans="1:10" x14ac:dyDescent="0.25">
      <c r="A9" t="s">
        <v>17</v>
      </c>
      <c r="B9" t="str">
        <f>Resultat!B30</f>
        <v>Lätta fordon - Totalt</v>
      </c>
      <c r="C9" t="str">
        <f>Resultat!C30</f>
        <v>miljarder fordonskilometer per år</v>
      </c>
      <c r="D9" t="s">
        <v>391</v>
      </c>
      <c r="E9" s="552">
        <f>Resultat!D30</f>
        <v>88.254148523151741</v>
      </c>
      <c r="F9" s="552">
        <f>Resultat!E30</f>
        <v>99.5</v>
      </c>
      <c r="G9" s="552">
        <f>Resultat!F30</f>
        <v>88.898554948656667</v>
      </c>
      <c r="H9" s="552">
        <f>Resultat!G30</f>
        <v>101.9234418708363</v>
      </c>
      <c r="I9" s="552">
        <f>Resultat!H30</f>
        <v>88.898554948656667</v>
      </c>
      <c r="J9" s="552">
        <f>Resultat!I30</f>
        <v>100.11546410013436</v>
      </c>
    </row>
    <row r="10" spans="1:10" x14ac:dyDescent="0.25">
      <c r="A10" t="s">
        <v>17</v>
      </c>
      <c r="B10" t="str">
        <f>Resultat!B33</f>
        <v>Tunga lastbilar - Totalt</v>
      </c>
      <c r="C10" t="str">
        <f>Resultat!C33</f>
        <v>miljarder fordonskilometer per år</v>
      </c>
      <c r="D10" t="s">
        <v>391</v>
      </c>
      <c r="E10" s="552">
        <f>Resultat!D33</f>
        <v>5.9773733906447069</v>
      </c>
      <c r="F10" s="552">
        <f>Resultat!E33</f>
        <v>6.9842175159631985</v>
      </c>
      <c r="G10" s="552">
        <f>Resultat!F33</f>
        <v>6.2137893382830338</v>
      </c>
      <c r="H10" s="552">
        <f>Resultat!G33</f>
        <v>7.1683007048156986</v>
      </c>
      <c r="I10" s="552">
        <f>Resultat!H33</f>
        <v>6.2137893382830338</v>
      </c>
      <c r="J10" s="552">
        <f>Resultat!I33</f>
        <v>7.1326304015423512</v>
      </c>
    </row>
    <row r="11" spans="1:10" x14ac:dyDescent="0.25">
      <c r="A11" t="s">
        <v>23</v>
      </c>
      <c r="B11" t="str">
        <f>Indata!B21</f>
        <v>Lätta fordon</v>
      </c>
      <c r="C11" t="str">
        <f>Indata!C21</f>
        <v>procent</v>
      </c>
      <c r="E11" s="552">
        <f>Indata!D21</f>
        <v>0</v>
      </c>
      <c r="F11" s="552">
        <f>Indata!E21</f>
        <v>0</v>
      </c>
      <c r="G11" s="552">
        <f>Indata!F21</f>
        <v>0</v>
      </c>
      <c r="H11" s="552">
        <f>Indata!G21</f>
        <v>0</v>
      </c>
      <c r="I11" s="552">
        <f>Indata!H21</f>
        <v>0</v>
      </c>
      <c r="J11" s="552">
        <f>Indata!I21</f>
        <v>0</v>
      </c>
    </row>
    <row r="12" spans="1:10" x14ac:dyDescent="0.25">
      <c r="A12" t="s">
        <v>23</v>
      </c>
      <c r="B12" t="str">
        <f>Indata!B22</f>
        <v>Tunga lastbilar</v>
      </c>
      <c r="C12" t="str">
        <f>Indata!C22</f>
        <v>procent</v>
      </c>
      <c r="E12" s="552">
        <f>Indata!D22</f>
        <v>0</v>
      </c>
      <c r="F12" s="552">
        <f>Indata!E22</f>
        <v>0</v>
      </c>
      <c r="G12" s="552">
        <f>Indata!F22</f>
        <v>0</v>
      </c>
      <c r="H12" s="552">
        <f>Indata!G22</f>
        <v>0</v>
      </c>
      <c r="I12" s="552">
        <f>Indata!H22</f>
        <v>0</v>
      </c>
      <c r="J12" s="552">
        <f>Indata!I22</f>
        <v>0</v>
      </c>
    </row>
    <row r="15" spans="1:10" ht="15.75" thickBot="1" x14ac:dyDescent="0.3"/>
    <row r="16" spans="1:10" ht="16.5" thickBot="1" x14ac:dyDescent="0.3">
      <c r="G16" s="785" t="s">
        <v>65</v>
      </c>
      <c r="H16" s="786"/>
      <c r="I16" s="785" t="s">
        <v>66</v>
      </c>
      <c r="J16" s="786"/>
    </row>
    <row r="17" spans="1:10" ht="24" thickBot="1" x14ac:dyDescent="0.4">
      <c r="A17" s="550" t="s">
        <v>476</v>
      </c>
      <c r="G17" s="818" t="str">
        <f>G5</f>
        <v>Policy scenario (EMA)</v>
      </c>
      <c r="H17" s="819"/>
      <c r="I17" s="818" t="str">
        <f>I5</f>
        <v>Reference scenario (EMA -beslutad politik, varierande X)</v>
      </c>
      <c r="J17" s="819"/>
    </row>
    <row r="18" spans="1:10" ht="16.5" thickBot="1" x14ac:dyDescent="0.3">
      <c r="G18" s="122">
        <v>2030</v>
      </c>
      <c r="H18" s="123">
        <v>2040</v>
      </c>
      <c r="I18" s="122">
        <v>2030</v>
      </c>
      <c r="J18" s="123">
        <v>2040</v>
      </c>
    </row>
    <row r="19" spans="1:10" x14ac:dyDescent="0.25">
      <c r="A19" t="s">
        <v>388</v>
      </c>
      <c r="B19" t="s">
        <v>104</v>
      </c>
      <c r="C19" t="s">
        <v>36</v>
      </c>
      <c r="D19" t="s">
        <v>392</v>
      </c>
      <c r="G19" s="553">
        <f>I9*(1+I11)</f>
        <v>88.898554948656667</v>
      </c>
      <c r="H19" s="553">
        <f>J9*(1+J11)</f>
        <v>100.11546410013436</v>
      </c>
      <c r="I19" s="553">
        <f>I9*(1+I11)</f>
        <v>88.898554948656667</v>
      </c>
      <c r="J19" s="553">
        <f>F9*(1+J11)</f>
        <v>99.5</v>
      </c>
    </row>
    <row r="20" spans="1:10" x14ac:dyDescent="0.25">
      <c r="A20" t="s">
        <v>388</v>
      </c>
      <c r="B20" t="s">
        <v>355</v>
      </c>
      <c r="C20" t="s">
        <v>36</v>
      </c>
      <c r="D20" t="s">
        <v>392</v>
      </c>
      <c r="G20" s="553">
        <f>I10*(1+I12)</f>
        <v>6.2137893382830338</v>
      </c>
      <c r="H20" s="553">
        <f>J10*(1+J12)</f>
        <v>7.1326304015423512</v>
      </c>
      <c r="I20" s="553">
        <f>I10*(1+I12)</f>
        <v>6.2137893382830338</v>
      </c>
      <c r="J20" s="553">
        <f>F10*(1+J12)</f>
        <v>6.9842175159631985</v>
      </c>
    </row>
    <row r="21" spans="1:10" x14ac:dyDescent="0.25">
      <c r="A21" t="s">
        <v>394</v>
      </c>
      <c r="B21" t="s">
        <v>104</v>
      </c>
      <c r="C21" t="s">
        <v>36</v>
      </c>
      <c r="D21" t="s">
        <v>393</v>
      </c>
      <c r="G21" s="553">
        <f>G9-G19</f>
        <v>0</v>
      </c>
      <c r="H21" s="553">
        <f>H9-H19</f>
        <v>1.8079777707019389</v>
      </c>
      <c r="I21" s="553">
        <f>I9-I19</f>
        <v>0</v>
      </c>
      <c r="J21" s="553">
        <f>J9-J19</f>
        <v>0.61546410013436059</v>
      </c>
    </row>
    <row r="22" spans="1:10" x14ac:dyDescent="0.25">
      <c r="A22" t="s">
        <v>394</v>
      </c>
      <c r="B22" t="s">
        <v>355</v>
      </c>
      <c r="C22" t="s">
        <v>36</v>
      </c>
      <c r="D22" t="s">
        <v>393</v>
      </c>
      <c r="G22" s="553">
        <f>G10-G20</f>
        <v>0</v>
      </c>
      <c r="H22" s="553">
        <f>H10-H20</f>
        <v>3.5670303273347415E-2</v>
      </c>
      <c r="I22" s="553">
        <f>I10-I20</f>
        <v>0</v>
      </c>
      <c r="J22" s="553">
        <f t="shared" ref="J22" si="0">J10-J20</f>
        <v>0.14841288557915266</v>
      </c>
    </row>
    <row r="23" spans="1:10" x14ac:dyDescent="0.25">
      <c r="A23" t="s">
        <v>395</v>
      </c>
      <c r="B23" t="s">
        <v>179</v>
      </c>
      <c r="C23" t="s">
        <v>74</v>
      </c>
      <c r="D23" t="s">
        <v>396</v>
      </c>
      <c r="G23" s="553">
        <f>G7-I7</f>
        <v>0</v>
      </c>
      <c r="H23" s="553">
        <f>H7-J7</f>
        <v>-1.1824911899787089</v>
      </c>
      <c r="I23" s="553">
        <f>I7-I7</f>
        <v>0</v>
      </c>
      <c r="J23" s="553">
        <f>J7-F7</f>
        <v>-0.4047027183577292</v>
      </c>
    </row>
    <row r="24" spans="1:10" x14ac:dyDescent="0.25">
      <c r="A24" t="s">
        <v>395</v>
      </c>
      <c r="B24" t="s">
        <v>353</v>
      </c>
      <c r="C24" t="s">
        <v>74</v>
      </c>
      <c r="D24" t="s">
        <v>396</v>
      </c>
      <c r="G24" s="553">
        <f>G8-I8</f>
        <v>0</v>
      </c>
      <c r="H24" s="553">
        <f>H8-J8</f>
        <v>-0.76068145732202197</v>
      </c>
      <c r="I24" s="553">
        <f>I8-I8</f>
        <v>0</v>
      </c>
      <c r="J24" s="553">
        <f>J8-F8</f>
        <v>-3.1649557118307996</v>
      </c>
    </row>
    <row r="25" spans="1:10" x14ac:dyDescent="0.25">
      <c r="A25" t="s">
        <v>397</v>
      </c>
      <c r="B25" t="s">
        <v>179</v>
      </c>
      <c r="C25" t="s">
        <v>399</v>
      </c>
      <c r="G25" s="551">
        <f>IF(G21&lt;0,-G9*G23,-G19*G23)/10</f>
        <v>0</v>
      </c>
      <c r="H25" s="551">
        <f t="shared" ref="H25:I26" si="1">IF(H21&lt;0,-H9*H23,-H19*H23)/10</f>
        <v>11.838565427903859</v>
      </c>
      <c r="I25" s="551">
        <f t="shared" si="1"/>
        <v>0</v>
      </c>
      <c r="J25" s="551">
        <f t="shared" ref="J25:J26" si="2">IF(J21&lt;0,-J9*J23,-J19*J23)/10</f>
        <v>4.0267920476594057</v>
      </c>
    </row>
    <row r="26" spans="1:10" x14ac:dyDescent="0.25">
      <c r="A26" t="s">
        <v>397</v>
      </c>
      <c r="B26" t="s">
        <v>353</v>
      </c>
      <c r="C26" t="s">
        <v>399</v>
      </c>
      <c r="G26" s="551">
        <f>IF(G22&lt;0,-G10*G24,-G20*G24)/10</f>
        <v>0</v>
      </c>
      <c r="H26" s="551">
        <f t="shared" si="1"/>
        <v>0.54256596883845942</v>
      </c>
      <c r="I26" s="551">
        <f t="shared" si="1"/>
        <v>0</v>
      </c>
      <c r="J26" s="551">
        <f t="shared" si="2"/>
        <v>2.2104739119816443</v>
      </c>
    </row>
    <row r="27" spans="1:10" x14ac:dyDescent="0.25">
      <c r="A27" t="s">
        <v>398</v>
      </c>
      <c r="B27" t="s">
        <v>179</v>
      </c>
      <c r="C27" t="s">
        <v>399</v>
      </c>
      <c r="G27" s="551">
        <f>G21*G23/2/10</f>
        <v>0</v>
      </c>
      <c r="H27" s="551">
        <f t="shared" ref="H27:I28" si="3">H21*H23/2/10</f>
        <v>-0.10689588927661946</v>
      </c>
      <c r="I27" s="551">
        <f t="shared" si="3"/>
        <v>0</v>
      </c>
      <c r="J27" s="551">
        <f t="shared" ref="J27:J28" si="4">J21*J23/2/10</f>
        <v>-1.2453999718798469E-2</v>
      </c>
    </row>
    <row r="28" spans="1:10" x14ac:dyDescent="0.25">
      <c r="A28" t="s">
        <v>398</v>
      </c>
      <c r="B28" t="s">
        <v>353</v>
      </c>
      <c r="C28" t="s">
        <v>399</v>
      </c>
      <c r="G28" s="551">
        <f>G22*G24/2/10</f>
        <v>0</v>
      </c>
      <c r="H28" s="551">
        <f t="shared" si="3"/>
        <v>-1.35668691385442E-3</v>
      </c>
      <c r="I28" s="551">
        <f t="shared" si="3"/>
        <v>0</v>
      </c>
      <c r="J28" s="551">
        <f t="shared" si="4"/>
        <v>-2.3486010496151507E-2</v>
      </c>
    </row>
    <row r="29" spans="1:10" x14ac:dyDescent="0.25">
      <c r="A29" t="s">
        <v>400</v>
      </c>
      <c r="B29" t="s">
        <v>179</v>
      </c>
      <c r="C29" t="s">
        <v>399</v>
      </c>
      <c r="G29" s="551">
        <f>G25+G27</f>
        <v>0</v>
      </c>
      <c r="H29" s="551">
        <f>H25+H27</f>
        <v>11.731669538627239</v>
      </c>
      <c r="I29" s="551">
        <f t="shared" ref="I29:J30" si="5">I25+I27</f>
        <v>0</v>
      </c>
      <c r="J29" s="551">
        <f t="shared" si="5"/>
        <v>4.0143380479406074</v>
      </c>
    </row>
    <row r="30" spans="1:10" x14ac:dyDescent="0.25">
      <c r="A30" t="s">
        <v>400</v>
      </c>
      <c r="B30" t="s">
        <v>353</v>
      </c>
      <c r="C30" t="s">
        <v>399</v>
      </c>
      <c r="G30" s="551">
        <f>G26+G28</f>
        <v>0</v>
      </c>
      <c r="H30" s="551">
        <f>H26+H28</f>
        <v>0.54120928192460505</v>
      </c>
      <c r="I30" s="551">
        <f>I26+I28</f>
        <v>0</v>
      </c>
      <c r="J30" s="551">
        <f t="shared" si="5"/>
        <v>2.1869879014854927</v>
      </c>
    </row>
    <row r="31" spans="1:10" x14ac:dyDescent="0.25">
      <c r="A31" t="s">
        <v>401</v>
      </c>
      <c r="C31" t="s">
        <v>399</v>
      </c>
      <c r="G31" s="554">
        <f>G29+G30</f>
        <v>0</v>
      </c>
      <c r="H31" s="554">
        <f>H29+H30</f>
        <v>12.272878820551844</v>
      </c>
      <c r="I31" s="554">
        <f t="shared" ref="I31:J31" si="6">I29+I30</f>
        <v>0</v>
      </c>
      <c r="J31" s="554">
        <f t="shared" si="6"/>
        <v>6.2013259494261002</v>
      </c>
    </row>
  </sheetData>
  <mergeCells count="10">
    <mergeCell ref="G16:H16"/>
    <mergeCell ref="I16:J16"/>
    <mergeCell ref="G17:H17"/>
    <mergeCell ref="I17:J17"/>
    <mergeCell ref="E4:F4"/>
    <mergeCell ref="G4:H4"/>
    <mergeCell ref="I4:J4"/>
    <mergeCell ref="E5:F5"/>
    <mergeCell ref="G5:H5"/>
    <mergeCell ref="I5:J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Beskrivning</vt:lpstr>
      <vt:lpstr>Indata</vt:lpstr>
      <vt:lpstr>Förarlösa lastbilar antaganden</vt:lpstr>
      <vt:lpstr>Förarlösa lastbilar - beräkning</vt:lpstr>
      <vt:lpstr>Modell - Lätta fordon</vt:lpstr>
      <vt:lpstr>Modell - Tunga fordon</vt:lpstr>
      <vt:lpstr>Resultat</vt:lpstr>
      <vt:lpstr>Figurer utsläpp</vt:lpstr>
      <vt:lpstr>Beräkningar konsumentöverskott</vt:lpstr>
      <vt:lpstr>Indata - Utsläpp</vt:lpstr>
      <vt:lpstr>Indata - Fordon och Trafik</vt:lpstr>
      <vt:lpstr>EMA</vt:lpstr>
      <vt:lpstr>Indata - Effektsamband-Faktorer</vt:lpstr>
      <vt:lpstr>Modell - Drivmedelpriser</vt:lpstr>
      <vt:lpstr>Modell - Tunga fordon AV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2023-12-01T10:54:13Z</dcterms:modified>
</cp:coreProperties>
</file>