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5.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6.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mc:AlternateContent xmlns:mc="http://schemas.openxmlformats.org/markup-compatibility/2006">
    <mc:Choice Requires="x15">
      <x15ac:absPath xmlns:x15ac="http://schemas.microsoft.com/office/spreadsheetml/2010/11/ac" url="C:\Users\aengholm\MUST code repository\climate_scenarios_EMA\models\"/>
    </mc:Choice>
  </mc:AlternateContent>
  <bookViews>
    <workbookView xWindow="0" yWindow="0" windowWidth="28800" windowHeight="12300" activeTab="2"/>
  </bookViews>
  <sheets>
    <sheet name="Beskrivning" sheetId="19" r:id="rId1"/>
    <sheet name="Indata" sheetId="14" r:id="rId2"/>
    <sheet name="EMA" sheetId="27" r:id="rId3"/>
    <sheet name="Modell - Tunga fordon" sheetId="16" r:id="rId4"/>
    <sheet name="AVs - antaganden" sheetId="33" r:id="rId5"/>
    <sheet name="Resultat" sheetId="17" r:id="rId6"/>
    <sheet name="Figurer utsläpp" sheetId="25" r:id="rId7"/>
    <sheet name="Beräkningar konsumentöverskott" sheetId="26" r:id="rId8"/>
    <sheet name="Elektrifiering" sheetId="28" r:id="rId9"/>
    <sheet name="Indata - Utsläpp" sheetId="18" r:id="rId10"/>
    <sheet name="Indata - Fordon och Trafik" sheetId="15" r:id="rId11"/>
    <sheet name="Indata - Effektsamband-Faktorer" sheetId="21" r:id="rId12"/>
    <sheet name="Modell - Drivmedelpriser" sheetId="13" r:id="rId13"/>
    <sheet name="Modell - Lätta fordon" sheetId="7" r:id="rId14"/>
    <sheet name="Modell - Tunga fordon AV" sheetId="29" r:id="rId15"/>
    <sheet name="DL-truck costs_base" sheetId="30" r:id="rId16"/>
    <sheet name="DL-truck costs_pess" sheetId="31" r:id="rId17"/>
    <sheet name="DL-truck costs_opt" sheetId="32" r:id="rId18"/>
  </sheets>
  <externalReferences>
    <externalReference r:id="rId19"/>
    <externalReference r:id="rId20"/>
    <externalReference r:id="rId21"/>
  </externalReferences>
  <definedNames>
    <definedName name="a_Check_Details_Subsegm_Buses_HOT" localSheetId="3">#REF!</definedName>
    <definedName name="a_Check_Details_Subsegm_Buses_HOT">#REF!</definedName>
    <definedName name="a_Check_Details_Subsegm_HDV_HOT" localSheetId="3">#REF!</definedName>
    <definedName name="a_Check_Details_Subsegm_HDV_HOT">#REF!</definedName>
    <definedName name="a_Check_Details_Subsegm_LDV_COLD" localSheetId="3">#REF!</definedName>
    <definedName name="a_Check_Details_Subsegm_LDV_COLD">#REF!</definedName>
    <definedName name="a_Check_Details_Subsegm_MC_HOT" localSheetId="3">#REF!</definedName>
    <definedName name="a_Check_Details_Subsegm_MC_HOT">#REF!</definedName>
    <definedName name="energi_B">'[1]Koefficienter &amp; omvandlingstal'!$I$8</definedName>
    <definedName name="energi_Eo1">'[1]Koefficienter &amp; omvandlingstal'!$I$11</definedName>
    <definedName name="energi_Eo1_s">'[1]Koefficienter &amp; omvandlingstal'!$I$12</definedName>
    <definedName name="energi_Eo5_s">'[1]Koefficienter &amp; omvandlingstal'!$I$15</definedName>
    <definedName name="KALKYLPERIOD" localSheetId="3">'[2]0.12 Lönkalk'!#REF!</definedName>
    <definedName name="KALKYLPERIOD">'[2]0.12 Lönkalk'!#REF!</definedName>
    <definedName name="kr_till_öre">'[1]Koefficienter &amp; omvandlingstal'!$A$20</definedName>
    <definedName name="m3_till_liter">'[1]Koefficienter &amp; omvandlingstal'!$A$21</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Q43" i="7" l="1"/>
  <c r="Q56" i="7"/>
  <c r="F71" i="14" l="1"/>
  <c r="G71" i="14"/>
  <c r="H71" i="14"/>
  <c r="I71" i="14"/>
  <c r="G70" i="14"/>
  <c r="Q53" i="16" s="1"/>
  <c r="AA53" i="16" s="1"/>
  <c r="AK53" i="16" s="1"/>
  <c r="F70" i="14"/>
  <c r="I70" i="14"/>
  <c r="S58" i="16" s="1"/>
  <c r="AC58" i="16" s="1"/>
  <c r="AM58" i="16" s="1"/>
  <c r="H70" i="14"/>
  <c r="R59" i="16" s="1"/>
  <c r="AB59" i="16" s="1"/>
  <c r="AL59" i="16" s="1"/>
  <c r="AH59" i="16"/>
  <c r="AI53" i="16"/>
  <c r="N59" i="16"/>
  <c r="O59" i="16"/>
  <c r="N60" i="16"/>
  <c r="X60" i="16" s="1"/>
  <c r="AH60" i="16" s="1"/>
  <c r="O60" i="16"/>
  <c r="Y60" i="16" s="1"/>
  <c r="AI60" i="16" s="1"/>
  <c r="R60" i="16"/>
  <c r="AB60" i="16" s="1"/>
  <c r="AL60" i="16" s="1"/>
  <c r="N61" i="16"/>
  <c r="X61" i="16" s="1"/>
  <c r="AH61" i="16" s="1"/>
  <c r="O61" i="16"/>
  <c r="Y61" i="16" s="1"/>
  <c r="AI61" i="16" s="1"/>
  <c r="O58" i="16"/>
  <c r="Y58" i="16" s="1"/>
  <c r="AI58" i="16" s="1"/>
  <c r="R58" i="16"/>
  <c r="AB58" i="16" s="1"/>
  <c r="AL58" i="16" s="1"/>
  <c r="N54" i="16"/>
  <c r="X54" i="16" s="1"/>
  <c r="AH54" i="16" s="1"/>
  <c r="AH64" i="16" s="1"/>
  <c r="O54" i="16"/>
  <c r="N55" i="16"/>
  <c r="X55" i="16" s="1"/>
  <c r="AH55" i="16" s="1"/>
  <c r="O55" i="16"/>
  <c r="Y55" i="16" s="1"/>
  <c r="AI55" i="16" s="1"/>
  <c r="N56" i="16"/>
  <c r="X56" i="16" s="1"/>
  <c r="AH56" i="16" s="1"/>
  <c r="AH66" i="16" s="1"/>
  <c r="O56" i="16"/>
  <c r="Y56" i="16" s="1"/>
  <c r="O53" i="16"/>
  <c r="Y53" i="16" s="1"/>
  <c r="N58" i="16"/>
  <c r="X58" i="16" s="1"/>
  <c r="AH58" i="16" s="1"/>
  <c r="N53" i="16"/>
  <c r="Y59" i="16"/>
  <c r="AI59" i="16" s="1"/>
  <c r="X59" i="16"/>
  <c r="Y54" i="16"/>
  <c r="AI54" i="16" s="1"/>
  <c r="X53" i="16"/>
  <c r="AH53" i="16" s="1"/>
  <c r="S56" i="16" l="1"/>
  <c r="AC56" i="16" s="1"/>
  <c r="S53" i="16"/>
  <c r="AC53" i="16" s="1"/>
  <c r="AM53" i="16" s="1"/>
  <c r="AM63" i="16" s="1"/>
  <c r="S61" i="16"/>
  <c r="AC61" i="16" s="1"/>
  <c r="AM61" i="16" s="1"/>
  <c r="S60" i="16"/>
  <c r="AC60" i="16" s="1"/>
  <c r="S59" i="16"/>
  <c r="AC59" i="16" s="1"/>
  <c r="AM59" i="16" s="1"/>
  <c r="S55" i="16"/>
  <c r="AC55" i="16" s="1"/>
  <c r="AM55" i="16" s="1"/>
  <c r="S54" i="16"/>
  <c r="AC54" i="16" s="1"/>
  <c r="AM54" i="16" s="1"/>
  <c r="Q58" i="16"/>
  <c r="AA58" i="16" s="1"/>
  <c r="AK58" i="16" s="1"/>
  <c r="AK63" i="16" s="1"/>
  <c r="Q60" i="16"/>
  <c r="AA60" i="16" s="1"/>
  <c r="AK60" i="16" s="1"/>
  <c r="Q54" i="16"/>
  <c r="AA54" i="16" s="1"/>
  <c r="AK54" i="16" s="1"/>
  <c r="Q56" i="16"/>
  <c r="AA56" i="16" s="1"/>
  <c r="AK56" i="16" s="1"/>
  <c r="Q61" i="16"/>
  <c r="AA61" i="16" s="1"/>
  <c r="AK61" i="16" s="1"/>
  <c r="Q55" i="16"/>
  <c r="AA55" i="16" s="1"/>
  <c r="AK55" i="16" s="1"/>
  <c r="Q59" i="16"/>
  <c r="AA59" i="16" s="1"/>
  <c r="AK59" i="16" s="1"/>
  <c r="R54" i="16"/>
  <c r="AB54" i="16" s="1"/>
  <c r="AL54" i="16" s="1"/>
  <c r="AL64" i="16" s="1"/>
  <c r="R53" i="16"/>
  <c r="AB53" i="16" s="1"/>
  <c r="AB63" i="16" s="1"/>
  <c r="R61" i="16"/>
  <c r="AB61" i="16" s="1"/>
  <c r="AL61" i="16" s="1"/>
  <c r="R55" i="16"/>
  <c r="AB55" i="16" s="1"/>
  <c r="AL55" i="16" s="1"/>
  <c r="AL65" i="16" s="1"/>
  <c r="R56" i="16"/>
  <c r="AB56" i="16" s="1"/>
  <c r="AL56" i="16" s="1"/>
  <c r="AL66" i="16" s="1"/>
  <c r="AL53" i="16"/>
  <c r="AL63" i="16" s="1"/>
  <c r="AI64" i="16"/>
  <c r="AI65" i="16"/>
  <c r="Y65" i="16"/>
  <c r="Y66" i="16"/>
  <c r="AI63" i="16"/>
  <c r="AI56" i="16"/>
  <c r="AI66" i="16" s="1"/>
  <c r="AH65" i="16"/>
  <c r="AH63" i="16"/>
  <c r="Y64" i="16"/>
  <c r="X65" i="16"/>
  <c r="X66" i="16"/>
  <c r="AB64" i="16"/>
  <c r="X64" i="16"/>
  <c r="AB66" i="16"/>
  <c r="AB65" i="16"/>
  <c r="X63" i="16"/>
  <c r="Y63" i="16"/>
  <c r="Q31" i="7"/>
  <c r="Q30" i="7"/>
  <c r="Q29" i="7"/>
  <c r="O45" i="7"/>
  <c r="D34" i="7"/>
  <c r="Z34" i="7"/>
  <c r="N19" i="7"/>
  <c r="N20" i="7"/>
  <c r="N18" i="7" s="1"/>
  <c r="N34" i="7" s="1"/>
  <c r="N37" i="7"/>
  <c r="D53" i="16"/>
  <c r="AM64" i="16" l="1"/>
  <c r="AK66" i="16"/>
  <c r="AC63" i="16"/>
  <c r="AA66" i="16"/>
  <c r="AK65" i="16"/>
  <c r="AA64" i="16"/>
  <c r="AA63" i="16"/>
  <c r="AC65" i="16"/>
  <c r="AM60" i="16"/>
  <c r="AM65" i="16" s="1"/>
  <c r="AC66" i="16"/>
  <c r="AM56" i="16"/>
  <c r="AM66" i="16" s="1"/>
  <c r="AC64" i="16"/>
  <c r="AK64" i="16"/>
  <c r="AA65" i="16"/>
  <c r="H42" i="14"/>
  <c r="H43" i="14"/>
  <c r="H44" i="14"/>
  <c r="H45" i="14"/>
  <c r="G42" i="14"/>
  <c r="I42" i="14" s="1"/>
  <c r="G43" i="14"/>
  <c r="I43" i="14" s="1"/>
  <c r="G44" i="14"/>
  <c r="I44" i="14" s="1"/>
  <c r="G45" i="14"/>
  <c r="I45" i="14" s="1"/>
  <c r="F42" i="14"/>
  <c r="F43" i="14"/>
  <c r="F44" i="14"/>
  <c r="F45" i="14"/>
  <c r="F28" i="14"/>
  <c r="G17" i="14"/>
  <c r="F17" i="14"/>
  <c r="E9" i="21"/>
  <c r="D9" i="21"/>
  <c r="E11" i="16"/>
  <c r="H61" i="16"/>
  <c r="G61" i="16"/>
  <c r="G60" i="16"/>
  <c r="E60" i="16"/>
  <c r="I59" i="16"/>
  <c r="F59" i="16"/>
  <c r="E59" i="16"/>
  <c r="G58" i="16"/>
  <c r="F58" i="16"/>
  <c r="D59" i="16"/>
  <c r="H59" i="16" s="1"/>
  <c r="D60" i="16"/>
  <c r="I60" i="16" s="1"/>
  <c r="D61" i="16"/>
  <c r="F61" i="16" s="1"/>
  <c r="D58" i="16"/>
  <c r="E58" i="16" s="1"/>
  <c r="H53" i="16"/>
  <c r="E55" i="16"/>
  <c r="F55" i="16"/>
  <c r="G55" i="16"/>
  <c r="H55" i="16"/>
  <c r="I55" i="16"/>
  <c r="G56" i="16"/>
  <c r="H56" i="16"/>
  <c r="I56" i="16"/>
  <c r="I53" i="16"/>
  <c r="E53" i="16"/>
  <c r="D54" i="16"/>
  <c r="G54" i="16" s="1"/>
  <c r="D55" i="16"/>
  <c r="D56" i="16"/>
  <c r="E56" i="16" s="1"/>
  <c r="H72" i="14"/>
  <c r="I72" i="14"/>
  <c r="H73" i="14"/>
  <c r="I73" i="14"/>
  <c r="H74" i="14"/>
  <c r="I74" i="14"/>
  <c r="H75" i="14"/>
  <c r="I75" i="14"/>
  <c r="F73" i="14"/>
  <c r="G73" i="14" s="1"/>
  <c r="F74" i="14"/>
  <c r="G74" i="14" s="1"/>
  <c r="F75" i="14"/>
  <c r="F72" i="14"/>
  <c r="G72" i="14" s="1"/>
  <c r="G75" i="14"/>
  <c r="E73" i="14"/>
  <c r="E74" i="14"/>
  <c r="E75" i="14"/>
  <c r="E72" i="14"/>
  <c r="D73" i="14"/>
  <c r="D74" i="14"/>
  <c r="D75" i="14"/>
  <c r="D72" i="14"/>
  <c r="F55" i="14"/>
  <c r="G55" i="14"/>
  <c r="H55" i="14"/>
  <c r="I55" i="14"/>
  <c r="F56" i="14"/>
  <c r="G56" i="14"/>
  <c r="I56" i="14" s="1"/>
  <c r="H56" i="14"/>
  <c r="F57" i="14"/>
  <c r="G57" i="14"/>
  <c r="H57" i="14"/>
  <c r="I57" i="14"/>
  <c r="G54" i="14"/>
  <c r="H54" i="14"/>
  <c r="I54" i="14"/>
  <c r="F54" i="14"/>
  <c r="E55" i="14"/>
  <c r="E56" i="14"/>
  <c r="E57" i="14"/>
  <c r="E54" i="14"/>
  <c r="D54" i="14"/>
  <c r="D55" i="14"/>
  <c r="D56" i="14"/>
  <c r="D57" i="14"/>
  <c r="D8" i="28"/>
  <c r="D50" i="14"/>
  <c r="J3" i="29"/>
  <c r="J4" i="29" s="1"/>
  <c r="J5" i="29" s="1"/>
  <c r="K3" i="29"/>
  <c r="K4" i="29" s="1"/>
  <c r="K5" i="29" s="1"/>
  <c r="L3" i="29"/>
  <c r="M3" i="29"/>
  <c r="M4" i="29" s="1"/>
  <c r="M5" i="29" s="1"/>
  <c r="N3" i="29"/>
  <c r="N4" i="29" s="1"/>
  <c r="N5" i="29" s="1"/>
  <c r="I3" i="29"/>
  <c r="I4" i="29" s="1"/>
  <c r="I5" i="29" s="1"/>
  <c r="H3" i="29"/>
  <c r="J2" i="29"/>
  <c r="K2" i="29"/>
  <c r="L2" i="29"/>
  <c r="L4" i="29" s="1"/>
  <c r="L5" i="29" s="1"/>
  <c r="M2" i="29"/>
  <c r="N2" i="29"/>
  <c r="I2" i="29"/>
  <c r="F54" i="16" l="1"/>
  <c r="H58" i="16"/>
  <c r="F60" i="16"/>
  <c r="I61" i="16"/>
  <c r="H60" i="16"/>
  <c r="I54" i="16"/>
  <c r="I58" i="16"/>
  <c r="F56" i="16"/>
  <c r="H54" i="16"/>
  <c r="G59" i="16"/>
  <c r="E61" i="16"/>
  <c r="E54" i="16"/>
  <c r="F53" i="16"/>
  <c r="G53" i="16"/>
  <c r="E60" i="29"/>
  <c r="E61" i="29" s="1"/>
  <c r="E59" i="29"/>
  <c r="E30" i="29"/>
  <c r="E38" i="29" s="1"/>
  <c r="E34" i="29"/>
  <c r="D24" i="30"/>
  <c r="E31" i="29"/>
  <c r="E39" i="29" s="1"/>
  <c r="E32" i="29"/>
  <c r="E40" i="29" s="1"/>
  <c r="E33" i="29"/>
  <c r="E41" i="29" s="1"/>
  <c r="E35" i="29"/>
  <c r="E36" i="29"/>
  <c r="E37" i="29"/>
  <c r="X74" i="30"/>
  <c r="Y74" i="32"/>
  <c r="X74" i="32"/>
  <c r="U74" i="32"/>
  <c r="T74" i="32"/>
  <c r="S74" i="32"/>
  <c r="R74" i="32"/>
  <c r="W76" i="31"/>
  <c r="Y74" i="31"/>
  <c r="X74" i="31"/>
  <c r="U74" i="31"/>
  <c r="T74" i="31"/>
  <c r="S74" i="31"/>
  <c r="R74" i="31"/>
  <c r="S74" i="30"/>
  <c r="T74" i="30"/>
  <c r="U74" i="30"/>
  <c r="Y74" i="30"/>
  <c r="X75" i="30"/>
  <c r="R74" i="30"/>
  <c r="W35" i="32"/>
  <c r="R33" i="31"/>
  <c r="E11" i="33"/>
  <c r="U75" i="32" s="1"/>
  <c r="E12" i="33"/>
  <c r="Y76" i="32" s="1"/>
  <c r="E13" i="33"/>
  <c r="Y77" i="31" s="1"/>
  <c r="E14" i="33"/>
  <c r="S78" i="32" s="1"/>
  <c r="G181" i="32"/>
  <c r="G191" i="32" s="1"/>
  <c r="F181" i="32"/>
  <c r="F191" i="32" s="1"/>
  <c r="E181" i="32"/>
  <c r="E191" i="32" s="1"/>
  <c r="D181" i="32"/>
  <c r="D191" i="32" s="1"/>
  <c r="G180" i="32"/>
  <c r="G190" i="32" s="1"/>
  <c r="F180" i="32"/>
  <c r="F190" i="32" s="1"/>
  <c r="E180" i="32"/>
  <c r="E190" i="32" s="1"/>
  <c r="D180" i="32"/>
  <c r="G171" i="32"/>
  <c r="E171" i="32"/>
  <c r="D171" i="32"/>
  <c r="G170" i="32"/>
  <c r="E170" i="32"/>
  <c r="D170" i="32"/>
  <c r="H170" i="32" s="1"/>
  <c r="G163" i="32"/>
  <c r="G176" i="32" s="1"/>
  <c r="F163" i="32"/>
  <c r="F176" i="32" s="1"/>
  <c r="E163" i="32"/>
  <c r="E176" i="32" s="1"/>
  <c r="D163" i="32"/>
  <c r="D176" i="32" s="1"/>
  <c r="G162" i="32"/>
  <c r="F162" i="32"/>
  <c r="F175" i="32" s="1"/>
  <c r="E162" i="32"/>
  <c r="D162" i="32"/>
  <c r="F157" i="32"/>
  <c r="K171" i="32" s="1"/>
  <c r="F156" i="32"/>
  <c r="K170" i="32" s="1"/>
  <c r="I148" i="32"/>
  <c r="I147" i="32"/>
  <c r="X143" i="32"/>
  <c r="S143" i="32"/>
  <c r="N143" i="32"/>
  <c r="I143" i="32"/>
  <c r="X142" i="32"/>
  <c r="S142" i="32"/>
  <c r="N142" i="32"/>
  <c r="I142" i="32"/>
  <c r="S141" i="32"/>
  <c r="N141" i="32"/>
  <c r="I141" i="32"/>
  <c r="S140" i="32"/>
  <c r="I140" i="32"/>
  <c r="S139" i="32"/>
  <c r="I139" i="32"/>
  <c r="I135" i="32"/>
  <c r="I150" i="32" s="1"/>
  <c r="I134" i="32"/>
  <c r="I149" i="32" s="1"/>
  <c r="I133" i="32"/>
  <c r="I132" i="32"/>
  <c r="I131" i="32"/>
  <c r="I146" i="32" s="1"/>
  <c r="X121" i="32"/>
  <c r="S121" i="32"/>
  <c r="F171" i="32" s="1"/>
  <c r="N121" i="32"/>
  <c r="I121" i="32"/>
  <c r="X120" i="32"/>
  <c r="S120" i="32"/>
  <c r="F170" i="32" s="1"/>
  <c r="N120" i="32"/>
  <c r="I120" i="32"/>
  <c r="D120" i="32"/>
  <c r="S119" i="32"/>
  <c r="N119" i="32"/>
  <c r="I119" i="32"/>
  <c r="S118" i="32"/>
  <c r="I118" i="32"/>
  <c r="S117" i="32"/>
  <c r="I117" i="32"/>
  <c r="N113" i="32"/>
  <c r="N112" i="32"/>
  <c r="J127" i="32" s="1"/>
  <c r="F127" i="32" s="1"/>
  <c r="N111" i="32"/>
  <c r="J126" i="32" s="1"/>
  <c r="F126" i="32" s="1"/>
  <c r="N110" i="32"/>
  <c r="N109" i="32"/>
  <c r="G101" i="32"/>
  <c r="P96" i="32"/>
  <c r="F95" i="32"/>
  <c r="F102" i="32" s="1"/>
  <c r="F94" i="32"/>
  <c r="F101" i="32" s="1"/>
  <c r="Q93" i="32"/>
  <c r="P88" i="32"/>
  <c r="Q97" i="32" s="1"/>
  <c r="O88" i="32"/>
  <c r="P97" i="32" s="1"/>
  <c r="P87" i="32"/>
  <c r="Q96" i="32" s="1"/>
  <c r="O87" i="32"/>
  <c r="I87" i="32"/>
  <c r="J96" i="32" s="1"/>
  <c r="F87" i="32"/>
  <c r="G96" i="32" s="1"/>
  <c r="G103" i="32" s="1"/>
  <c r="P86" i="32"/>
  <c r="Q95" i="32" s="1"/>
  <c r="I86" i="32"/>
  <c r="J95" i="32" s="1"/>
  <c r="F86" i="32"/>
  <c r="G95" i="32" s="1"/>
  <c r="G102" i="32" s="1"/>
  <c r="E86" i="32"/>
  <c r="P85" i="32"/>
  <c r="Q94" i="32" s="1"/>
  <c r="O85" i="32"/>
  <c r="E85" i="32"/>
  <c r="P84" i="32"/>
  <c r="L84" i="32"/>
  <c r="F84" i="32"/>
  <c r="G93" i="32" s="1"/>
  <c r="G100" i="32" s="1"/>
  <c r="O78" i="32"/>
  <c r="L78" i="32"/>
  <c r="L88" i="32" s="1"/>
  <c r="I78" i="32"/>
  <c r="F78" i="32"/>
  <c r="F88" i="32" s="1"/>
  <c r="G97" i="32" s="1"/>
  <c r="G104" i="32" s="1"/>
  <c r="E78" i="32"/>
  <c r="E88" i="32" s="1"/>
  <c r="F97" i="32" s="1"/>
  <c r="F104" i="32" s="1"/>
  <c r="O77" i="32"/>
  <c r="M77" i="32"/>
  <c r="M87" i="32" s="1"/>
  <c r="I77" i="32"/>
  <c r="F77" i="32"/>
  <c r="E77" i="32"/>
  <c r="E87" i="32" s="1"/>
  <c r="F96" i="32" s="1"/>
  <c r="F103" i="32" s="1"/>
  <c r="O76" i="32"/>
  <c r="O86" i="32" s="1"/>
  <c r="D119" i="32" s="1"/>
  <c r="I76" i="32"/>
  <c r="F76" i="32"/>
  <c r="E76" i="32"/>
  <c r="O75" i="32"/>
  <c r="I75" i="32"/>
  <c r="I85" i="32" s="1"/>
  <c r="F75" i="32"/>
  <c r="F85" i="32" s="1"/>
  <c r="G94" i="32" s="1"/>
  <c r="E75" i="32"/>
  <c r="O74" i="32"/>
  <c r="O84" i="32" s="1"/>
  <c r="P93" i="32" s="1"/>
  <c r="L74" i="32"/>
  <c r="I74" i="32"/>
  <c r="I84" i="32" s="1"/>
  <c r="F74" i="32"/>
  <c r="E74" i="32"/>
  <c r="E84" i="32" s="1"/>
  <c r="F93" i="32" s="1"/>
  <c r="F100" i="32" s="1"/>
  <c r="I68" i="32"/>
  <c r="D68" i="32"/>
  <c r="I67" i="32"/>
  <c r="L77" i="32" s="1"/>
  <c r="L87" i="32" s="1"/>
  <c r="F67" i="32"/>
  <c r="I66" i="32"/>
  <c r="L76" i="32" s="1"/>
  <c r="L86" i="32" s="1"/>
  <c r="M95" i="32" s="1"/>
  <c r="M102" i="32" s="1"/>
  <c r="I65" i="32"/>
  <c r="D65" i="32"/>
  <c r="I64" i="32"/>
  <c r="H64" i="32"/>
  <c r="J74" i="32" s="1"/>
  <c r="P60" i="32"/>
  <c r="O60" i="32"/>
  <c r="H68" i="32" s="1"/>
  <c r="J78" i="32" s="1"/>
  <c r="J88" i="32" s="1"/>
  <c r="N60" i="32"/>
  <c r="E68" i="32" s="1"/>
  <c r="N78" i="32" s="1"/>
  <c r="N88" i="32" s="1"/>
  <c r="L60" i="32"/>
  <c r="I60" i="32"/>
  <c r="G60" i="32"/>
  <c r="E60" i="32"/>
  <c r="P59" i="32"/>
  <c r="O59" i="32"/>
  <c r="H67" i="32" s="1"/>
  <c r="J77" i="32" s="1"/>
  <c r="J87" i="32" s="1"/>
  <c r="N59" i="32"/>
  <c r="D67" i="32" s="1"/>
  <c r="L59" i="32"/>
  <c r="I59" i="32"/>
  <c r="G59" i="32"/>
  <c r="E59" i="32"/>
  <c r="O58" i="32"/>
  <c r="N58" i="32"/>
  <c r="E66" i="32" s="1"/>
  <c r="N76" i="32" s="1"/>
  <c r="N86" i="32" s="1"/>
  <c r="L58" i="32"/>
  <c r="I58" i="32"/>
  <c r="H58" i="32"/>
  <c r="G58" i="32"/>
  <c r="P57" i="32"/>
  <c r="O57" i="32"/>
  <c r="H65" i="32" s="1"/>
  <c r="J75" i="32" s="1"/>
  <c r="N57" i="32"/>
  <c r="E65" i="32" s="1"/>
  <c r="L57" i="32"/>
  <c r="I57" i="32"/>
  <c r="H57" i="32"/>
  <c r="G57" i="32"/>
  <c r="E57" i="32"/>
  <c r="P56" i="32"/>
  <c r="O56" i="32"/>
  <c r="N56" i="32"/>
  <c r="E64" i="32" s="1"/>
  <c r="M56" i="32"/>
  <c r="L56" i="32"/>
  <c r="D74" i="32" s="1"/>
  <c r="I56" i="32"/>
  <c r="G56" i="32"/>
  <c r="E56" i="32"/>
  <c r="J52" i="32"/>
  <c r="H60" i="32" s="1"/>
  <c r="J51" i="32"/>
  <c r="H59" i="32" s="1"/>
  <c r="J50" i="32"/>
  <c r="E58" i="32" s="1"/>
  <c r="J49" i="32"/>
  <c r="J48" i="32"/>
  <c r="I37" i="32"/>
  <c r="F37" i="32"/>
  <c r="E37" i="32"/>
  <c r="I36" i="32"/>
  <c r="F36" i="32"/>
  <c r="E36" i="32"/>
  <c r="I35" i="32"/>
  <c r="R35" i="32" s="1"/>
  <c r="F35" i="32"/>
  <c r="E35" i="32"/>
  <c r="I34" i="32"/>
  <c r="R34" i="32" s="1"/>
  <c r="F34" i="32"/>
  <c r="E34" i="32"/>
  <c r="I33" i="32"/>
  <c r="R33" i="32" s="1"/>
  <c r="F33" i="32"/>
  <c r="E33" i="32"/>
  <c r="C32" i="32"/>
  <c r="I31" i="32"/>
  <c r="L28" i="32"/>
  <c r="L37" i="32" s="1"/>
  <c r="U37" i="32" s="1"/>
  <c r="L27" i="32"/>
  <c r="L36" i="32" s="1"/>
  <c r="J27" i="32"/>
  <c r="L26" i="32"/>
  <c r="L35" i="32" s="1"/>
  <c r="U35" i="32" s="1"/>
  <c r="K26" i="32"/>
  <c r="K35" i="32" s="1"/>
  <c r="J26" i="32"/>
  <c r="L25" i="32"/>
  <c r="L34" i="32" s="1"/>
  <c r="U34" i="32" s="1"/>
  <c r="K25" i="32"/>
  <c r="K34" i="32" s="1"/>
  <c r="L24" i="32"/>
  <c r="L33" i="32" s="1"/>
  <c r="U33" i="32" s="1"/>
  <c r="D24" i="32"/>
  <c r="D33" i="32" s="1"/>
  <c r="Q23" i="32"/>
  <c r="Q32" i="32" s="1"/>
  <c r="N23" i="32"/>
  <c r="N32" i="32" s="1"/>
  <c r="M23" i="32"/>
  <c r="M32" i="32" s="1"/>
  <c r="L23" i="32"/>
  <c r="L32" i="32" s="1"/>
  <c r="K23" i="32"/>
  <c r="K32" i="32" s="1"/>
  <c r="J23" i="32"/>
  <c r="J32" i="32" s="1"/>
  <c r="I23" i="32"/>
  <c r="H23" i="32"/>
  <c r="H32" i="32" s="1"/>
  <c r="G23" i="32"/>
  <c r="G32" i="32" s="1"/>
  <c r="F23" i="32"/>
  <c r="F32" i="32" s="1"/>
  <c r="E23" i="32"/>
  <c r="E32" i="32" s="1"/>
  <c r="D23" i="32"/>
  <c r="D32" i="32" s="1"/>
  <c r="C23" i="32"/>
  <c r="I22" i="32"/>
  <c r="D22" i="32"/>
  <c r="D31" i="32" s="1"/>
  <c r="H19" i="32"/>
  <c r="J28" i="32" s="1"/>
  <c r="F19" i="32"/>
  <c r="K28" i="32" s="1"/>
  <c r="K37" i="32" s="1"/>
  <c r="E19" i="32"/>
  <c r="N28" i="32" s="1"/>
  <c r="N37" i="32" s="1"/>
  <c r="D19" i="32"/>
  <c r="M28" i="32" s="1"/>
  <c r="M37" i="32" s="1"/>
  <c r="H18" i="32"/>
  <c r="F18" i="32"/>
  <c r="G27" i="32" s="1"/>
  <c r="G36" i="32" s="1"/>
  <c r="E18" i="32"/>
  <c r="N27" i="32" s="1"/>
  <c r="N36" i="32" s="1"/>
  <c r="W36" i="32" s="1"/>
  <c r="D18" i="32"/>
  <c r="H17" i="32"/>
  <c r="F17" i="32"/>
  <c r="G26" i="32" s="1"/>
  <c r="G35" i="32" s="1"/>
  <c r="E17" i="32"/>
  <c r="N26" i="32" s="1"/>
  <c r="N35" i="32" s="1"/>
  <c r="D17" i="32"/>
  <c r="H16" i="32"/>
  <c r="J25" i="32" s="1"/>
  <c r="F16" i="32"/>
  <c r="G16" i="32" s="1"/>
  <c r="E16" i="32"/>
  <c r="N25" i="32" s="1"/>
  <c r="N34" i="32" s="1"/>
  <c r="W34" i="32" s="1"/>
  <c r="D16" i="32"/>
  <c r="M25" i="32" s="1"/>
  <c r="M34" i="32" s="1"/>
  <c r="V34" i="32" s="1"/>
  <c r="H15" i="32"/>
  <c r="J24" i="32" s="1"/>
  <c r="G15" i="32"/>
  <c r="F15" i="32"/>
  <c r="E15" i="32"/>
  <c r="N24" i="32" s="1"/>
  <c r="N33" i="32" s="1"/>
  <c r="W33" i="32" s="1"/>
  <c r="D15" i="32"/>
  <c r="J15" i="32" s="1"/>
  <c r="G11" i="32"/>
  <c r="G10" i="32"/>
  <c r="W9" i="32"/>
  <c r="W10" i="32" s="1"/>
  <c r="W11" i="32" s="1"/>
  <c r="V9" i="32"/>
  <c r="V10" i="32" s="1"/>
  <c r="V11" i="32" s="1"/>
  <c r="G9" i="32"/>
  <c r="W8" i="32"/>
  <c r="V8" i="32"/>
  <c r="U8" i="32"/>
  <c r="U9" i="32" s="1"/>
  <c r="U10" i="32" s="1"/>
  <c r="U11" i="32" s="1"/>
  <c r="T8" i="32"/>
  <c r="T9" i="32" s="1"/>
  <c r="T10" i="32" s="1"/>
  <c r="T11" i="32" s="1"/>
  <c r="M8" i="32"/>
  <c r="M57" i="32" s="1"/>
  <c r="G8" i="32"/>
  <c r="H7" i="32"/>
  <c r="H56" i="32" s="1"/>
  <c r="G7" i="32"/>
  <c r="M3" i="32"/>
  <c r="G181" i="31"/>
  <c r="G191" i="31" s="1"/>
  <c r="F181" i="31"/>
  <c r="F191" i="31" s="1"/>
  <c r="E181" i="31"/>
  <c r="E191" i="31" s="1"/>
  <c r="D181" i="31"/>
  <c r="D191" i="31" s="1"/>
  <c r="G180" i="31"/>
  <c r="G190" i="31" s="1"/>
  <c r="F180" i="31"/>
  <c r="F190" i="31" s="1"/>
  <c r="E180" i="31"/>
  <c r="E190" i="31" s="1"/>
  <c r="D180" i="31"/>
  <c r="D190" i="31" s="1"/>
  <c r="F176" i="31"/>
  <c r="G163" i="31"/>
  <c r="F163" i="31"/>
  <c r="E163" i="31"/>
  <c r="D163" i="31"/>
  <c r="D176" i="31" s="1"/>
  <c r="G162" i="31"/>
  <c r="G175" i="31" s="1"/>
  <c r="F162" i="31"/>
  <c r="F175" i="31" s="1"/>
  <c r="E162" i="31"/>
  <c r="E175" i="31" s="1"/>
  <c r="D162" i="31"/>
  <c r="D175" i="31" s="1"/>
  <c r="F157" i="31"/>
  <c r="H171" i="31" s="1"/>
  <c r="F156" i="31"/>
  <c r="I146" i="31"/>
  <c r="X143" i="31"/>
  <c r="S143" i="31"/>
  <c r="N143" i="31"/>
  <c r="I143" i="31"/>
  <c r="X142" i="31"/>
  <c r="S142" i="31"/>
  <c r="N142" i="31"/>
  <c r="I142" i="31"/>
  <c r="S141" i="31"/>
  <c r="N141" i="31"/>
  <c r="I141" i="31"/>
  <c r="S140" i="31"/>
  <c r="I140" i="31"/>
  <c r="S139" i="31"/>
  <c r="I139" i="31"/>
  <c r="I135" i="31"/>
  <c r="I150" i="31" s="1"/>
  <c r="I134" i="31"/>
  <c r="I149" i="31" s="1"/>
  <c r="I133" i="31"/>
  <c r="I148" i="31" s="1"/>
  <c r="I132" i="31"/>
  <c r="I147" i="31" s="1"/>
  <c r="I131" i="31"/>
  <c r="X121" i="31"/>
  <c r="S121" i="31"/>
  <c r="N121" i="31"/>
  <c r="E171" i="31" s="1"/>
  <c r="I171" i="31" s="1"/>
  <c r="I121" i="31"/>
  <c r="D171" i="31" s="1"/>
  <c r="X120" i="31"/>
  <c r="S120" i="31"/>
  <c r="N120" i="31"/>
  <c r="E170" i="31" s="1"/>
  <c r="I120" i="31"/>
  <c r="D170" i="31" s="1"/>
  <c r="S119" i="31"/>
  <c r="N119" i="31"/>
  <c r="I119" i="31"/>
  <c r="S118" i="31"/>
  <c r="I118" i="31"/>
  <c r="S117" i="31"/>
  <c r="I117" i="31"/>
  <c r="N113" i="31"/>
  <c r="N112" i="31"/>
  <c r="N111" i="31"/>
  <c r="N110" i="31"/>
  <c r="N109" i="31"/>
  <c r="Q94" i="31"/>
  <c r="P88" i="31"/>
  <c r="Q97" i="31" s="1"/>
  <c r="E88" i="31"/>
  <c r="F97" i="31" s="1"/>
  <c r="F104" i="31" s="1"/>
  <c r="P87" i="31"/>
  <c r="Q96" i="31" s="1"/>
  <c r="P86" i="31"/>
  <c r="Q95" i="31" s="1"/>
  <c r="P85" i="31"/>
  <c r="J85" i="31"/>
  <c r="P84" i="31"/>
  <c r="Q93" i="31" s="1"/>
  <c r="I84" i="31"/>
  <c r="O78" i="31"/>
  <c r="O88" i="31" s="1"/>
  <c r="I78" i="31"/>
  <c r="I88" i="31" s="1"/>
  <c r="F78" i="31"/>
  <c r="F88" i="31" s="1"/>
  <c r="G97" i="31" s="1"/>
  <c r="G104" i="31" s="1"/>
  <c r="E78" i="31"/>
  <c r="O77" i="31"/>
  <c r="O87" i="31" s="1"/>
  <c r="I77" i="31"/>
  <c r="I87" i="31" s="1"/>
  <c r="F77" i="31"/>
  <c r="F87" i="31" s="1"/>
  <c r="G96" i="31" s="1"/>
  <c r="G103" i="31" s="1"/>
  <c r="E77" i="31"/>
  <c r="E87" i="31" s="1"/>
  <c r="F96" i="31" s="1"/>
  <c r="F103" i="31" s="1"/>
  <c r="O76" i="31"/>
  <c r="O86" i="31" s="1"/>
  <c r="I76" i="31"/>
  <c r="I86" i="31" s="1"/>
  <c r="F76" i="31"/>
  <c r="F86" i="31" s="1"/>
  <c r="G95" i="31" s="1"/>
  <c r="G102" i="31" s="1"/>
  <c r="E76" i="31"/>
  <c r="E86" i="31" s="1"/>
  <c r="F95" i="31" s="1"/>
  <c r="F102" i="31" s="1"/>
  <c r="O75" i="31"/>
  <c r="O85" i="31" s="1"/>
  <c r="I75" i="31"/>
  <c r="I85" i="31" s="1"/>
  <c r="F75" i="31"/>
  <c r="F85" i="31" s="1"/>
  <c r="G94" i="31" s="1"/>
  <c r="G101" i="31" s="1"/>
  <c r="E75" i="31"/>
  <c r="E85" i="31" s="1"/>
  <c r="F94" i="31" s="1"/>
  <c r="F101" i="31" s="1"/>
  <c r="O74" i="31"/>
  <c r="O84" i="31" s="1"/>
  <c r="I74" i="31"/>
  <c r="F74" i="31"/>
  <c r="F84" i="31" s="1"/>
  <c r="G93" i="31" s="1"/>
  <c r="G100" i="31" s="1"/>
  <c r="E74" i="31"/>
  <c r="E84" i="31" s="1"/>
  <c r="F93" i="31" s="1"/>
  <c r="F100" i="31" s="1"/>
  <c r="I68" i="31"/>
  <c r="L78" i="31" s="1"/>
  <c r="L88" i="31" s="1"/>
  <c r="M97" i="31" s="1"/>
  <c r="M104" i="31" s="1"/>
  <c r="I67" i="31"/>
  <c r="H67" i="31"/>
  <c r="J77" i="31" s="1"/>
  <c r="J87" i="31" s="1"/>
  <c r="K96" i="31" s="1"/>
  <c r="K103" i="31" s="1"/>
  <c r="I66" i="31"/>
  <c r="L76" i="31" s="1"/>
  <c r="L86" i="31" s="1"/>
  <c r="M95" i="31" s="1"/>
  <c r="M102" i="31" s="1"/>
  <c r="I65" i="31"/>
  <c r="L75" i="31" s="1"/>
  <c r="L85" i="31" s="1"/>
  <c r="M94" i="31" s="1"/>
  <c r="M101" i="31" s="1"/>
  <c r="F65" i="31"/>
  <c r="I64" i="31"/>
  <c r="L74" i="31" s="1"/>
  <c r="L84" i="31" s="1"/>
  <c r="O60" i="31"/>
  <c r="H68" i="31" s="1"/>
  <c r="J78" i="31" s="1"/>
  <c r="J88" i="31" s="1"/>
  <c r="N60" i="31"/>
  <c r="E68" i="31" s="1"/>
  <c r="N78" i="31" s="1"/>
  <c r="N88" i="31" s="1"/>
  <c r="L60" i="31"/>
  <c r="I60" i="31"/>
  <c r="H60" i="31"/>
  <c r="G60" i="31"/>
  <c r="E60" i="31"/>
  <c r="O59" i="31"/>
  <c r="N59" i="31"/>
  <c r="E67" i="31" s="1"/>
  <c r="N77" i="31" s="1"/>
  <c r="N87" i="31" s="1"/>
  <c r="L59" i="31"/>
  <c r="I59" i="31"/>
  <c r="H59" i="31"/>
  <c r="G59" i="31"/>
  <c r="E59" i="31"/>
  <c r="P58" i="31"/>
  <c r="O58" i="31"/>
  <c r="F66" i="31" s="1"/>
  <c r="G66" i="31" s="1"/>
  <c r="N58" i="31"/>
  <c r="E66" i="31" s="1"/>
  <c r="N76" i="31" s="1"/>
  <c r="N86" i="31" s="1"/>
  <c r="L58" i="31"/>
  <c r="I58" i="31"/>
  <c r="H58" i="31"/>
  <c r="G58" i="31"/>
  <c r="E58" i="31"/>
  <c r="P57" i="31"/>
  <c r="O57" i="31"/>
  <c r="H65" i="31" s="1"/>
  <c r="J75" i="31" s="1"/>
  <c r="N57" i="31"/>
  <c r="E65" i="31" s="1"/>
  <c r="N75" i="31" s="1"/>
  <c r="N85" i="31" s="1"/>
  <c r="O94" i="31" s="1"/>
  <c r="O101" i="31" s="1"/>
  <c r="M57" i="31"/>
  <c r="L57" i="31"/>
  <c r="I57" i="31"/>
  <c r="H57" i="31"/>
  <c r="G57" i="31"/>
  <c r="E57" i="31"/>
  <c r="O56" i="31"/>
  <c r="H64" i="31" s="1"/>
  <c r="J74" i="31" s="1"/>
  <c r="J84" i="31" s="1"/>
  <c r="K93" i="31" s="1"/>
  <c r="K100" i="31" s="1"/>
  <c r="N56" i="31"/>
  <c r="D64" i="31" s="1"/>
  <c r="M56" i="31"/>
  <c r="L56" i="31"/>
  <c r="D74" i="31" s="1"/>
  <c r="I56" i="31"/>
  <c r="G56" i="31"/>
  <c r="E56" i="31"/>
  <c r="I37" i="31"/>
  <c r="F37" i="31"/>
  <c r="E37" i="31"/>
  <c r="I36" i="31"/>
  <c r="F36" i="31"/>
  <c r="E36" i="31"/>
  <c r="I35" i="31"/>
  <c r="R35" i="31" s="1"/>
  <c r="F35" i="31"/>
  <c r="E35" i="31"/>
  <c r="I34" i="31"/>
  <c r="F34" i="31"/>
  <c r="E34" i="31"/>
  <c r="I33" i="31"/>
  <c r="F33" i="31"/>
  <c r="E33" i="31"/>
  <c r="C32" i="31"/>
  <c r="L28" i="31"/>
  <c r="L37" i="31" s="1"/>
  <c r="L27" i="31"/>
  <c r="L36" i="31" s="1"/>
  <c r="L26" i="31"/>
  <c r="L35" i="31" s="1"/>
  <c r="J26" i="31"/>
  <c r="L25" i="31"/>
  <c r="L34" i="31" s="1"/>
  <c r="U34" i="31" s="1"/>
  <c r="K25" i="31"/>
  <c r="K34" i="31" s="1"/>
  <c r="T34" i="31" s="1"/>
  <c r="L24" i="31"/>
  <c r="L33" i="31" s="1"/>
  <c r="U33" i="31" s="1"/>
  <c r="D24" i="31"/>
  <c r="D33" i="31" s="1"/>
  <c r="Q23" i="31"/>
  <c r="Q32" i="31" s="1"/>
  <c r="N23" i="31"/>
  <c r="N32" i="31" s="1"/>
  <c r="M23" i="31"/>
  <c r="M32" i="31" s="1"/>
  <c r="L23" i="31"/>
  <c r="L32" i="31" s="1"/>
  <c r="K23" i="31"/>
  <c r="K32" i="31" s="1"/>
  <c r="J23" i="31"/>
  <c r="J32" i="31" s="1"/>
  <c r="I23" i="31"/>
  <c r="H23" i="31"/>
  <c r="H32" i="31" s="1"/>
  <c r="G23" i="31"/>
  <c r="G32" i="31" s="1"/>
  <c r="F23" i="31"/>
  <c r="F32" i="31" s="1"/>
  <c r="E23" i="31"/>
  <c r="E32" i="31" s="1"/>
  <c r="D23" i="31"/>
  <c r="D32" i="31" s="1"/>
  <c r="C23" i="31"/>
  <c r="I22" i="31"/>
  <c r="I31" i="31" s="1"/>
  <c r="D22" i="31"/>
  <c r="D31" i="31" s="1"/>
  <c r="H19" i="31"/>
  <c r="J28" i="31" s="1"/>
  <c r="F19" i="31"/>
  <c r="E19" i="31"/>
  <c r="N28" i="31" s="1"/>
  <c r="N37" i="31" s="1"/>
  <c r="D19" i="31"/>
  <c r="M28" i="31" s="1"/>
  <c r="M37" i="31" s="1"/>
  <c r="H18" i="31"/>
  <c r="J27" i="31" s="1"/>
  <c r="F18" i="31"/>
  <c r="G27" i="31" s="1"/>
  <c r="G36" i="31" s="1"/>
  <c r="E18" i="31"/>
  <c r="N27" i="31" s="1"/>
  <c r="N36" i="31" s="1"/>
  <c r="W36" i="31" s="1"/>
  <c r="D18" i="31"/>
  <c r="H17" i="31"/>
  <c r="F17" i="31"/>
  <c r="G26" i="31" s="1"/>
  <c r="G35" i="31" s="1"/>
  <c r="E17" i="31"/>
  <c r="N26" i="31" s="1"/>
  <c r="N35" i="31" s="1"/>
  <c r="W35" i="31" s="1"/>
  <c r="D17" i="31"/>
  <c r="H16" i="31"/>
  <c r="J25" i="31" s="1"/>
  <c r="G16" i="31"/>
  <c r="F16" i="31"/>
  <c r="G25" i="31" s="1"/>
  <c r="G34" i="31" s="1"/>
  <c r="E16" i="31"/>
  <c r="N25" i="31" s="1"/>
  <c r="N34" i="31" s="1"/>
  <c r="W34" i="31" s="1"/>
  <c r="D16" i="31"/>
  <c r="M25" i="31" s="1"/>
  <c r="M34" i="31" s="1"/>
  <c r="H15" i="31"/>
  <c r="J24" i="31" s="1"/>
  <c r="F15" i="31"/>
  <c r="E15" i="31"/>
  <c r="N24" i="31" s="1"/>
  <c r="N33" i="31" s="1"/>
  <c r="W33" i="31" s="1"/>
  <c r="D15" i="31"/>
  <c r="G11" i="31"/>
  <c r="W10" i="31"/>
  <c r="W11" i="31" s="1"/>
  <c r="G10" i="31"/>
  <c r="W9" i="31"/>
  <c r="V9" i="31"/>
  <c r="V10" i="31" s="1"/>
  <c r="V11" i="31" s="1"/>
  <c r="U9" i="31"/>
  <c r="U10" i="31" s="1"/>
  <c r="U11" i="31" s="1"/>
  <c r="G9" i="31"/>
  <c r="W8" i="31"/>
  <c r="V8" i="31"/>
  <c r="U8" i="31"/>
  <c r="T8" i="31"/>
  <c r="T9" i="31" s="1"/>
  <c r="T10" i="31" s="1"/>
  <c r="T11" i="31" s="1"/>
  <c r="M8" i="31"/>
  <c r="M9" i="31" s="1"/>
  <c r="G8" i="31"/>
  <c r="H7" i="31"/>
  <c r="H56" i="31" s="1"/>
  <c r="G7" i="31"/>
  <c r="M3" i="31"/>
  <c r="G211" i="30"/>
  <c r="G221" i="30" s="1"/>
  <c r="F211" i="30"/>
  <c r="F221" i="30" s="1"/>
  <c r="E211" i="30"/>
  <c r="E221" i="30" s="1"/>
  <c r="D211" i="30"/>
  <c r="D221" i="30" s="1"/>
  <c r="G210" i="30"/>
  <c r="G220" i="30" s="1"/>
  <c r="F210" i="30"/>
  <c r="F220" i="30" s="1"/>
  <c r="E210" i="30"/>
  <c r="E220" i="30" s="1"/>
  <c r="D210" i="30"/>
  <c r="D220" i="30" s="1"/>
  <c r="I200" i="30"/>
  <c r="G193" i="30"/>
  <c r="F193" i="30"/>
  <c r="F206" i="30" s="1"/>
  <c r="E193" i="30"/>
  <c r="D193" i="30"/>
  <c r="D206" i="30" s="1"/>
  <c r="G192" i="30"/>
  <c r="G205" i="30" s="1"/>
  <c r="F192" i="30"/>
  <c r="F205" i="30" s="1"/>
  <c r="E192" i="30"/>
  <c r="E205" i="30" s="1"/>
  <c r="D192" i="30"/>
  <c r="F187" i="30"/>
  <c r="F186" i="30"/>
  <c r="H200" i="30" s="1"/>
  <c r="Z176" i="30"/>
  <c r="Z175" i="30"/>
  <c r="P175" i="30"/>
  <c r="Z174" i="30"/>
  <c r="P174" i="30"/>
  <c r="I173" i="30"/>
  <c r="N172" i="30"/>
  <c r="I172" i="30"/>
  <c r="T171" i="30"/>
  <c r="I171" i="30"/>
  <c r="I170" i="30"/>
  <c r="X165" i="30"/>
  <c r="M165" i="30"/>
  <c r="I165" i="30"/>
  <c r="T173" i="30" s="1"/>
  <c r="X164" i="30"/>
  <c r="M164" i="30"/>
  <c r="I164" i="30"/>
  <c r="T172" i="30" s="1"/>
  <c r="M163" i="30"/>
  <c r="I163" i="30"/>
  <c r="S162" i="30"/>
  <c r="M162" i="30"/>
  <c r="I162" i="30"/>
  <c r="S161" i="30"/>
  <c r="M161" i="30"/>
  <c r="K157" i="30"/>
  <c r="F157" i="30"/>
  <c r="S165" i="30" s="1"/>
  <c r="E157" i="30"/>
  <c r="N165" i="30" s="1"/>
  <c r="N156" i="30"/>
  <c r="K156" i="30"/>
  <c r="F156" i="30"/>
  <c r="S164" i="30" s="1"/>
  <c r="E156" i="30"/>
  <c r="N164" i="30" s="1"/>
  <c r="F155" i="30"/>
  <c r="S163" i="30" s="1"/>
  <c r="E155" i="30"/>
  <c r="N163" i="30" s="1"/>
  <c r="F154" i="30"/>
  <c r="F153" i="30"/>
  <c r="D153" i="30"/>
  <c r="I169" i="30" s="1"/>
  <c r="X143" i="30"/>
  <c r="S143" i="30"/>
  <c r="N143" i="30"/>
  <c r="I143" i="30"/>
  <c r="X142" i="30"/>
  <c r="S142" i="30"/>
  <c r="N142" i="30"/>
  <c r="I142" i="30"/>
  <c r="S141" i="30"/>
  <c r="N141" i="30"/>
  <c r="I141" i="30"/>
  <c r="S140" i="30"/>
  <c r="I140" i="30"/>
  <c r="S139" i="30"/>
  <c r="I139" i="30"/>
  <c r="I135" i="30"/>
  <c r="I150" i="30" s="1"/>
  <c r="I134" i="30"/>
  <c r="I149" i="30" s="1"/>
  <c r="I133" i="30"/>
  <c r="I148" i="30" s="1"/>
  <c r="I132" i="30"/>
  <c r="I147" i="30" s="1"/>
  <c r="I131" i="30"/>
  <c r="I146" i="30" s="1"/>
  <c r="X121" i="30"/>
  <c r="S121" i="30"/>
  <c r="F201" i="30" s="1"/>
  <c r="N121" i="30"/>
  <c r="E201" i="30" s="1"/>
  <c r="I201" i="30" s="1"/>
  <c r="I121" i="30"/>
  <c r="D201" i="30" s="1"/>
  <c r="X120" i="30"/>
  <c r="S120" i="30"/>
  <c r="F200" i="30" s="1"/>
  <c r="N120" i="30"/>
  <c r="E200" i="30" s="1"/>
  <c r="I120" i="30"/>
  <c r="D200" i="30" s="1"/>
  <c r="S119" i="30"/>
  <c r="N119" i="30"/>
  <c r="I119" i="30"/>
  <c r="S118" i="30"/>
  <c r="I118" i="30"/>
  <c r="S117" i="30"/>
  <c r="I117" i="30"/>
  <c r="N113" i="30"/>
  <c r="N112" i="30"/>
  <c r="K127" i="30" s="1"/>
  <c r="G127" i="30" s="1"/>
  <c r="N111" i="30"/>
  <c r="N110" i="30"/>
  <c r="N154" i="30" s="1"/>
  <c r="N109" i="30"/>
  <c r="N153" i="30" s="1"/>
  <c r="Q97" i="30"/>
  <c r="P96" i="30"/>
  <c r="Q94" i="30"/>
  <c r="P88" i="30"/>
  <c r="O88" i="30"/>
  <c r="F88" i="30"/>
  <c r="G97" i="30" s="1"/>
  <c r="G104" i="30" s="1"/>
  <c r="P87" i="30"/>
  <c r="Q96" i="30" s="1"/>
  <c r="O87" i="30"/>
  <c r="D120" i="30" s="1"/>
  <c r="D164" i="30" s="1"/>
  <c r="F87" i="30"/>
  <c r="G96" i="30" s="1"/>
  <c r="G103" i="30" s="1"/>
  <c r="P86" i="30"/>
  <c r="Q95" i="30" s="1"/>
  <c r="F86" i="30"/>
  <c r="G95" i="30" s="1"/>
  <c r="G102" i="30" s="1"/>
  <c r="E86" i="30"/>
  <c r="F95" i="30" s="1"/>
  <c r="F102" i="30" s="1"/>
  <c r="P85" i="30"/>
  <c r="I85" i="30"/>
  <c r="J94" i="30" s="1"/>
  <c r="E85" i="30"/>
  <c r="F94" i="30" s="1"/>
  <c r="F101" i="30" s="1"/>
  <c r="P84" i="30"/>
  <c r="Q93" i="30" s="1"/>
  <c r="O78" i="30"/>
  <c r="I78" i="30"/>
  <c r="I88" i="30" s="1"/>
  <c r="F78" i="30"/>
  <c r="E78" i="30"/>
  <c r="E88" i="30" s="1"/>
  <c r="F97" i="30" s="1"/>
  <c r="F104" i="30" s="1"/>
  <c r="O77" i="30"/>
  <c r="I77" i="30"/>
  <c r="I87" i="30" s="1"/>
  <c r="F77" i="30"/>
  <c r="E77" i="30"/>
  <c r="E87" i="30" s="1"/>
  <c r="F96" i="30" s="1"/>
  <c r="F103" i="30" s="1"/>
  <c r="O76" i="30"/>
  <c r="O86" i="30" s="1"/>
  <c r="J76" i="30"/>
  <c r="J86" i="30" s="1"/>
  <c r="I76" i="30"/>
  <c r="F76" i="30"/>
  <c r="E76" i="30"/>
  <c r="O75" i="30"/>
  <c r="O85" i="30" s="1"/>
  <c r="I75" i="30"/>
  <c r="F75" i="30"/>
  <c r="F85" i="30" s="1"/>
  <c r="G94" i="30" s="1"/>
  <c r="G101" i="30" s="1"/>
  <c r="E75" i="30"/>
  <c r="O74" i="30"/>
  <c r="O84" i="30" s="1"/>
  <c r="L74" i="30"/>
  <c r="L84" i="30" s="1"/>
  <c r="M93" i="30" s="1"/>
  <c r="M100" i="30" s="1"/>
  <c r="I74" i="30"/>
  <c r="I84" i="30" s="1"/>
  <c r="F74" i="30"/>
  <c r="F84" i="30" s="1"/>
  <c r="G93" i="30" s="1"/>
  <c r="G100" i="30" s="1"/>
  <c r="E74" i="30"/>
  <c r="E84" i="30" s="1"/>
  <c r="F93" i="30" s="1"/>
  <c r="F100" i="30" s="1"/>
  <c r="D74" i="30"/>
  <c r="I68" i="30"/>
  <c r="L78" i="30" s="1"/>
  <c r="L88" i="30" s="1"/>
  <c r="M97" i="30" s="1"/>
  <c r="M104" i="30" s="1"/>
  <c r="H68" i="30"/>
  <c r="J78" i="30" s="1"/>
  <c r="D68" i="30"/>
  <c r="M78" i="30" s="1"/>
  <c r="M88" i="30" s="1"/>
  <c r="I67" i="30"/>
  <c r="L77" i="30" s="1"/>
  <c r="L87" i="30" s="1"/>
  <c r="M96" i="30" s="1"/>
  <c r="M103" i="30" s="1"/>
  <c r="I66" i="30"/>
  <c r="L76" i="30" s="1"/>
  <c r="L86" i="30" s="1"/>
  <c r="M95" i="30" s="1"/>
  <c r="M102" i="30" s="1"/>
  <c r="H66" i="30"/>
  <c r="I65" i="30"/>
  <c r="L75" i="30" s="1"/>
  <c r="L85" i="30" s="1"/>
  <c r="M94" i="30" s="1"/>
  <c r="M101" i="30" s="1"/>
  <c r="I64" i="30"/>
  <c r="D64" i="30"/>
  <c r="O60" i="30"/>
  <c r="P60" i="30" s="1"/>
  <c r="N60" i="30"/>
  <c r="E68" i="30" s="1"/>
  <c r="L60" i="30"/>
  <c r="I60" i="30"/>
  <c r="H60" i="30"/>
  <c r="G60" i="30"/>
  <c r="E60" i="30"/>
  <c r="O59" i="30"/>
  <c r="H67" i="30" s="1"/>
  <c r="J77" i="30" s="1"/>
  <c r="N59" i="30"/>
  <c r="E67" i="30" s="1"/>
  <c r="N77" i="30" s="1"/>
  <c r="N87" i="30" s="1"/>
  <c r="L59" i="30"/>
  <c r="I59" i="30"/>
  <c r="H59" i="30"/>
  <c r="G59" i="30"/>
  <c r="E59" i="30"/>
  <c r="O58" i="30"/>
  <c r="N58" i="30"/>
  <c r="E66" i="30" s="1"/>
  <c r="N76" i="30" s="1"/>
  <c r="N86" i="30" s="1"/>
  <c r="O95" i="30" s="1"/>
  <c r="O102" i="30" s="1"/>
  <c r="L58" i="30"/>
  <c r="I58" i="30"/>
  <c r="H58" i="30"/>
  <c r="G58" i="30"/>
  <c r="E58" i="30"/>
  <c r="O57" i="30"/>
  <c r="N57" i="30"/>
  <c r="E65" i="30" s="1"/>
  <c r="N75" i="30" s="1"/>
  <c r="N85" i="30" s="1"/>
  <c r="L57" i="30"/>
  <c r="I57" i="30"/>
  <c r="H57" i="30"/>
  <c r="G57" i="30"/>
  <c r="E57" i="30"/>
  <c r="P56" i="30"/>
  <c r="O56" i="30"/>
  <c r="H64" i="30" s="1"/>
  <c r="J74" i="30" s="1"/>
  <c r="J84" i="30" s="1"/>
  <c r="N56" i="30"/>
  <c r="E64" i="30" s="1"/>
  <c r="N74" i="30" s="1"/>
  <c r="N84" i="30" s="1"/>
  <c r="O93" i="30" s="1"/>
  <c r="O100" i="30" s="1"/>
  <c r="M56" i="30"/>
  <c r="L56" i="30"/>
  <c r="I56" i="30"/>
  <c r="G56" i="30"/>
  <c r="E56" i="30"/>
  <c r="I37" i="30"/>
  <c r="R37" i="30" s="1"/>
  <c r="F37" i="30"/>
  <c r="E37" i="30"/>
  <c r="L36" i="30"/>
  <c r="U36" i="30" s="1"/>
  <c r="I36" i="30"/>
  <c r="F36" i="30"/>
  <c r="E36" i="30"/>
  <c r="I35" i="30"/>
  <c r="F35" i="30"/>
  <c r="E35" i="30"/>
  <c r="L34" i="30"/>
  <c r="U34" i="30" s="1"/>
  <c r="I34" i="30"/>
  <c r="R34" i="30" s="1"/>
  <c r="F34" i="30"/>
  <c r="E34" i="30"/>
  <c r="I33" i="30"/>
  <c r="R33" i="30" s="1"/>
  <c r="F33" i="30"/>
  <c r="E33" i="30"/>
  <c r="L32" i="30"/>
  <c r="K32" i="30"/>
  <c r="C32" i="30"/>
  <c r="L28" i="30"/>
  <c r="L37" i="30" s="1"/>
  <c r="K28" i="30"/>
  <c r="K37" i="30" s="1"/>
  <c r="L27" i="30"/>
  <c r="J27" i="30"/>
  <c r="J36" i="30" s="1"/>
  <c r="L26" i="30"/>
  <c r="L35" i="30" s="1"/>
  <c r="U35" i="30" s="1"/>
  <c r="K26" i="30"/>
  <c r="K35" i="30" s="1"/>
  <c r="T35" i="30" s="1"/>
  <c r="L25" i="30"/>
  <c r="J25" i="30"/>
  <c r="J34" i="30" s="1"/>
  <c r="S34" i="30" s="1"/>
  <c r="N24" i="30"/>
  <c r="N33" i="30" s="1"/>
  <c r="W33" i="30" s="1"/>
  <c r="L24" i="30"/>
  <c r="L33" i="30" s="1"/>
  <c r="U33" i="30" s="1"/>
  <c r="D33" i="30"/>
  <c r="Q23" i="30"/>
  <c r="Q32" i="30" s="1"/>
  <c r="N23" i="30"/>
  <c r="N32" i="30" s="1"/>
  <c r="M23" i="30"/>
  <c r="M32" i="30" s="1"/>
  <c r="L23" i="30"/>
  <c r="K23" i="30"/>
  <c r="J23" i="30"/>
  <c r="J32" i="30" s="1"/>
  <c r="I23" i="30"/>
  <c r="H23" i="30"/>
  <c r="H32" i="30" s="1"/>
  <c r="G23" i="30"/>
  <c r="G32" i="30" s="1"/>
  <c r="F23" i="30"/>
  <c r="F32" i="30" s="1"/>
  <c r="E23" i="30"/>
  <c r="E32" i="30" s="1"/>
  <c r="D23" i="30"/>
  <c r="D32" i="30" s="1"/>
  <c r="C23" i="30"/>
  <c r="I22" i="30"/>
  <c r="I31" i="30" s="1"/>
  <c r="D22" i="30"/>
  <c r="D31" i="30" s="1"/>
  <c r="H19" i="30"/>
  <c r="J28" i="30" s="1"/>
  <c r="G19" i="30"/>
  <c r="F19" i="30"/>
  <c r="G28" i="30" s="1"/>
  <c r="G37" i="30" s="1"/>
  <c r="E19" i="30"/>
  <c r="N28" i="30" s="1"/>
  <c r="N37" i="30" s="1"/>
  <c r="D19" i="30"/>
  <c r="M28" i="30" s="1"/>
  <c r="M37" i="30" s="1"/>
  <c r="H18" i="30"/>
  <c r="F18" i="30"/>
  <c r="G27" i="30" s="1"/>
  <c r="G36" i="30" s="1"/>
  <c r="E18" i="30"/>
  <c r="N27" i="30" s="1"/>
  <c r="N36" i="30" s="1"/>
  <c r="D18" i="30"/>
  <c r="H17" i="30"/>
  <c r="J26" i="30" s="1"/>
  <c r="F17" i="30"/>
  <c r="G26" i="30" s="1"/>
  <c r="G35" i="30" s="1"/>
  <c r="E17" i="30"/>
  <c r="N26" i="30" s="1"/>
  <c r="N35" i="30" s="1"/>
  <c r="D17" i="30"/>
  <c r="H16" i="30"/>
  <c r="G16" i="30"/>
  <c r="F16" i="30"/>
  <c r="K25" i="30" s="1"/>
  <c r="K34" i="30" s="1"/>
  <c r="T34" i="30" s="1"/>
  <c r="E16" i="30"/>
  <c r="N25" i="30" s="1"/>
  <c r="N34" i="30" s="1"/>
  <c r="W34" i="30" s="1"/>
  <c r="D16" i="30"/>
  <c r="M25" i="30" s="1"/>
  <c r="M34" i="30" s="1"/>
  <c r="V34" i="30" s="1"/>
  <c r="H15" i="30"/>
  <c r="J24" i="30" s="1"/>
  <c r="G15" i="30"/>
  <c r="F15" i="30"/>
  <c r="K24" i="30" s="1"/>
  <c r="K33" i="30" s="1"/>
  <c r="T33" i="30" s="1"/>
  <c r="E15" i="30"/>
  <c r="D15" i="30"/>
  <c r="M24" i="30" s="1"/>
  <c r="M33" i="30" s="1"/>
  <c r="V33" i="30" s="1"/>
  <c r="G11" i="30"/>
  <c r="G10" i="30"/>
  <c r="W9" i="30"/>
  <c r="W10" i="30" s="1"/>
  <c r="W11" i="30" s="1"/>
  <c r="G9" i="30"/>
  <c r="W8" i="30"/>
  <c r="V8" i="30"/>
  <c r="V9" i="30" s="1"/>
  <c r="V10" i="30" s="1"/>
  <c r="V11" i="30" s="1"/>
  <c r="U8" i="30"/>
  <c r="U9" i="30" s="1"/>
  <c r="U10" i="30" s="1"/>
  <c r="U11" i="30" s="1"/>
  <c r="T8" i="30"/>
  <c r="T9" i="30" s="1"/>
  <c r="T10" i="30" s="1"/>
  <c r="T11" i="30" s="1"/>
  <c r="M8" i="30"/>
  <c r="M57" i="30" s="1"/>
  <c r="G8" i="30"/>
  <c r="H7" i="30"/>
  <c r="H56" i="30" s="1"/>
  <c r="G7" i="30"/>
  <c r="M3" i="30"/>
  <c r="V37" i="31" l="1"/>
  <c r="V37" i="32"/>
  <c r="T35" i="32"/>
  <c r="V37" i="30"/>
  <c r="W37" i="31"/>
  <c r="W37" i="32"/>
  <c r="U37" i="31"/>
  <c r="T37" i="32"/>
  <c r="T75" i="31"/>
  <c r="X76" i="32"/>
  <c r="T37" i="30"/>
  <c r="T78" i="30"/>
  <c r="U37" i="30"/>
  <c r="X78" i="30"/>
  <c r="R75" i="31"/>
  <c r="T76" i="32"/>
  <c r="R34" i="31"/>
  <c r="X76" i="30"/>
  <c r="Y75" i="31"/>
  <c r="R78" i="32"/>
  <c r="R37" i="31"/>
  <c r="S76" i="30"/>
  <c r="T76" i="31"/>
  <c r="U78" i="32"/>
  <c r="S75" i="30"/>
  <c r="S78" i="31"/>
  <c r="R75" i="32"/>
  <c r="R78" i="30"/>
  <c r="X78" i="31"/>
  <c r="T75" i="32"/>
  <c r="U36" i="32"/>
  <c r="R35" i="30"/>
  <c r="R75" i="30"/>
  <c r="Y75" i="32"/>
  <c r="T77" i="30"/>
  <c r="R36" i="30"/>
  <c r="R36" i="31"/>
  <c r="U78" i="30"/>
  <c r="Y76" i="30"/>
  <c r="T75" i="30"/>
  <c r="X75" i="31"/>
  <c r="Y76" i="31"/>
  <c r="R78" i="31"/>
  <c r="X75" i="32"/>
  <c r="R77" i="32"/>
  <c r="T78" i="32"/>
  <c r="U36" i="31"/>
  <c r="V34" i="31"/>
  <c r="R77" i="30"/>
  <c r="S78" i="30"/>
  <c r="U76" i="30"/>
  <c r="R76" i="31"/>
  <c r="S77" i="31"/>
  <c r="T78" i="31"/>
  <c r="R76" i="32"/>
  <c r="T77" i="32"/>
  <c r="X78" i="32"/>
  <c r="R77" i="31"/>
  <c r="S77" i="32"/>
  <c r="R36" i="32"/>
  <c r="U35" i="31"/>
  <c r="R76" i="30"/>
  <c r="Y77" i="30"/>
  <c r="T76" i="30"/>
  <c r="S76" i="31"/>
  <c r="T77" i="31"/>
  <c r="U78" i="31"/>
  <c r="S76" i="32"/>
  <c r="U77" i="32"/>
  <c r="Y78" i="32"/>
  <c r="X77" i="30"/>
  <c r="U77" i="31"/>
  <c r="X77" i="32"/>
  <c r="S36" i="30"/>
  <c r="W37" i="30"/>
  <c r="T34" i="32"/>
  <c r="Y78" i="30"/>
  <c r="U77" i="30"/>
  <c r="Y75" i="30"/>
  <c r="S75" i="31"/>
  <c r="U76" i="31"/>
  <c r="W77" i="31"/>
  <c r="Y78" i="31"/>
  <c r="S75" i="32"/>
  <c r="U76" i="32"/>
  <c r="Y77" i="32"/>
  <c r="X77" i="31"/>
  <c r="W36" i="30"/>
  <c r="W35" i="30"/>
  <c r="R37" i="32"/>
  <c r="V78" i="30"/>
  <c r="S77" i="30"/>
  <c r="U75" i="30"/>
  <c r="U75" i="31"/>
  <c r="X76" i="31"/>
  <c r="Z34" i="30"/>
  <c r="J16" i="30"/>
  <c r="O97" i="31"/>
  <c r="O104" i="31" s="1"/>
  <c r="W74" i="30"/>
  <c r="W77" i="30"/>
  <c r="W76" i="30"/>
  <c r="W75" i="30"/>
  <c r="W75" i="31"/>
  <c r="W78" i="32"/>
  <c r="M24" i="32"/>
  <c r="M33" i="32" s="1"/>
  <c r="V33" i="32" s="1"/>
  <c r="W78" i="31"/>
  <c r="O94" i="30"/>
  <c r="O101" i="30" s="1"/>
  <c r="J15" i="30"/>
  <c r="W76" i="32"/>
  <c r="V77" i="32"/>
  <c r="J35" i="30"/>
  <c r="S35" i="30" s="1"/>
  <c r="O96" i="30"/>
  <c r="O103" i="30" s="1"/>
  <c r="J88" i="30"/>
  <c r="K97" i="30" s="1"/>
  <c r="K104" i="30" s="1"/>
  <c r="D119" i="30"/>
  <c r="P95" i="30"/>
  <c r="J87" i="30"/>
  <c r="K96" i="30" s="1"/>
  <c r="K103" i="30" s="1"/>
  <c r="F66" i="30"/>
  <c r="K93" i="30"/>
  <c r="K100" i="30" s="1"/>
  <c r="D118" i="30"/>
  <c r="P94" i="30"/>
  <c r="J96" i="30"/>
  <c r="Q34" i="30"/>
  <c r="M110" i="30" s="1"/>
  <c r="D75" i="30"/>
  <c r="Q28" i="30"/>
  <c r="J37" i="30"/>
  <c r="J93" i="30"/>
  <c r="J33" i="30"/>
  <c r="Q24" i="30"/>
  <c r="N78" i="30"/>
  <c r="N97" i="30"/>
  <c r="N104" i="30" s="1"/>
  <c r="D117" i="30"/>
  <c r="P93" i="30"/>
  <c r="K95" i="30"/>
  <c r="K102" i="30" s="1"/>
  <c r="J97" i="30"/>
  <c r="F64" i="30"/>
  <c r="G18" i="30"/>
  <c r="J18" i="30" s="1"/>
  <c r="M26" i="30"/>
  <c r="M35" i="30" s="1"/>
  <c r="V35" i="30" s="1"/>
  <c r="P57" i="30"/>
  <c r="F65" i="30" s="1"/>
  <c r="M74" i="30"/>
  <c r="D84" i="30"/>
  <c r="J101" i="30"/>
  <c r="N171" i="30"/>
  <c r="H201" i="30"/>
  <c r="G24" i="30"/>
  <c r="G33" i="30" s="1"/>
  <c r="H33" i="30" s="1"/>
  <c r="D25" i="30"/>
  <c r="Q25" i="30"/>
  <c r="M27" i="30"/>
  <c r="M36" i="30" s="1"/>
  <c r="V36" i="30" s="1"/>
  <c r="P58" i="30"/>
  <c r="D67" i="30"/>
  <c r="J93" i="31"/>
  <c r="J19" i="30"/>
  <c r="M9" i="30"/>
  <c r="G17" i="30"/>
  <c r="J17" i="30" s="1"/>
  <c r="H24" i="30"/>
  <c r="G25" i="30"/>
  <c r="G34" i="30" s="1"/>
  <c r="P59" i="30"/>
  <c r="D66" i="30"/>
  <c r="F68" i="30"/>
  <c r="Q25" i="32"/>
  <c r="J34" i="32"/>
  <c r="S34" i="32" s="1"/>
  <c r="D65" i="30"/>
  <c r="F67" i="30"/>
  <c r="I86" i="30"/>
  <c r="J96" i="31"/>
  <c r="K27" i="30"/>
  <c r="K36" i="30" s="1"/>
  <c r="P97" i="30"/>
  <c r="D121" i="30"/>
  <c r="H128" i="30" s="1"/>
  <c r="D128" i="30" s="1"/>
  <c r="E206" i="30"/>
  <c r="H65" i="30"/>
  <c r="J75" i="30" s="1"/>
  <c r="H127" i="30"/>
  <c r="D127" i="30" s="1"/>
  <c r="J125" i="30"/>
  <c r="F125" i="30" s="1"/>
  <c r="I127" i="30"/>
  <c r="E127" i="30" s="1"/>
  <c r="I161" i="30"/>
  <c r="T170" i="30"/>
  <c r="N173" i="30"/>
  <c r="J200" i="30"/>
  <c r="J201" i="30"/>
  <c r="J127" i="30"/>
  <c r="F127" i="30" s="1"/>
  <c r="G206" i="30"/>
  <c r="J15" i="31"/>
  <c r="Q25" i="31"/>
  <c r="J35" i="31"/>
  <c r="S35" i="31" s="1"/>
  <c r="J34" i="31"/>
  <c r="S34" i="31" s="1"/>
  <c r="J36" i="31"/>
  <c r="S36" i="31" s="1"/>
  <c r="D84" i="31"/>
  <c r="D75" i="31"/>
  <c r="D117" i="31"/>
  <c r="H124" i="31" s="1"/>
  <c r="D124" i="31" s="1"/>
  <c r="P93" i="31"/>
  <c r="P96" i="31"/>
  <c r="D120" i="31"/>
  <c r="K127" i="31"/>
  <c r="G127" i="31" s="1"/>
  <c r="G170" i="31"/>
  <c r="N155" i="30"/>
  <c r="D205" i="30"/>
  <c r="J95" i="31"/>
  <c r="K94" i="31"/>
  <c r="K101" i="31" s="1"/>
  <c r="D84" i="32"/>
  <c r="J124" i="30"/>
  <c r="F124" i="30" s="1"/>
  <c r="K24" i="31"/>
  <c r="K33" i="31" s="1"/>
  <c r="T33" i="31" s="1"/>
  <c r="G24" i="31"/>
  <c r="G33" i="31" s="1"/>
  <c r="G15" i="31"/>
  <c r="M74" i="31"/>
  <c r="O95" i="31"/>
  <c r="O102" i="31" s="1"/>
  <c r="O96" i="31"/>
  <c r="O103" i="31" s="1"/>
  <c r="K97" i="31"/>
  <c r="K104" i="31" s="1"/>
  <c r="L77" i="31"/>
  <c r="L87" i="31" s="1"/>
  <c r="M96" i="31" s="1"/>
  <c r="M103" i="31" s="1"/>
  <c r="D119" i="31"/>
  <c r="P95" i="31"/>
  <c r="I128" i="30"/>
  <c r="E128" i="30" s="1"/>
  <c r="N157" i="30"/>
  <c r="J33" i="31"/>
  <c r="S33" i="31" s="1"/>
  <c r="Z33" i="31" s="1"/>
  <c r="AA33" i="31" s="1"/>
  <c r="AB33" i="31" s="1"/>
  <c r="Q24" i="31"/>
  <c r="K28" i="31"/>
  <c r="K37" i="31" s="1"/>
  <c r="T37" i="31" s="1"/>
  <c r="G19" i="31"/>
  <c r="G76" i="31"/>
  <c r="G86" i="31" s="1"/>
  <c r="H95" i="31" s="1"/>
  <c r="H102" i="31" s="1"/>
  <c r="K76" i="31"/>
  <c r="K86" i="31" s="1"/>
  <c r="E64" i="31"/>
  <c r="N74" i="31" s="1"/>
  <c r="J94" i="31"/>
  <c r="J97" i="31"/>
  <c r="G200" i="30"/>
  <c r="G201" i="30"/>
  <c r="D26" i="31"/>
  <c r="M10" i="31"/>
  <c r="M58" i="31"/>
  <c r="D76" i="31" s="1"/>
  <c r="J37" i="31"/>
  <c r="H33" i="31"/>
  <c r="G28" i="31"/>
  <c r="G37" i="31" s="1"/>
  <c r="M93" i="31"/>
  <c r="M100" i="31" s="1"/>
  <c r="J85" i="32"/>
  <c r="K94" i="32" s="1"/>
  <c r="K101" i="32" s="1"/>
  <c r="J18" i="31"/>
  <c r="M27" i="31"/>
  <c r="M36" i="31" s="1"/>
  <c r="V36" i="31" s="1"/>
  <c r="K75" i="31"/>
  <c r="K85" i="31" s="1"/>
  <c r="L94" i="31" s="1"/>
  <c r="L101" i="31" s="1"/>
  <c r="G75" i="31"/>
  <c r="G85" i="31" s="1"/>
  <c r="H94" i="31" s="1"/>
  <c r="H101" i="31" s="1"/>
  <c r="G65" i="31"/>
  <c r="P94" i="31"/>
  <c r="D118" i="31"/>
  <c r="D121" i="31"/>
  <c r="K128" i="31" s="1"/>
  <c r="G128" i="31" s="1"/>
  <c r="P97" i="31"/>
  <c r="J16" i="32"/>
  <c r="J16" i="31"/>
  <c r="M24" i="31"/>
  <c r="M33" i="31" s="1"/>
  <c r="V33" i="31" s="1"/>
  <c r="K26" i="31"/>
  <c r="K35" i="31" s="1"/>
  <c r="H66" i="31"/>
  <c r="J76" i="31" s="1"/>
  <c r="J124" i="31"/>
  <c r="F124" i="31" s="1"/>
  <c r="G28" i="32"/>
  <c r="G37" i="32" s="1"/>
  <c r="O95" i="32"/>
  <c r="O102" i="32" s="1"/>
  <c r="J84" i="32"/>
  <c r="K93" i="32" s="1"/>
  <c r="K100" i="32" s="1"/>
  <c r="M93" i="32"/>
  <c r="M100" i="32" s="1"/>
  <c r="K27" i="31"/>
  <c r="K36" i="31" s="1"/>
  <c r="P56" i="31"/>
  <c r="F64" i="31" s="1"/>
  <c r="K24" i="32"/>
  <c r="K33" i="32" s="1"/>
  <c r="T33" i="32" s="1"/>
  <c r="G24" i="32"/>
  <c r="G33" i="32" s="1"/>
  <c r="H33" i="32" s="1"/>
  <c r="G18" i="31"/>
  <c r="M26" i="31"/>
  <c r="M35" i="31" s="1"/>
  <c r="V35" i="31" s="1"/>
  <c r="D68" i="31"/>
  <c r="J125" i="31"/>
  <c r="F125" i="31" s="1"/>
  <c r="H125" i="31"/>
  <c r="D125" i="31" s="1"/>
  <c r="J35" i="32"/>
  <c r="S35" i="32" s="1"/>
  <c r="D25" i="31"/>
  <c r="D67" i="31"/>
  <c r="J33" i="32"/>
  <c r="J94" i="32"/>
  <c r="I88" i="32"/>
  <c r="J103" i="32"/>
  <c r="G17" i="31"/>
  <c r="J17" i="31" s="1"/>
  <c r="H24" i="31"/>
  <c r="P59" i="31"/>
  <c r="F67" i="31" s="1"/>
  <c r="D66" i="31"/>
  <c r="H126" i="31"/>
  <c r="D126" i="31" s="1"/>
  <c r="J127" i="31"/>
  <c r="F127" i="31" s="1"/>
  <c r="I170" i="31"/>
  <c r="G19" i="32"/>
  <c r="P94" i="32"/>
  <c r="D118" i="32"/>
  <c r="J125" i="32" s="1"/>
  <c r="F125" i="32" s="1"/>
  <c r="P60" i="31"/>
  <c r="F68" i="31" s="1"/>
  <c r="D65" i="31"/>
  <c r="J18" i="32"/>
  <c r="M27" i="32"/>
  <c r="M36" i="32" s="1"/>
  <c r="J37" i="32"/>
  <c r="Q28" i="32"/>
  <c r="I127" i="31"/>
  <c r="E127" i="31" s="1"/>
  <c r="H127" i="31"/>
  <c r="D127" i="31" s="1"/>
  <c r="F170" i="31"/>
  <c r="J170" i="31" s="1"/>
  <c r="G171" i="31"/>
  <c r="H170" i="31"/>
  <c r="K170" i="31"/>
  <c r="E176" i="31"/>
  <c r="J36" i="32"/>
  <c r="S36" i="32" s="1"/>
  <c r="K97" i="32"/>
  <c r="K104" i="32" s="1"/>
  <c r="K171" i="31"/>
  <c r="G176" i="31"/>
  <c r="K27" i="32"/>
  <c r="K36" i="32" s="1"/>
  <c r="T36" i="32" s="1"/>
  <c r="E67" i="32"/>
  <c r="N77" i="32" s="1"/>
  <c r="M97" i="32"/>
  <c r="M104" i="32" s="1"/>
  <c r="K127" i="32"/>
  <c r="G127" i="32" s="1"/>
  <c r="I127" i="32"/>
  <c r="E127" i="32" s="1"/>
  <c r="H127" i="32"/>
  <c r="D127" i="32" s="1"/>
  <c r="D121" i="32"/>
  <c r="G18" i="32"/>
  <c r="J19" i="32"/>
  <c r="M26" i="32"/>
  <c r="M35" i="32" s="1"/>
  <c r="V35" i="32" s="1"/>
  <c r="M75" i="32"/>
  <c r="K77" i="32"/>
  <c r="K87" i="32" s="1"/>
  <c r="L96" i="32" s="1"/>
  <c r="L103" i="32" s="1"/>
  <c r="G67" i="32"/>
  <c r="J67" i="32" s="1"/>
  <c r="G77" i="32"/>
  <c r="G87" i="32" s="1"/>
  <c r="H96" i="32" s="1"/>
  <c r="H103" i="32" s="1"/>
  <c r="D117" i="32"/>
  <c r="D190" i="32"/>
  <c r="D25" i="32"/>
  <c r="O97" i="32"/>
  <c r="O104" i="32" s="1"/>
  <c r="M96" i="32"/>
  <c r="M103" i="32" s="1"/>
  <c r="Q77" i="32"/>
  <c r="Z77" i="32" s="1"/>
  <c r="AA77" i="32" s="1"/>
  <c r="AB77" i="32" s="1"/>
  <c r="P95" i="32"/>
  <c r="F171" i="31"/>
  <c r="M9" i="32"/>
  <c r="G17" i="32"/>
  <c r="J17" i="32" s="1"/>
  <c r="H24" i="32"/>
  <c r="G25" i="32"/>
  <c r="G34" i="32" s="1"/>
  <c r="D75" i="32"/>
  <c r="K96" i="32"/>
  <c r="K103" i="32" s="1"/>
  <c r="L75" i="32"/>
  <c r="L85" i="32" s="1"/>
  <c r="M94" i="32" s="1"/>
  <c r="M101" i="32" s="1"/>
  <c r="J102" i="32"/>
  <c r="D175" i="32"/>
  <c r="N74" i="32"/>
  <c r="N75" i="32"/>
  <c r="H66" i="32"/>
  <c r="J76" i="32" s="1"/>
  <c r="F66" i="32"/>
  <c r="P58" i="32"/>
  <c r="D66" i="32"/>
  <c r="M78" i="32"/>
  <c r="E175" i="32"/>
  <c r="F64" i="32"/>
  <c r="F65" i="32"/>
  <c r="F68" i="32"/>
  <c r="J93" i="32"/>
  <c r="H125" i="32"/>
  <c r="D125" i="32" s="1"/>
  <c r="G175" i="32"/>
  <c r="H126" i="32"/>
  <c r="D126" i="32" s="1"/>
  <c r="H171" i="32"/>
  <c r="D64" i="32"/>
  <c r="I126" i="32"/>
  <c r="E126" i="32" s="1"/>
  <c r="I170" i="32"/>
  <c r="I171" i="32"/>
  <c r="J170" i="32"/>
  <c r="J171" i="32"/>
  <c r="Z35" i="32" l="1"/>
  <c r="Z34" i="32"/>
  <c r="Z34" i="31"/>
  <c r="Z35" i="30"/>
  <c r="M88" i="32"/>
  <c r="N97" i="32" s="1"/>
  <c r="N104" i="32" s="1"/>
  <c r="V78" i="32"/>
  <c r="Q26" i="31"/>
  <c r="Q33" i="30"/>
  <c r="M109" i="30" s="1"/>
  <c r="F139" i="30" s="1"/>
  <c r="S33" i="30"/>
  <c r="Z33" i="30" s="1"/>
  <c r="AA33" i="30" s="1"/>
  <c r="AB33" i="30" s="1"/>
  <c r="AC33" i="30" s="1"/>
  <c r="Q37" i="31"/>
  <c r="M113" i="31" s="1"/>
  <c r="S37" i="31"/>
  <c r="Z37" i="31" s="1"/>
  <c r="N84" i="31"/>
  <c r="O93" i="31" s="1"/>
  <c r="O100" i="31" s="1"/>
  <c r="W74" i="31"/>
  <c r="Q36" i="30"/>
  <c r="M112" i="30" s="1"/>
  <c r="F142" i="30" s="1"/>
  <c r="T36" i="30"/>
  <c r="Z36" i="30" s="1"/>
  <c r="Q37" i="30"/>
  <c r="S37" i="30"/>
  <c r="Z37" i="30" s="1"/>
  <c r="Q35" i="31"/>
  <c r="M111" i="31" s="1"/>
  <c r="T35" i="31"/>
  <c r="Z35" i="31" s="1"/>
  <c r="AA35" i="31" s="1"/>
  <c r="AB35" i="31" s="1"/>
  <c r="M85" i="32"/>
  <c r="N94" i="32" s="1"/>
  <c r="N101" i="32" s="1"/>
  <c r="V75" i="32"/>
  <c r="Q36" i="32"/>
  <c r="M112" i="32" s="1"/>
  <c r="F142" i="32" s="1"/>
  <c r="V36" i="32"/>
  <c r="Z36" i="32" s="1"/>
  <c r="M84" i="31"/>
  <c r="V74" i="31"/>
  <c r="Q24" i="32"/>
  <c r="Q35" i="32"/>
  <c r="M111" i="32" s="1"/>
  <c r="F141" i="32" s="1"/>
  <c r="M84" i="30"/>
  <c r="N93" i="30" s="1"/>
  <c r="N100" i="30" s="1"/>
  <c r="V74" i="30"/>
  <c r="Q36" i="31"/>
  <c r="M112" i="31" s="1"/>
  <c r="T36" i="31"/>
  <c r="Z36" i="31" s="1"/>
  <c r="Q37" i="32"/>
  <c r="M113" i="32" s="1"/>
  <c r="E143" i="32" s="1"/>
  <c r="D157" i="32" s="1"/>
  <c r="S37" i="32"/>
  <c r="Z37" i="32" s="1"/>
  <c r="N85" i="32"/>
  <c r="O94" i="32" s="1"/>
  <c r="O101" i="32" s="1"/>
  <c r="W75" i="32"/>
  <c r="Q33" i="32"/>
  <c r="M109" i="32" s="1"/>
  <c r="S33" i="32"/>
  <c r="Z33" i="32" s="1"/>
  <c r="AA33" i="32" s="1"/>
  <c r="AB33" i="32" s="1"/>
  <c r="Q34" i="32"/>
  <c r="M110" i="32" s="1"/>
  <c r="Q33" i="31"/>
  <c r="M109" i="31" s="1"/>
  <c r="Q34" i="31"/>
  <c r="M110" i="31" s="1"/>
  <c r="N87" i="32"/>
  <c r="O96" i="32" s="1"/>
  <c r="O103" i="32" s="1"/>
  <c r="W77" i="32"/>
  <c r="N84" i="32"/>
  <c r="O93" i="32" s="1"/>
  <c r="O100" i="32" s="1"/>
  <c r="W74" i="32"/>
  <c r="N88" i="30"/>
  <c r="O97" i="30" s="1"/>
  <c r="O104" i="30" s="1"/>
  <c r="W78" i="30"/>
  <c r="D86" i="31"/>
  <c r="H76" i="31"/>
  <c r="F141" i="31"/>
  <c r="E141" i="31"/>
  <c r="F143" i="31"/>
  <c r="E143" i="31"/>
  <c r="D157" i="31" s="1"/>
  <c r="K75" i="30"/>
  <c r="K85" i="30" s="1"/>
  <c r="L94" i="30" s="1"/>
  <c r="L101" i="30" s="1"/>
  <c r="G75" i="30"/>
  <c r="G85" i="30" s="1"/>
  <c r="H94" i="30" s="1"/>
  <c r="H101" i="30" s="1"/>
  <c r="G65" i="30"/>
  <c r="J65" i="30" s="1"/>
  <c r="F142" i="31"/>
  <c r="E142" i="31"/>
  <c r="D156" i="31" s="1"/>
  <c r="G68" i="31"/>
  <c r="K78" i="31"/>
  <c r="G78" i="31"/>
  <c r="G88" i="31" s="1"/>
  <c r="H97" i="31" s="1"/>
  <c r="H104" i="31" s="1"/>
  <c r="G67" i="31"/>
  <c r="J67" i="31" s="1"/>
  <c r="G77" i="31"/>
  <c r="G87" i="31" s="1"/>
  <c r="H96" i="31" s="1"/>
  <c r="H103" i="31" s="1"/>
  <c r="K77" i="31"/>
  <c r="G74" i="31"/>
  <c r="G64" i="31"/>
  <c r="K74" i="31"/>
  <c r="D26" i="30"/>
  <c r="M10" i="30"/>
  <c r="M58" i="30"/>
  <c r="D76" i="30" s="1"/>
  <c r="G66" i="30"/>
  <c r="G76" i="30"/>
  <c r="G86" i="30" s="1"/>
  <c r="H95" i="30" s="1"/>
  <c r="H102" i="30" s="1"/>
  <c r="K76" i="30"/>
  <c r="G66" i="32"/>
  <c r="G76" i="32"/>
  <c r="G86" i="32" s="1"/>
  <c r="H95" i="32" s="1"/>
  <c r="H102" i="32" s="1"/>
  <c r="K76" i="32"/>
  <c r="K86" i="32" s="1"/>
  <c r="L95" i="32" s="1"/>
  <c r="L102" i="32" s="1"/>
  <c r="K128" i="32"/>
  <c r="G128" i="32" s="1"/>
  <c r="I128" i="32"/>
  <c r="E128" i="32" s="1"/>
  <c r="H128" i="32"/>
  <c r="D128" i="32" s="1"/>
  <c r="J65" i="31"/>
  <c r="M75" i="31"/>
  <c r="V75" i="31" s="1"/>
  <c r="J101" i="32"/>
  <c r="M77" i="31"/>
  <c r="F140" i="32"/>
  <c r="E140" i="32"/>
  <c r="H26" i="31"/>
  <c r="D35" i="31"/>
  <c r="H35" i="31" s="1"/>
  <c r="Q27" i="30"/>
  <c r="F140" i="30"/>
  <c r="E140" i="30"/>
  <c r="M154" i="30"/>
  <c r="E170" i="30" s="1"/>
  <c r="D163" i="30"/>
  <c r="J126" i="30"/>
  <c r="F126" i="30" s="1"/>
  <c r="H126" i="30"/>
  <c r="D126" i="30" s="1"/>
  <c r="F139" i="32"/>
  <c r="E139" i="32"/>
  <c r="J100" i="30"/>
  <c r="K201" i="30"/>
  <c r="J102" i="31"/>
  <c r="H75" i="31"/>
  <c r="D85" i="31"/>
  <c r="F140" i="31"/>
  <c r="E140" i="31"/>
  <c r="T169" i="30"/>
  <c r="M77" i="30"/>
  <c r="J103" i="30"/>
  <c r="J100" i="32"/>
  <c r="J101" i="31"/>
  <c r="D165" i="30"/>
  <c r="J128" i="30"/>
  <c r="F128" i="30" s="1"/>
  <c r="M58" i="32"/>
  <c r="D76" i="32" s="1"/>
  <c r="D26" i="32"/>
  <c r="M10" i="32"/>
  <c r="J86" i="31"/>
  <c r="Q27" i="31"/>
  <c r="K128" i="30"/>
  <c r="G128" i="30" s="1"/>
  <c r="M74" i="32"/>
  <c r="G78" i="32"/>
  <c r="G88" i="32" s="1"/>
  <c r="H97" i="32" s="1"/>
  <c r="H104" i="32" s="1"/>
  <c r="K78" i="32"/>
  <c r="G68" i="32"/>
  <c r="J68" i="32" s="1"/>
  <c r="J171" i="31"/>
  <c r="J128" i="31"/>
  <c r="F128" i="31" s="1"/>
  <c r="Q26" i="32"/>
  <c r="M78" i="31"/>
  <c r="J68" i="31"/>
  <c r="K200" i="30"/>
  <c r="N93" i="31"/>
  <c r="N100" i="31" s="1"/>
  <c r="E93" i="31"/>
  <c r="E100" i="31" s="1"/>
  <c r="J95" i="30"/>
  <c r="G68" i="30"/>
  <c r="J68" i="30" s="1"/>
  <c r="K78" i="30"/>
  <c r="G78" i="30"/>
  <c r="G88" i="30" s="1"/>
  <c r="H97" i="30" s="1"/>
  <c r="H104" i="30" s="1"/>
  <c r="J104" i="30"/>
  <c r="J86" i="32"/>
  <c r="F139" i="31"/>
  <c r="E139" i="31"/>
  <c r="G65" i="32"/>
  <c r="J65" i="32" s="1"/>
  <c r="G75" i="32"/>
  <c r="G85" i="32" s="1"/>
  <c r="H94" i="32" s="1"/>
  <c r="H101" i="32" s="1"/>
  <c r="K75" i="32"/>
  <c r="H25" i="32"/>
  <c r="D34" i="32"/>
  <c r="H34" i="32" s="1"/>
  <c r="AA34" i="32" s="1"/>
  <c r="AB34" i="32" s="1"/>
  <c r="J128" i="32"/>
  <c r="F128" i="32" s="1"/>
  <c r="N96" i="32"/>
  <c r="N103" i="32" s="1"/>
  <c r="Q28" i="31"/>
  <c r="L95" i="31"/>
  <c r="L102" i="31" s="1"/>
  <c r="J64" i="31"/>
  <c r="J103" i="31"/>
  <c r="M76" i="30"/>
  <c r="J66" i="30"/>
  <c r="E93" i="30"/>
  <c r="E100" i="30" s="1"/>
  <c r="I126" i="30"/>
  <c r="E126" i="30" s="1"/>
  <c r="D162" i="30"/>
  <c r="H125" i="30"/>
  <c r="D125" i="30" s="1"/>
  <c r="H25" i="31"/>
  <c r="D34" i="31"/>
  <c r="H34" i="31" s="1"/>
  <c r="AA34" i="31" s="1"/>
  <c r="AB34" i="31" s="1"/>
  <c r="K74" i="32"/>
  <c r="G64" i="32"/>
  <c r="J64" i="32" s="1"/>
  <c r="G74" i="32"/>
  <c r="M76" i="32"/>
  <c r="J66" i="32"/>
  <c r="H75" i="32"/>
  <c r="D85" i="32"/>
  <c r="J97" i="32"/>
  <c r="H128" i="31"/>
  <c r="D128" i="31" s="1"/>
  <c r="E93" i="32"/>
  <c r="E100" i="32" s="1"/>
  <c r="K77" i="30"/>
  <c r="G67" i="30"/>
  <c r="J67" i="30" s="1"/>
  <c r="G77" i="30"/>
  <c r="G87" i="30" s="1"/>
  <c r="H96" i="30" s="1"/>
  <c r="H103" i="30" s="1"/>
  <c r="J100" i="31"/>
  <c r="G74" i="30"/>
  <c r="G64" i="30"/>
  <c r="J64" i="30" s="1"/>
  <c r="K74" i="30"/>
  <c r="Q35" i="30"/>
  <c r="M111" i="30" s="1"/>
  <c r="J124" i="32"/>
  <c r="F124" i="32" s="1"/>
  <c r="H124" i="32"/>
  <c r="D124" i="32" s="1"/>
  <c r="Q27" i="32"/>
  <c r="M76" i="31"/>
  <c r="J66" i="31"/>
  <c r="I128" i="31"/>
  <c r="E128" i="31" s="1"/>
  <c r="D27" i="31"/>
  <c r="M59" i="31"/>
  <c r="D77" i="31" s="1"/>
  <c r="M11" i="31"/>
  <c r="J104" i="31"/>
  <c r="J126" i="31"/>
  <c r="F126" i="31" s="1"/>
  <c r="I126" i="31"/>
  <c r="E126" i="31" s="1"/>
  <c r="J85" i="30"/>
  <c r="M75" i="30"/>
  <c r="H25" i="30"/>
  <c r="D34" i="30"/>
  <c r="H34" i="30" s="1"/>
  <c r="AA34" i="30" s="1"/>
  <c r="AB34" i="30" s="1"/>
  <c r="AC34" i="30" s="1"/>
  <c r="E13" i="29" s="1"/>
  <c r="D161" i="30"/>
  <c r="H124" i="30"/>
  <c r="D124" i="30" s="1"/>
  <c r="H75" i="30"/>
  <c r="D85" i="30"/>
  <c r="Q26" i="30"/>
  <c r="M156" i="30" l="1"/>
  <c r="E172" i="30" s="1"/>
  <c r="E139" i="30"/>
  <c r="M153" i="30"/>
  <c r="E169" i="30" s="1"/>
  <c r="M86" i="30"/>
  <c r="N95" i="30" s="1"/>
  <c r="N102" i="30" s="1"/>
  <c r="V76" i="30"/>
  <c r="Q87" i="32"/>
  <c r="E46" i="29"/>
  <c r="M84" i="32"/>
  <c r="N93" i="32" s="1"/>
  <c r="N100" i="32" s="1"/>
  <c r="V74" i="32"/>
  <c r="M87" i="30"/>
  <c r="N96" i="30" s="1"/>
  <c r="N103" i="30" s="1"/>
  <c r="V77" i="30"/>
  <c r="F143" i="32"/>
  <c r="E142" i="32"/>
  <c r="D156" i="32" s="1"/>
  <c r="M88" i="31"/>
  <c r="N97" i="31" s="1"/>
  <c r="N104" i="31" s="1"/>
  <c r="V78" i="31"/>
  <c r="M85" i="30"/>
  <c r="N94" i="30" s="1"/>
  <c r="N101" i="30" s="1"/>
  <c r="V75" i="30"/>
  <c r="M86" i="32"/>
  <c r="N95" i="32" s="1"/>
  <c r="N102" i="32" s="1"/>
  <c r="V76" i="32"/>
  <c r="E142" i="30"/>
  <c r="D186" i="30" s="1"/>
  <c r="M87" i="31"/>
  <c r="N96" i="31" s="1"/>
  <c r="N103" i="31" s="1"/>
  <c r="V77" i="31"/>
  <c r="E141" i="32"/>
  <c r="M86" i="31"/>
  <c r="N95" i="31" s="1"/>
  <c r="N102" i="31" s="1"/>
  <c r="V76" i="31"/>
  <c r="M113" i="30"/>
  <c r="Q38" i="30"/>
  <c r="H162" i="31"/>
  <c r="J142" i="31"/>
  <c r="K142" i="31" s="1"/>
  <c r="T142" i="31"/>
  <c r="U142" i="31" s="1"/>
  <c r="K162" i="31"/>
  <c r="O142" i="31"/>
  <c r="P142" i="31" s="1"/>
  <c r="I162" i="31"/>
  <c r="Y142" i="31"/>
  <c r="Z142" i="31" s="1"/>
  <c r="J162" i="31"/>
  <c r="H85" i="32"/>
  <c r="I94" i="32" s="1"/>
  <c r="I101" i="32" s="1"/>
  <c r="E94" i="32"/>
  <c r="E101" i="32" s="1"/>
  <c r="D27" i="32"/>
  <c r="M59" i="32"/>
  <c r="D77" i="32" s="1"/>
  <c r="M11" i="32"/>
  <c r="D28" i="31"/>
  <c r="M60" i="31"/>
  <c r="D78" i="31" s="1"/>
  <c r="T139" i="31"/>
  <c r="U139" i="31" s="1"/>
  <c r="J139" i="31"/>
  <c r="K139" i="31" s="1"/>
  <c r="J102" i="30"/>
  <c r="K88" i="32"/>
  <c r="Q78" i="32"/>
  <c r="Z78" i="32" s="1"/>
  <c r="AA78" i="32" s="1"/>
  <c r="AB78" i="32" s="1"/>
  <c r="Q76" i="31"/>
  <c r="Z76" i="31" s="1"/>
  <c r="AA76" i="31" s="1"/>
  <c r="AB76" i="31" s="1"/>
  <c r="AC76" i="31" s="1"/>
  <c r="K87" i="31"/>
  <c r="Q77" i="31"/>
  <c r="Z77" i="31" s="1"/>
  <c r="AA77" i="31" s="1"/>
  <c r="AB77" i="31" s="1"/>
  <c r="O141" i="31"/>
  <c r="P141" i="31" s="1"/>
  <c r="J141" i="31"/>
  <c r="K141" i="31" s="1"/>
  <c r="T141" i="31"/>
  <c r="U141" i="31" s="1"/>
  <c r="J169" i="30"/>
  <c r="K169" i="30" s="1"/>
  <c r="AA169" i="30"/>
  <c r="K95" i="31"/>
  <c r="Q86" i="31"/>
  <c r="T139" i="32"/>
  <c r="U139" i="32" s="1"/>
  <c r="J139" i="32"/>
  <c r="K139" i="32" s="1"/>
  <c r="H146" i="32" s="1"/>
  <c r="J146" i="32" s="1"/>
  <c r="T140" i="30"/>
  <c r="U140" i="30" s="1"/>
  <c r="J140" i="30"/>
  <c r="K140" i="30" s="1"/>
  <c r="H147" i="30" s="1"/>
  <c r="J147" i="30" s="1"/>
  <c r="H76" i="30"/>
  <c r="D86" i="30"/>
  <c r="T142" i="30"/>
  <c r="U142" i="30" s="1"/>
  <c r="O142" i="30"/>
  <c r="P142" i="30" s="1"/>
  <c r="K192" i="30"/>
  <c r="Y142" i="30"/>
  <c r="Z142" i="30" s="1"/>
  <c r="J142" i="30"/>
  <c r="K142" i="30" s="1"/>
  <c r="I192" i="30"/>
  <c r="H192" i="30"/>
  <c r="J192" i="30"/>
  <c r="K84" i="30"/>
  <c r="Q74" i="30"/>
  <c r="Z74" i="30" s="1"/>
  <c r="AA74" i="30" s="1"/>
  <c r="AB74" i="30" s="1"/>
  <c r="K87" i="30"/>
  <c r="Q77" i="30"/>
  <c r="Z77" i="30" s="1"/>
  <c r="AA77" i="30" s="1"/>
  <c r="AB77" i="30" s="1"/>
  <c r="D35" i="32"/>
  <c r="H35" i="32" s="1"/>
  <c r="AA35" i="32" s="1"/>
  <c r="AB35" i="32" s="1"/>
  <c r="H26" i="32"/>
  <c r="H26" i="30"/>
  <c r="D35" i="30"/>
  <c r="H35" i="30" s="1"/>
  <c r="AA35" i="30" s="1"/>
  <c r="AB35" i="30" s="1"/>
  <c r="AC35" i="30" s="1"/>
  <c r="E14" i="29" s="1"/>
  <c r="AA172" i="30"/>
  <c r="O172" i="30"/>
  <c r="P172" i="30" s="1"/>
  <c r="P177" i="30" s="1"/>
  <c r="J172" i="30"/>
  <c r="K172" i="30" s="1"/>
  <c r="D27" i="30"/>
  <c r="M59" i="30"/>
  <c r="D77" i="30" s="1"/>
  <c r="M11" i="30"/>
  <c r="D86" i="32"/>
  <c r="H76" i="32"/>
  <c r="R96" i="32"/>
  <c r="R103" i="32" s="1"/>
  <c r="M85" i="31"/>
  <c r="Q75" i="31"/>
  <c r="Z75" i="31" s="1"/>
  <c r="AA75" i="31" s="1"/>
  <c r="AB75" i="31" s="1"/>
  <c r="AC75" i="31" s="1"/>
  <c r="K88" i="31"/>
  <c r="Q78" i="31"/>
  <c r="Z78" i="31" s="1"/>
  <c r="AA78" i="31" s="1"/>
  <c r="AB78" i="31" s="1"/>
  <c r="T140" i="31"/>
  <c r="U140" i="31" s="1"/>
  <c r="J140" i="31"/>
  <c r="K140" i="31" s="1"/>
  <c r="K84" i="31"/>
  <c r="Q74" i="31"/>
  <c r="Z74" i="31" s="1"/>
  <c r="AA74" i="31" s="1"/>
  <c r="AB74" i="31" s="1"/>
  <c r="AC74" i="31" s="1"/>
  <c r="H86" i="31"/>
  <c r="I95" i="31" s="1"/>
  <c r="I102" i="31" s="1"/>
  <c r="E95" i="31"/>
  <c r="E102" i="31" s="1"/>
  <c r="K84" i="32"/>
  <c r="Q74" i="32"/>
  <c r="Z74" i="32" s="1"/>
  <c r="AA74" i="32" s="1"/>
  <c r="AB74" i="32" s="1"/>
  <c r="AC74" i="32" s="1"/>
  <c r="T139" i="30"/>
  <c r="U139" i="30" s="1"/>
  <c r="J139" i="30"/>
  <c r="K139" i="30" s="1"/>
  <c r="H85" i="30"/>
  <c r="I94" i="30" s="1"/>
  <c r="I101" i="30" s="1"/>
  <c r="E94" i="30"/>
  <c r="E101" i="30" s="1"/>
  <c r="Q75" i="30"/>
  <c r="Z75" i="30" s="1"/>
  <c r="AA75" i="30" s="1"/>
  <c r="AB75" i="30" s="1"/>
  <c r="H77" i="31"/>
  <c r="D87" i="31"/>
  <c r="K95" i="32"/>
  <c r="Q86" i="32"/>
  <c r="K88" i="30"/>
  <c r="Q78" i="30"/>
  <c r="H85" i="31"/>
  <c r="I94" i="31" s="1"/>
  <c r="I101" i="31" s="1"/>
  <c r="E94" i="31"/>
  <c r="E101" i="31" s="1"/>
  <c r="K86" i="30"/>
  <c r="Q76" i="30"/>
  <c r="Z76" i="30" s="1"/>
  <c r="AA76" i="30" s="1"/>
  <c r="AB76" i="30" s="1"/>
  <c r="O143" i="32"/>
  <c r="P143" i="32" s="1"/>
  <c r="K163" i="32"/>
  <c r="Y143" i="32"/>
  <c r="Z143" i="32" s="1"/>
  <c r="J143" i="32"/>
  <c r="K143" i="32" s="1"/>
  <c r="T143" i="32"/>
  <c r="U143" i="32" s="1"/>
  <c r="I163" i="32"/>
  <c r="H163" i="32"/>
  <c r="J163" i="32"/>
  <c r="Y143" i="31"/>
  <c r="Z143" i="31" s="1"/>
  <c r="J143" i="31"/>
  <c r="K143" i="31" s="1"/>
  <c r="T143" i="31"/>
  <c r="U143" i="31" s="1"/>
  <c r="O143" i="31"/>
  <c r="P143" i="31" s="1"/>
  <c r="J163" i="31"/>
  <c r="H163" i="31"/>
  <c r="I163" i="31"/>
  <c r="K163" i="31"/>
  <c r="G84" i="30"/>
  <c r="H74" i="30"/>
  <c r="K94" i="30"/>
  <c r="Q85" i="30"/>
  <c r="D36" i="31"/>
  <c r="H36" i="31" s="1"/>
  <c r="AA36" i="31" s="1"/>
  <c r="AB36" i="31" s="1"/>
  <c r="H27" i="31"/>
  <c r="F141" i="30"/>
  <c r="E141" i="30"/>
  <c r="M155" i="30"/>
  <c r="E171" i="30" s="1"/>
  <c r="J104" i="32"/>
  <c r="G84" i="32"/>
  <c r="H74" i="32"/>
  <c r="K85" i="32"/>
  <c r="Q75" i="32"/>
  <c r="Z75" i="32" s="1"/>
  <c r="AA75" i="32" s="1"/>
  <c r="AB75" i="32" s="1"/>
  <c r="AC75" i="32" s="1"/>
  <c r="Q76" i="32"/>
  <c r="Z76" i="32" s="1"/>
  <c r="AA76" i="32" s="1"/>
  <c r="AB76" i="32" s="1"/>
  <c r="T141" i="32"/>
  <c r="U141" i="32" s="1"/>
  <c r="O141" i="32"/>
  <c r="P141" i="32" s="1"/>
  <c r="J141" i="32"/>
  <c r="K141" i="32" s="1"/>
  <c r="J170" i="30"/>
  <c r="K170" i="30" s="1"/>
  <c r="AA170" i="30"/>
  <c r="T140" i="32"/>
  <c r="U140" i="32" s="1"/>
  <c r="J140" i="32"/>
  <c r="K140" i="32" s="1"/>
  <c r="H147" i="32" s="1"/>
  <c r="J147" i="32" s="1"/>
  <c r="G84" i="31"/>
  <c r="H74" i="31"/>
  <c r="O142" i="32"/>
  <c r="P142" i="32" s="1"/>
  <c r="J162" i="32"/>
  <c r="Y142" i="32"/>
  <c r="Z142" i="32" s="1"/>
  <c r="J142" i="32"/>
  <c r="K142" i="32" s="1"/>
  <c r="T142" i="32"/>
  <c r="U142" i="32" s="1"/>
  <c r="K162" i="32"/>
  <c r="I162" i="32"/>
  <c r="H162" i="32"/>
  <c r="K175" i="30" l="1"/>
  <c r="AC76" i="32"/>
  <c r="K177" i="30"/>
  <c r="R87" i="32"/>
  <c r="E120" i="32"/>
  <c r="AD77" i="30"/>
  <c r="R105" i="30"/>
  <c r="Z78" i="30"/>
  <c r="AA78" i="30" s="1"/>
  <c r="AB78" i="30" s="1"/>
  <c r="AC77" i="31"/>
  <c r="F143" i="30"/>
  <c r="E143" i="30"/>
  <c r="D187" i="30" s="1"/>
  <c r="M157" i="30"/>
  <c r="E173" i="30" s="1"/>
  <c r="AD76" i="30"/>
  <c r="AE76" i="30" s="1"/>
  <c r="AC76" i="30"/>
  <c r="AC74" i="30"/>
  <c r="AD74" i="30"/>
  <c r="AE74" i="30" s="1"/>
  <c r="AC75" i="30"/>
  <c r="AD75" i="30"/>
  <c r="AE75" i="30" s="1"/>
  <c r="E47" i="29"/>
  <c r="H146" i="30"/>
  <c r="J146" i="30" s="1"/>
  <c r="L97" i="30"/>
  <c r="Q88" i="30"/>
  <c r="H149" i="30"/>
  <c r="J149" i="30" s="1"/>
  <c r="H148" i="31"/>
  <c r="J148" i="31" s="1"/>
  <c r="L97" i="32"/>
  <c r="Q88" i="32"/>
  <c r="N170" i="31"/>
  <c r="D88" i="31"/>
  <c r="H78" i="31"/>
  <c r="H149" i="32"/>
  <c r="J149" i="32" s="1"/>
  <c r="O171" i="32"/>
  <c r="O200" i="30"/>
  <c r="M170" i="31"/>
  <c r="N170" i="32"/>
  <c r="L94" i="32"/>
  <c r="Q85" i="32"/>
  <c r="O171" i="31"/>
  <c r="N171" i="32"/>
  <c r="E119" i="31"/>
  <c r="R86" i="31"/>
  <c r="D28" i="32"/>
  <c r="M60" i="32"/>
  <c r="D78" i="32" s="1"/>
  <c r="E119" i="32"/>
  <c r="R86" i="32"/>
  <c r="K102" i="32"/>
  <c r="R95" i="32"/>
  <c r="R102" i="32" s="1"/>
  <c r="D37" i="31"/>
  <c r="H37" i="31" s="1"/>
  <c r="AA37" i="31" s="1"/>
  <c r="AB37" i="31" s="1"/>
  <c r="AC78" i="31" s="1"/>
  <c r="H28" i="31"/>
  <c r="M171" i="31"/>
  <c r="L171" i="32"/>
  <c r="L95" i="30"/>
  <c r="Q86" i="30"/>
  <c r="H87" i="31"/>
  <c r="I96" i="31" s="1"/>
  <c r="I103" i="31" s="1"/>
  <c r="E96" i="31"/>
  <c r="E103" i="31" s="1"/>
  <c r="L93" i="31"/>
  <c r="Q84" i="31"/>
  <c r="L97" i="31"/>
  <c r="Q88" i="31"/>
  <c r="D28" i="30"/>
  <c r="M60" i="30"/>
  <c r="D78" i="30" s="1"/>
  <c r="L93" i="30"/>
  <c r="Q84" i="30"/>
  <c r="K102" i="31"/>
  <c r="R95" i="31"/>
  <c r="R102" i="31" s="1"/>
  <c r="D87" i="32"/>
  <c r="H77" i="32"/>
  <c r="O170" i="31"/>
  <c r="AA171" i="30"/>
  <c r="J171" i="30"/>
  <c r="K171" i="30" s="1"/>
  <c r="O171" i="30"/>
  <c r="P171" i="30" s="1"/>
  <c r="H150" i="31"/>
  <c r="J150" i="31" s="1"/>
  <c r="T141" i="30"/>
  <c r="U141" i="30" s="1"/>
  <c r="O141" i="30"/>
  <c r="P141" i="30" s="1"/>
  <c r="J141" i="30"/>
  <c r="K141" i="30" s="1"/>
  <c r="E95" i="32"/>
  <c r="E102" i="32" s="1"/>
  <c r="H86" i="32"/>
  <c r="I95" i="32" s="1"/>
  <c r="I102" i="32" s="1"/>
  <c r="L96" i="30"/>
  <c r="Q87" i="30"/>
  <c r="L170" i="32"/>
  <c r="H93" i="32"/>
  <c r="H100" i="32" s="1"/>
  <c r="H84" i="32"/>
  <c r="I93" i="32" s="1"/>
  <c r="I100" i="32" s="1"/>
  <c r="E118" i="30"/>
  <c r="R85" i="30"/>
  <c r="L171" i="31"/>
  <c r="M171" i="32"/>
  <c r="D87" i="30"/>
  <c r="H77" i="30"/>
  <c r="N200" i="30"/>
  <c r="H86" i="30"/>
  <c r="I95" i="30" s="1"/>
  <c r="I102" i="30" s="1"/>
  <c r="E95" i="30"/>
  <c r="E102" i="30" s="1"/>
  <c r="L96" i="31"/>
  <c r="Q87" i="31"/>
  <c r="D36" i="32"/>
  <c r="H36" i="32" s="1"/>
  <c r="AA36" i="32" s="1"/>
  <c r="AB36" i="32" s="1"/>
  <c r="AC77" i="32" s="1"/>
  <c r="H27" i="32"/>
  <c r="H93" i="30"/>
  <c r="H100" i="30" s="1"/>
  <c r="H84" i="30"/>
  <c r="I93" i="30" s="1"/>
  <c r="I100" i="30" s="1"/>
  <c r="M170" i="32"/>
  <c r="H148" i="32"/>
  <c r="J148" i="32" s="1"/>
  <c r="K101" i="30"/>
  <c r="R94" i="30"/>
  <c r="R101" i="30" s="1"/>
  <c r="N171" i="31"/>
  <c r="L93" i="32"/>
  <c r="Q84" i="32"/>
  <c r="H147" i="31"/>
  <c r="J147" i="31" s="1"/>
  <c r="N94" i="31"/>
  <c r="Q85" i="31"/>
  <c r="H27" i="30"/>
  <c r="D36" i="30"/>
  <c r="H36" i="30" s="1"/>
  <c r="AA36" i="30" s="1"/>
  <c r="AB36" i="30" s="1"/>
  <c r="AC36" i="30" s="1"/>
  <c r="E15" i="29" s="1"/>
  <c r="L200" i="30"/>
  <c r="K174" i="30"/>
  <c r="H149" i="31"/>
  <c r="J149" i="31" s="1"/>
  <c r="H93" i="31"/>
  <c r="H100" i="31" s="1"/>
  <c r="H84" i="31"/>
  <c r="I93" i="31" s="1"/>
  <c r="I100" i="31" s="1"/>
  <c r="O170" i="32"/>
  <c r="H150" i="32"/>
  <c r="J150" i="32" s="1"/>
  <c r="M200" i="30"/>
  <c r="H146" i="31"/>
  <c r="J146" i="31" s="1"/>
  <c r="L170" i="31"/>
  <c r="H148" i="30" l="1"/>
  <c r="J148" i="30" s="1"/>
  <c r="AD78" i="30"/>
  <c r="AE77" i="30"/>
  <c r="O173" i="30"/>
  <c r="P173" i="30" s="1"/>
  <c r="J173" i="30"/>
  <c r="K173" i="30" s="1"/>
  <c r="AA173" i="30"/>
  <c r="AC77" i="30"/>
  <c r="K175" i="32"/>
  <c r="I175" i="32"/>
  <c r="H175" i="32"/>
  <c r="F120" i="32"/>
  <c r="AA120" i="32"/>
  <c r="E156" i="32" s="1"/>
  <c r="J175" i="32"/>
  <c r="E48" i="29"/>
  <c r="J193" i="30"/>
  <c r="N201" i="30" s="1"/>
  <c r="T143" i="30"/>
  <c r="U143" i="30" s="1"/>
  <c r="H193" i="30"/>
  <c r="L201" i="30" s="1"/>
  <c r="O143" i="30"/>
  <c r="P143" i="30" s="1"/>
  <c r="Y143" i="30"/>
  <c r="Z143" i="30" s="1"/>
  <c r="K193" i="30"/>
  <c r="O201" i="30" s="1"/>
  <c r="I193" i="30"/>
  <c r="M201" i="30" s="1"/>
  <c r="J143" i="30"/>
  <c r="K143" i="30" s="1"/>
  <c r="K176" i="30"/>
  <c r="AA119" i="31"/>
  <c r="F119" i="31"/>
  <c r="L103" i="30"/>
  <c r="R96" i="30"/>
  <c r="R103" i="30" s="1"/>
  <c r="E117" i="30"/>
  <c r="R84" i="30"/>
  <c r="R85" i="32"/>
  <c r="E118" i="32"/>
  <c r="E97" i="31"/>
  <c r="E104" i="31" s="1"/>
  <c r="H88" i="31"/>
  <c r="I97" i="31" s="1"/>
  <c r="I104" i="31" s="1"/>
  <c r="F118" i="30"/>
  <c r="AA118" i="30"/>
  <c r="E162" i="30"/>
  <c r="L125" i="30"/>
  <c r="E119" i="30"/>
  <c r="R86" i="30"/>
  <c r="E118" i="31"/>
  <c r="R85" i="31"/>
  <c r="D37" i="30"/>
  <c r="H37" i="30" s="1"/>
  <c r="H28" i="30"/>
  <c r="L102" i="30"/>
  <c r="R95" i="30"/>
  <c r="R102" i="30" s="1"/>
  <c r="E121" i="32"/>
  <c r="R88" i="32"/>
  <c r="L103" i="31"/>
  <c r="R96" i="31"/>
  <c r="R103" i="31" s="1"/>
  <c r="H87" i="30"/>
  <c r="I96" i="30" s="1"/>
  <c r="I103" i="30" s="1"/>
  <c r="E96" i="30"/>
  <c r="E103" i="30" s="1"/>
  <c r="E121" i="31"/>
  <c r="R88" i="31"/>
  <c r="L104" i="32"/>
  <c r="R97" i="32"/>
  <c r="R104" i="32" s="1"/>
  <c r="D88" i="30"/>
  <c r="H78" i="30"/>
  <c r="E96" i="32"/>
  <c r="E103" i="32" s="1"/>
  <c r="H87" i="32"/>
  <c r="I96" i="32" s="1"/>
  <c r="I103" i="32" s="1"/>
  <c r="L104" i="31"/>
  <c r="R97" i="31"/>
  <c r="R104" i="31" s="1"/>
  <c r="F119" i="32"/>
  <c r="AA119" i="32"/>
  <c r="L101" i="32"/>
  <c r="R94" i="32"/>
  <c r="R101" i="32" s="1"/>
  <c r="L104" i="30"/>
  <c r="R97" i="30"/>
  <c r="R104" i="30" s="1"/>
  <c r="R84" i="32"/>
  <c r="E117" i="32"/>
  <c r="E117" i="31"/>
  <c r="R84" i="31"/>
  <c r="D88" i="32"/>
  <c r="H78" i="32"/>
  <c r="L100" i="30"/>
  <c r="R93" i="30"/>
  <c r="R100" i="30" s="1"/>
  <c r="E121" i="30"/>
  <c r="R88" i="30"/>
  <c r="R87" i="31"/>
  <c r="E120" i="31"/>
  <c r="N101" i="31"/>
  <c r="R94" i="31"/>
  <c r="R101" i="31" s="1"/>
  <c r="L100" i="32"/>
  <c r="R93" i="32"/>
  <c r="R100" i="32" s="1"/>
  <c r="E120" i="30"/>
  <c r="R87" i="30"/>
  <c r="P176" i="30"/>
  <c r="L100" i="31"/>
  <c r="R93" i="31"/>
  <c r="R100" i="31" s="1"/>
  <c r="D37" i="32"/>
  <c r="H37" i="32" s="1"/>
  <c r="AA37" i="32" s="1"/>
  <c r="AB37" i="32" s="1"/>
  <c r="AC78" i="32" s="1"/>
  <c r="H28" i="32"/>
  <c r="K178" i="30" l="1"/>
  <c r="AA37" i="30"/>
  <c r="AB37" i="30" s="1"/>
  <c r="H38" i="30"/>
  <c r="G156" i="32"/>
  <c r="H156" i="32"/>
  <c r="Y120" i="32"/>
  <c r="Z120" i="32" s="1"/>
  <c r="J120" i="32"/>
  <c r="K120" i="32" s="1"/>
  <c r="T120" i="32"/>
  <c r="U120" i="32" s="1"/>
  <c r="O120" i="32"/>
  <c r="P120" i="32" s="1"/>
  <c r="P178" i="30"/>
  <c r="H150" i="30"/>
  <c r="J150" i="30" s="1"/>
  <c r="J162" i="30"/>
  <c r="K162" i="30" s="1"/>
  <c r="AA162" i="30"/>
  <c r="F162" i="30"/>
  <c r="S170" i="30" s="1"/>
  <c r="U170" i="30" s="1"/>
  <c r="U175" i="30" s="1"/>
  <c r="T162" i="30"/>
  <c r="U162" i="30" s="1"/>
  <c r="E161" i="30"/>
  <c r="F117" i="30"/>
  <c r="AA117" i="30"/>
  <c r="L124" i="30"/>
  <c r="E97" i="32"/>
  <c r="E104" i="32" s="1"/>
  <c r="H88" i="32"/>
  <c r="I97" i="32" s="1"/>
  <c r="I104" i="32" s="1"/>
  <c r="F118" i="32"/>
  <c r="AA118" i="32"/>
  <c r="F120" i="31"/>
  <c r="AA120" i="31"/>
  <c r="E156" i="31" s="1"/>
  <c r="H175" i="31"/>
  <c r="K175" i="31"/>
  <c r="J175" i="31"/>
  <c r="I175" i="31"/>
  <c r="E165" i="30"/>
  <c r="F121" i="30"/>
  <c r="AA121" i="30"/>
  <c r="E187" i="30" s="1"/>
  <c r="J206" i="30"/>
  <c r="H206" i="30"/>
  <c r="L128" i="30"/>
  <c r="M128" i="30"/>
  <c r="K206" i="30"/>
  <c r="I206" i="30"/>
  <c r="N128" i="30"/>
  <c r="O128" i="30"/>
  <c r="F117" i="31"/>
  <c r="AA117" i="31"/>
  <c r="F117" i="32"/>
  <c r="AA117" i="32"/>
  <c r="E97" i="30"/>
  <c r="E104" i="30" s="1"/>
  <c r="H88" i="30"/>
  <c r="T118" i="30"/>
  <c r="U118" i="30" s="1"/>
  <c r="J118" i="30"/>
  <c r="K118" i="30" s="1"/>
  <c r="H132" i="30" s="1"/>
  <c r="J132" i="30" s="1"/>
  <c r="O119" i="31"/>
  <c r="P119" i="31" s="1"/>
  <c r="J119" i="31"/>
  <c r="K119" i="31" s="1"/>
  <c r="T119" i="31"/>
  <c r="U119" i="31" s="1"/>
  <c r="F121" i="31"/>
  <c r="AA121" i="31"/>
  <c r="E157" i="31" s="1"/>
  <c r="J176" i="31"/>
  <c r="H176" i="31"/>
  <c r="I176" i="31"/>
  <c r="K176" i="31"/>
  <c r="E163" i="30"/>
  <c r="AA119" i="30"/>
  <c r="F119" i="30"/>
  <c r="L126" i="30"/>
  <c r="M126" i="30"/>
  <c r="N126" i="30"/>
  <c r="E164" i="30"/>
  <c r="F120" i="30"/>
  <c r="AA120" i="30"/>
  <c r="E186" i="30" s="1"/>
  <c r="K205" i="30"/>
  <c r="O127" i="30"/>
  <c r="J205" i="30"/>
  <c r="I205" i="30"/>
  <c r="L127" i="30"/>
  <c r="M127" i="30"/>
  <c r="N127" i="30"/>
  <c r="H205" i="30"/>
  <c r="T119" i="32"/>
  <c r="U119" i="32" s="1"/>
  <c r="O119" i="32"/>
  <c r="P119" i="32" s="1"/>
  <c r="J119" i="32"/>
  <c r="K119" i="32" s="1"/>
  <c r="F121" i="32"/>
  <c r="H176" i="32"/>
  <c r="AA121" i="32"/>
  <c r="E157" i="32" s="1"/>
  <c r="I176" i="32"/>
  <c r="K176" i="32"/>
  <c r="J176" i="32"/>
  <c r="F118" i="31"/>
  <c r="AA118" i="31"/>
  <c r="H134" i="32" l="1"/>
  <c r="J134" i="32" s="1"/>
  <c r="I156" i="32" s="1"/>
  <c r="I97" i="30"/>
  <c r="I104" i="30" s="1"/>
  <c r="H105" i="30"/>
  <c r="L162" i="32"/>
  <c r="O162" i="32"/>
  <c r="N162" i="32"/>
  <c r="M162" i="32"/>
  <c r="S170" i="32"/>
  <c r="O175" i="32" s="1"/>
  <c r="P170" i="32"/>
  <c r="L175" i="32" s="1"/>
  <c r="Q170" i="32"/>
  <c r="M175" i="32" s="1"/>
  <c r="R170" i="32"/>
  <c r="N175" i="32" s="1"/>
  <c r="H133" i="31"/>
  <c r="J133" i="31" s="1"/>
  <c r="R38" i="30"/>
  <c r="R40" i="30" s="1"/>
  <c r="AC37" i="30"/>
  <c r="AC78" i="30"/>
  <c r="J121" i="30"/>
  <c r="K121" i="30" s="1"/>
  <c r="T121" i="30"/>
  <c r="U121" i="30" s="1"/>
  <c r="O121" i="30"/>
  <c r="P121" i="30" s="1"/>
  <c r="Y121" i="30"/>
  <c r="Z121" i="30" s="1"/>
  <c r="T117" i="30"/>
  <c r="U117" i="30" s="1"/>
  <c r="J117" i="30"/>
  <c r="K117" i="30" s="1"/>
  <c r="H131" i="30" s="1"/>
  <c r="J131" i="30" s="1"/>
  <c r="J165" i="30"/>
  <c r="T165" i="30"/>
  <c r="U165" i="30" s="1"/>
  <c r="F165" i="30"/>
  <c r="AA165" i="30"/>
  <c r="O165" i="30"/>
  <c r="P165" i="30" s="1"/>
  <c r="J120" i="30"/>
  <c r="K120" i="30" s="1"/>
  <c r="T120" i="30"/>
  <c r="U120" i="30" s="1"/>
  <c r="O120" i="30"/>
  <c r="P120" i="30" s="1"/>
  <c r="Y120" i="30"/>
  <c r="Z120" i="30" s="1"/>
  <c r="T117" i="32"/>
  <c r="U117" i="32" s="1"/>
  <c r="J117" i="32"/>
  <c r="K117" i="32" s="1"/>
  <c r="T163" i="30"/>
  <c r="U163" i="30" s="1"/>
  <c r="F163" i="30"/>
  <c r="S171" i="30" s="1"/>
  <c r="U171" i="30" s="1"/>
  <c r="U176" i="30" s="1"/>
  <c r="O163" i="30"/>
  <c r="P163" i="30" s="1"/>
  <c r="AA163" i="30"/>
  <c r="J163" i="30"/>
  <c r="K163" i="30" s="1"/>
  <c r="T161" i="30"/>
  <c r="U161" i="30" s="1"/>
  <c r="J161" i="30"/>
  <c r="K161" i="30" s="1"/>
  <c r="AA161" i="30"/>
  <c r="F161" i="30"/>
  <c r="S169" i="30" s="1"/>
  <c r="U169" i="30" s="1"/>
  <c r="U174" i="30" s="1"/>
  <c r="J164" i="30"/>
  <c r="T164" i="30"/>
  <c r="U164" i="30" s="1"/>
  <c r="F164" i="30"/>
  <c r="S172" i="30" s="1"/>
  <c r="U172" i="30" s="1"/>
  <c r="U177" i="30" s="1"/>
  <c r="AA164" i="30"/>
  <c r="O164" i="30"/>
  <c r="P164" i="30" s="1"/>
  <c r="Y164" i="30"/>
  <c r="Z164" i="30" s="1"/>
  <c r="J117" i="31"/>
  <c r="K117" i="31" s="1"/>
  <c r="T117" i="31"/>
  <c r="U117" i="31" s="1"/>
  <c r="H186" i="30"/>
  <c r="G186" i="30"/>
  <c r="Y121" i="32"/>
  <c r="Z121" i="32" s="1"/>
  <c r="J121" i="32"/>
  <c r="K121" i="32" s="1"/>
  <c r="T121" i="32"/>
  <c r="U121" i="32" s="1"/>
  <c r="O121" i="32"/>
  <c r="P121" i="32" s="1"/>
  <c r="J118" i="32"/>
  <c r="K118" i="32" s="1"/>
  <c r="T118" i="32"/>
  <c r="U118" i="32" s="1"/>
  <c r="H157" i="32"/>
  <c r="G157" i="32"/>
  <c r="H133" i="32"/>
  <c r="J133" i="32" s="1"/>
  <c r="H157" i="31"/>
  <c r="G157" i="31"/>
  <c r="H156" i="31"/>
  <c r="G156" i="31"/>
  <c r="T118" i="31"/>
  <c r="U118" i="31" s="1"/>
  <c r="J118" i="31"/>
  <c r="K118" i="31" s="1"/>
  <c r="O119" i="30"/>
  <c r="P119" i="30" s="1"/>
  <c r="J119" i="30"/>
  <c r="K119" i="30" s="1"/>
  <c r="T119" i="30"/>
  <c r="U119" i="30" s="1"/>
  <c r="T121" i="31"/>
  <c r="U121" i="31" s="1"/>
  <c r="O121" i="31"/>
  <c r="P121" i="31" s="1"/>
  <c r="J121" i="31"/>
  <c r="K121" i="31" s="1"/>
  <c r="Y121" i="31"/>
  <c r="Z121" i="31" s="1"/>
  <c r="H187" i="30"/>
  <c r="G187" i="30"/>
  <c r="T120" i="31"/>
  <c r="U120" i="31" s="1"/>
  <c r="O120" i="31"/>
  <c r="P120" i="31" s="1"/>
  <c r="J120" i="31"/>
  <c r="K120" i="31" s="1"/>
  <c r="H134" i="31" s="1"/>
  <c r="J134" i="31" s="1"/>
  <c r="Y120" i="31"/>
  <c r="Z120" i="31" s="1"/>
  <c r="K190" i="32" l="1"/>
  <c r="O190" i="32" s="1"/>
  <c r="G194" i="32" s="1"/>
  <c r="K180" i="32"/>
  <c r="O180" i="32" s="1"/>
  <c r="G184" i="32" s="1"/>
  <c r="K184" i="32" s="1"/>
  <c r="E16" i="29"/>
  <c r="AE78" i="30"/>
  <c r="I165" i="32"/>
  <c r="E165" i="32" s="1"/>
  <c r="M165" i="32"/>
  <c r="J165" i="32"/>
  <c r="F165" i="32" s="1"/>
  <c r="R39" i="30"/>
  <c r="S39" i="30" s="1"/>
  <c r="K165" i="32"/>
  <c r="G165" i="32" s="1"/>
  <c r="O165" i="32"/>
  <c r="H165" i="32"/>
  <c r="D165" i="32" s="1"/>
  <c r="L165" i="32"/>
  <c r="J190" i="32"/>
  <c r="N190" i="32" s="1"/>
  <c r="F194" i="32" s="1"/>
  <c r="J180" i="32"/>
  <c r="N180" i="32" s="1"/>
  <c r="F184" i="32" s="1"/>
  <c r="J184" i="32" s="1"/>
  <c r="I190" i="32"/>
  <c r="M190" i="32" s="1"/>
  <c r="E194" i="32" s="1"/>
  <c r="I180" i="32"/>
  <c r="M180" i="32" s="1"/>
  <c r="E184" i="32" s="1"/>
  <c r="I184" i="32" s="1"/>
  <c r="H190" i="32"/>
  <c r="L190" i="32" s="1"/>
  <c r="D194" i="32" s="1"/>
  <c r="H180" i="32"/>
  <c r="L180" i="32" s="1"/>
  <c r="D184" i="32" s="1"/>
  <c r="H184" i="32" s="1"/>
  <c r="M162" i="31"/>
  <c r="N162" i="31"/>
  <c r="O162" i="31"/>
  <c r="L162" i="31"/>
  <c r="H133" i="30"/>
  <c r="J133" i="30" s="1"/>
  <c r="S171" i="32"/>
  <c r="O176" i="32" s="1"/>
  <c r="R171" i="32"/>
  <c r="N176" i="32" s="1"/>
  <c r="Q171" i="32"/>
  <c r="M176" i="32" s="1"/>
  <c r="P171" i="32"/>
  <c r="L176" i="32" s="1"/>
  <c r="P200" i="30"/>
  <c r="L205" i="30" s="1"/>
  <c r="I186" i="30"/>
  <c r="S200" i="30"/>
  <c r="O205" i="30" s="1"/>
  <c r="R200" i="30"/>
  <c r="N205" i="30" s="1"/>
  <c r="Q200" i="30"/>
  <c r="M205" i="30" s="1"/>
  <c r="H134" i="30"/>
  <c r="J134" i="30" s="1"/>
  <c r="X173" i="30"/>
  <c r="K165" i="30"/>
  <c r="Y173" i="30" s="1"/>
  <c r="O163" i="31"/>
  <c r="M163" i="31"/>
  <c r="N163" i="31"/>
  <c r="L163" i="31"/>
  <c r="P201" i="30"/>
  <c r="L206" i="30" s="1"/>
  <c r="S201" i="30"/>
  <c r="O206" i="30" s="1"/>
  <c r="R201" i="30"/>
  <c r="N206" i="30" s="1"/>
  <c r="Q201" i="30"/>
  <c r="M206" i="30" s="1"/>
  <c r="N193" i="30"/>
  <c r="M193" i="30"/>
  <c r="L193" i="30"/>
  <c r="O193" i="30"/>
  <c r="H132" i="31"/>
  <c r="J132" i="31" s="1"/>
  <c r="M163" i="32"/>
  <c r="N163" i="32"/>
  <c r="L163" i="32"/>
  <c r="O163" i="32"/>
  <c r="O192" i="30"/>
  <c r="L192" i="30"/>
  <c r="M192" i="30"/>
  <c r="N192" i="30"/>
  <c r="X172" i="30"/>
  <c r="Z172" i="30" s="1"/>
  <c r="Z177" i="30" s="1"/>
  <c r="K164" i="30"/>
  <c r="Y172" i="30" s="1"/>
  <c r="P171" i="31"/>
  <c r="L176" i="31" s="1"/>
  <c r="S171" i="31"/>
  <c r="O176" i="31" s="1"/>
  <c r="R171" i="31"/>
  <c r="N176" i="31" s="1"/>
  <c r="Q171" i="31"/>
  <c r="M176" i="31" s="1"/>
  <c r="H135" i="32"/>
  <c r="J135" i="32" s="1"/>
  <c r="I157" i="32" s="1"/>
  <c r="H135" i="31"/>
  <c r="J135" i="31" s="1"/>
  <c r="I157" i="31" s="1"/>
  <c r="P170" i="31"/>
  <c r="L175" i="31" s="1"/>
  <c r="I156" i="31"/>
  <c r="S170" i="31"/>
  <c r="O175" i="31" s="1"/>
  <c r="Q170" i="31"/>
  <c r="M175" i="31" s="1"/>
  <c r="R170" i="31"/>
  <c r="N175" i="31" s="1"/>
  <c r="H132" i="32"/>
  <c r="J132" i="32" s="1"/>
  <c r="H131" i="31"/>
  <c r="J131" i="31" s="1"/>
  <c r="H131" i="32"/>
  <c r="J131" i="32" s="1"/>
  <c r="S173" i="30"/>
  <c r="U173" i="30" s="1"/>
  <c r="U178" i="30" s="1"/>
  <c r="Y165" i="30"/>
  <c r="Z165" i="30" s="1"/>
  <c r="H135" i="30"/>
  <c r="J135" i="30" s="1"/>
  <c r="I187" i="30" s="1"/>
  <c r="M194" i="32" l="1"/>
  <c r="Q194" i="32" s="1"/>
  <c r="I194" i="32"/>
  <c r="N165" i="32"/>
  <c r="J194" i="32"/>
  <c r="N194" i="32"/>
  <c r="R194" i="32" s="1"/>
  <c r="Z173" i="30"/>
  <c r="Z178" i="30" s="1"/>
  <c r="E49" i="29"/>
  <c r="H194" i="32"/>
  <c r="L194" i="32"/>
  <c r="P194" i="32" s="1"/>
  <c r="K194" i="32"/>
  <c r="O194" i="32"/>
  <c r="S194" i="32" s="1"/>
  <c r="H221" i="30"/>
  <c r="L221" i="30" s="1"/>
  <c r="D225" i="30" s="1"/>
  <c r="H211" i="30"/>
  <c r="L211" i="30" s="1"/>
  <c r="D215" i="30" s="1"/>
  <c r="H215" i="30" s="1"/>
  <c r="J195" i="30"/>
  <c r="F195" i="30" s="1"/>
  <c r="K221" i="30"/>
  <c r="O221" i="30" s="1"/>
  <c r="G225" i="30" s="1"/>
  <c r="K211" i="30"/>
  <c r="O211" i="30" s="1"/>
  <c r="G215" i="30" s="1"/>
  <c r="K215" i="30" s="1"/>
  <c r="J191" i="32"/>
  <c r="N191" i="32" s="1"/>
  <c r="F195" i="32" s="1"/>
  <c r="J181" i="32"/>
  <c r="N181" i="32" s="1"/>
  <c r="F185" i="32" s="1"/>
  <c r="J185" i="32" s="1"/>
  <c r="I191" i="31"/>
  <c r="M191" i="31" s="1"/>
  <c r="E195" i="31" s="1"/>
  <c r="I181" i="31"/>
  <c r="M181" i="31" s="1"/>
  <c r="E185" i="31" s="1"/>
  <c r="I185" i="31" s="1"/>
  <c r="J190" i="31"/>
  <c r="N190" i="31" s="1"/>
  <c r="F194" i="31" s="1"/>
  <c r="J180" i="31"/>
  <c r="N180" i="31" s="1"/>
  <c r="F184" i="31" s="1"/>
  <c r="J184" i="31" s="1"/>
  <c r="J191" i="31"/>
  <c r="N191" i="31" s="1"/>
  <c r="F195" i="31" s="1"/>
  <c r="J181" i="31"/>
  <c r="N181" i="31" s="1"/>
  <c r="F185" i="31" s="1"/>
  <c r="J185" i="31" s="1"/>
  <c r="H195" i="30"/>
  <c r="D195" i="30" s="1"/>
  <c r="H196" i="30"/>
  <c r="D196" i="30" s="1"/>
  <c r="H166" i="31"/>
  <c r="D166" i="31" s="1"/>
  <c r="J220" i="30"/>
  <c r="N220" i="30" s="1"/>
  <c r="F224" i="30" s="1"/>
  <c r="J210" i="30"/>
  <c r="N210" i="30" s="1"/>
  <c r="F214" i="30" s="1"/>
  <c r="J214" i="30" s="1"/>
  <c r="K191" i="32"/>
  <c r="O191" i="32" s="1"/>
  <c r="G195" i="32" s="1"/>
  <c r="K181" i="32"/>
  <c r="O181" i="32" s="1"/>
  <c r="G185" i="32" s="1"/>
  <c r="K185" i="32" s="1"/>
  <c r="I180" i="31"/>
  <c r="M180" i="31" s="1"/>
  <c r="E184" i="31" s="1"/>
  <c r="I184" i="31" s="1"/>
  <c r="I190" i="31"/>
  <c r="M190" i="31" s="1"/>
  <c r="E194" i="31" s="1"/>
  <c r="K195" i="30"/>
  <c r="G195" i="30" s="1"/>
  <c r="I196" i="30"/>
  <c r="E196" i="30" s="1"/>
  <c r="J166" i="31"/>
  <c r="F166" i="31" s="1"/>
  <c r="K220" i="30"/>
  <c r="O220" i="30" s="1"/>
  <c r="G224" i="30" s="1"/>
  <c r="K210" i="30"/>
  <c r="O210" i="30" s="1"/>
  <c r="G214" i="30" s="1"/>
  <c r="K214" i="30" s="1"/>
  <c r="K196" i="30"/>
  <c r="G196" i="30" s="1"/>
  <c r="I220" i="30"/>
  <c r="M220" i="30" s="1"/>
  <c r="E224" i="30" s="1"/>
  <c r="I210" i="30"/>
  <c r="M210" i="30" s="1"/>
  <c r="E214" i="30" s="1"/>
  <c r="I214" i="30" s="1"/>
  <c r="K191" i="31"/>
  <c r="O191" i="31" s="1"/>
  <c r="G195" i="31" s="1"/>
  <c r="K181" i="31"/>
  <c r="O181" i="31" s="1"/>
  <c r="G185" i="31" s="1"/>
  <c r="K185" i="31" s="1"/>
  <c r="J196" i="30"/>
  <c r="F196" i="30" s="1"/>
  <c r="H165" i="31"/>
  <c r="D165" i="31" s="1"/>
  <c r="H191" i="31"/>
  <c r="L191" i="31" s="1"/>
  <c r="D195" i="31" s="1"/>
  <c r="H181" i="31"/>
  <c r="L181" i="31" s="1"/>
  <c r="D185" i="31" s="1"/>
  <c r="H185" i="31" s="1"/>
  <c r="H166" i="32"/>
  <c r="D166" i="32" s="1"/>
  <c r="I221" i="30"/>
  <c r="M221" i="30" s="1"/>
  <c r="E225" i="30" s="1"/>
  <c r="I211" i="30"/>
  <c r="M211" i="30" s="1"/>
  <c r="E215" i="30" s="1"/>
  <c r="I215" i="30" s="1"/>
  <c r="K166" i="31"/>
  <c r="G166" i="31" s="1"/>
  <c r="H220" i="30"/>
  <c r="L220" i="30" s="1"/>
  <c r="D224" i="30" s="1"/>
  <c r="H210" i="30"/>
  <c r="L210" i="30" s="1"/>
  <c r="D214" i="30" s="1"/>
  <c r="H214" i="30" s="1"/>
  <c r="K165" i="31"/>
  <c r="G165" i="31" s="1"/>
  <c r="K190" i="31"/>
  <c r="O190" i="31" s="1"/>
  <c r="G194" i="31" s="1"/>
  <c r="K180" i="31"/>
  <c r="O180" i="31" s="1"/>
  <c r="G184" i="31" s="1"/>
  <c r="K184" i="31" s="1"/>
  <c r="K166" i="32"/>
  <c r="G166" i="32" s="1"/>
  <c r="I166" i="31"/>
  <c r="E166" i="31" s="1"/>
  <c r="H190" i="31"/>
  <c r="L190" i="31" s="1"/>
  <c r="D194" i="31" s="1"/>
  <c r="H180" i="31"/>
  <c r="L180" i="31" s="1"/>
  <c r="D184" i="31" s="1"/>
  <c r="H184" i="31" s="1"/>
  <c r="J166" i="32"/>
  <c r="F166" i="32" s="1"/>
  <c r="J221" i="30"/>
  <c r="N221" i="30" s="1"/>
  <c r="F225" i="30" s="1"/>
  <c r="J211" i="30"/>
  <c r="N211" i="30" s="1"/>
  <c r="F215" i="30" s="1"/>
  <c r="J215" i="30" s="1"/>
  <c r="H191" i="32"/>
  <c r="L191" i="32" s="1"/>
  <c r="D195" i="32" s="1"/>
  <c r="H181" i="32"/>
  <c r="L181" i="32" s="1"/>
  <c r="D185" i="32" s="1"/>
  <c r="H185" i="32" s="1"/>
  <c r="J165" i="31"/>
  <c r="F165" i="31" s="1"/>
  <c r="I195" i="30"/>
  <c r="E195" i="30" s="1"/>
  <c r="I166" i="32"/>
  <c r="E166" i="32" s="1"/>
  <c r="I181" i="32"/>
  <c r="M181" i="32" s="1"/>
  <c r="E185" i="32" s="1"/>
  <c r="I185" i="32" s="1"/>
  <c r="I191" i="32"/>
  <c r="M191" i="32" s="1"/>
  <c r="E195" i="32" s="1"/>
  <c r="I165" i="31"/>
  <c r="E165" i="31" s="1"/>
  <c r="L195" i="30" l="1"/>
  <c r="O196" i="30"/>
  <c r="L196" i="30"/>
  <c r="N166" i="31"/>
  <c r="O166" i="32"/>
  <c r="M166" i="32"/>
  <c r="N166" i="32"/>
  <c r="M195" i="30"/>
  <c r="M165" i="31"/>
  <c r="N165" i="31"/>
  <c r="H194" i="31"/>
  <c r="L194" i="31"/>
  <c r="P194" i="31" s="1"/>
  <c r="O165" i="31"/>
  <c r="L166" i="32"/>
  <c r="O195" i="31"/>
  <c r="S195" i="31" s="1"/>
  <c r="K195" i="31"/>
  <c r="K195" i="32"/>
  <c r="O195" i="32"/>
  <c r="S195" i="32" s="1"/>
  <c r="J195" i="32"/>
  <c r="N195" i="32"/>
  <c r="R195" i="32" s="1"/>
  <c r="I195" i="32"/>
  <c r="M195" i="32"/>
  <c r="Q195" i="32" s="1"/>
  <c r="M166" i="31"/>
  <c r="M196" i="30"/>
  <c r="H195" i="32"/>
  <c r="L195" i="32"/>
  <c r="P195" i="32" s="1"/>
  <c r="H224" i="30"/>
  <c r="L224" i="30"/>
  <c r="P224" i="30" s="1"/>
  <c r="H195" i="31"/>
  <c r="L195" i="31"/>
  <c r="P195" i="31" s="1"/>
  <c r="M224" i="30"/>
  <c r="Q224" i="30" s="1"/>
  <c r="I224" i="30"/>
  <c r="N224" i="30"/>
  <c r="R224" i="30" s="1"/>
  <c r="J224" i="30"/>
  <c r="N195" i="31"/>
  <c r="R195" i="31" s="1"/>
  <c r="J195" i="31"/>
  <c r="O225" i="30"/>
  <c r="S225" i="30" s="1"/>
  <c r="K225" i="30"/>
  <c r="O166" i="31"/>
  <c r="L165" i="31"/>
  <c r="N225" i="30"/>
  <c r="R225" i="30" s="1"/>
  <c r="J225" i="30"/>
  <c r="O195" i="30"/>
  <c r="L166" i="31"/>
  <c r="N194" i="31"/>
  <c r="R194" i="31" s="1"/>
  <c r="J194" i="31"/>
  <c r="N195" i="30"/>
  <c r="N196" i="30"/>
  <c r="M194" i="31"/>
  <c r="Q194" i="31" s="1"/>
  <c r="I194" i="31"/>
  <c r="O194" i="31"/>
  <c r="S194" i="31" s="1"/>
  <c r="K194" i="31"/>
  <c r="M225" i="30"/>
  <c r="Q225" i="30" s="1"/>
  <c r="I225" i="30"/>
  <c r="O224" i="30"/>
  <c r="S224" i="30" s="1"/>
  <c r="K224" i="30"/>
  <c r="M195" i="31"/>
  <c r="Q195" i="31" s="1"/>
  <c r="I195" i="31"/>
  <c r="H225" i="30"/>
  <c r="L225" i="30"/>
  <c r="P225" i="30" s="1"/>
  <c r="D36" i="14" l="1"/>
  <c r="I10" i="14" l="1"/>
  <c r="I11" i="14"/>
  <c r="I12" i="14"/>
  <c r="I13" i="14"/>
  <c r="I14" i="14"/>
  <c r="I15" i="14"/>
  <c r="I16" i="14"/>
  <c r="I17" i="14"/>
  <c r="I18" i="14"/>
  <c r="I19" i="14"/>
  <c r="I20" i="14"/>
  <c r="I21" i="14"/>
  <c r="I22" i="14"/>
  <c r="I23" i="14"/>
  <c r="I9" i="14"/>
  <c r="H10" i="14"/>
  <c r="H11" i="14"/>
  <c r="H12" i="14"/>
  <c r="H13" i="14"/>
  <c r="H14" i="14"/>
  <c r="H15" i="14"/>
  <c r="H16" i="14"/>
  <c r="H17" i="14"/>
  <c r="H18" i="14"/>
  <c r="H19" i="14"/>
  <c r="H20" i="14"/>
  <c r="H21" i="14"/>
  <c r="H22" i="14"/>
  <c r="H23" i="14"/>
  <c r="H9" i="14"/>
  <c r="E4" i="21" l="1"/>
  <c r="E7" i="21"/>
  <c r="E8" i="21"/>
  <c r="F19" i="14" l="1"/>
  <c r="G19" i="14"/>
  <c r="G20" i="14"/>
  <c r="G21" i="14"/>
  <c r="G22" i="14"/>
  <c r="F20" i="14"/>
  <c r="F21" i="14"/>
  <c r="F22" i="14"/>
  <c r="F13" i="14"/>
  <c r="G14" i="14"/>
  <c r="F14" i="14"/>
  <c r="G13" i="14"/>
  <c r="F15" i="14"/>
  <c r="G15" i="14"/>
  <c r="G16" i="14"/>
  <c r="F16" i="14"/>
  <c r="G9" i="14"/>
  <c r="F9" i="14"/>
  <c r="G10" i="14"/>
  <c r="F10" i="14"/>
  <c r="F12" i="14"/>
  <c r="G12" i="14"/>
  <c r="G23" i="14"/>
  <c r="F23" i="14"/>
  <c r="F67" i="14" s="1"/>
  <c r="I65" i="14"/>
  <c r="G65" i="14"/>
  <c r="I38" i="14"/>
  <c r="G38" i="14"/>
  <c r="H38" i="14"/>
  <c r="D8" i="21"/>
  <c r="D7" i="21"/>
  <c r="D4" i="21"/>
  <c r="H6" i="13"/>
  <c r="H53" i="13" s="1"/>
  <c r="H4" i="13"/>
  <c r="H79" i="13" s="1"/>
  <c r="H5" i="13"/>
  <c r="J31" i="13" s="1"/>
  <c r="G5" i="13"/>
  <c r="G4" i="13"/>
  <c r="E79" i="13"/>
  <c r="E66" i="13"/>
  <c r="E53" i="13"/>
  <c r="E52" i="13"/>
  <c r="E50" i="13"/>
  <c r="E34" i="13"/>
  <c r="E33" i="13"/>
  <c r="E32" i="13"/>
  <c r="E31" i="13"/>
  <c r="G6" i="13"/>
  <c r="E15" i="13"/>
  <c r="E14" i="13"/>
  <c r="E12" i="13"/>
  <c r="H65" i="14"/>
  <c r="D42" i="14"/>
  <c r="D43" i="14"/>
  <c r="D44" i="14"/>
  <c r="D45" i="14"/>
  <c r="E8" i="28"/>
  <c r="F8" i="28"/>
  <c r="G8" i="28"/>
  <c r="H8" i="28"/>
  <c r="I8" i="28"/>
  <c r="J8" i="28"/>
  <c r="K8" i="28"/>
  <c r="L8" i="28"/>
  <c r="M8" i="28"/>
  <c r="N8" i="28"/>
  <c r="O8" i="28"/>
  <c r="P8" i="28"/>
  <c r="Q8" i="28"/>
  <c r="R8" i="28"/>
  <c r="S8" i="28"/>
  <c r="T8" i="28"/>
  <c r="U8" i="28"/>
  <c r="V8" i="28"/>
  <c r="W8" i="28"/>
  <c r="C8" i="28"/>
  <c r="B8" i="28"/>
  <c r="E27" i="14"/>
  <c r="E28" i="14" s="1"/>
  <c r="G27" i="14"/>
  <c r="G28" i="14" s="1"/>
  <c r="G39" i="14"/>
  <c r="F5" i="17"/>
  <c r="H66" i="13" l="1"/>
  <c r="J66" i="13"/>
  <c r="I66" i="13" s="1"/>
  <c r="J79" i="13"/>
  <c r="H50" i="13"/>
  <c r="H12" i="13"/>
  <c r="G12" i="13" s="1"/>
  <c r="J50" i="13"/>
  <c r="I50" i="13" s="1"/>
  <c r="J12" i="13"/>
  <c r="I12" i="13" s="1"/>
  <c r="I79" i="13"/>
  <c r="H14" i="13"/>
  <c r="G14" i="13" s="1"/>
  <c r="H34" i="13"/>
  <c r="J14" i="13"/>
  <c r="I14" i="13" s="1"/>
  <c r="H52" i="13"/>
  <c r="J52" i="13"/>
  <c r="I52" i="13" s="1"/>
  <c r="H33" i="13"/>
  <c r="G33" i="13" s="1"/>
  <c r="J53" i="13"/>
  <c r="I53" i="13" s="1"/>
  <c r="J34" i="13"/>
  <c r="I34" i="13" s="1"/>
  <c r="J15" i="13"/>
  <c r="I15" i="13" s="1"/>
  <c r="J33" i="13"/>
  <c r="I33" i="13" s="1"/>
  <c r="H31" i="13"/>
  <c r="I31" i="13"/>
  <c r="H18" i="15"/>
  <c r="F65" i="14"/>
  <c r="F38" i="14"/>
  <c r="C11" i="26"/>
  <c r="E11" i="26"/>
  <c r="F11" i="26"/>
  <c r="G11" i="26"/>
  <c r="H11" i="26"/>
  <c r="I11" i="26"/>
  <c r="J11" i="26"/>
  <c r="C12" i="26"/>
  <c r="E12" i="26"/>
  <c r="F12" i="26"/>
  <c r="G12" i="26"/>
  <c r="H12" i="26"/>
  <c r="I12" i="26"/>
  <c r="J12" i="26"/>
  <c r="B12" i="26"/>
  <c r="B11" i="26"/>
  <c r="C10" i="26"/>
  <c r="B10" i="26"/>
  <c r="C9" i="26"/>
  <c r="B9" i="26"/>
  <c r="C8" i="26"/>
  <c r="B8" i="26"/>
  <c r="C7" i="26"/>
  <c r="B7" i="26"/>
  <c r="I5" i="26"/>
  <c r="I17" i="26" s="1"/>
  <c r="G5" i="26"/>
  <c r="G17" i="26" s="1"/>
  <c r="E5" i="26"/>
  <c r="I32" i="13" l="1"/>
  <c r="G34" i="13"/>
  <c r="B15" i="18"/>
  <c r="G66" i="13" l="1"/>
  <c r="G79" i="13"/>
  <c r="G53" i="13"/>
  <c r="G52" i="13"/>
  <c r="G50" i="13"/>
  <c r="G31" i="13"/>
  <c r="H15" i="13"/>
  <c r="G15" i="13" s="1"/>
  <c r="E11" i="13"/>
  <c r="B13" i="13"/>
  <c r="G13" i="13" l="1"/>
  <c r="B20" i="13"/>
  <c r="B24" i="13"/>
  <c r="K13" i="13" l="1"/>
  <c r="F25" i="14"/>
  <c r="H5" i="17" l="1"/>
  <c r="D5" i="17"/>
  <c r="B31" i="18" l="1"/>
  <c r="C31" i="18"/>
  <c r="D31" i="18"/>
  <c r="E31" i="18"/>
  <c r="F31" i="18"/>
  <c r="F24" i="18" s="1"/>
  <c r="F25" i="18" s="1"/>
  <c r="G31" i="18"/>
  <c r="H31" i="18"/>
  <c r="H24" i="18" s="1"/>
  <c r="H25" i="18" s="1"/>
  <c r="I31" i="18"/>
  <c r="J31" i="18"/>
  <c r="B24" i="18"/>
  <c r="B25" i="18" s="1"/>
  <c r="J24" i="18"/>
  <c r="J25" i="18" s="1"/>
  <c r="C24" i="18"/>
  <c r="C25" i="18" s="1"/>
  <c r="D24" i="18"/>
  <c r="D25" i="18" s="1"/>
  <c r="E24" i="18"/>
  <c r="E25" i="18" s="1"/>
  <c r="G24" i="18"/>
  <c r="G25" i="18" s="1"/>
  <c r="I24" i="18"/>
  <c r="I25" i="18" s="1"/>
  <c r="C1" i="25"/>
  <c r="B1" i="25"/>
  <c r="A1" i="25"/>
  <c r="N43" i="7" l="1"/>
  <c r="F11" i="13"/>
  <c r="F18" i="13" s="1"/>
  <c r="F32" i="13"/>
  <c r="E17" i="13"/>
  <c r="C15" i="18" l="1"/>
  <c r="D15" i="18"/>
  <c r="E15" i="18"/>
  <c r="F15" i="18"/>
  <c r="G15" i="18"/>
  <c r="H15" i="18"/>
  <c r="I15" i="18"/>
  <c r="J15" i="18"/>
  <c r="C16" i="18"/>
  <c r="D16" i="18"/>
  <c r="E16" i="18"/>
  <c r="F16" i="18"/>
  <c r="G16" i="18"/>
  <c r="H16" i="18"/>
  <c r="I16" i="18"/>
  <c r="J16" i="18"/>
  <c r="C17" i="18"/>
  <c r="D17" i="18"/>
  <c r="E17" i="18"/>
  <c r="F17" i="18"/>
  <c r="G17" i="18"/>
  <c r="H17" i="18"/>
  <c r="I17" i="18"/>
  <c r="J17" i="18"/>
  <c r="C18" i="18"/>
  <c r="D18" i="18"/>
  <c r="E18" i="18"/>
  <c r="F18" i="18"/>
  <c r="G18" i="18"/>
  <c r="H18" i="18"/>
  <c r="I18" i="18"/>
  <c r="J18" i="18"/>
  <c r="B17" i="18"/>
  <c r="B18" i="18"/>
  <c r="B16" i="18"/>
  <c r="C12" i="18"/>
  <c r="D12" i="18"/>
  <c r="E12" i="18"/>
  <c r="F12" i="18"/>
  <c r="G12" i="18"/>
  <c r="H12" i="18"/>
  <c r="I12" i="18"/>
  <c r="J12" i="18"/>
  <c r="B12" i="18"/>
  <c r="C11" i="18"/>
  <c r="D11" i="18"/>
  <c r="E11" i="18"/>
  <c r="F11" i="18"/>
  <c r="G11" i="18"/>
  <c r="H11" i="18"/>
  <c r="I11" i="18"/>
  <c r="J11" i="18"/>
  <c r="B11" i="18"/>
  <c r="E49" i="13" l="1"/>
  <c r="E68" i="14" l="1"/>
  <c r="E67" i="14"/>
  <c r="G68" i="14"/>
  <c r="G67" i="14"/>
  <c r="I68" i="14"/>
  <c r="I67" i="14"/>
  <c r="H68" i="14"/>
  <c r="H67" i="14"/>
  <c r="D40" i="14"/>
  <c r="E40" i="14"/>
  <c r="AI43" i="7"/>
  <c r="Y43" i="7"/>
  <c r="O43" i="7"/>
  <c r="O44" i="7"/>
  <c r="X43" i="7"/>
  <c r="AH43" i="7" s="1"/>
  <c r="X44" i="7" l="1"/>
  <c r="F68" i="14" l="1"/>
  <c r="E45" i="14" l="1"/>
  <c r="E44" i="14"/>
  <c r="E43" i="14"/>
  <c r="E42" i="14"/>
  <c r="E70" i="13" l="1"/>
  <c r="C56" i="13"/>
  <c r="C55" i="13"/>
  <c r="C10" i="15" l="1"/>
  <c r="J13" i="13" l="1"/>
  <c r="D39" i="14" l="1"/>
  <c r="F39" i="14" s="1"/>
  <c r="D68" i="14" l="1"/>
  <c r="D67" i="14"/>
  <c r="P9" i="15" l="1"/>
  <c r="O9" i="15"/>
  <c r="P25" i="15" l="1"/>
  <c r="O25" i="15"/>
  <c r="O17" i="15"/>
  <c r="P17" i="15"/>
  <c r="D13" i="15"/>
  <c r="C13" i="15"/>
  <c r="H11" i="13"/>
  <c r="F9" i="13"/>
  <c r="H32" i="13" l="1"/>
  <c r="J32" i="13"/>
  <c r="B32" i="13" l="1"/>
  <c r="I35" i="15"/>
  <c r="I36" i="15"/>
  <c r="I37" i="15"/>
  <c r="I38" i="15"/>
  <c r="H36" i="15"/>
  <c r="H37" i="15"/>
  <c r="H38" i="15"/>
  <c r="H35" i="15"/>
  <c r="I28" i="15"/>
  <c r="I29" i="15"/>
  <c r="I30" i="15"/>
  <c r="I31" i="15"/>
  <c r="H29" i="15"/>
  <c r="H30" i="15"/>
  <c r="H31" i="15"/>
  <c r="H28" i="15"/>
  <c r="D61" i="14" s="1"/>
  <c r="G17" i="15"/>
  <c r="B16" i="15"/>
  <c r="G16" i="15" s="1"/>
  <c r="H13" i="13" l="1"/>
  <c r="F13" i="13"/>
  <c r="J10" i="13"/>
  <c r="E25" i="14" l="1"/>
  <c r="H39" i="14" l="1"/>
  <c r="I26" i="16"/>
  <c r="I66" i="16" s="1"/>
  <c r="H26" i="16"/>
  <c r="H66" i="16" s="1"/>
  <c r="I25" i="16"/>
  <c r="I65" i="16" s="1"/>
  <c r="H25" i="16"/>
  <c r="H65" i="16" s="1"/>
  <c r="I24" i="16"/>
  <c r="I64" i="16" s="1"/>
  <c r="H24" i="16"/>
  <c r="H64" i="16" s="1"/>
  <c r="I23" i="16"/>
  <c r="I63" i="16" s="1"/>
  <c r="H23" i="16"/>
  <c r="H63" i="16" s="1"/>
  <c r="G26" i="16"/>
  <c r="G66" i="16" s="1"/>
  <c r="F26" i="16"/>
  <c r="F66" i="16" s="1"/>
  <c r="G25" i="16"/>
  <c r="G65" i="16" s="1"/>
  <c r="F25" i="16"/>
  <c r="F65" i="16" s="1"/>
  <c r="G24" i="16"/>
  <c r="G64" i="16" s="1"/>
  <c r="F24" i="16"/>
  <c r="F64" i="16" s="1"/>
  <c r="G23" i="16"/>
  <c r="G63" i="16" s="1"/>
  <c r="F23" i="16"/>
  <c r="F63" i="16" s="1"/>
  <c r="E26" i="16"/>
  <c r="D26" i="16"/>
  <c r="E25" i="16"/>
  <c r="D25" i="16"/>
  <c r="E24" i="16"/>
  <c r="D24" i="16"/>
  <c r="E23" i="16"/>
  <c r="D23" i="16"/>
  <c r="D25" i="14"/>
  <c r="I39" i="14"/>
  <c r="D64" i="16" l="1"/>
  <c r="E64" i="16"/>
  <c r="D65" i="16"/>
  <c r="D66" i="16"/>
  <c r="E65" i="16"/>
  <c r="E66" i="16"/>
  <c r="E63" i="16"/>
  <c r="D63" i="16"/>
  <c r="D36" i="16"/>
  <c r="E36" i="14"/>
  <c r="F36" i="14"/>
  <c r="H36" i="14"/>
  <c r="N36" i="16" l="1"/>
  <c r="G36" i="14"/>
  <c r="I36" i="14"/>
  <c r="F28" i="13" l="1"/>
  <c r="F29" i="13"/>
  <c r="F66" i="13"/>
  <c r="F67" i="13" s="1"/>
  <c r="J9" i="13"/>
  <c r="I10" i="13"/>
  <c r="I9" i="13"/>
  <c r="F35" i="13" l="1"/>
  <c r="I32" i="16"/>
  <c r="S32" i="16" s="1"/>
  <c r="AC32" i="16" s="1"/>
  <c r="AM32" i="16" s="1"/>
  <c r="H32" i="16"/>
  <c r="R32" i="16" s="1"/>
  <c r="AB32" i="16" s="1"/>
  <c r="AL32" i="16" s="1"/>
  <c r="G32" i="16"/>
  <c r="Q32" i="16" s="1"/>
  <c r="AA32" i="16" s="1"/>
  <c r="AK32" i="16" s="1"/>
  <c r="F32" i="16"/>
  <c r="P32" i="16" s="1"/>
  <c r="Z32" i="16" s="1"/>
  <c r="AJ32" i="16" s="1"/>
  <c r="E32" i="16"/>
  <c r="O32" i="16" s="1"/>
  <c r="Y32" i="16" s="1"/>
  <c r="AI32" i="16" s="1"/>
  <c r="D32" i="16"/>
  <c r="N32" i="16" s="1"/>
  <c r="X32" i="16" s="1"/>
  <c r="AH32" i="16" s="1"/>
  <c r="I31" i="16"/>
  <c r="S31" i="16" s="1"/>
  <c r="AC31" i="16" s="1"/>
  <c r="AM31" i="16" s="1"/>
  <c r="H31" i="16"/>
  <c r="R31" i="16" s="1"/>
  <c r="AB31" i="16" s="1"/>
  <c r="AL31" i="16" s="1"/>
  <c r="G31" i="16"/>
  <c r="Q31" i="16" s="1"/>
  <c r="AA31" i="16" s="1"/>
  <c r="AK31" i="16" s="1"/>
  <c r="F31" i="16"/>
  <c r="P31" i="16" s="1"/>
  <c r="Z31" i="16" s="1"/>
  <c r="AJ31" i="16" s="1"/>
  <c r="E31" i="16"/>
  <c r="O31" i="16" s="1"/>
  <c r="Y31" i="16" s="1"/>
  <c r="AI31" i="16" s="1"/>
  <c r="D31" i="16"/>
  <c r="N31" i="16" s="1"/>
  <c r="X31" i="16" s="1"/>
  <c r="AH31" i="16" s="1"/>
  <c r="I30" i="16"/>
  <c r="S30" i="16" s="1"/>
  <c r="AC30" i="16" s="1"/>
  <c r="AM30" i="16" s="1"/>
  <c r="H30" i="16"/>
  <c r="R30" i="16" s="1"/>
  <c r="AB30" i="16" s="1"/>
  <c r="AL30" i="16" s="1"/>
  <c r="G30" i="16"/>
  <c r="Q30" i="16" s="1"/>
  <c r="AA30" i="16" s="1"/>
  <c r="AK30" i="16" s="1"/>
  <c r="F30" i="16"/>
  <c r="P30" i="16" s="1"/>
  <c r="Z30" i="16" s="1"/>
  <c r="AJ30" i="16" s="1"/>
  <c r="E30" i="16"/>
  <c r="O30" i="16" s="1"/>
  <c r="Y30" i="16" s="1"/>
  <c r="AI30" i="16" s="1"/>
  <c r="D30" i="16"/>
  <c r="N30" i="16" s="1"/>
  <c r="X30" i="16" s="1"/>
  <c r="AH30" i="16" s="1"/>
  <c r="I29" i="16"/>
  <c r="S29" i="16" s="1"/>
  <c r="AC29" i="16" s="1"/>
  <c r="AM29" i="16" s="1"/>
  <c r="I18" i="17" s="1"/>
  <c r="H29" i="16"/>
  <c r="R29" i="16" s="1"/>
  <c r="AB29" i="16" s="1"/>
  <c r="AL29" i="16" s="1"/>
  <c r="H18" i="17" s="1"/>
  <c r="G29" i="16"/>
  <c r="Q29" i="16" s="1"/>
  <c r="AA29" i="16" s="1"/>
  <c r="AK29" i="16" s="1"/>
  <c r="G18" i="17" s="1"/>
  <c r="F29" i="16"/>
  <c r="P29" i="16" s="1"/>
  <c r="Z29" i="16" s="1"/>
  <c r="AJ29" i="16" s="1"/>
  <c r="F18" i="17" s="1"/>
  <c r="E29" i="16"/>
  <c r="O29" i="16" s="1"/>
  <c r="Y29" i="16" s="1"/>
  <c r="AI29" i="16" s="1"/>
  <c r="E18" i="17" s="1"/>
  <c r="D29" i="16"/>
  <c r="N29" i="16" s="1"/>
  <c r="X29" i="16" s="1"/>
  <c r="AH29" i="16" s="1"/>
  <c r="D18" i="17" s="1"/>
  <c r="O26" i="16" l="1"/>
  <c r="O66" i="16" s="1"/>
  <c r="Q26" i="16"/>
  <c r="Q66" i="16" s="1"/>
  <c r="S26" i="16"/>
  <c r="S66" i="16" s="1"/>
  <c r="O24" i="16"/>
  <c r="P25" i="16"/>
  <c r="R23" i="16"/>
  <c r="R63" i="16" s="1"/>
  <c r="R25" i="16"/>
  <c r="R65" i="16" s="1"/>
  <c r="N25" i="16"/>
  <c r="O25" i="16"/>
  <c r="Q23" i="16"/>
  <c r="Q63" i="16" s="1"/>
  <c r="Q25" i="16"/>
  <c r="Q65" i="16" s="1"/>
  <c r="S23" i="16"/>
  <c r="S63" i="16" s="1"/>
  <c r="S25" i="16"/>
  <c r="S65" i="16" s="1"/>
  <c r="N23" i="16"/>
  <c r="N24" i="16"/>
  <c r="Q24" i="16"/>
  <c r="Q64" i="16" s="1"/>
  <c r="S24" i="16"/>
  <c r="S64" i="16" s="1"/>
  <c r="P23" i="16"/>
  <c r="O23" i="16"/>
  <c r="N26" i="16"/>
  <c r="N66" i="16" s="1"/>
  <c r="P24" i="16"/>
  <c r="P26" i="16"/>
  <c r="R24" i="16"/>
  <c r="R64" i="16" s="1"/>
  <c r="R26" i="16"/>
  <c r="R66" i="16" s="1"/>
  <c r="O65" i="16" l="1"/>
  <c r="N64" i="16"/>
  <c r="N63" i="16"/>
  <c r="N65" i="16"/>
  <c r="O64" i="16"/>
  <c r="O63" i="16"/>
  <c r="Y26" i="16"/>
  <c r="AI26" i="16" s="1"/>
  <c r="X25" i="16"/>
  <c r="AH25" i="16" s="1"/>
  <c r="Y23" i="16"/>
  <c r="AI23" i="16" s="1"/>
  <c r="X26" i="16"/>
  <c r="AH26" i="16" s="1"/>
  <c r="X23" i="16"/>
  <c r="AH23" i="16" s="1"/>
  <c r="E53" i="14" l="1"/>
  <c r="D53" i="14"/>
  <c r="E52" i="14"/>
  <c r="D52" i="14"/>
  <c r="E51" i="14"/>
  <c r="D51" i="14"/>
  <c r="E50" i="14"/>
  <c r="E64" i="14"/>
  <c r="D62" i="14"/>
  <c r="E62" i="14"/>
  <c r="D63" i="14"/>
  <c r="E63" i="14"/>
  <c r="D64" i="14"/>
  <c r="E61" i="14"/>
  <c r="D47" i="14"/>
  <c r="E47" i="14"/>
  <c r="D48" i="14"/>
  <c r="E48" i="14"/>
  <c r="D49" i="14"/>
  <c r="E49" i="14"/>
  <c r="E46" i="14"/>
  <c r="D46" i="14"/>
  <c r="D11" i="16" s="1"/>
  <c r="I32" i="15"/>
  <c r="H32" i="15"/>
  <c r="D32" i="15"/>
  <c r="C32" i="15"/>
  <c r="E41" i="16" l="1"/>
  <c r="E36" i="16"/>
  <c r="D13" i="16"/>
  <c r="F48" i="14"/>
  <c r="F13" i="16" s="1"/>
  <c r="H48" i="14"/>
  <c r="H13" i="16" s="1"/>
  <c r="G62" i="14"/>
  <c r="G42" i="16" s="1"/>
  <c r="Q42" i="16" s="1"/>
  <c r="I62" i="14"/>
  <c r="I42" i="16" s="1"/>
  <c r="S42" i="16" s="1"/>
  <c r="E18" i="16"/>
  <c r="I52" i="14"/>
  <c r="I18" i="16" s="1"/>
  <c r="G52" i="14"/>
  <c r="G18" i="16" s="1"/>
  <c r="E14" i="16"/>
  <c r="I49" i="14"/>
  <c r="I14" i="16" s="1"/>
  <c r="G49" i="14"/>
  <c r="G14" i="16" s="1"/>
  <c r="F64" i="14"/>
  <c r="F44" i="16" s="1"/>
  <c r="P44" i="16" s="1"/>
  <c r="H64" i="14"/>
  <c r="H44" i="16" s="1"/>
  <c r="R44" i="16" s="1"/>
  <c r="D17" i="16"/>
  <c r="N17" i="16" s="1"/>
  <c r="H51" i="14"/>
  <c r="H17" i="16" s="1"/>
  <c r="F51" i="14"/>
  <c r="F17" i="16" s="1"/>
  <c r="F46" i="14"/>
  <c r="F11" i="16" s="1"/>
  <c r="H46" i="14"/>
  <c r="H11" i="16" s="1"/>
  <c r="E13" i="16"/>
  <c r="I48" i="14"/>
  <c r="I13" i="16" s="1"/>
  <c r="G48" i="14"/>
  <c r="G13" i="16" s="1"/>
  <c r="F61" i="14"/>
  <c r="H61" i="14"/>
  <c r="F63" i="14"/>
  <c r="H63" i="14"/>
  <c r="H43" i="16" s="1"/>
  <c r="R43" i="16" s="1"/>
  <c r="F50" i="14"/>
  <c r="F16" i="16" s="1"/>
  <c r="H50" i="14"/>
  <c r="H16" i="16" s="1"/>
  <c r="D18" i="16"/>
  <c r="N18" i="16" s="1"/>
  <c r="F52" i="14"/>
  <c r="F18" i="16" s="1"/>
  <c r="H52" i="14"/>
  <c r="H18" i="16" s="1"/>
  <c r="I46" i="14"/>
  <c r="I11" i="16" s="1"/>
  <c r="G46" i="14"/>
  <c r="G11" i="16" s="1"/>
  <c r="G61" i="14"/>
  <c r="G41" i="16" s="1"/>
  <c r="I61" i="14"/>
  <c r="I41" i="16" s="1"/>
  <c r="E16" i="16"/>
  <c r="O16" i="16" s="1"/>
  <c r="I50" i="14"/>
  <c r="I16" i="16" s="1"/>
  <c r="S16" i="16" s="1"/>
  <c r="G50" i="14"/>
  <c r="G16" i="16" s="1"/>
  <c r="E12" i="16"/>
  <c r="I47" i="14"/>
  <c r="I12" i="16" s="1"/>
  <c r="G47" i="14"/>
  <c r="G12" i="16" s="1"/>
  <c r="F62" i="14"/>
  <c r="F42" i="16" s="1"/>
  <c r="P42" i="16" s="1"/>
  <c r="H62" i="14"/>
  <c r="H37" i="16" s="1"/>
  <c r="R37" i="16" s="1"/>
  <c r="D19" i="16"/>
  <c r="F53" i="14"/>
  <c r="F19" i="16" s="1"/>
  <c r="H53" i="14"/>
  <c r="H19" i="16" s="1"/>
  <c r="D14" i="16"/>
  <c r="F49" i="14"/>
  <c r="F14" i="16" s="1"/>
  <c r="H49" i="14"/>
  <c r="H14" i="16" s="1"/>
  <c r="D12" i="16"/>
  <c r="F47" i="14"/>
  <c r="F12" i="16" s="1"/>
  <c r="H47" i="14"/>
  <c r="H12" i="16" s="1"/>
  <c r="G63" i="14"/>
  <c r="G38" i="16" s="1"/>
  <c r="I63" i="14"/>
  <c r="I38" i="16" s="1"/>
  <c r="S38" i="16" s="1"/>
  <c r="G64" i="14"/>
  <c r="G44" i="16" s="1"/>
  <c r="Q44" i="16" s="1"/>
  <c r="I64" i="14"/>
  <c r="I44" i="16" s="1"/>
  <c r="S44" i="16" s="1"/>
  <c r="E17" i="16"/>
  <c r="G51" i="14"/>
  <c r="G17" i="16" s="1"/>
  <c r="I51" i="14"/>
  <c r="I17" i="16" s="1"/>
  <c r="E19" i="16"/>
  <c r="I53" i="14"/>
  <c r="I19" i="16" s="1"/>
  <c r="G53" i="14"/>
  <c r="G19" i="16" s="1"/>
  <c r="O36" i="16"/>
  <c r="D41" i="16"/>
  <c r="D43" i="16"/>
  <c r="N43" i="16" s="1"/>
  <c r="D38" i="16"/>
  <c r="D16" i="16"/>
  <c r="N16" i="16" s="1"/>
  <c r="E37" i="16"/>
  <c r="O37" i="16" s="1"/>
  <c r="E42" i="16"/>
  <c r="O42" i="16" s="1"/>
  <c r="D39" i="16"/>
  <c r="N39" i="16" s="1"/>
  <c r="D44" i="16"/>
  <c r="N44" i="16" s="1"/>
  <c r="D42" i="16"/>
  <c r="N42" i="16" s="1"/>
  <c r="D37" i="16"/>
  <c r="N37" i="16" s="1"/>
  <c r="E43" i="16"/>
  <c r="O43" i="16" s="1"/>
  <c r="E38" i="16"/>
  <c r="E39" i="16"/>
  <c r="E44" i="16"/>
  <c r="O44" i="16" s="1"/>
  <c r="E60" i="14"/>
  <c r="D60" i="14"/>
  <c r="Q19" i="16" l="1"/>
  <c r="AA19" i="16" s="1"/>
  <c r="AK19" i="16" s="1"/>
  <c r="S19" i="16"/>
  <c r="AC19" i="16" s="1"/>
  <c r="AM19" i="16" s="1"/>
  <c r="O19" i="16"/>
  <c r="Y19" i="16" s="1"/>
  <c r="AI19" i="16" s="1"/>
  <c r="N19" i="16"/>
  <c r="S17" i="16"/>
  <c r="AC17" i="16" s="1"/>
  <c r="AM17" i="16" s="1"/>
  <c r="Q17" i="16"/>
  <c r="AA17" i="16" s="1"/>
  <c r="AK17" i="16" s="1"/>
  <c r="Q16" i="16"/>
  <c r="AA16" i="16" s="1"/>
  <c r="AK16" i="16" s="1"/>
  <c r="G16" i="17" s="1"/>
  <c r="O17" i="16"/>
  <c r="Y17" i="16" s="1"/>
  <c r="AI17" i="16" s="1"/>
  <c r="Q18" i="16"/>
  <c r="AA18" i="16" s="1"/>
  <c r="AK18" i="16" s="1"/>
  <c r="E57" i="16"/>
  <c r="S18" i="16"/>
  <c r="AC18" i="16" s="1"/>
  <c r="AM18" i="16" s="1"/>
  <c r="O18" i="16"/>
  <c r="Y18" i="16" s="1"/>
  <c r="AI18" i="16" s="1"/>
  <c r="F41" i="16"/>
  <c r="F36" i="16"/>
  <c r="F38" i="16"/>
  <c r="P38" i="16" s="1"/>
  <c r="F43" i="16"/>
  <c r="P43" i="16" s="1"/>
  <c r="X16" i="16"/>
  <c r="AH16" i="16" s="1"/>
  <c r="D40" i="16"/>
  <c r="H39" i="16"/>
  <c r="R39" i="16" s="1"/>
  <c r="H38" i="16"/>
  <c r="H48" i="16" s="1"/>
  <c r="I43" i="16"/>
  <c r="S43" i="16" s="1"/>
  <c r="I37" i="16"/>
  <c r="S37" i="16" s="1"/>
  <c r="I39" i="16"/>
  <c r="S39" i="16" s="1"/>
  <c r="F37" i="16"/>
  <c r="P37" i="16" s="1"/>
  <c r="P47" i="16" s="1"/>
  <c r="F39" i="16"/>
  <c r="F49" i="16" s="1"/>
  <c r="H42" i="16"/>
  <c r="R42" i="16" s="1"/>
  <c r="G37" i="16"/>
  <c r="Q37" i="16" s="1"/>
  <c r="G43" i="16"/>
  <c r="Q43" i="16" s="1"/>
  <c r="H60" i="14"/>
  <c r="H36" i="16"/>
  <c r="I36" i="16"/>
  <c r="G60" i="14"/>
  <c r="F60" i="14"/>
  <c r="I60" i="14"/>
  <c r="H41" i="16"/>
  <c r="G39" i="16"/>
  <c r="Q39" i="16" s="1"/>
  <c r="G36" i="16"/>
  <c r="E48" i="16"/>
  <c r="D47" i="16"/>
  <c r="N49" i="16"/>
  <c r="D48" i="16"/>
  <c r="E49" i="16"/>
  <c r="O47" i="16"/>
  <c r="O41" i="16"/>
  <c r="E45" i="16"/>
  <c r="E20" i="16" s="1"/>
  <c r="X17" i="16"/>
  <c r="AH17" i="16" s="1"/>
  <c r="O38" i="16"/>
  <c r="S41" i="16"/>
  <c r="Q41" i="16"/>
  <c r="N38" i="16"/>
  <c r="N48" i="16" s="1"/>
  <c r="X18" i="16"/>
  <c r="AH18" i="16" s="1"/>
  <c r="N47" i="16"/>
  <c r="D46" i="16"/>
  <c r="N41" i="16"/>
  <c r="D45" i="16"/>
  <c r="D20" i="16" s="1"/>
  <c r="O39" i="16"/>
  <c r="D49" i="16"/>
  <c r="E47" i="16"/>
  <c r="Q38" i="16"/>
  <c r="E40" i="16"/>
  <c r="E15" i="16" s="1"/>
  <c r="E46" i="16"/>
  <c r="AC16" i="16"/>
  <c r="AM16" i="16" s="1"/>
  <c r="Y16" i="16"/>
  <c r="AI16" i="16" s="1"/>
  <c r="D47" i="7"/>
  <c r="D26" i="7"/>
  <c r="N26" i="7" s="1"/>
  <c r="X26" i="7" s="1"/>
  <c r="AH26" i="7" s="1"/>
  <c r="D25" i="7"/>
  <c r="N25" i="7" s="1"/>
  <c r="X25" i="7" s="1"/>
  <c r="AH25" i="7" s="1"/>
  <c r="D24" i="7"/>
  <c r="N24" i="7" s="1"/>
  <c r="X24" i="7" s="1"/>
  <c r="AH24" i="7" s="1"/>
  <c r="D17" i="17" s="1"/>
  <c r="E25" i="7"/>
  <c r="O25" i="7" s="1"/>
  <c r="Y25" i="7" s="1"/>
  <c r="AI25" i="7" s="1"/>
  <c r="F25" i="7"/>
  <c r="P25" i="7" s="1"/>
  <c r="Z25" i="7" s="1"/>
  <c r="AJ25" i="7" s="1"/>
  <c r="G25" i="7"/>
  <c r="Q25" i="7" s="1"/>
  <c r="AA25" i="7" s="1"/>
  <c r="AK25" i="7" s="1"/>
  <c r="H25" i="7"/>
  <c r="R25" i="7" s="1"/>
  <c r="AB25" i="7" s="1"/>
  <c r="AL25" i="7" s="1"/>
  <c r="I25" i="7"/>
  <c r="S25" i="7" s="1"/>
  <c r="AC25" i="7" s="1"/>
  <c r="AM25" i="7" s="1"/>
  <c r="E26" i="7"/>
  <c r="O26" i="7" s="1"/>
  <c r="Y26" i="7" s="1"/>
  <c r="AI26" i="7" s="1"/>
  <c r="F26" i="7"/>
  <c r="P26" i="7" s="1"/>
  <c r="Z26" i="7" s="1"/>
  <c r="AJ26" i="7" s="1"/>
  <c r="G26" i="7"/>
  <c r="Q26" i="7" s="1"/>
  <c r="AA26" i="7" s="1"/>
  <c r="AK26" i="7" s="1"/>
  <c r="H26" i="7"/>
  <c r="R26" i="7" s="1"/>
  <c r="AB26" i="7" s="1"/>
  <c r="AL26" i="7" s="1"/>
  <c r="I26" i="7"/>
  <c r="S26" i="7" s="1"/>
  <c r="AC26" i="7" s="1"/>
  <c r="AM26" i="7" s="1"/>
  <c r="E24" i="7"/>
  <c r="O24" i="7" s="1"/>
  <c r="Y24" i="7" s="1"/>
  <c r="AI24" i="7" s="1"/>
  <c r="E17" i="17" s="1"/>
  <c r="F24" i="7"/>
  <c r="P24" i="7" s="1"/>
  <c r="Z24" i="7" s="1"/>
  <c r="AJ24" i="7" s="1"/>
  <c r="F17" i="17" s="1"/>
  <c r="G24" i="7"/>
  <c r="Q24" i="7" s="1"/>
  <c r="AA24" i="7" s="1"/>
  <c r="AK24" i="7" s="1"/>
  <c r="G17" i="17" s="1"/>
  <c r="H24" i="7"/>
  <c r="R24" i="7" s="1"/>
  <c r="AB24" i="7" s="1"/>
  <c r="AL24" i="7" s="1"/>
  <c r="H17" i="17" s="1"/>
  <c r="I24" i="7"/>
  <c r="S24" i="7" s="1"/>
  <c r="AC24" i="7" s="1"/>
  <c r="AM24" i="7" s="1"/>
  <c r="I17" i="17" s="1"/>
  <c r="E62" i="16" l="1"/>
  <c r="D62" i="16"/>
  <c r="D15" i="16"/>
  <c r="D57" i="16"/>
  <c r="X19" i="16"/>
  <c r="AH19" i="16" s="1"/>
  <c r="N45" i="16"/>
  <c r="N62" i="16" s="1"/>
  <c r="I46" i="16"/>
  <c r="Q36" i="16"/>
  <c r="Q40" i="16" s="1"/>
  <c r="R36" i="16"/>
  <c r="P36" i="16"/>
  <c r="P41" i="16"/>
  <c r="N47" i="7"/>
  <c r="O49" i="16"/>
  <c r="N20" i="16"/>
  <c r="Q49" i="16"/>
  <c r="O48" i="16"/>
  <c r="Q47" i="16"/>
  <c r="S48" i="16"/>
  <c r="S49" i="16"/>
  <c r="S47" i="16"/>
  <c r="R49" i="16"/>
  <c r="R47" i="16"/>
  <c r="H49" i="16"/>
  <c r="O45" i="16"/>
  <c r="O62" i="16" s="1"/>
  <c r="S45" i="16"/>
  <c r="S62" i="16" s="1"/>
  <c r="I48" i="16"/>
  <c r="I45" i="16"/>
  <c r="I20" i="16" s="1"/>
  <c r="R38" i="16"/>
  <c r="I47" i="16"/>
  <c r="G47" i="16"/>
  <c r="F45" i="16"/>
  <c r="F62" i="16" s="1"/>
  <c r="F48" i="16"/>
  <c r="P48" i="16"/>
  <c r="Q45" i="16"/>
  <c r="Q62" i="16" s="1"/>
  <c r="H47" i="16"/>
  <c r="I49" i="16"/>
  <c r="P39" i="16"/>
  <c r="P49" i="16" s="1"/>
  <c r="H45" i="16"/>
  <c r="H20" i="16" s="1"/>
  <c r="F47" i="16"/>
  <c r="R41" i="16"/>
  <c r="Q48" i="16"/>
  <c r="G48" i="16"/>
  <c r="G45" i="16"/>
  <c r="G20" i="16" s="1"/>
  <c r="E16" i="17"/>
  <c r="I16" i="17"/>
  <c r="D16" i="17"/>
  <c r="H40" i="16"/>
  <c r="H15" i="16" s="1"/>
  <c r="I40" i="16"/>
  <c r="I15" i="16" s="1"/>
  <c r="H46" i="16"/>
  <c r="G46" i="16"/>
  <c r="G49" i="16"/>
  <c r="G40" i="16"/>
  <c r="G15" i="16" s="1"/>
  <c r="F46" i="16"/>
  <c r="S36" i="16"/>
  <c r="F40" i="16"/>
  <c r="F15" i="16" s="1"/>
  <c r="E50" i="16"/>
  <c r="E67" i="16" s="1"/>
  <c r="O46" i="16"/>
  <c r="D50" i="16"/>
  <c r="D67" i="16" s="1"/>
  <c r="O40" i="16"/>
  <c r="O57" i="16" s="1"/>
  <c r="N46" i="16"/>
  <c r="N40" i="16"/>
  <c r="N57" i="16" s="1"/>
  <c r="X47" i="7"/>
  <c r="AH47" i="7" s="1"/>
  <c r="E47" i="7"/>
  <c r="O47" i="7" s="1"/>
  <c r="Y47" i="7" s="1"/>
  <c r="AI47" i="7" s="1"/>
  <c r="F82" i="13"/>
  <c r="E82" i="13" s="1"/>
  <c r="F81" i="13"/>
  <c r="E81" i="13" s="1"/>
  <c r="F79" i="13"/>
  <c r="F80" i="13" s="1"/>
  <c r="F85" i="13" s="1"/>
  <c r="F69" i="13"/>
  <c r="E69" i="13" s="1"/>
  <c r="F68" i="13"/>
  <c r="F51" i="13"/>
  <c r="F49" i="13"/>
  <c r="F48" i="13"/>
  <c r="E48" i="13"/>
  <c r="F47" i="13"/>
  <c r="E47" i="13"/>
  <c r="F30" i="13"/>
  <c r="E30" i="13"/>
  <c r="E29" i="13"/>
  <c r="E28" i="13"/>
  <c r="E13" i="13"/>
  <c r="F10" i="13"/>
  <c r="E10" i="13"/>
  <c r="E9" i="13"/>
  <c r="D26" i="14"/>
  <c r="E26" i="14"/>
  <c r="D27" i="14"/>
  <c r="D28" i="14" s="1"/>
  <c r="H26" i="14"/>
  <c r="I26" i="14"/>
  <c r="H27" i="14"/>
  <c r="H28" i="14" s="1"/>
  <c r="I27" i="14"/>
  <c r="I28" i="14" s="1"/>
  <c r="I25" i="14"/>
  <c r="H25" i="14"/>
  <c r="F26" i="14"/>
  <c r="G26" i="14"/>
  <c r="F27" i="14"/>
  <c r="G25" i="14"/>
  <c r="G18" i="15"/>
  <c r="D31" i="14"/>
  <c r="I18" i="15"/>
  <c r="E31" i="14" s="1"/>
  <c r="G10" i="15"/>
  <c r="H17" i="15"/>
  <c r="D30" i="14" s="1"/>
  <c r="I17" i="15"/>
  <c r="E30" i="14" s="1"/>
  <c r="H16" i="15"/>
  <c r="D29" i="14" s="1"/>
  <c r="D13" i="7" s="1"/>
  <c r="I16" i="15"/>
  <c r="E29" i="14" s="1"/>
  <c r="G13" i="15"/>
  <c r="H13" i="15"/>
  <c r="D37" i="14" s="1"/>
  <c r="D37" i="7" s="1"/>
  <c r="I13" i="15"/>
  <c r="E37" i="14" s="1"/>
  <c r="G37" i="14" s="1"/>
  <c r="B10" i="15"/>
  <c r="D10" i="15"/>
  <c r="N50" i="16" l="1"/>
  <c r="N67" i="16"/>
  <c r="N68" i="16" s="1"/>
  <c r="P46" i="16"/>
  <c r="F57" i="16"/>
  <c r="I57" i="16"/>
  <c r="Q46" i="16"/>
  <c r="Q50" i="16" s="1"/>
  <c r="Q67" i="16" s="1"/>
  <c r="Q68" i="16" s="1"/>
  <c r="G62" i="16"/>
  <c r="I62" i="16"/>
  <c r="G57" i="16"/>
  <c r="Q57" i="16"/>
  <c r="P45" i="16"/>
  <c r="H62" i="16"/>
  <c r="H57" i="16"/>
  <c r="H20" i="7"/>
  <c r="O50" i="16"/>
  <c r="O67" i="16" s="1"/>
  <c r="O68" i="16" s="1"/>
  <c r="O20" i="16"/>
  <c r="Q20" i="16"/>
  <c r="F20" i="16"/>
  <c r="S20" i="16"/>
  <c r="S46" i="16"/>
  <c r="R45" i="16"/>
  <c r="R48" i="16"/>
  <c r="R40" i="16"/>
  <c r="R57" i="16" s="1"/>
  <c r="I50" i="16"/>
  <c r="I67" i="16" s="1"/>
  <c r="P50" i="16"/>
  <c r="E35" i="13"/>
  <c r="E40" i="13" s="1"/>
  <c r="F29" i="14"/>
  <c r="H29" i="14"/>
  <c r="F16" i="13"/>
  <c r="F21" i="13" s="1"/>
  <c r="R46" i="16"/>
  <c r="P40" i="16"/>
  <c r="F50" i="16"/>
  <c r="F67" i="16" s="1"/>
  <c r="H50" i="16"/>
  <c r="H67" i="16" s="1"/>
  <c r="S40" i="16"/>
  <c r="S57" i="16" s="1"/>
  <c r="G50" i="16"/>
  <c r="G67" i="16" s="1"/>
  <c r="F40" i="14"/>
  <c r="H40" i="14"/>
  <c r="E13" i="7"/>
  <c r="I29" i="14"/>
  <c r="G29" i="14"/>
  <c r="D14" i="7"/>
  <c r="H30" i="14"/>
  <c r="F30" i="14"/>
  <c r="E14" i="7"/>
  <c r="G30" i="14"/>
  <c r="I30" i="14"/>
  <c r="F37" i="14"/>
  <c r="F37" i="7" s="1"/>
  <c r="H37" i="14"/>
  <c r="H37" i="7" s="1"/>
  <c r="G40" i="14"/>
  <c r="I40" i="14"/>
  <c r="E15" i="7"/>
  <c r="O15" i="7" s="1"/>
  <c r="Y15" i="7" s="1"/>
  <c r="AI15" i="7" s="1"/>
  <c r="I31" i="14"/>
  <c r="G31" i="14"/>
  <c r="F31" i="14"/>
  <c r="H31" i="14"/>
  <c r="E37" i="7"/>
  <c r="G37" i="7"/>
  <c r="I37" i="14"/>
  <c r="I37" i="7" s="1"/>
  <c r="E83" i="13"/>
  <c r="E86" i="13" s="1"/>
  <c r="E51" i="13"/>
  <c r="E54" i="13" s="1"/>
  <c r="E59" i="13" s="1"/>
  <c r="F30" i="7"/>
  <c r="P30" i="7" s="1"/>
  <c r="Z30" i="7" s="1"/>
  <c r="AJ30" i="7" s="1"/>
  <c r="H30" i="7"/>
  <c r="R30" i="7" s="1"/>
  <c r="AB30" i="7" s="1"/>
  <c r="AL30" i="7" s="1"/>
  <c r="E68" i="13"/>
  <c r="E73" i="13" s="1"/>
  <c r="D30" i="7"/>
  <c r="N30" i="7" s="1"/>
  <c r="X30" i="7" s="1"/>
  <c r="AH30" i="7" s="1"/>
  <c r="F83" i="13"/>
  <c r="F86" i="13" s="1"/>
  <c r="F87" i="13" s="1"/>
  <c r="D31" i="7"/>
  <c r="N31" i="7" s="1"/>
  <c r="X31" i="7" s="1"/>
  <c r="AH31" i="7" s="1"/>
  <c r="D29" i="7"/>
  <c r="D48" i="7"/>
  <c r="D49" i="7" s="1"/>
  <c r="E48" i="7"/>
  <c r="E49" i="7" s="1"/>
  <c r="E20" i="7"/>
  <c r="D15" i="7"/>
  <c r="N15" i="7" s="1"/>
  <c r="X15" i="7" s="1"/>
  <c r="AH15" i="7" s="1"/>
  <c r="E16" i="13"/>
  <c r="E21" i="13" s="1"/>
  <c r="F40" i="13"/>
  <c r="F54" i="13"/>
  <c r="F59" i="13" s="1"/>
  <c r="F72" i="13"/>
  <c r="F70" i="13"/>
  <c r="F73" i="13" s="1"/>
  <c r="I10" i="15"/>
  <c r="H10" i="15"/>
  <c r="R62" i="16" l="1"/>
  <c r="H19" i="7"/>
  <c r="H18" i="7"/>
  <c r="H21" i="7" s="1"/>
  <c r="S50" i="16"/>
  <c r="S67" i="16" s="1"/>
  <c r="S68" i="16" s="1"/>
  <c r="R50" i="16"/>
  <c r="R67" i="16" s="1"/>
  <c r="R68" i="16" s="1"/>
  <c r="N29" i="7"/>
  <c r="X29" i="7" s="1"/>
  <c r="AH29" i="7" s="1"/>
  <c r="D19" i="17" s="1"/>
  <c r="E14" i="17"/>
  <c r="E18" i="7"/>
  <c r="E34" i="7" s="1"/>
  <c r="C19" i="13"/>
  <c r="F84" i="13"/>
  <c r="F88" i="13" s="1"/>
  <c r="E31" i="7"/>
  <c r="O31" i="7" s="1"/>
  <c r="Y31" i="7" s="1"/>
  <c r="AI31" i="7" s="1"/>
  <c r="H29" i="7"/>
  <c r="R29" i="7" s="1"/>
  <c r="AB29" i="7" s="1"/>
  <c r="AL29" i="7" s="1"/>
  <c r="H19" i="17" s="1"/>
  <c r="F31" i="7"/>
  <c r="P31" i="7" s="1"/>
  <c r="Z31" i="7" s="1"/>
  <c r="AJ31" i="7" s="1"/>
  <c r="H31" i="7"/>
  <c r="R31" i="7" s="1"/>
  <c r="AB31" i="7" s="1"/>
  <c r="AL31" i="7" s="1"/>
  <c r="I31" i="7"/>
  <c r="S31" i="7" s="1"/>
  <c r="AC31" i="7" s="1"/>
  <c r="AM31" i="7" s="1"/>
  <c r="D14" i="17"/>
  <c r="F29" i="7"/>
  <c r="P29" i="7" s="1"/>
  <c r="Z29" i="7" s="1"/>
  <c r="AJ29" i="7" s="1"/>
  <c r="F19" i="17" s="1"/>
  <c r="E29" i="7"/>
  <c r="O29" i="7" s="1"/>
  <c r="Y29" i="7" s="1"/>
  <c r="AI29" i="7" s="1"/>
  <c r="E19" i="17" s="1"/>
  <c r="E30" i="7"/>
  <c r="O30" i="7" s="1"/>
  <c r="Y30" i="7" s="1"/>
  <c r="AI30" i="7" s="1"/>
  <c r="E18" i="13"/>
  <c r="E36" i="13"/>
  <c r="E55" i="13" s="1"/>
  <c r="F36" i="13"/>
  <c r="F55" i="13" s="1"/>
  <c r="F17" i="13"/>
  <c r="F19" i="13" s="1"/>
  <c r="E37" i="13"/>
  <c r="E56" i="13" s="1"/>
  <c r="F37" i="13"/>
  <c r="F56" i="13" s="1"/>
  <c r="E19" i="7"/>
  <c r="D20" i="7"/>
  <c r="G31" i="7"/>
  <c r="AA31" i="7" s="1"/>
  <c r="AK31" i="7" s="1"/>
  <c r="G29" i="7"/>
  <c r="AA29" i="7" s="1"/>
  <c r="AK29" i="7" s="1"/>
  <c r="G19" i="17" s="1"/>
  <c r="G30" i="7"/>
  <c r="AA30" i="7" s="1"/>
  <c r="AK30" i="7" s="1"/>
  <c r="E36" i="7"/>
  <c r="O37" i="7"/>
  <c r="F74" i="13"/>
  <c r="F71" i="13"/>
  <c r="E19" i="13" l="1"/>
  <c r="E20" i="13" s="1"/>
  <c r="O7" i="16"/>
  <c r="E59" i="14"/>
  <c r="E21" i="7"/>
  <c r="D36" i="7"/>
  <c r="I29" i="7"/>
  <c r="S29" i="7" s="1"/>
  <c r="AC29" i="7" s="1"/>
  <c r="AM29" i="7" s="1"/>
  <c r="I19" i="17" s="1"/>
  <c r="E35" i="7"/>
  <c r="I30" i="7"/>
  <c r="S30" i="7" s="1"/>
  <c r="AC30" i="7" s="1"/>
  <c r="AM30" i="7" s="1"/>
  <c r="E57" i="13"/>
  <c r="E60" i="13" s="1"/>
  <c r="E61" i="13" s="1"/>
  <c r="F38" i="13"/>
  <c r="F57" i="13"/>
  <c r="F60" i="13" s="1"/>
  <c r="F61" i="13" s="1"/>
  <c r="F20" i="13"/>
  <c r="F22" i="13"/>
  <c r="F23" i="13" s="1"/>
  <c r="E38" i="13"/>
  <c r="D19" i="7"/>
  <c r="D35" i="7" s="1"/>
  <c r="D18" i="7"/>
  <c r="F75" i="13"/>
  <c r="O77" i="16" l="1"/>
  <c r="Y77" i="16" s="1"/>
  <c r="AI77" i="16" s="1"/>
  <c r="O76" i="16"/>
  <c r="O79" i="16"/>
  <c r="O78" i="16"/>
  <c r="E22" i="13"/>
  <c r="E23" i="13" s="1"/>
  <c r="E24" i="13" s="1"/>
  <c r="Y78" i="16"/>
  <c r="AI78" i="16" s="1"/>
  <c r="Y79" i="16"/>
  <c r="AI79" i="16" s="1"/>
  <c r="F24" i="13"/>
  <c r="E32" i="14" s="1"/>
  <c r="Y7" i="16"/>
  <c r="AI7" i="16" s="1"/>
  <c r="E11" i="17" s="1"/>
  <c r="E58" i="13"/>
  <c r="N6" i="16" s="1"/>
  <c r="F58" i="13"/>
  <c r="O6" i="16" s="1"/>
  <c r="F39" i="13"/>
  <c r="F41" i="13"/>
  <c r="F42" i="13" s="1"/>
  <c r="F44" i="13" s="1"/>
  <c r="E39" i="13"/>
  <c r="E41" i="13"/>
  <c r="E42" i="13" s="1"/>
  <c r="E34" i="14"/>
  <c r="O8" i="7"/>
  <c r="E7" i="16"/>
  <c r="D21" i="7"/>
  <c r="H80" i="13"/>
  <c r="B79" i="13"/>
  <c r="E80" i="13" s="1"/>
  <c r="E84" i="13" s="1"/>
  <c r="J82" i="13"/>
  <c r="I82" i="13" s="1"/>
  <c r="H82" i="13"/>
  <c r="G82" i="13" s="1"/>
  <c r="B82" i="13"/>
  <c r="B83" i="13" s="1"/>
  <c r="B86" i="13" s="1"/>
  <c r="J81" i="13"/>
  <c r="I81" i="13" s="1"/>
  <c r="H81" i="13"/>
  <c r="J69" i="13"/>
  <c r="I69" i="13" s="1"/>
  <c r="J68" i="13"/>
  <c r="I68" i="13" s="1"/>
  <c r="H69" i="13"/>
  <c r="G69" i="13" s="1"/>
  <c r="H68" i="13"/>
  <c r="H67" i="13"/>
  <c r="J67" i="13"/>
  <c r="B69" i="13"/>
  <c r="B70" i="13" s="1"/>
  <c r="B73" i="13" s="1"/>
  <c r="B66" i="13"/>
  <c r="J51" i="13"/>
  <c r="J49" i="13"/>
  <c r="I49" i="13"/>
  <c r="H49" i="13"/>
  <c r="G49" i="13"/>
  <c r="J48" i="13"/>
  <c r="I48" i="13"/>
  <c r="H48" i="13"/>
  <c r="G48" i="13"/>
  <c r="J47" i="13"/>
  <c r="I47" i="13"/>
  <c r="H47" i="13"/>
  <c r="G47" i="13"/>
  <c r="C57" i="13"/>
  <c r="B57" i="13"/>
  <c r="B60" i="13" s="1"/>
  <c r="H51" i="13"/>
  <c r="B51" i="13"/>
  <c r="B54" i="13" s="1"/>
  <c r="C38" i="13"/>
  <c r="J16" i="13"/>
  <c r="H28" i="13"/>
  <c r="I28" i="13"/>
  <c r="J28" i="13"/>
  <c r="H29" i="13"/>
  <c r="I29" i="13"/>
  <c r="J29" i="13"/>
  <c r="G29" i="13"/>
  <c r="G28" i="13"/>
  <c r="J30" i="13"/>
  <c r="I30" i="13"/>
  <c r="H30" i="13"/>
  <c r="G30" i="13"/>
  <c r="B38" i="13"/>
  <c r="B41" i="13" s="1"/>
  <c r="J11" i="13"/>
  <c r="J18" i="13" s="1"/>
  <c r="G11" i="13"/>
  <c r="I13" i="13"/>
  <c r="H18" i="13"/>
  <c r="I11" i="13"/>
  <c r="I17" i="13" s="1"/>
  <c r="H9" i="13"/>
  <c r="H10" i="13"/>
  <c r="G10" i="13"/>
  <c r="G9" i="13"/>
  <c r="B19" i="13"/>
  <c r="E79" i="16" l="1"/>
  <c r="E76" i="16"/>
  <c r="E78" i="16"/>
  <c r="E77" i="16"/>
  <c r="O80" i="16"/>
  <c r="G16" i="13"/>
  <c r="H16" i="13"/>
  <c r="H21" i="13" s="1"/>
  <c r="G18" i="13"/>
  <c r="G17" i="13"/>
  <c r="I35" i="13"/>
  <c r="G32" i="13"/>
  <c r="G35" i="13" s="1"/>
  <c r="J35" i="13"/>
  <c r="J40" i="13" s="1"/>
  <c r="D32" i="14"/>
  <c r="F32" i="14" s="1"/>
  <c r="N6" i="7"/>
  <c r="G32" i="14"/>
  <c r="I32" i="14"/>
  <c r="E62" i="13"/>
  <c r="D58" i="14"/>
  <c r="D6" i="16" s="1"/>
  <c r="E43" i="13"/>
  <c r="N7" i="7" s="1"/>
  <c r="F62" i="13"/>
  <c r="E2" i="29" s="1"/>
  <c r="E58" i="14"/>
  <c r="E6" i="16" s="1"/>
  <c r="I80" i="13"/>
  <c r="I85" i="13" s="1"/>
  <c r="B80" i="13"/>
  <c r="B85" i="13" s="1"/>
  <c r="B87" i="13" s="1"/>
  <c r="I83" i="13"/>
  <c r="I86" i="13" s="1"/>
  <c r="Y76" i="16"/>
  <c r="AI76" i="16" s="1"/>
  <c r="O6" i="7"/>
  <c r="Y6" i="7" s="1"/>
  <c r="AI6" i="7" s="1"/>
  <c r="E7" i="17" s="1"/>
  <c r="X6" i="16"/>
  <c r="F43" i="13"/>
  <c r="E33" i="14" s="1"/>
  <c r="G33" i="14" s="1"/>
  <c r="G7" i="7" s="1"/>
  <c r="B16" i="13"/>
  <c r="G81" i="13"/>
  <c r="G83" i="13" s="1"/>
  <c r="G86" i="13" s="1"/>
  <c r="E85" i="13"/>
  <c r="E87" i="13" s="1"/>
  <c r="G67" i="13"/>
  <c r="E67" i="13"/>
  <c r="E71" i="13" s="1"/>
  <c r="H70" i="13"/>
  <c r="H73" i="13" s="1"/>
  <c r="G68" i="13"/>
  <c r="G70" i="13" s="1"/>
  <c r="G73" i="13" s="1"/>
  <c r="J83" i="13"/>
  <c r="J86" i="13" s="1"/>
  <c r="B35" i="13"/>
  <c r="B40" i="13" s="1"/>
  <c r="B42" i="13" s="1"/>
  <c r="G36" i="13"/>
  <c r="G55" i="13" s="1"/>
  <c r="G37" i="13"/>
  <c r="G56" i="13" s="1"/>
  <c r="H37" i="13"/>
  <c r="H56" i="13" s="1"/>
  <c r="H36" i="13"/>
  <c r="H55" i="13" s="1"/>
  <c r="I37" i="13"/>
  <c r="I56" i="13" s="1"/>
  <c r="I36" i="13"/>
  <c r="I55" i="13" s="1"/>
  <c r="J36" i="13"/>
  <c r="J55" i="13" s="1"/>
  <c r="J37" i="13"/>
  <c r="J56" i="13" s="1"/>
  <c r="Y8" i="7"/>
  <c r="AI8" i="7" s="1"/>
  <c r="E9" i="17" s="1"/>
  <c r="O42" i="7"/>
  <c r="Y42" i="7" s="1"/>
  <c r="AI42" i="7" s="1"/>
  <c r="E22" i="17" s="1"/>
  <c r="G34" i="14"/>
  <c r="G8" i="7" s="1"/>
  <c r="E8" i="7"/>
  <c r="E42" i="7" s="1"/>
  <c r="I34" i="14"/>
  <c r="I8" i="7" s="1"/>
  <c r="E6" i="7"/>
  <c r="E40" i="7" s="1"/>
  <c r="J70" i="13"/>
  <c r="J73" i="13" s="1"/>
  <c r="B67" i="13"/>
  <c r="B72" i="13" s="1"/>
  <c r="B74" i="13" s="1"/>
  <c r="J80" i="13"/>
  <c r="J85" i="13" s="1"/>
  <c r="H85" i="13"/>
  <c r="G80" i="13"/>
  <c r="H83" i="13"/>
  <c r="H86" i="13" s="1"/>
  <c r="H54" i="13"/>
  <c r="H59" i="13" s="1"/>
  <c r="I70" i="13"/>
  <c r="I73" i="13" s="1"/>
  <c r="J54" i="13"/>
  <c r="J59" i="13" s="1"/>
  <c r="J72" i="13"/>
  <c r="H72" i="13"/>
  <c r="I51" i="13"/>
  <c r="I54" i="13" s="1"/>
  <c r="I59" i="13" s="1"/>
  <c r="G51" i="13"/>
  <c r="B58" i="13"/>
  <c r="B59" i="13"/>
  <c r="B61" i="13" s="1"/>
  <c r="H35" i="13"/>
  <c r="H40" i="13" s="1"/>
  <c r="H17" i="13"/>
  <c r="H19" i="13" s="1"/>
  <c r="J21" i="13"/>
  <c r="I18" i="13"/>
  <c r="I19" i="13" s="1"/>
  <c r="G19" i="13"/>
  <c r="J17" i="13"/>
  <c r="B22" i="13"/>
  <c r="D71" i="16" l="1"/>
  <c r="D74" i="16"/>
  <c r="D73" i="16"/>
  <c r="D72" i="16"/>
  <c r="E74" i="16"/>
  <c r="E73" i="16"/>
  <c r="E72" i="16"/>
  <c r="E71" i="16"/>
  <c r="E83" i="16"/>
  <c r="E84" i="16"/>
  <c r="E81" i="16"/>
  <c r="E82" i="16"/>
  <c r="E9" i="29"/>
  <c r="E17" i="29" s="1"/>
  <c r="E10" i="29"/>
  <c r="E18" i="29" s="1"/>
  <c r="E45" i="29"/>
  <c r="E53" i="29" s="1"/>
  <c r="E44" i="29"/>
  <c r="E52" i="29" s="1"/>
  <c r="E43" i="29"/>
  <c r="E51" i="29" s="1"/>
  <c r="E11" i="29"/>
  <c r="E19" i="29" s="1"/>
  <c r="E56" i="29" s="1"/>
  <c r="E64" i="29" s="1"/>
  <c r="E42" i="29"/>
  <c r="E50" i="29" s="1"/>
  <c r="E12" i="29"/>
  <c r="E20" i="29" s="1"/>
  <c r="G57" i="13"/>
  <c r="G60" i="13" s="1"/>
  <c r="H57" i="13"/>
  <c r="H60" i="13" s="1"/>
  <c r="H61" i="13" s="1"/>
  <c r="J57" i="13"/>
  <c r="J60" i="13" s="1"/>
  <c r="J61" i="13" s="1"/>
  <c r="I57" i="13"/>
  <c r="I60" i="13" s="1"/>
  <c r="I61" i="13" s="1"/>
  <c r="B39" i="13"/>
  <c r="B43" i="13" s="1"/>
  <c r="I16" i="13"/>
  <c r="I21" i="13" s="1"/>
  <c r="N7" i="16"/>
  <c r="D59" i="14"/>
  <c r="H32" i="14"/>
  <c r="H6" i="7" s="1"/>
  <c r="D6" i="7"/>
  <c r="D40" i="7" s="1"/>
  <c r="N9" i="7"/>
  <c r="Y6" i="16"/>
  <c r="Y8" i="16" s="1"/>
  <c r="H71" i="13"/>
  <c r="H74" i="13"/>
  <c r="E88" i="13"/>
  <c r="B84" i="13"/>
  <c r="B88" i="13" s="1"/>
  <c r="I84" i="13"/>
  <c r="J71" i="13"/>
  <c r="I87" i="13"/>
  <c r="O8" i="16"/>
  <c r="AH6" i="16"/>
  <c r="X8" i="16"/>
  <c r="I33" i="14"/>
  <c r="I7" i="7" s="1"/>
  <c r="O7" i="7"/>
  <c r="E35" i="14"/>
  <c r="E9" i="7" s="1"/>
  <c r="E7" i="7"/>
  <c r="E41" i="7" s="1"/>
  <c r="N8" i="16"/>
  <c r="J38" i="13"/>
  <c r="J39" i="13" s="1"/>
  <c r="X6" i="7"/>
  <c r="AH6" i="7" s="1"/>
  <c r="D7" i="17" s="1"/>
  <c r="I38" i="13"/>
  <c r="I41" i="13" s="1"/>
  <c r="E80" i="16"/>
  <c r="J87" i="13"/>
  <c r="J84" i="13"/>
  <c r="J74" i="13"/>
  <c r="E72" i="13"/>
  <c r="E74" i="13" s="1"/>
  <c r="E75" i="13" s="1"/>
  <c r="B21" i="13"/>
  <c r="B23" i="13" s="1"/>
  <c r="H38" i="13"/>
  <c r="H41" i="13" s="1"/>
  <c r="H42" i="13" s="1"/>
  <c r="D33" i="14"/>
  <c r="H22" i="13"/>
  <c r="H23" i="13" s="1"/>
  <c r="G22" i="13"/>
  <c r="Y25" i="16"/>
  <c r="AI25" i="16" s="1"/>
  <c r="G6" i="7"/>
  <c r="G35" i="14"/>
  <c r="G9" i="7" s="1"/>
  <c r="I6" i="7"/>
  <c r="F6" i="7"/>
  <c r="G38" i="13"/>
  <c r="B71" i="13"/>
  <c r="G85" i="13"/>
  <c r="G87" i="13" s="1"/>
  <c r="G84" i="13"/>
  <c r="H87" i="13"/>
  <c r="H84" i="13"/>
  <c r="B75" i="13"/>
  <c r="I67" i="13"/>
  <c r="I71" i="13" s="1"/>
  <c r="G54" i="13"/>
  <c r="G59" i="13" s="1"/>
  <c r="G71" i="13"/>
  <c r="G72" i="13"/>
  <c r="G74" i="13" s="1"/>
  <c r="B62" i="13"/>
  <c r="G40" i="13"/>
  <c r="I40" i="13"/>
  <c r="I22" i="13"/>
  <c r="H20" i="13"/>
  <c r="G20" i="13"/>
  <c r="J19" i="13"/>
  <c r="G21" i="13"/>
  <c r="N76" i="16" l="1"/>
  <c r="N78" i="16"/>
  <c r="N77" i="16"/>
  <c r="N79" i="16"/>
  <c r="O11" i="16"/>
  <c r="O12" i="16"/>
  <c r="O13" i="16"/>
  <c r="O14" i="16"/>
  <c r="N11" i="16"/>
  <c r="X11" i="16" s="1"/>
  <c r="AH11" i="16" s="1"/>
  <c r="N14" i="16"/>
  <c r="N74" i="16" s="1"/>
  <c r="N12" i="16"/>
  <c r="N13" i="16"/>
  <c r="D75" i="16"/>
  <c r="E57" i="29"/>
  <c r="E65" i="29" s="1"/>
  <c r="E55" i="29"/>
  <c r="E63" i="29" s="1"/>
  <c r="E54" i="29"/>
  <c r="E62" i="29" s="1"/>
  <c r="G75" i="13"/>
  <c r="H58" i="13"/>
  <c r="H62" i="13" s="1"/>
  <c r="G61" i="13"/>
  <c r="J58" i="13"/>
  <c r="I58" i="14" s="1"/>
  <c r="I6" i="16" s="1"/>
  <c r="I58" i="13"/>
  <c r="R6" i="16" s="1"/>
  <c r="N8" i="7"/>
  <c r="X78" i="16"/>
  <c r="AH78" i="16" s="1"/>
  <c r="I20" i="13"/>
  <c r="I23" i="13"/>
  <c r="Q7" i="16"/>
  <c r="G59" i="14"/>
  <c r="G7" i="16" s="1"/>
  <c r="S7" i="16"/>
  <c r="I59" i="14"/>
  <c r="I7" i="16" s="1"/>
  <c r="P7" i="16"/>
  <c r="F59" i="14"/>
  <c r="F7" i="16" s="1"/>
  <c r="R7" i="16"/>
  <c r="H59" i="14"/>
  <c r="H7" i="16" s="1"/>
  <c r="D10" i="17"/>
  <c r="AH8" i="16"/>
  <c r="AI6" i="16"/>
  <c r="E10" i="17" s="1"/>
  <c r="H75" i="13"/>
  <c r="Q8" i="7" s="1"/>
  <c r="AA8" i="7" s="1"/>
  <c r="AK8" i="7" s="1"/>
  <c r="G9" i="17" s="1"/>
  <c r="H88" i="13"/>
  <c r="J75" i="13"/>
  <c r="S8" i="7" s="1"/>
  <c r="AC8" i="7" s="1"/>
  <c r="AM8" i="7" s="1"/>
  <c r="I9" i="17" s="1"/>
  <c r="I88" i="13"/>
  <c r="J88" i="13"/>
  <c r="J41" i="13"/>
  <c r="J42" i="13" s="1"/>
  <c r="J43" i="13" s="1"/>
  <c r="E85" i="16"/>
  <c r="E75" i="16"/>
  <c r="I39" i="13"/>
  <c r="I35" i="14"/>
  <c r="I9" i="7" s="1"/>
  <c r="Y7" i="7"/>
  <c r="AI7" i="7" s="1"/>
  <c r="E8" i="17" s="1"/>
  <c r="O9" i="7"/>
  <c r="O10" i="7" s="1"/>
  <c r="O20" i="7" s="1"/>
  <c r="H39" i="13"/>
  <c r="H43" i="13" s="1"/>
  <c r="D7" i="16"/>
  <c r="X7" i="7"/>
  <c r="AH7" i="7" s="1"/>
  <c r="D8" i="17" s="1"/>
  <c r="F33" i="14"/>
  <c r="D7" i="7"/>
  <c r="D41" i="7" s="1"/>
  <c r="D35" i="14"/>
  <c r="D9" i="7" s="1"/>
  <c r="H33" i="14"/>
  <c r="G23" i="13"/>
  <c r="G24" i="13" s="1"/>
  <c r="P6" i="7" s="1"/>
  <c r="Z6" i="7" s="1"/>
  <c r="AJ6" i="7" s="1"/>
  <c r="F7" i="17" s="1"/>
  <c r="H24" i="13"/>
  <c r="Q6" i="7" s="1"/>
  <c r="I42" i="13"/>
  <c r="Y24" i="16"/>
  <c r="AI24" i="16" s="1"/>
  <c r="G41" i="13"/>
  <c r="G42" i="13" s="1"/>
  <c r="X24" i="16"/>
  <c r="AH24" i="16" s="1"/>
  <c r="G39" i="13"/>
  <c r="I72" i="13"/>
  <c r="I74" i="13" s="1"/>
  <c r="I75" i="13" s="1"/>
  <c r="R8" i="7" s="1"/>
  <c r="AB8" i="7" s="1"/>
  <c r="AL8" i="7" s="1"/>
  <c r="H9" i="17" s="1"/>
  <c r="G88" i="13"/>
  <c r="G58" i="13"/>
  <c r="P6" i="16" s="1"/>
  <c r="P8" i="7"/>
  <c r="Z8" i="7" s="1"/>
  <c r="AJ8" i="7" s="1"/>
  <c r="F9" i="17" s="1"/>
  <c r="J20" i="13"/>
  <c r="J22" i="13"/>
  <c r="J23" i="13" s="1"/>
  <c r="AA6" i="7" l="1"/>
  <c r="AK6" i="7" s="1"/>
  <c r="G7" i="17" s="1"/>
  <c r="Y13" i="16"/>
  <c r="AI13" i="16" s="1"/>
  <c r="O73" i="16"/>
  <c r="Y73" i="16" s="1"/>
  <c r="AI73" i="16" s="1"/>
  <c r="O83" i="16"/>
  <c r="Y83" i="16" s="1"/>
  <c r="AI83" i="16" s="1"/>
  <c r="Y12" i="16"/>
  <c r="AI12" i="16" s="1"/>
  <c r="O82" i="16"/>
  <c r="Y82" i="16" s="1"/>
  <c r="AI82" i="16" s="1"/>
  <c r="O72" i="16"/>
  <c r="Y72" i="16" s="1"/>
  <c r="AI72" i="16" s="1"/>
  <c r="X13" i="16"/>
  <c r="AH13" i="16" s="1"/>
  <c r="N73" i="16"/>
  <c r="X73" i="16" s="1"/>
  <c r="AH73" i="16" s="1"/>
  <c r="N83" i="16"/>
  <c r="D79" i="16"/>
  <c r="D76" i="16"/>
  <c r="D77" i="16"/>
  <c r="D78" i="16"/>
  <c r="D81" i="16"/>
  <c r="D82" i="16"/>
  <c r="D84" i="16"/>
  <c r="D83" i="16"/>
  <c r="N72" i="16"/>
  <c r="X72" i="16" s="1"/>
  <c r="AH72" i="16" s="1"/>
  <c r="X12" i="16"/>
  <c r="AH12" i="16" s="1"/>
  <c r="N82" i="16"/>
  <c r="O71" i="16"/>
  <c r="Y71" i="16" s="1"/>
  <c r="AI71" i="16" s="1"/>
  <c r="O81" i="16"/>
  <c r="Y81" i="16" s="1"/>
  <c r="AI81" i="16" s="1"/>
  <c r="N71" i="16"/>
  <c r="X71" i="16" s="1"/>
  <c r="AH71" i="16" s="1"/>
  <c r="N81" i="16"/>
  <c r="X81" i="16" s="1"/>
  <c r="AH81" i="16" s="1"/>
  <c r="N80" i="16"/>
  <c r="G79" i="16"/>
  <c r="G76" i="16"/>
  <c r="G78" i="16"/>
  <c r="G77" i="16"/>
  <c r="Q79" i="16"/>
  <c r="AA79" i="16" s="1"/>
  <c r="AK79" i="16" s="1"/>
  <c r="Q77" i="16"/>
  <c r="AA77" i="16" s="1"/>
  <c r="AK77" i="16" s="1"/>
  <c r="Q76" i="16"/>
  <c r="Q78" i="16"/>
  <c r="AA78" i="16" s="1"/>
  <c r="AK78" i="16" s="1"/>
  <c r="S79" i="16"/>
  <c r="AC79" i="16" s="1"/>
  <c r="AM79" i="16" s="1"/>
  <c r="S77" i="16"/>
  <c r="AC77" i="16" s="1"/>
  <c r="AM77" i="16" s="1"/>
  <c r="S78" i="16"/>
  <c r="AC78" i="16" s="1"/>
  <c r="AM78" i="16" s="1"/>
  <c r="S76" i="16"/>
  <c r="AC76" i="16" s="1"/>
  <c r="AM76" i="16" s="1"/>
  <c r="H76" i="16"/>
  <c r="H79" i="16"/>
  <c r="H78" i="16"/>
  <c r="H77" i="16"/>
  <c r="F79" i="16"/>
  <c r="F78" i="16"/>
  <c r="F77" i="16"/>
  <c r="F76" i="16"/>
  <c r="I77" i="16"/>
  <c r="I76" i="16"/>
  <c r="I78" i="16"/>
  <c r="I79" i="16"/>
  <c r="I84" i="16"/>
  <c r="I73" i="16"/>
  <c r="I72" i="16"/>
  <c r="I83" i="16"/>
  <c r="I82" i="16"/>
  <c r="I74" i="16"/>
  <c r="I81" i="16"/>
  <c r="I71" i="16"/>
  <c r="N84" i="16"/>
  <c r="Q6" i="16"/>
  <c r="AA6" i="16" s="1"/>
  <c r="G58" i="14"/>
  <c r="G6" i="16" s="1"/>
  <c r="S6" i="16"/>
  <c r="J62" i="13"/>
  <c r="I62" i="13"/>
  <c r="H58" i="14"/>
  <c r="H6" i="16" s="1"/>
  <c r="I24" i="13"/>
  <c r="R6" i="7" s="1"/>
  <c r="AB6" i="7" s="1"/>
  <c r="AL6" i="7" s="1"/>
  <c r="H7" i="17" s="1"/>
  <c r="AB7" i="16"/>
  <c r="AL7" i="16" s="1"/>
  <c r="H11" i="17" s="1"/>
  <c r="AI8" i="16"/>
  <c r="Y11" i="16"/>
  <c r="AI11" i="16" s="1"/>
  <c r="O13" i="7"/>
  <c r="O14" i="7"/>
  <c r="O41" i="7" s="1"/>
  <c r="Y41" i="7" s="1"/>
  <c r="AI41" i="7" s="1"/>
  <c r="E21" i="17" s="1"/>
  <c r="X14" i="16"/>
  <c r="AH14" i="16" s="1"/>
  <c r="G62" i="13"/>
  <c r="F58" i="14"/>
  <c r="F6" i="16" s="1"/>
  <c r="N15" i="16"/>
  <c r="AA7" i="16"/>
  <c r="AK7" i="16" s="1"/>
  <c r="G11" i="17" s="1"/>
  <c r="X77" i="16"/>
  <c r="AH77" i="16" s="1"/>
  <c r="X83" i="16"/>
  <c r="AH83" i="16" s="1"/>
  <c r="X79" i="16"/>
  <c r="AH79" i="16" s="1"/>
  <c r="X82" i="16"/>
  <c r="AH82" i="16" s="1"/>
  <c r="X76" i="16"/>
  <c r="AH76" i="16" s="1"/>
  <c r="X7" i="16"/>
  <c r="AH7" i="16" s="1"/>
  <c r="D11" i="17" s="1"/>
  <c r="AC7" i="16"/>
  <c r="AM7" i="16" s="1"/>
  <c r="I11" i="17" s="1"/>
  <c r="Z7" i="16"/>
  <c r="AJ7" i="16" s="1"/>
  <c r="F11" i="17" s="1"/>
  <c r="I43" i="13"/>
  <c r="R7" i="7" s="1"/>
  <c r="AB7" i="7" s="1"/>
  <c r="AL7" i="7" s="1"/>
  <c r="H8" i="17" s="1"/>
  <c r="D34" i="14"/>
  <c r="F7" i="7"/>
  <c r="F35" i="14"/>
  <c r="F9" i="7" s="1"/>
  <c r="H7" i="7"/>
  <c r="H35" i="14"/>
  <c r="H9" i="7" s="1"/>
  <c r="N10" i="7"/>
  <c r="AB6" i="16"/>
  <c r="G43" i="13"/>
  <c r="P7" i="7" s="1"/>
  <c r="Z7" i="7" s="1"/>
  <c r="AJ7" i="7" s="1"/>
  <c r="F8" i="17" s="1"/>
  <c r="Q7" i="7"/>
  <c r="AA7" i="7" s="1"/>
  <c r="AK7" i="7" s="1"/>
  <c r="G8" i="17" s="1"/>
  <c r="S7" i="7"/>
  <c r="AC7" i="7" s="1"/>
  <c r="AM7" i="7" s="1"/>
  <c r="I8" i="17" s="1"/>
  <c r="J24" i="13"/>
  <c r="S6" i="7" s="1"/>
  <c r="AC6" i="7" s="1"/>
  <c r="AM6" i="7" s="1"/>
  <c r="I7" i="17" s="1"/>
  <c r="D85" i="16" l="1"/>
  <c r="N85" i="16"/>
  <c r="N75" i="16"/>
  <c r="Q80" i="16"/>
  <c r="Q8" i="16"/>
  <c r="Q13" i="16" s="1"/>
  <c r="AA13" i="16" s="1"/>
  <c r="AK13" i="16" s="1"/>
  <c r="S80" i="16"/>
  <c r="Q11" i="16"/>
  <c r="Q81" i="16" s="1"/>
  <c r="F72" i="16"/>
  <c r="F83" i="16"/>
  <c r="F82" i="16"/>
  <c r="F74" i="16"/>
  <c r="F84" i="16"/>
  <c r="F73" i="16"/>
  <c r="F71" i="16"/>
  <c r="F81" i="16"/>
  <c r="G72" i="16"/>
  <c r="G83" i="16"/>
  <c r="G82" i="16"/>
  <c r="G74" i="16"/>
  <c r="G84" i="16"/>
  <c r="G73" i="16"/>
  <c r="G81" i="16"/>
  <c r="G71" i="16"/>
  <c r="H84" i="16"/>
  <c r="H73" i="16"/>
  <c r="H72" i="16"/>
  <c r="H83" i="16"/>
  <c r="H82" i="16"/>
  <c r="H74" i="16"/>
  <c r="H71" i="16"/>
  <c r="H81" i="16"/>
  <c r="O84" i="16"/>
  <c r="O85" i="16" s="1"/>
  <c r="O86" i="16" s="1"/>
  <c r="Y50" i="16" s="1"/>
  <c r="O74" i="16"/>
  <c r="O75" i="16" s="1"/>
  <c r="X84" i="16"/>
  <c r="AH84" i="16" s="1"/>
  <c r="X74" i="16"/>
  <c r="AH74" i="16" s="1"/>
  <c r="B53" i="27"/>
  <c r="C53" i="27"/>
  <c r="S8" i="16"/>
  <c r="AC6" i="16"/>
  <c r="AC8" i="16" s="1"/>
  <c r="F80" i="16"/>
  <c r="R8" i="16"/>
  <c r="Y14" i="16"/>
  <c r="AI14" i="16" s="1"/>
  <c r="O15" i="16"/>
  <c r="I75" i="16"/>
  <c r="I80" i="16"/>
  <c r="G80" i="16"/>
  <c r="I85" i="16"/>
  <c r="P8" i="16"/>
  <c r="Z6" i="16"/>
  <c r="Z8" i="16" s="1"/>
  <c r="N13" i="7"/>
  <c r="N40" i="7" s="1"/>
  <c r="X40" i="7" s="1"/>
  <c r="AH40" i="7" s="1"/>
  <c r="D20" i="17" s="1"/>
  <c r="N14" i="7"/>
  <c r="Y14" i="7"/>
  <c r="AI14" i="7" s="1"/>
  <c r="AA76" i="16"/>
  <c r="AK76" i="16" s="1"/>
  <c r="Y13" i="7"/>
  <c r="AI13" i="7" s="1"/>
  <c r="O40" i="7"/>
  <c r="Y40" i="7" s="1"/>
  <c r="AI40" i="7" s="1"/>
  <c r="E20" i="17" s="1"/>
  <c r="Y20" i="7"/>
  <c r="AI20" i="7" s="1"/>
  <c r="O19" i="7"/>
  <c r="O36" i="7"/>
  <c r="O18" i="7"/>
  <c r="D80" i="16"/>
  <c r="H80" i="16"/>
  <c r="D8" i="7"/>
  <c r="D42" i="7" s="1"/>
  <c r="H34" i="14"/>
  <c r="H8" i="7" s="1"/>
  <c r="F34" i="14"/>
  <c r="F8" i="7" s="1"/>
  <c r="X8" i="7"/>
  <c r="AH8" i="7" s="1"/>
  <c r="D9" i="17" s="1"/>
  <c r="N42" i="7"/>
  <c r="X42" i="7" s="1"/>
  <c r="AH42" i="7" s="1"/>
  <c r="D22" i="17" s="1"/>
  <c r="AB8" i="16"/>
  <c r="AL6" i="16"/>
  <c r="H10" i="17" s="1"/>
  <c r="AA8" i="16"/>
  <c r="AK6" i="16"/>
  <c r="G10" i="17" s="1"/>
  <c r="H13" i="7"/>
  <c r="G13" i="7"/>
  <c r="F13" i="7"/>
  <c r="I13" i="7"/>
  <c r="I15" i="7"/>
  <c r="S15" i="7" s="1"/>
  <c r="AC15" i="7" s="1"/>
  <c r="AM15" i="7" s="1"/>
  <c r="I14" i="7"/>
  <c r="H15" i="7"/>
  <c r="R15" i="7" s="1"/>
  <c r="AB15" i="7" s="1"/>
  <c r="AL15" i="7" s="1"/>
  <c r="H14" i="7"/>
  <c r="G15" i="7"/>
  <c r="F15" i="7"/>
  <c r="G14" i="7"/>
  <c r="F14" i="7"/>
  <c r="H47" i="7"/>
  <c r="R47" i="7" s="1"/>
  <c r="AB47" i="7" s="1"/>
  <c r="AL47" i="7" s="1"/>
  <c r="I47" i="7"/>
  <c r="S47" i="7" s="1"/>
  <c r="AC47" i="7" s="1"/>
  <c r="AM47" i="7" s="1"/>
  <c r="I20" i="7"/>
  <c r="S37" i="7"/>
  <c r="I48" i="7"/>
  <c r="H48" i="7"/>
  <c r="Q37" i="7"/>
  <c r="P37" i="7"/>
  <c r="Q14" i="16" l="1"/>
  <c r="Q12" i="16"/>
  <c r="AA12" i="16" s="1"/>
  <c r="AK12" i="16" s="1"/>
  <c r="Q71" i="16"/>
  <c r="AA71" i="16" s="1"/>
  <c r="AK71" i="16" s="1"/>
  <c r="Q73" i="16"/>
  <c r="AA73" i="16" s="1"/>
  <c r="AK73" i="16" s="1"/>
  <c r="Q83" i="16"/>
  <c r="AA83" i="16" s="1"/>
  <c r="AK83" i="16" s="1"/>
  <c r="G75" i="16"/>
  <c r="G85" i="16"/>
  <c r="S12" i="16"/>
  <c r="S11" i="16"/>
  <c r="AC11" i="16" s="1"/>
  <c r="AM11" i="16" s="1"/>
  <c r="S14" i="16"/>
  <c r="S13" i="16"/>
  <c r="Y74" i="16"/>
  <c r="AI74" i="16" s="1"/>
  <c r="AM6" i="16"/>
  <c r="I10" i="17" s="1"/>
  <c r="C52" i="27" s="1"/>
  <c r="H75" i="16"/>
  <c r="H85" i="16"/>
  <c r="Y40" i="16"/>
  <c r="Y37" i="16"/>
  <c r="AI37" i="16" s="1"/>
  <c r="Y47" i="16"/>
  <c r="Y44" i="16"/>
  <c r="AI44" i="16" s="1"/>
  <c r="Y49" i="16"/>
  <c r="Y42" i="16"/>
  <c r="AI42" i="16" s="1"/>
  <c r="Y39" i="16"/>
  <c r="AI39" i="16" s="1"/>
  <c r="Y38" i="16"/>
  <c r="AI38" i="16" s="1"/>
  <c r="Y43" i="16"/>
  <c r="AI43" i="16" s="1"/>
  <c r="Y41" i="16"/>
  <c r="Y48" i="16"/>
  <c r="Y45" i="16"/>
  <c r="Y36" i="16"/>
  <c r="Y46" i="16"/>
  <c r="Y67" i="16" s="1"/>
  <c r="AA81" i="16"/>
  <c r="AK81" i="16" s="1"/>
  <c r="Y84" i="16"/>
  <c r="AI84" i="16" s="1"/>
  <c r="N86" i="16"/>
  <c r="X50" i="16" s="1"/>
  <c r="X44" i="16" s="1"/>
  <c r="AJ6" i="16"/>
  <c r="F10" i="17" s="1"/>
  <c r="B52" i="27" s="1"/>
  <c r="AA11" i="16"/>
  <c r="AK11" i="16" s="1"/>
  <c r="F85" i="16"/>
  <c r="I14" i="17"/>
  <c r="H14" i="17"/>
  <c r="E12" i="17"/>
  <c r="E13" i="17"/>
  <c r="N36" i="7"/>
  <c r="X36" i="7" s="1"/>
  <c r="AH36" i="7" s="1"/>
  <c r="F75" i="16"/>
  <c r="O35" i="7"/>
  <c r="Y19" i="7"/>
  <c r="AI19" i="7" s="1"/>
  <c r="O34" i="7"/>
  <c r="Y18" i="7"/>
  <c r="O21" i="7"/>
  <c r="Y21" i="7" s="1"/>
  <c r="AI21" i="7" s="1"/>
  <c r="X13" i="7"/>
  <c r="AH13" i="7" s="1"/>
  <c r="X14" i="7"/>
  <c r="AH14" i="7" s="1"/>
  <c r="N41" i="7"/>
  <c r="X41" i="7" s="1"/>
  <c r="AH41" i="7" s="1"/>
  <c r="D21" i="17" s="1"/>
  <c r="X20" i="7"/>
  <c r="AH20" i="7" s="1"/>
  <c r="N35" i="7"/>
  <c r="AL8" i="16"/>
  <c r="AK8" i="16"/>
  <c r="H36" i="7"/>
  <c r="R37" i="7"/>
  <c r="G42" i="7"/>
  <c r="Q15" i="7"/>
  <c r="Q42" i="7" s="1"/>
  <c r="F41" i="7"/>
  <c r="H41" i="7"/>
  <c r="G41" i="7"/>
  <c r="F40" i="7"/>
  <c r="F42" i="7"/>
  <c r="P15" i="7"/>
  <c r="I41" i="7"/>
  <c r="G40" i="7"/>
  <c r="I36" i="7"/>
  <c r="I18" i="7"/>
  <c r="I19" i="7"/>
  <c r="I40" i="7"/>
  <c r="H40" i="7"/>
  <c r="S42" i="7"/>
  <c r="AC42" i="7" s="1"/>
  <c r="AM42" i="7" s="1"/>
  <c r="I22" i="17" s="1"/>
  <c r="I42" i="7"/>
  <c r="R42" i="7"/>
  <c r="AB42" i="7" s="1"/>
  <c r="AL42" i="7" s="1"/>
  <c r="H22" i="17" s="1"/>
  <c r="H42" i="7"/>
  <c r="H49" i="7"/>
  <c r="I49" i="7"/>
  <c r="AI36" i="16" l="1"/>
  <c r="Y57" i="16"/>
  <c r="Y62" i="16"/>
  <c r="Q72" i="16"/>
  <c r="AA72" i="16" s="1"/>
  <c r="AK72" i="16" s="1"/>
  <c r="Q82" i="16"/>
  <c r="AA82" i="16" s="1"/>
  <c r="AK82" i="16" s="1"/>
  <c r="AC13" i="16"/>
  <c r="AM13" i="16" s="1"/>
  <c r="S83" i="16"/>
  <c r="AC83" i="16" s="1"/>
  <c r="AM83" i="16" s="1"/>
  <c r="S73" i="16"/>
  <c r="AC73" i="16" s="1"/>
  <c r="AM73" i="16" s="1"/>
  <c r="S81" i="16"/>
  <c r="AC81" i="16" s="1"/>
  <c r="AM81" i="16" s="1"/>
  <c r="S71" i="16"/>
  <c r="AC71" i="16" s="1"/>
  <c r="AM71" i="16" s="1"/>
  <c r="AC12" i="16"/>
  <c r="AM12" i="16" s="1"/>
  <c r="S72" i="16"/>
  <c r="AC72" i="16" s="1"/>
  <c r="AM72" i="16" s="1"/>
  <c r="S82" i="16"/>
  <c r="AC82" i="16" s="1"/>
  <c r="AM82" i="16" s="1"/>
  <c r="S84" i="16"/>
  <c r="S74" i="16"/>
  <c r="Q84" i="16"/>
  <c r="Q85" i="16" s="1"/>
  <c r="Q74" i="16"/>
  <c r="AM8" i="16"/>
  <c r="X40" i="16"/>
  <c r="AH44" i="16"/>
  <c r="X48" i="16"/>
  <c r="X38" i="16"/>
  <c r="AH38" i="16" s="1"/>
  <c r="X46" i="16"/>
  <c r="X43" i="16"/>
  <c r="AH43" i="16" s="1"/>
  <c r="X37" i="16"/>
  <c r="AH37" i="16" s="1"/>
  <c r="X41" i="16"/>
  <c r="X45" i="16"/>
  <c r="X49" i="16"/>
  <c r="X42" i="16"/>
  <c r="AH42" i="16" s="1"/>
  <c r="X36" i="16"/>
  <c r="X39" i="16"/>
  <c r="AH39" i="16" s="1"/>
  <c r="X47" i="16"/>
  <c r="N44" i="7"/>
  <c r="N48" i="7" s="1"/>
  <c r="AI40" i="16"/>
  <c r="AA14" i="16"/>
  <c r="AK14" i="16" s="1"/>
  <c r="Q15" i="16"/>
  <c r="AC14" i="16"/>
  <c r="AM14" i="16" s="1"/>
  <c r="S15" i="16"/>
  <c r="Y15" i="16"/>
  <c r="AJ8" i="16"/>
  <c r="Y20" i="16"/>
  <c r="AI41" i="16"/>
  <c r="D13" i="17"/>
  <c r="O48" i="7"/>
  <c r="Y9" i="7"/>
  <c r="Y10" i="7" s="1"/>
  <c r="AI18" i="7"/>
  <c r="D12" i="17"/>
  <c r="N21" i="7"/>
  <c r="X21" i="7" s="1"/>
  <c r="AH21" i="7" s="1"/>
  <c r="X18" i="7"/>
  <c r="X19" i="7"/>
  <c r="AH19" i="7" s="1"/>
  <c r="AI48" i="16"/>
  <c r="AI47" i="16"/>
  <c r="AI49" i="16"/>
  <c r="Z25" i="16"/>
  <c r="AJ25" i="16" s="1"/>
  <c r="AB25" i="16"/>
  <c r="AL25" i="16" s="1"/>
  <c r="AC25" i="16"/>
  <c r="AM25" i="16" s="1"/>
  <c r="AA25" i="16"/>
  <c r="AK25" i="16" s="1"/>
  <c r="P42" i="7"/>
  <c r="Z42" i="7" s="1"/>
  <c r="AJ42" i="7" s="1"/>
  <c r="Z15" i="7"/>
  <c r="AJ15" i="7" s="1"/>
  <c r="AA42" i="7"/>
  <c r="AA15" i="7"/>
  <c r="AK15" i="7" s="1"/>
  <c r="I35" i="7"/>
  <c r="I21" i="7"/>
  <c r="H35" i="7"/>
  <c r="I34" i="7"/>
  <c r="H34" i="7"/>
  <c r="S9" i="7"/>
  <c r="S10" i="7" s="1"/>
  <c r="S20" i="7" s="1"/>
  <c r="R9" i="7"/>
  <c r="R10" i="7" s="1"/>
  <c r="Q75" i="16" l="1"/>
  <c r="AI57" i="16"/>
  <c r="X62" i="16"/>
  <c r="X67" i="16"/>
  <c r="AH36" i="16"/>
  <c r="X57" i="16"/>
  <c r="S75" i="16"/>
  <c r="S85" i="16"/>
  <c r="S86" i="16" s="1"/>
  <c r="AC74" i="16"/>
  <c r="AM74" i="16" s="1"/>
  <c r="AA84" i="16"/>
  <c r="AK84" i="16" s="1"/>
  <c r="AA74" i="16"/>
  <c r="AK74" i="16" s="1"/>
  <c r="R13" i="7"/>
  <c r="R20" i="7"/>
  <c r="AB20" i="7" s="1"/>
  <c r="AL20" i="7" s="1"/>
  <c r="AI75" i="16"/>
  <c r="E24" i="17" s="1"/>
  <c r="AI95" i="16"/>
  <c r="AI92" i="16"/>
  <c r="AK42" i="7"/>
  <c r="G22" i="17" s="1"/>
  <c r="F22" i="17"/>
  <c r="AI45" i="16"/>
  <c r="AI80" i="16" s="1"/>
  <c r="E25" i="17" s="1"/>
  <c r="Y85" i="16"/>
  <c r="Y86" i="16" s="1"/>
  <c r="AC84" i="16"/>
  <c r="AM84" i="16" s="1"/>
  <c r="Q86" i="16"/>
  <c r="AA50" i="16" s="1"/>
  <c r="Y75" i="16"/>
  <c r="Y80" i="16"/>
  <c r="AI46" i="16"/>
  <c r="AI9" i="7"/>
  <c r="AI10" i="7" s="1"/>
  <c r="AI113" i="16"/>
  <c r="AI112" i="16"/>
  <c r="AI111" i="16"/>
  <c r="G14" i="17"/>
  <c r="F14" i="17"/>
  <c r="R14" i="7"/>
  <c r="AB14" i="7" s="1"/>
  <c r="AL14" i="7" s="1"/>
  <c r="S13" i="7"/>
  <c r="S14" i="7"/>
  <c r="AC20" i="7"/>
  <c r="AM20" i="7" s="1"/>
  <c r="AH41" i="16"/>
  <c r="X15" i="16"/>
  <c r="AH48" i="16"/>
  <c r="AH49" i="16"/>
  <c r="AH40" i="16"/>
  <c r="AH47" i="16"/>
  <c r="X20" i="16"/>
  <c r="Y48" i="7"/>
  <c r="AI48" i="7" s="1"/>
  <c r="O49" i="7"/>
  <c r="AI15" i="16"/>
  <c r="E31" i="17"/>
  <c r="X48" i="7"/>
  <c r="AH48" i="7" s="1"/>
  <c r="AH18" i="7"/>
  <c r="X9" i="7"/>
  <c r="X10" i="7" s="1"/>
  <c r="AA23" i="16"/>
  <c r="AK23" i="16" s="1"/>
  <c r="AA26" i="16"/>
  <c r="AK26" i="16" s="1"/>
  <c r="AA24" i="16"/>
  <c r="AK24" i="16" s="1"/>
  <c r="AB26" i="16"/>
  <c r="AL26" i="16" s="1"/>
  <c r="AB23" i="16"/>
  <c r="AL23" i="16" s="1"/>
  <c r="Z26" i="16"/>
  <c r="AJ26" i="16" s="1"/>
  <c r="Z23" i="16"/>
  <c r="AJ23" i="16" s="1"/>
  <c r="AB24" i="16"/>
  <c r="AL24" i="16" s="1"/>
  <c r="Z24" i="16"/>
  <c r="AJ24" i="16" s="1"/>
  <c r="AC24" i="16"/>
  <c r="AM24" i="16" s="1"/>
  <c r="AC26" i="16"/>
  <c r="AM26" i="16" s="1"/>
  <c r="AC23" i="16"/>
  <c r="AM23" i="16" s="1"/>
  <c r="I43" i="7"/>
  <c r="H43" i="7"/>
  <c r="AI110" i="16" l="1"/>
  <c r="AI62" i="16"/>
  <c r="AH57" i="16"/>
  <c r="AH45" i="16"/>
  <c r="D32" i="17" s="1"/>
  <c r="AH62" i="16"/>
  <c r="AC50" i="16"/>
  <c r="AC46" i="16" s="1"/>
  <c r="AH15" i="16"/>
  <c r="AH89" i="16" s="1"/>
  <c r="AH95" i="16"/>
  <c r="AH92" i="16"/>
  <c r="E32" i="17"/>
  <c r="AA40" i="16"/>
  <c r="AA49" i="16"/>
  <c r="AA41" i="16"/>
  <c r="AA43" i="16"/>
  <c r="AK43" i="16" s="1"/>
  <c r="AA48" i="16"/>
  <c r="AA39" i="16"/>
  <c r="AA46" i="16"/>
  <c r="AA38" i="16"/>
  <c r="AA47" i="16"/>
  <c r="AA37" i="16"/>
  <c r="AA45" i="16"/>
  <c r="AA44" i="16"/>
  <c r="AK44" i="16" s="1"/>
  <c r="AA36" i="16"/>
  <c r="AA42" i="16"/>
  <c r="AK42" i="16" s="1"/>
  <c r="X85" i="16"/>
  <c r="X86" i="16" s="1"/>
  <c r="AI89" i="16"/>
  <c r="E15" i="17"/>
  <c r="AI20" i="16"/>
  <c r="AI50" i="16"/>
  <c r="AI98" i="16" s="1"/>
  <c r="AH9" i="7"/>
  <c r="AH10" i="7" s="1"/>
  <c r="AI114" i="16"/>
  <c r="E74" i="17" s="1"/>
  <c r="AH113" i="16"/>
  <c r="AH112" i="16"/>
  <c r="AH111" i="16"/>
  <c r="AH46" i="16"/>
  <c r="AI102" i="16"/>
  <c r="E58" i="17" s="1"/>
  <c r="AI101" i="16"/>
  <c r="E57" i="17" s="1"/>
  <c r="H13" i="17"/>
  <c r="X80" i="16"/>
  <c r="X75" i="16"/>
  <c r="AH20" i="16"/>
  <c r="AH108" i="16" s="1"/>
  <c r="D31" i="17"/>
  <c r="AH75" i="16"/>
  <c r="D24" i="17" s="1"/>
  <c r="AH80" i="16"/>
  <c r="D25" i="17" s="1"/>
  <c r="O50" i="7"/>
  <c r="Y49" i="7"/>
  <c r="AI106" i="16"/>
  <c r="AI107" i="16"/>
  <c r="E68" i="17" s="1"/>
  <c r="N49" i="7"/>
  <c r="R41" i="7"/>
  <c r="AB41" i="7" s="1"/>
  <c r="AL41" i="7" s="1"/>
  <c r="H21" i="17" s="1"/>
  <c r="R40" i="7"/>
  <c r="AB13" i="7"/>
  <c r="AL13" i="7" s="1"/>
  <c r="S41" i="7"/>
  <c r="AC41" i="7" s="1"/>
  <c r="AM41" i="7" s="1"/>
  <c r="I21" i="17" s="1"/>
  <c r="AC14" i="7"/>
  <c r="AM14" i="7" s="1"/>
  <c r="S40" i="7"/>
  <c r="AC40" i="7" s="1"/>
  <c r="AC13" i="7"/>
  <c r="AM13" i="7" s="1"/>
  <c r="R36" i="7"/>
  <c r="R18" i="7"/>
  <c r="R19" i="7"/>
  <c r="S36" i="7"/>
  <c r="S19" i="7"/>
  <c r="S18" i="7"/>
  <c r="G47" i="7"/>
  <c r="Q47" i="7" s="1"/>
  <c r="AA47" i="7" s="1"/>
  <c r="AK47" i="7" s="1"/>
  <c r="F47" i="7"/>
  <c r="P47" i="7" s="1"/>
  <c r="Z47" i="7" s="1"/>
  <c r="AJ47" i="7" s="1"/>
  <c r="G48" i="7"/>
  <c r="F48" i="7"/>
  <c r="AI67" i="16" l="1"/>
  <c r="AH110" i="16"/>
  <c r="AA57" i="16"/>
  <c r="AA67" i="16"/>
  <c r="AA62" i="16"/>
  <c r="AC37" i="16"/>
  <c r="AM37" i="16" s="1"/>
  <c r="AC39" i="16"/>
  <c r="AM39" i="16" s="1"/>
  <c r="AC49" i="16"/>
  <c r="AC42" i="16"/>
  <c r="AM42" i="16" s="1"/>
  <c r="AC38" i="16"/>
  <c r="AM38" i="16" s="1"/>
  <c r="AC45" i="16"/>
  <c r="AC36" i="16"/>
  <c r="AC43" i="16"/>
  <c r="AM43" i="16" s="1"/>
  <c r="AC48" i="16"/>
  <c r="AC41" i="16"/>
  <c r="AC40" i="16"/>
  <c r="AC44" i="16"/>
  <c r="AM44" i="16" s="1"/>
  <c r="AC47" i="16"/>
  <c r="D15" i="17"/>
  <c r="AH102" i="16"/>
  <c r="D58" i="17" s="1"/>
  <c r="AH106" i="16"/>
  <c r="D67" i="17" s="1"/>
  <c r="AH107" i="16"/>
  <c r="D68" i="17" s="1"/>
  <c r="AH101" i="16"/>
  <c r="D57" i="17" s="1"/>
  <c r="AI108" i="16"/>
  <c r="E69" i="17" s="1"/>
  <c r="AB40" i="7"/>
  <c r="AL40" i="7" s="1"/>
  <c r="H20" i="17" s="1"/>
  <c r="E33" i="17"/>
  <c r="F10" i="26" s="1"/>
  <c r="J20" i="26" s="1"/>
  <c r="E51" i="17"/>
  <c r="AI103" i="16"/>
  <c r="E59" i="17" s="1"/>
  <c r="AI90" i="16"/>
  <c r="AI91" i="16" s="1"/>
  <c r="E38" i="17" s="1"/>
  <c r="AI94" i="16"/>
  <c r="E43" i="17" s="1"/>
  <c r="AI85" i="16"/>
  <c r="E26" i="17" s="1"/>
  <c r="F8" i="26" s="1"/>
  <c r="AH50" i="16"/>
  <c r="AH98" i="16" s="1"/>
  <c r="N50" i="7"/>
  <c r="X34" i="7" s="1"/>
  <c r="X49" i="7"/>
  <c r="AH49" i="7" s="1"/>
  <c r="AH50" i="7" s="1"/>
  <c r="AI97" i="16"/>
  <c r="E47" i="17" s="1"/>
  <c r="AH97" i="16"/>
  <c r="D47" i="17" s="1"/>
  <c r="AH94" i="16"/>
  <c r="D43" i="17" s="1"/>
  <c r="AH90" i="16"/>
  <c r="D69" i="17"/>
  <c r="AH114" i="16"/>
  <c r="D74" i="17" s="1"/>
  <c r="E67" i="17"/>
  <c r="I13" i="17"/>
  <c r="I12" i="17"/>
  <c r="H12" i="17"/>
  <c r="Y36" i="7"/>
  <c r="Y34" i="7"/>
  <c r="Y35" i="7"/>
  <c r="AH103" i="16"/>
  <c r="D59" i="17" s="1"/>
  <c r="Y50" i="7"/>
  <c r="AI49" i="7"/>
  <c r="AI50" i="7" s="1"/>
  <c r="AK39" i="16"/>
  <c r="AK41" i="16"/>
  <c r="AA20" i="16"/>
  <c r="AK37" i="16"/>
  <c r="AK36" i="16"/>
  <c r="AA15" i="16"/>
  <c r="AK38" i="16"/>
  <c r="AM40" i="7"/>
  <c r="I20" i="17" s="1"/>
  <c r="S35" i="7"/>
  <c r="AC19" i="7"/>
  <c r="AM19" i="7" s="1"/>
  <c r="S34" i="7"/>
  <c r="AC18" i="7"/>
  <c r="R34" i="7"/>
  <c r="AB18" i="7"/>
  <c r="R35" i="7"/>
  <c r="AB19" i="7"/>
  <c r="AL19" i="7" s="1"/>
  <c r="S21" i="7"/>
  <c r="AC21" i="7" s="1"/>
  <c r="AM21" i="7" s="1"/>
  <c r="R21" i="7"/>
  <c r="AB21" i="7" s="1"/>
  <c r="AL21" i="7" s="1"/>
  <c r="F49" i="7"/>
  <c r="G49" i="7"/>
  <c r="AC67" i="16" l="1"/>
  <c r="AH67" i="16"/>
  <c r="AM36" i="16"/>
  <c r="AM40" i="16" s="1"/>
  <c r="AC57" i="16"/>
  <c r="AM41" i="16"/>
  <c r="AC62" i="16"/>
  <c r="AC15" i="16"/>
  <c r="AC20" i="16"/>
  <c r="E77" i="17"/>
  <c r="AI109" i="16"/>
  <c r="R43" i="7"/>
  <c r="E36" i="17"/>
  <c r="D33" i="17"/>
  <c r="E10" i="26" s="1"/>
  <c r="D51" i="17"/>
  <c r="D77" i="17"/>
  <c r="AI86" i="16"/>
  <c r="AH91" i="16"/>
  <c r="D38" i="17" s="1"/>
  <c r="AH85" i="16"/>
  <c r="D26" i="17" s="1"/>
  <c r="E8" i="26" s="1"/>
  <c r="X35" i="7"/>
  <c r="AH35" i="7" s="1"/>
  <c r="AH109" i="16"/>
  <c r="Y37" i="7"/>
  <c r="Y44" i="7" s="1"/>
  <c r="AI36" i="7"/>
  <c r="AI82" i="7" s="1"/>
  <c r="AI34" i="7"/>
  <c r="AI35" i="7"/>
  <c r="X50" i="7"/>
  <c r="AC80" i="16"/>
  <c r="AA80" i="16"/>
  <c r="AC75" i="16"/>
  <c r="AK45" i="16"/>
  <c r="AK80" i="16" s="1"/>
  <c r="G25" i="17" s="1"/>
  <c r="AA75" i="16"/>
  <c r="AH34" i="7"/>
  <c r="AK47" i="16"/>
  <c r="AK49" i="16"/>
  <c r="AK48" i="16"/>
  <c r="AA85" i="16"/>
  <c r="AA86" i="16" s="1"/>
  <c r="AC85" i="16"/>
  <c r="AC86" i="16" s="1"/>
  <c r="AM48" i="16"/>
  <c r="AK40" i="16"/>
  <c r="AK57" i="16" s="1"/>
  <c r="AK46" i="16"/>
  <c r="AM47" i="16"/>
  <c r="AM49" i="16"/>
  <c r="AM18" i="7"/>
  <c r="AC9" i="7"/>
  <c r="AC10" i="7" s="1"/>
  <c r="AB9" i="7"/>
  <c r="AB10" i="7" s="1"/>
  <c r="AL18" i="7"/>
  <c r="S43" i="7"/>
  <c r="AM46" i="16" l="1"/>
  <c r="AM45" i="16"/>
  <c r="AM62" i="16" s="1"/>
  <c r="AM57" i="16"/>
  <c r="AK62" i="16"/>
  <c r="AH37" i="7"/>
  <c r="X37" i="7"/>
  <c r="AM75" i="16"/>
  <c r="I24" i="17" s="1"/>
  <c r="AM92" i="16"/>
  <c r="AM95" i="16"/>
  <c r="AK15" i="16"/>
  <c r="AK89" i="16" s="1"/>
  <c r="AK95" i="16"/>
  <c r="AK92" i="16"/>
  <c r="R44" i="7"/>
  <c r="R48" i="7" s="1"/>
  <c r="AH57" i="7"/>
  <c r="AH61" i="7"/>
  <c r="AI58" i="7"/>
  <c r="AI62" i="7"/>
  <c r="AH58" i="7"/>
  <c r="AH62" i="7"/>
  <c r="AI57" i="7"/>
  <c r="AI61" i="7"/>
  <c r="D36" i="17"/>
  <c r="S44" i="7"/>
  <c r="S48" i="7" s="1"/>
  <c r="AC48" i="7" s="1"/>
  <c r="AM48" i="7" s="1"/>
  <c r="AH55" i="7"/>
  <c r="AH82" i="7"/>
  <c r="AH85" i="7" s="1"/>
  <c r="D66" i="17" s="1"/>
  <c r="D72" i="17" s="1"/>
  <c r="AH78" i="7"/>
  <c r="AH86" i="16"/>
  <c r="AH53" i="7"/>
  <c r="AH54" i="7"/>
  <c r="AM9" i="7"/>
  <c r="AM10" i="7" s="1"/>
  <c r="AL9" i="7"/>
  <c r="AL10" i="7" s="1"/>
  <c r="AM113" i="16"/>
  <c r="AM112" i="16"/>
  <c r="AK113" i="16"/>
  <c r="AM111" i="16"/>
  <c r="AK112" i="16"/>
  <c r="AK111" i="16"/>
  <c r="AH71" i="7"/>
  <c r="AH72" i="7"/>
  <c r="AH75" i="7" s="1"/>
  <c r="D56" i="17" s="1"/>
  <c r="D62" i="17" s="1"/>
  <c r="AI72" i="7"/>
  <c r="AI75" i="7" s="1"/>
  <c r="E56" i="17" s="1"/>
  <c r="E62" i="17" s="1"/>
  <c r="AI55" i="7"/>
  <c r="AI71" i="7"/>
  <c r="AI54" i="7"/>
  <c r="AI70" i="7"/>
  <c r="AH69" i="7"/>
  <c r="AH68" i="7"/>
  <c r="AH70" i="7"/>
  <c r="AI69" i="7"/>
  <c r="AI68" i="7"/>
  <c r="AI53" i="7"/>
  <c r="E27" i="17"/>
  <c r="AI80" i="7"/>
  <c r="AI37" i="7"/>
  <c r="AI86" i="7"/>
  <c r="AI78" i="7"/>
  <c r="AI85" i="7"/>
  <c r="E66" i="17" s="1"/>
  <c r="E72" i="17" s="1"/>
  <c r="E29" i="17"/>
  <c r="AI88" i="7"/>
  <c r="E28" i="17"/>
  <c r="AI81" i="7"/>
  <c r="AI87" i="7"/>
  <c r="AI79" i="7"/>
  <c r="AK110" i="16"/>
  <c r="AM15" i="16"/>
  <c r="I31" i="17"/>
  <c r="AH87" i="7"/>
  <c r="D28" i="17"/>
  <c r="AM80" i="16"/>
  <c r="I25" i="17" s="1"/>
  <c r="AK20" i="16"/>
  <c r="AK108" i="16" s="1"/>
  <c r="G32" i="17"/>
  <c r="AH86" i="7"/>
  <c r="D27" i="17"/>
  <c r="G31" i="17"/>
  <c r="AM110" i="16"/>
  <c r="AH88" i="7"/>
  <c r="D29" i="17"/>
  <c r="AK75" i="16"/>
  <c r="G24" i="17" s="1"/>
  <c r="AH80" i="7"/>
  <c r="AH65" i="7"/>
  <c r="AH81" i="7"/>
  <c r="AH79" i="7"/>
  <c r="AM50" i="16"/>
  <c r="AM98" i="16" s="1"/>
  <c r="AK50" i="16"/>
  <c r="AK98" i="16" s="1"/>
  <c r="G20" i="7"/>
  <c r="I32" i="17" l="1"/>
  <c r="AM20" i="16"/>
  <c r="AM108" i="16" s="1"/>
  <c r="I69" i="17" s="1"/>
  <c r="AM67" i="16"/>
  <c r="AK67" i="16"/>
  <c r="AH83" i="7"/>
  <c r="D64" i="17" s="1"/>
  <c r="AH60" i="7"/>
  <c r="D42" i="17" s="1"/>
  <c r="D44" i="17" s="1"/>
  <c r="D45" i="17" s="1"/>
  <c r="G33" i="17"/>
  <c r="G51" i="17"/>
  <c r="I33" i="17"/>
  <c r="I51" i="17"/>
  <c r="AI60" i="7"/>
  <c r="E42" i="17" s="1"/>
  <c r="E44" i="17" s="1"/>
  <c r="E45" i="17" s="1"/>
  <c r="AH64" i="7"/>
  <c r="D46" i="17" s="1"/>
  <c r="D48" i="17" s="1"/>
  <c r="D49" i="17" s="1"/>
  <c r="D23" i="17"/>
  <c r="E7" i="26" s="1"/>
  <c r="D50" i="17"/>
  <c r="D52" i="17" s="1"/>
  <c r="D53" i="17" s="1"/>
  <c r="E30" i="17"/>
  <c r="F9" i="26" s="1"/>
  <c r="J19" i="26" s="1"/>
  <c r="AI65" i="7"/>
  <c r="E50" i="17" s="1"/>
  <c r="E52" i="17" s="1"/>
  <c r="E53" i="17" s="1"/>
  <c r="AI64" i="7"/>
  <c r="E46" i="17" s="1"/>
  <c r="E48" i="17" s="1"/>
  <c r="E49" i="17" s="1"/>
  <c r="AK90" i="16"/>
  <c r="AK91" i="16" s="1"/>
  <c r="G38" i="17" s="1"/>
  <c r="C33" i="27" s="1"/>
  <c r="AM89" i="16"/>
  <c r="AM114" i="16"/>
  <c r="I74" i="17" s="1"/>
  <c r="AK114" i="16"/>
  <c r="G74" i="17" s="1"/>
  <c r="I15" i="17"/>
  <c r="AM102" i="16"/>
  <c r="I58" i="17" s="1"/>
  <c r="AM101" i="16"/>
  <c r="I57" i="17" s="1"/>
  <c r="G15" i="17"/>
  <c r="AK102" i="16"/>
  <c r="G58" i="17" s="1"/>
  <c r="AK101" i="16"/>
  <c r="G57" i="17" s="1"/>
  <c r="AI83" i="7"/>
  <c r="AI56" i="7"/>
  <c r="E37" i="17" s="1"/>
  <c r="E40" i="17" s="1"/>
  <c r="E41" i="17" s="1"/>
  <c r="AI73" i="7"/>
  <c r="E54" i="17" s="1"/>
  <c r="E60" i="17" s="1"/>
  <c r="AI74" i="7"/>
  <c r="E55" i="17" s="1"/>
  <c r="E61" i="17" s="1"/>
  <c r="AI89" i="7"/>
  <c r="E73" i="17" s="1"/>
  <c r="E75" i="17" s="1"/>
  <c r="AI84" i="7"/>
  <c r="E65" i="17" s="1"/>
  <c r="AM106" i="16"/>
  <c r="AM107" i="16"/>
  <c r="I68" i="17" s="1"/>
  <c r="AK85" i="16"/>
  <c r="AK86" i="16" s="1"/>
  <c r="AK106" i="16"/>
  <c r="AM85" i="16"/>
  <c r="AM86" i="16" s="1"/>
  <c r="D30" i="17"/>
  <c r="E9" i="26" s="1"/>
  <c r="AK107" i="16"/>
  <c r="G68" i="17" s="1"/>
  <c r="AH89" i="7"/>
  <c r="D73" i="17" s="1"/>
  <c r="D75" i="17" s="1"/>
  <c r="AK103" i="16"/>
  <c r="G59" i="17" s="1"/>
  <c r="G69" i="17"/>
  <c r="AH84" i="7"/>
  <c r="D65" i="17" s="1"/>
  <c r="D71" i="17" s="1"/>
  <c r="AH74" i="7"/>
  <c r="D55" i="17" s="1"/>
  <c r="D61" i="17" s="1"/>
  <c r="AH56" i="7"/>
  <c r="D37" i="17" s="1"/>
  <c r="D40" i="17" s="1"/>
  <c r="D41" i="17" s="1"/>
  <c r="AH73" i="7"/>
  <c r="D54" i="17" s="1"/>
  <c r="D60" i="17" s="1"/>
  <c r="S49" i="7"/>
  <c r="S50" i="7" s="1"/>
  <c r="R49" i="7"/>
  <c r="AB48" i="7"/>
  <c r="AL48" i="7" s="1"/>
  <c r="G18" i="7"/>
  <c r="G19" i="7"/>
  <c r="G36" i="7"/>
  <c r="F20" i="7"/>
  <c r="AM103" i="16" l="1"/>
  <c r="I59" i="17" s="1"/>
  <c r="AM90" i="16"/>
  <c r="H10" i="26"/>
  <c r="C36" i="27"/>
  <c r="I36" i="17"/>
  <c r="J10" i="26"/>
  <c r="E63" i="17"/>
  <c r="F18" i="7"/>
  <c r="D63" i="17"/>
  <c r="G36" i="17"/>
  <c r="C43" i="27" s="1"/>
  <c r="AB49" i="7"/>
  <c r="AB50" i="7" s="1"/>
  <c r="R50" i="7"/>
  <c r="E23" i="17"/>
  <c r="F7" i="26" s="1"/>
  <c r="AI44" i="7"/>
  <c r="E34" i="17"/>
  <c r="D34" i="17"/>
  <c r="E64" i="17"/>
  <c r="E70" i="17" s="1"/>
  <c r="D76" i="17"/>
  <c r="D78" i="17" s="1"/>
  <c r="AM97" i="16"/>
  <c r="I47" i="17" s="1"/>
  <c r="E35" i="17"/>
  <c r="AH44" i="7"/>
  <c r="AK97" i="16"/>
  <c r="G47" i="17" s="1"/>
  <c r="AK94" i="16"/>
  <c r="G43" i="17" s="1"/>
  <c r="AM94" i="16"/>
  <c r="I43" i="17" s="1"/>
  <c r="G67" i="17"/>
  <c r="G77" i="17" s="1"/>
  <c r="AK109" i="16"/>
  <c r="I67" i="17"/>
  <c r="I77" i="17" s="1"/>
  <c r="AM109" i="16"/>
  <c r="E71" i="17"/>
  <c r="I26" i="17"/>
  <c r="J8" i="26" s="1"/>
  <c r="J24" i="26" s="1"/>
  <c r="D35" i="17"/>
  <c r="G26" i="17"/>
  <c r="D70" i="17"/>
  <c r="AM91" i="16"/>
  <c r="I38" i="17" s="1"/>
  <c r="AC49" i="7"/>
  <c r="AC50" i="7" s="1"/>
  <c r="G35" i="7"/>
  <c r="F19" i="7"/>
  <c r="F36" i="7"/>
  <c r="G21" i="7"/>
  <c r="Q9" i="7"/>
  <c r="Q10" i="7" s="1"/>
  <c r="Q20" i="7" s="1"/>
  <c r="G34" i="7"/>
  <c r="G83" i="17" l="1"/>
  <c r="H20" i="26"/>
  <c r="H22" i="26" s="1"/>
  <c r="J22" i="26"/>
  <c r="H8" i="26"/>
  <c r="H24" i="26" s="1"/>
  <c r="C46" i="27"/>
  <c r="F21" i="7"/>
  <c r="AL49" i="7"/>
  <c r="AL50" i="7" s="1"/>
  <c r="E76" i="17"/>
  <c r="E78" i="17" s="1"/>
  <c r="P9" i="7"/>
  <c r="AB36" i="7"/>
  <c r="AB34" i="7"/>
  <c r="AB35" i="7"/>
  <c r="AL35" i="7" s="1"/>
  <c r="AC36" i="7"/>
  <c r="AC34" i="7"/>
  <c r="AC35" i="7"/>
  <c r="Q13" i="7"/>
  <c r="Q14" i="7"/>
  <c r="AM49" i="7"/>
  <c r="AM50" i="7" s="1"/>
  <c r="F34" i="7"/>
  <c r="F35" i="7"/>
  <c r="G43" i="7"/>
  <c r="AA13" i="7" l="1"/>
  <c r="AK13" i="7" s="1"/>
  <c r="G12" i="17" s="1"/>
  <c r="Q40" i="7"/>
  <c r="Q39" i="7" s="1"/>
  <c r="J28" i="26"/>
  <c r="J26" i="26"/>
  <c r="H28" i="26"/>
  <c r="H26" i="26"/>
  <c r="P10" i="7"/>
  <c r="AL58" i="7"/>
  <c r="AL62" i="7"/>
  <c r="F43" i="7"/>
  <c r="AA20" i="7"/>
  <c r="AK20" i="7" s="1"/>
  <c r="Q18" i="7"/>
  <c r="Q34" i="7" s="1"/>
  <c r="AL54" i="7"/>
  <c r="AL71" i="7"/>
  <c r="AL69" i="7"/>
  <c r="AB37" i="7"/>
  <c r="AB43" i="7" s="1"/>
  <c r="AB44" i="7" s="1"/>
  <c r="H28" i="17"/>
  <c r="AL87" i="7"/>
  <c r="AL79" i="7"/>
  <c r="AL81" i="7"/>
  <c r="AL34" i="7"/>
  <c r="AL61" i="7" s="1"/>
  <c r="AL36" i="7"/>
  <c r="AL82" i="7" s="1"/>
  <c r="Q41" i="7"/>
  <c r="AA41" i="7" s="1"/>
  <c r="AK41" i="7" s="1"/>
  <c r="G21" i="17" s="1"/>
  <c r="AA14" i="7"/>
  <c r="AK14" i="7" s="1"/>
  <c r="AM35" i="7"/>
  <c r="AM36" i="7"/>
  <c r="AM82" i="7" s="1"/>
  <c r="AM34" i="7"/>
  <c r="AM61" i="7" s="1"/>
  <c r="AC37" i="7"/>
  <c r="AC43" i="7" s="1"/>
  <c r="AC44" i="7" s="1"/>
  <c r="Q36" i="7"/>
  <c r="Q19" i="7"/>
  <c r="P20" i="7" l="1"/>
  <c r="P19" i="7" s="1"/>
  <c r="J30" i="26"/>
  <c r="H30" i="26"/>
  <c r="P13" i="7"/>
  <c r="Z13" i="7" s="1"/>
  <c r="AJ13" i="7" s="1"/>
  <c r="F12" i="17" s="1"/>
  <c r="P14" i="7"/>
  <c r="AM58" i="7"/>
  <c r="AM62" i="7"/>
  <c r="AL37" i="7"/>
  <c r="AL65" i="7" s="1"/>
  <c r="AA40" i="7"/>
  <c r="AK40" i="7" s="1"/>
  <c r="G20" i="17" s="1"/>
  <c r="AM57" i="7"/>
  <c r="AL57" i="7"/>
  <c r="AL60" i="7" s="1"/>
  <c r="AL64" i="7"/>
  <c r="AL53" i="7"/>
  <c r="AM53" i="7"/>
  <c r="AM55" i="7"/>
  <c r="AL55" i="7"/>
  <c r="AM54" i="7"/>
  <c r="AM71" i="7"/>
  <c r="AM69" i="7"/>
  <c r="AM68" i="7"/>
  <c r="AM70" i="7"/>
  <c r="AL68" i="7"/>
  <c r="AL73" i="7" s="1"/>
  <c r="H54" i="17" s="1"/>
  <c r="AL70" i="7"/>
  <c r="AL74" i="7" s="1"/>
  <c r="H55" i="17" s="1"/>
  <c r="G13" i="17"/>
  <c r="AL85" i="7"/>
  <c r="H66" i="17" s="1"/>
  <c r="AL88" i="7"/>
  <c r="H29" i="17"/>
  <c r="I28" i="17"/>
  <c r="AM87" i="7"/>
  <c r="AL86" i="7"/>
  <c r="H27" i="17"/>
  <c r="AM86" i="7"/>
  <c r="I27" i="17"/>
  <c r="AM85" i="7"/>
  <c r="I66" i="17" s="1"/>
  <c r="I72" i="17" s="1"/>
  <c r="AM88" i="7"/>
  <c r="I29" i="17"/>
  <c r="AM78" i="7"/>
  <c r="AM80" i="7"/>
  <c r="AM81" i="7"/>
  <c r="AM79" i="7"/>
  <c r="AL78" i="7"/>
  <c r="AL83" i="7" s="1"/>
  <c r="H64" i="17" s="1"/>
  <c r="AL80" i="7"/>
  <c r="AL84" i="7" s="1"/>
  <c r="H65" i="17" s="1"/>
  <c r="AL72" i="7"/>
  <c r="AL75" i="7" s="1"/>
  <c r="H56" i="17" s="1"/>
  <c r="AM72" i="7"/>
  <c r="AM75" i="7" s="1"/>
  <c r="I56" i="17" s="1"/>
  <c r="AM37" i="7"/>
  <c r="AM65" i="7" s="1"/>
  <c r="AA18" i="7"/>
  <c r="Q35" i="7"/>
  <c r="Q44" i="7" s="1"/>
  <c r="Q48" i="7" s="1"/>
  <c r="AA19" i="7"/>
  <c r="AK19" i="7" s="1"/>
  <c r="Q21" i="7"/>
  <c r="AA21" i="7" s="1"/>
  <c r="AK21" i="7" s="1"/>
  <c r="Q49" i="7" l="1"/>
  <c r="P36" i="7"/>
  <c r="G80" i="17"/>
  <c r="G86" i="17" s="1"/>
  <c r="P18" i="7"/>
  <c r="P34" i="7" s="1"/>
  <c r="Z20" i="7"/>
  <c r="AJ20" i="7" s="1"/>
  <c r="P35" i="7"/>
  <c r="Z19" i="7"/>
  <c r="AJ19" i="7" s="1"/>
  <c r="P40" i="7"/>
  <c r="Z40" i="7" s="1"/>
  <c r="P41" i="7"/>
  <c r="Z41" i="7" s="1"/>
  <c r="AJ41" i="7" s="1"/>
  <c r="F21" i="17" s="1"/>
  <c r="Z14" i="7"/>
  <c r="AJ14" i="7" s="1"/>
  <c r="F13" i="17" s="1"/>
  <c r="I62" i="17"/>
  <c r="AM43" i="7"/>
  <c r="AM44" i="7" s="1"/>
  <c r="AL43" i="7"/>
  <c r="AL44" i="7" s="1"/>
  <c r="AM64" i="7"/>
  <c r="I46" i="17" s="1"/>
  <c r="I48" i="17" s="1"/>
  <c r="I49" i="17" s="1"/>
  <c r="AM60" i="7"/>
  <c r="I42" i="17" s="1"/>
  <c r="I44" i="17" s="1"/>
  <c r="I45" i="17" s="1"/>
  <c r="H46" i="17"/>
  <c r="I50" i="17"/>
  <c r="I52" i="17" s="1"/>
  <c r="I53" i="17" s="1"/>
  <c r="AL56" i="7"/>
  <c r="H37" i="17" s="1"/>
  <c r="H50" i="17"/>
  <c r="H42" i="17"/>
  <c r="AL89" i="7"/>
  <c r="H73" i="17" s="1"/>
  <c r="I30" i="17"/>
  <c r="AM89" i="7"/>
  <c r="I73" i="17" s="1"/>
  <c r="H30" i="17"/>
  <c r="AM84" i="7"/>
  <c r="I65" i="17" s="1"/>
  <c r="I71" i="17" s="1"/>
  <c r="AM83" i="7"/>
  <c r="I64" i="17" s="1"/>
  <c r="AM73" i="7"/>
  <c r="I54" i="17" s="1"/>
  <c r="AM74" i="7"/>
  <c r="I55" i="17" s="1"/>
  <c r="AM56" i="7"/>
  <c r="I37" i="17" s="1"/>
  <c r="I40" i="17" s="1"/>
  <c r="I41" i="17" s="1"/>
  <c r="AA9" i="7"/>
  <c r="AA10" i="7" s="1"/>
  <c r="AK18" i="7"/>
  <c r="AA49" i="7" l="1"/>
  <c r="Q52" i="7"/>
  <c r="Q51" i="7"/>
  <c r="Q53" i="7"/>
  <c r="Z18" i="7"/>
  <c r="AJ18" i="7" s="1"/>
  <c r="AJ9" i="7" s="1"/>
  <c r="AJ10" i="7" s="1"/>
  <c r="P21" i="7"/>
  <c r="Z21" i="7" s="1"/>
  <c r="AJ21" i="7" s="1"/>
  <c r="C48" i="27"/>
  <c r="I75" i="17"/>
  <c r="I34" i="17"/>
  <c r="J9" i="26"/>
  <c r="H19" i="26" s="1"/>
  <c r="I9" i="26"/>
  <c r="P43" i="7"/>
  <c r="P44" i="7" s="1"/>
  <c r="P48" i="7" s="1"/>
  <c r="P49" i="7" s="1"/>
  <c r="P50" i="7" s="1"/>
  <c r="I61" i="17"/>
  <c r="I60" i="17"/>
  <c r="AJ40" i="7"/>
  <c r="F20" i="17" s="1"/>
  <c r="H76" i="17"/>
  <c r="AK9" i="7"/>
  <c r="AK10" i="7" s="1"/>
  <c r="Q50" i="7"/>
  <c r="AA34" i="7" s="1"/>
  <c r="AA51" i="7" s="1"/>
  <c r="H35" i="17"/>
  <c r="H23" i="17"/>
  <c r="I7" i="26" s="1"/>
  <c r="I23" i="26" s="1"/>
  <c r="I76" i="17"/>
  <c r="I78" i="17" s="1"/>
  <c r="I70" i="17"/>
  <c r="I35" i="17"/>
  <c r="I23" i="17"/>
  <c r="Z9" i="7" l="1"/>
  <c r="Z10" i="7" s="1"/>
  <c r="G19" i="26"/>
  <c r="I19" i="26"/>
  <c r="J7" i="26"/>
  <c r="J23" i="26" s="1"/>
  <c r="J21" i="26"/>
  <c r="I21" i="26"/>
  <c r="AJ34" i="7"/>
  <c r="I63" i="17"/>
  <c r="AA50" i="7"/>
  <c r="AA48" i="7"/>
  <c r="AK48" i="7" s="1"/>
  <c r="Z48" i="7"/>
  <c r="AJ48" i="7" s="1"/>
  <c r="J27" i="26" l="1"/>
  <c r="J25" i="26"/>
  <c r="I25" i="26"/>
  <c r="I27" i="26"/>
  <c r="AJ61" i="7"/>
  <c r="AJ57" i="7"/>
  <c r="AK49" i="7"/>
  <c r="AK50" i="7" s="1"/>
  <c r="AA36" i="7"/>
  <c r="AA35" i="7"/>
  <c r="F27" i="17"/>
  <c r="Z49" i="7"/>
  <c r="Z50" i="7" s="1"/>
  <c r="AA37" i="7" l="1"/>
  <c r="AA43" i="7" s="1"/>
  <c r="AA44" i="7" s="1"/>
  <c r="AK36" i="7"/>
  <c r="AK82" i="7" s="1"/>
  <c r="AK85" i="7" s="1"/>
  <c r="G66" i="17" s="1"/>
  <c r="G72" i="17" s="1"/>
  <c r="AA53" i="7"/>
  <c r="AK35" i="7"/>
  <c r="AK87" i="7" s="1"/>
  <c r="AA52" i="7"/>
  <c r="J29" i="26"/>
  <c r="J31" i="26" s="1"/>
  <c r="I29" i="26"/>
  <c r="Z36" i="7"/>
  <c r="Z35" i="7"/>
  <c r="AK34" i="7"/>
  <c r="AK61" i="7" s="1"/>
  <c r="AJ49" i="7"/>
  <c r="AJ50" i="7" s="1"/>
  <c r="AK58" i="7" l="1"/>
  <c r="AK79" i="7"/>
  <c r="G28" i="17"/>
  <c r="AK81" i="7"/>
  <c r="AK69" i="7"/>
  <c r="AK71" i="7"/>
  <c r="AK54" i="7"/>
  <c r="AK62" i="7"/>
  <c r="AK64" i="7" s="1"/>
  <c r="G46" i="17" s="1"/>
  <c r="G48" i="17" s="1"/>
  <c r="G49" i="17" s="1"/>
  <c r="AK88" i="7"/>
  <c r="G29" i="17"/>
  <c r="AK72" i="7"/>
  <c r="AK75" i="7" s="1"/>
  <c r="G56" i="17" s="1"/>
  <c r="G62" i="17" s="1"/>
  <c r="C40" i="27" s="1"/>
  <c r="AK55" i="7"/>
  <c r="AK57" i="7"/>
  <c r="AK60" i="7" s="1"/>
  <c r="G42" i="17" s="1"/>
  <c r="G44" i="17" s="1"/>
  <c r="G45" i="17" s="1"/>
  <c r="Z37" i="7"/>
  <c r="Z43" i="7" s="1"/>
  <c r="Z44" i="7" s="1"/>
  <c r="AK53" i="7"/>
  <c r="AK70" i="7"/>
  <c r="AK68" i="7"/>
  <c r="AK86" i="7"/>
  <c r="AK80" i="7"/>
  <c r="G27" i="17"/>
  <c r="AK78" i="7"/>
  <c r="AK83" i="7" s="1"/>
  <c r="G64" i="17" s="1"/>
  <c r="G70" i="17" s="1"/>
  <c r="AK37" i="7"/>
  <c r="AK43" i="7" s="1"/>
  <c r="AK44" i="7" s="1"/>
  <c r="AJ35" i="7"/>
  <c r="AJ62" i="7" s="1"/>
  <c r="AJ36" i="7"/>
  <c r="AJ82" i="7" s="1"/>
  <c r="AJ85" i="7" s="1"/>
  <c r="F66" i="17" s="1"/>
  <c r="AK74" i="7" l="1"/>
  <c r="G55" i="17" s="1"/>
  <c r="G61" i="17" s="1"/>
  <c r="C38" i="27" s="1"/>
  <c r="AK84" i="7"/>
  <c r="G65" i="17" s="1"/>
  <c r="G71" i="17" s="1"/>
  <c r="AK73" i="7"/>
  <c r="G54" i="17" s="1"/>
  <c r="G60" i="17" s="1"/>
  <c r="C39" i="27" s="1"/>
  <c r="AK56" i="7"/>
  <c r="G37" i="17" s="1"/>
  <c r="C32" i="27" s="1"/>
  <c r="AK89" i="7"/>
  <c r="G73" i="17" s="1"/>
  <c r="G75" i="17" s="1"/>
  <c r="AJ58" i="7"/>
  <c r="AJ37" i="7"/>
  <c r="AJ43" i="7" s="1"/>
  <c r="AJ44" i="7" s="1"/>
  <c r="G30" i="17"/>
  <c r="C35" i="27" s="1"/>
  <c r="AK65" i="7"/>
  <c r="G50" i="17" s="1"/>
  <c r="G52" i="17" s="1"/>
  <c r="G53" i="17" s="1"/>
  <c r="AJ53" i="7"/>
  <c r="AJ55" i="7"/>
  <c r="AJ54" i="7"/>
  <c r="AJ70" i="7"/>
  <c r="AJ68" i="7"/>
  <c r="AJ69" i="7"/>
  <c r="AJ71" i="7"/>
  <c r="AJ88" i="7"/>
  <c r="F29" i="17"/>
  <c r="AJ86" i="7"/>
  <c r="AJ87" i="7"/>
  <c r="F28" i="17"/>
  <c r="AJ81" i="7"/>
  <c r="AJ79" i="7"/>
  <c r="AJ80" i="7"/>
  <c r="AJ78" i="7"/>
  <c r="AJ72" i="7"/>
  <c r="AJ75" i="7" s="1"/>
  <c r="F56" i="17" s="1"/>
  <c r="G40" i="17" l="1"/>
  <c r="G41" i="17" s="1"/>
  <c r="C34" i="27" s="1"/>
  <c r="G76" i="17"/>
  <c r="G82" i="17" s="1"/>
  <c r="G34" i="17"/>
  <c r="C37" i="27" s="1"/>
  <c r="H9" i="26"/>
  <c r="H21" i="26" s="1"/>
  <c r="G63" i="17"/>
  <c r="C41" i="27" s="1"/>
  <c r="C44" i="27" s="1"/>
  <c r="AJ65" i="7"/>
  <c r="F50" i="17" s="1"/>
  <c r="F30" i="17"/>
  <c r="G35" i="17"/>
  <c r="C42" i="27" s="1"/>
  <c r="AJ64" i="7"/>
  <c r="F46" i="17" s="1"/>
  <c r="AJ60" i="7"/>
  <c r="F42" i="17" s="1"/>
  <c r="G23" i="17"/>
  <c r="C45" i="27" s="1"/>
  <c r="AJ89" i="7"/>
  <c r="F73" i="17" s="1"/>
  <c r="AJ84" i="7"/>
  <c r="F65" i="17" s="1"/>
  <c r="AJ73" i="7"/>
  <c r="F54" i="17" s="1"/>
  <c r="AJ83" i="7"/>
  <c r="F64" i="17" s="1"/>
  <c r="AJ74" i="7"/>
  <c r="F55" i="17" s="1"/>
  <c r="AJ56" i="7"/>
  <c r="F37" i="17" s="1"/>
  <c r="B32" i="27" s="1"/>
  <c r="G78" i="17" l="1"/>
  <c r="G84" i="17" s="1"/>
  <c r="C50" i="27" s="1"/>
  <c r="H7" i="26"/>
  <c r="H23" i="26" s="1"/>
  <c r="H25" i="26" s="1"/>
  <c r="G9" i="26"/>
  <c r="G21" i="26" s="1"/>
  <c r="B35" i="27"/>
  <c r="F76" i="17"/>
  <c r="F82" i="17" s="1"/>
  <c r="F35" i="17"/>
  <c r="B42" i="27" s="1"/>
  <c r="F23" i="17"/>
  <c r="H27" i="26" l="1"/>
  <c r="H29" i="26" s="1"/>
  <c r="H31" i="26" s="1"/>
  <c r="B45" i="27"/>
  <c r="G7" i="26"/>
  <c r="G23" i="26" s="1"/>
  <c r="G25" i="26" s="1"/>
  <c r="G27" i="26" l="1"/>
  <c r="G29" i="26" s="1"/>
  <c r="G79" i="17"/>
  <c r="C47" i="27" l="1"/>
  <c r="G85" i="17"/>
  <c r="G81" i="17"/>
  <c r="F79" i="17"/>
  <c r="G87" i="17" l="1"/>
  <c r="C51" i="27" s="1"/>
  <c r="C49" i="27"/>
  <c r="B47" i="27"/>
  <c r="F85" i="17"/>
  <c r="P59" i="16"/>
  <c r="Z59" i="16" s="1"/>
  <c r="AJ59" i="16" s="1"/>
  <c r="P60" i="16"/>
  <c r="Z60" i="16" s="1"/>
  <c r="AJ60" i="16" s="1"/>
  <c r="P61" i="16"/>
  <c r="Z61" i="16" s="1"/>
  <c r="AJ61" i="16" s="1"/>
  <c r="P53" i="16"/>
  <c r="Z53" i="16" s="1"/>
  <c r="P58" i="16"/>
  <c r="Z58" i="16" s="1"/>
  <c r="AJ58" i="16" s="1"/>
  <c r="P56" i="16"/>
  <c r="P54" i="16"/>
  <c r="P55" i="16"/>
  <c r="Z55" i="16" s="1"/>
  <c r="P64" i="16" l="1"/>
  <c r="P66" i="16"/>
  <c r="P62" i="16"/>
  <c r="Z54" i="16"/>
  <c r="Z64" i="16" s="1"/>
  <c r="Z56" i="16"/>
  <c r="AJ56" i="16" s="1"/>
  <c r="AJ66" i="16" s="1"/>
  <c r="P63" i="16"/>
  <c r="P67" i="16" s="1"/>
  <c r="P68" i="16" s="1"/>
  <c r="Z65" i="16"/>
  <c r="AJ55" i="16"/>
  <c r="AJ65" i="16" s="1"/>
  <c r="AJ53" i="16"/>
  <c r="Z63" i="16"/>
  <c r="Z66" i="16"/>
  <c r="P65" i="16"/>
  <c r="P57" i="16"/>
  <c r="AJ54" i="16" l="1"/>
  <c r="AJ64" i="16" s="1"/>
  <c r="AJ63" i="16"/>
  <c r="R82" i="16"/>
  <c r="AB82" i="16" s="1"/>
  <c r="AL82" i="16" s="1"/>
  <c r="R16" i="16"/>
  <c r="R20" i="16" s="1"/>
  <c r="R76" i="16"/>
  <c r="Z17" i="16"/>
  <c r="AJ17" i="16" s="1"/>
  <c r="P12" i="16"/>
  <c r="Z12" i="16" s="1"/>
  <c r="AJ12" i="16" s="1"/>
  <c r="P17" i="16"/>
  <c r="P77" i="16" s="1"/>
  <c r="Z77" i="16" s="1"/>
  <c r="AJ77" i="16" s="1"/>
  <c r="R78" i="16"/>
  <c r="AB78" i="16" s="1"/>
  <c r="AL78" i="16" s="1"/>
  <c r="R18" i="16"/>
  <c r="AB18" i="16" s="1"/>
  <c r="AL18" i="16" s="1"/>
  <c r="R11" i="16"/>
  <c r="R81" i="16" s="1"/>
  <c r="R17" i="16"/>
  <c r="R77" i="16" s="1"/>
  <c r="AB77" i="16" s="1"/>
  <c r="AL77" i="16" s="1"/>
  <c r="AB17" i="16"/>
  <c r="AL17" i="16" s="1"/>
  <c r="P16" i="16"/>
  <c r="P76" i="16" s="1"/>
  <c r="Z16" i="16"/>
  <c r="AJ16" i="16"/>
  <c r="F16" i="17" s="1"/>
  <c r="P11" i="16"/>
  <c r="P71" i="16" s="1"/>
  <c r="P14" i="16"/>
  <c r="P74" i="16" s="1"/>
  <c r="Z74" i="16" s="1"/>
  <c r="AJ74" i="16" s="1"/>
  <c r="R19" i="16"/>
  <c r="AB19" i="16" s="1"/>
  <c r="AL19" i="16" s="1"/>
  <c r="P18" i="16"/>
  <c r="Z18" i="16" s="1"/>
  <c r="AJ18" i="16" s="1"/>
  <c r="P19" i="16"/>
  <c r="Z19" i="16" s="1"/>
  <c r="AJ19" i="16" s="1"/>
  <c r="R13" i="16"/>
  <c r="R83" i="16" s="1"/>
  <c r="AB83" i="16" s="1"/>
  <c r="AL83" i="16" s="1"/>
  <c r="R12" i="16"/>
  <c r="R72" i="16" s="1"/>
  <c r="AB72" i="16" s="1"/>
  <c r="AL72" i="16" s="1"/>
  <c r="R14" i="16"/>
  <c r="R74" i="16" s="1"/>
  <c r="AB74" i="16" s="1"/>
  <c r="AL74" i="16" s="1"/>
  <c r="R84" i="16"/>
  <c r="AB84" i="16"/>
  <c r="AL84" i="16" s="1"/>
  <c r="P13" i="16"/>
  <c r="P73" i="16" s="1"/>
  <c r="Z73" i="16" s="1"/>
  <c r="AJ73" i="16" s="1"/>
  <c r="AB81" i="16" l="1"/>
  <c r="R85" i="16"/>
  <c r="R86" i="16" s="1"/>
  <c r="AB50" i="16" s="1"/>
  <c r="Z76" i="16"/>
  <c r="P75" i="16"/>
  <c r="Z71" i="16"/>
  <c r="Z14" i="16"/>
  <c r="AJ14" i="16" s="1"/>
  <c r="R71" i="16"/>
  <c r="P78" i="16"/>
  <c r="Z78" i="16" s="1"/>
  <c r="AJ78" i="16" s="1"/>
  <c r="P72" i="16"/>
  <c r="Z72" i="16" s="1"/>
  <c r="AJ72" i="16" s="1"/>
  <c r="AB76" i="16"/>
  <c r="P20" i="16"/>
  <c r="P84" i="16"/>
  <c r="Z84" i="16" s="1"/>
  <c r="AJ84" i="16" s="1"/>
  <c r="R79" i="16"/>
  <c r="AB79" i="16" s="1"/>
  <c r="AL79" i="16" s="1"/>
  <c r="AB14" i="16"/>
  <c r="AL14" i="16" s="1"/>
  <c r="P82" i="16"/>
  <c r="Z82" i="16" s="1"/>
  <c r="AJ82" i="16" s="1"/>
  <c r="AB11" i="16"/>
  <c r="Z11" i="16"/>
  <c r="R15" i="16"/>
  <c r="P83" i="16"/>
  <c r="Z83" i="16" s="1"/>
  <c r="AJ83" i="16" s="1"/>
  <c r="AB12" i="16"/>
  <c r="AL12" i="16" s="1"/>
  <c r="P79" i="16"/>
  <c r="Z79" i="16" s="1"/>
  <c r="AJ79" i="16" s="1"/>
  <c r="P81" i="16"/>
  <c r="Z13" i="16"/>
  <c r="AJ13" i="16" s="1"/>
  <c r="P15" i="16"/>
  <c r="R73" i="16"/>
  <c r="AB73" i="16" s="1"/>
  <c r="AL73" i="16" s="1"/>
  <c r="AB13" i="16"/>
  <c r="AL13" i="16" s="1"/>
  <c r="AB16" i="16"/>
  <c r="AJ71" i="16" l="1"/>
  <c r="AJ76" i="16"/>
  <c r="AL16" i="16"/>
  <c r="AL76" i="16"/>
  <c r="P80" i="16"/>
  <c r="AJ11" i="16"/>
  <c r="AB36" i="16"/>
  <c r="AB48" i="16"/>
  <c r="AB43" i="16"/>
  <c r="AL43" i="16" s="1"/>
  <c r="AB49" i="16"/>
  <c r="AB45" i="16"/>
  <c r="AB42" i="16"/>
  <c r="AL42" i="16" s="1"/>
  <c r="AB46" i="16"/>
  <c r="AB39" i="16"/>
  <c r="AL39" i="16" s="1"/>
  <c r="AB44" i="16"/>
  <c r="AL44" i="16" s="1"/>
  <c r="AB47" i="16"/>
  <c r="AB38" i="16"/>
  <c r="AL38" i="16" s="1"/>
  <c r="AL48" i="16" s="1"/>
  <c r="AL112" i="16" s="1"/>
  <c r="AB41" i="16"/>
  <c r="AB80" i="16" s="1"/>
  <c r="AB37" i="16"/>
  <c r="AL37" i="16" s="1"/>
  <c r="AB40" i="16"/>
  <c r="AL11" i="16"/>
  <c r="AB71" i="16"/>
  <c r="R75" i="16"/>
  <c r="AB85" i="16"/>
  <c r="AB86" i="16" s="1"/>
  <c r="AL81" i="16"/>
  <c r="Z81" i="16"/>
  <c r="P85" i="16"/>
  <c r="P86" i="16" s="1"/>
  <c r="Z50" i="16" s="1"/>
  <c r="R80" i="16"/>
  <c r="AL47" i="16" l="1"/>
  <c r="AL111" i="16" s="1"/>
  <c r="AJ81" i="16"/>
  <c r="AL41" i="16"/>
  <c r="AB62" i="16"/>
  <c r="AB20" i="16"/>
  <c r="H16" i="17"/>
  <c r="AB57" i="16"/>
  <c r="AL36" i="16"/>
  <c r="AL71" i="16"/>
  <c r="AB75" i="16"/>
  <c r="AB15" i="16"/>
  <c r="AL49" i="16"/>
  <c r="AL113" i="16" s="1"/>
  <c r="Z37" i="16"/>
  <c r="AJ37" i="16" s="1"/>
  <c r="Z46" i="16"/>
  <c r="Z43" i="16"/>
  <c r="AJ43" i="16" s="1"/>
  <c r="Z49" i="16"/>
  <c r="Z41" i="16"/>
  <c r="Z36" i="16"/>
  <c r="Z40" i="16"/>
  <c r="Z38" i="16"/>
  <c r="AJ38" i="16" s="1"/>
  <c r="Z48" i="16"/>
  <c r="Z39" i="16"/>
  <c r="AJ39" i="16" s="1"/>
  <c r="Z44" i="16"/>
  <c r="AJ44" i="16" s="1"/>
  <c r="Z47" i="16"/>
  <c r="Z45" i="16"/>
  <c r="Z42" i="16"/>
  <c r="AJ42" i="16" s="1"/>
  <c r="AB67" i="16"/>
  <c r="AJ49" i="16" l="1"/>
  <c r="AJ113" i="16" s="1"/>
  <c r="Z67" i="16"/>
  <c r="AL40" i="16"/>
  <c r="AL46" i="16"/>
  <c r="AL57" i="16"/>
  <c r="AL45" i="16"/>
  <c r="AJ47" i="16"/>
  <c r="AJ111" i="16" s="1"/>
  <c r="Z62" i="16"/>
  <c r="AJ41" i="16"/>
  <c r="Z20" i="16"/>
  <c r="Z80" i="16"/>
  <c r="Z85" i="16"/>
  <c r="Z86" i="16" s="1"/>
  <c r="Z57" i="16"/>
  <c r="AJ36" i="16"/>
  <c r="Z75" i="16"/>
  <c r="Z15" i="16"/>
  <c r="AJ48" i="16"/>
  <c r="AJ112" i="16" s="1"/>
  <c r="AL15" i="16"/>
  <c r="AJ45" i="16" l="1"/>
  <c r="F32" i="17" s="1"/>
  <c r="AJ80" i="16"/>
  <c r="F25" i="17" s="1"/>
  <c r="AL95" i="16"/>
  <c r="AL97" i="16" s="1"/>
  <c r="H47" i="17" s="1"/>
  <c r="H48" i="17" s="1"/>
  <c r="H49" i="17" s="1"/>
  <c r="H31" i="17"/>
  <c r="AL92" i="16"/>
  <c r="AL94" i="16" s="1"/>
  <c r="H43" i="17" s="1"/>
  <c r="H44" i="17" s="1"/>
  <c r="H45" i="17" s="1"/>
  <c r="AL67" i="16"/>
  <c r="AL110" i="16"/>
  <c r="AL114" i="16" s="1"/>
  <c r="H74" i="17" s="1"/>
  <c r="H75" i="17" s="1"/>
  <c r="AL50" i="16"/>
  <c r="AL85" i="16"/>
  <c r="H32" i="17"/>
  <c r="AL80" i="16"/>
  <c r="H25" i="17" s="1"/>
  <c r="AL20" i="16"/>
  <c r="AL89" i="16"/>
  <c r="AL102" i="16"/>
  <c r="H58" i="17" s="1"/>
  <c r="H61" i="17" s="1"/>
  <c r="AL107" i="16"/>
  <c r="H68" i="17" s="1"/>
  <c r="H71" i="17" s="1"/>
  <c r="H15" i="17"/>
  <c r="AL106" i="16"/>
  <c r="AL101" i="16"/>
  <c r="H57" i="17" s="1"/>
  <c r="H60" i="17" s="1"/>
  <c r="AL62" i="16"/>
  <c r="AJ46" i="16"/>
  <c r="AJ57" i="16"/>
  <c r="AJ40" i="16"/>
  <c r="AL75" i="16"/>
  <c r="H24" i="17" s="1"/>
  <c r="AL108" i="16" l="1"/>
  <c r="H69" i="17" s="1"/>
  <c r="H72" i="17" s="1"/>
  <c r="AL90" i="16"/>
  <c r="AL103" i="16"/>
  <c r="H59" i="17" s="1"/>
  <c r="H62" i="17" s="1"/>
  <c r="AJ110" i="16"/>
  <c r="AJ114" i="16" s="1"/>
  <c r="F74" i="17" s="1"/>
  <c r="F75" i="17" s="1"/>
  <c r="AJ50" i="16"/>
  <c r="AJ85" i="16"/>
  <c r="H63" i="17"/>
  <c r="AJ95" i="16"/>
  <c r="AJ97" i="16" s="1"/>
  <c r="F47" i="17" s="1"/>
  <c r="F48" i="17" s="1"/>
  <c r="F49" i="17" s="1"/>
  <c r="F31" i="17"/>
  <c r="AJ92" i="16"/>
  <c r="AJ94" i="16" s="1"/>
  <c r="F43" i="17" s="1"/>
  <c r="F44" i="17" s="1"/>
  <c r="F45" i="17" s="1"/>
  <c r="H67" i="17"/>
  <c r="AL109" i="16"/>
  <c r="H26" i="17"/>
  <c r="I8" i="26" s="1"/>
  <c r="I24" i="26" s="1"/>
  <c r="AL86" i="16"/>
  <c r="AL91" i="16"/>
  <c r="H38" i="17" s="1"/>
  <c r="H40" i="17" s="1"/>
  <c r="H41" i="17" s="1"/>
  <c r="AJ15" i="16"/>
  <c r="H33" i="17"/>
  <c r="AL98" i="16"/>
  <c r="H51" i="17" s="1"/>
  <c r="H52" i="17" s="1"/>
  <c r="H53" i="17" s="1"/>
  <c r="AJ62" i="16"/>
  <c r="AJ75" i="16"/>
  <c r="F24" i="17" s="1"/>
  <c r="AJ20" i="16"/>
  <c r="AJ90" i="16" l="1"/>
  <c r="AJ103" i="16"/>
  <c r="F59" i="17" s="1"/>
  <c r="F62" i="17" s="1"/>
  <c r="B40" i="27" s="1"/>
  <c r="AJ108" i="16"/>
  <c r="F69" i="17" s="1"/>
  <c r="F72" i="17" s="1"/>
  <c r="F33" i="17"/>
  <c r="AJ98" i="16"/>
  <c r="F51" i="17" s="1"/>
  <c r="F52" i="17" s="1"/>
  <c r="F53" i="17" s="1"/>
  <c r="AJ86" i="16"/>
  <c r="F26" i="17"/>
  <c r="H77" i="17"/>
  <c r="H78" i="17" s="1"/>
  <c r="H70" i="17"/>
  <c r="AJ67" i="16"/>
  <c r="I10" i="26"/>
  <c r="H34" i="17"/>
  <c r="F15" i="17"/>
  <c r="AJ102" i="16"/>
  <c r="F58" i="17" s="1"/>
  <c r="F61" i="17" s="1"/>
  <c r="B38" i="27" s="1"/>
  <c r="AJ101" i="16"/>
  <c r="F57" i="17" s="1"/>
  <c r="F60" i="17" s="1"/>
  <c r="AJ89" i="16"/>
  <c r="AJ91" i="16" s="1"/>
  <c r="F38" i="17" s="1"/>
  <c r="AJ107" i="16"/>
  <c r="F68" i="17" s="1"/>
  <c r="F71" i="17" s="1"/>
  <c r="AJ106" i="16"/>
  <c r="H36" i="17"/>
  <c r="F40" i="17" l="1"/>
  <c r="F41" i="17" s="1"/>
  <c r="B34" i="27" s="1"/>
  <c r="B33" i="27"/>
  <c r="G8" i="26"/>
  <c r="G24" i="26" s="1"/>
  <c r="B46" i="27"/>
  <c r="G10" i="26"/>
  <c r="B36" i="27"/>
  <c r="F34" i="17"/>
  <c r="B37" i="27" s="1"/>
  <c r="F36" i="17"/>
  <c r="B43" i="27" s="1"/>
  <c r="G20" i="26"/>
  <c r="I20" i="26"/>
  <c r="I22" i="26" s="1"/>
  <c r="F63" i="17"/>
  <c r="B41" i="27" s="1"/>
  <c r="B39" i="27"/>
  <c r="F67" i="17"/>
  <c r="AJ109" i="16"/>
  <c r="B44" i="27"/>
  <c r="I26" i="26" l="1"/>
  <c r="I30" i="26" s="1"/>
  <c r="I31" i="26" s="1"/>
  <c r="I28" i="26"/>
  <c r="F70" i="17"/>
  <c r="F77" i="17"/>
  <c r="G22" i="26"/>
  <c r="G26" i="26" l="1"/>
  <c r="G28" i="26"/>
  <c r="F83" i="17"/>
  <c r="F78" i="17"/>
  <c r="F84" i="17" s="1"/>
  <c r="B50" i="27" l="1"/>
  <c r="G30" i="26"/>
  <c r="G31" i="26" l="1"/>
  <c r="F80" i="17"/>
  <c r="F81" i="17" l="1"/>
  <c r="B48" i="27"/>
  <c r="F86" i="17"/>
  <c r="B49" i="27" l="1"/>
  <c r="F87" i="17"/>
  <c r="B51" i="27" s="1"/>
</calcChain>
</file>

<file path=xl/comments1.xml><?xml version="1.0" encoding="utf-8"?>
<comments xmlns="http://schemas.openxmlformats.org/spreadsheetml/2006/main">
  <authors>
    <author>Samuelsson, Sandra</author>
  </authors>
  <commentList>
    <comment ref="D5" authorId="0" shapeId="0">
      <text>
        <r>
          <rPr>
            <b/>
            <sz val="9"/>
            <color indexed="81"/>
            <rFont val="Tahoma"/>
            <family val="2"/>
          </rPr>
          <t>Samuelsson, Sandra:</t>
        </r>
        <r>
          <rPr>
            <sz val="9"/>
            <color indexed="81"/>
            <rFont val="Tahoma"/>
            <family val="2"/>
          </rPr>
          <t xml:space="preserve">
Ska vi ha 2017 med också?</t>
        </r>
      </text>
    </comment>
    <comment ref="H5" authorId="0" shapeId="0">
      <text>
        <r>
          <rPr>
            <b/>
            <sz val="9"/>
            <color indexed="81"/>
            <rFont val="Tahoma"/>
            <family val="2"/>
          </rPr>
          <t>Samuelsson, Sandra:</t>
        </r>
        <r>
          <rPr>
            <sz val="9"/>
            <color indexed="81"/>
            <rFont val="Tahoma"/>
            <family val="2"/>
          </rPr>
          <t xml:space="preserve">
Hur många scenarion vill vi ha?</t>
        </r>
      </text>
    </comment>
  </commentList>
</comments>
</file>

<file path=xl/comments2.xml><?xml version="1.0" encoding="utf-8"?>
<comments xmlns="http://schemas.openxmlformats.org/spreadsheetml/2006/main">
  <authors>
    <author>Lindblom Helen, PLkvm</author>
  </authors>
  <commentList>
    <comment ref="A64" authorId="0" shapeId="0">
      <text>
        <r>
          <rPr>
            <b/>
            <sz val="9"/>
            <color indexed="81"/>
            <rFont val="Tahoma"/>
            <family val="2"/>
          </rPr>
          <t>Lindblom Helen, PLkvm:</t>
        </r>
        <r>
          <rPr>
            <sz val="9"/>
            <color indexed="81"/>
            <rFont val="Tahoma"/>
            <family val="2"/>
          </rPr>
          <t xml:space="preserve">
Exkluderar eventuella intäkter från drivmedelsskatter för bussar </t>
        </r>
      </text>
    </comment>
    <comment ref="A73" authorId="0" shapeId="0">
      <text>
        <r>
          <rPr>
            <b/>
            <sz val="9"/>
            <color indexed="81"/>
            <rFont val="Tahoma"/>
            <family val="2"/>
          </rPr>
          <t>Lindblom Helen, PLkvm:</t>
        </r>
        <r>
          <rPr>
            <sz val="9"/>
            <color indexed="81"/>
            <rFont val="Tahoma"/>
            <family val="2"/>
          </rPr>
          <t xml:space="preserve">
Exkluderar bussar</t>
        </r>
      </text>
    </comment>
    <comment ref="A76" authorId="0" shapeId="0">
      <text>
        <r>
          <rPr>
            <b/>
            <sz val="9"/>
            <color indexed="81"/>
            <rFont val="Tahoma"/>
            <family val="2"/>
          </rPr>
          <t>Lindblom Helen, PLkvm:</t>
        </r>
        <r>
          <rPr>
            <sz val="9"/>
            <color indexed="81"/>
            <rFont val="Tahoma"/>
            <family val="2"/>
          </rPr>
          <t xml:space="preserve">
Exkluderar bussar</t>
        </r>
      </text>
    </comment>
  </commentList>
</comments>
</file>

<file path=xl/comments3.xml><?xml version="1.0" encoding="utf-8"?>
<comments xmlns="http://schemas.openxmlformats.org/spreadsheetml/2006/main">
  <authors>
    <author>Samuelsson, Sandra</author>
    <author>Lindblom Helen, PLkvm</author>
  </authors>
  <commentList>
    <comment ref="A7" authorId="0" shapeId="0">
      <text>
        <r>
          <rPr>
            <b/>
            <sz val="9"/>
            <color indexed="81"/>
            <rFont val="Tahoma"/>
            <family val="2"/>
          </rPr>
          <t>Samuelsson, Sandra:</t>
        </r>
        <r>
          <rPr>
            <sz val="9"/>
            <color indexed="81"/>
            <rFont val="Tahoma"/>
            <family val="2"/>
          </rPr>
          <t xml:space="preserve">
inkl. etanol och gas</t>
        </r>
      </text>
    </comment>
    <comment ref="F7" authorId="0" shapeId="0">
      <text>
        <r>
          <rPr>
            <b/>
            <sz val="9"/>
            <color indexed="81"/>
            <rFont val="Tahoma"/>
            <family val="2"/>
          </rPr>
          <t>Samuelsson, Sandra:</t>
        </r>
        <r>
          <rPr>
            <sz val="9"/>
            <color indexed="81"/>
            <rFont val="Tahoma"/>
            <family val="2"/>
          </rPr>
          <t xml:space="preserve">
inkl. etanol och gas</t>
        </r>
      </text>
    </comment>
    <comment ref="A12" authorId="1" shapeId="0">
      <text>
        <r>
          <rPr>
            <b/>
            <sz val="9"/>
            <color indexed="81"/>
            <rFont val="Tahoma"/>
            <family val="2"/>
          </rPr>
          <t>Lindblom Helen, PLkvm:</t>
        </r>
        <r>
          <rPr>
            <sz val="9"/>
            <color indexed="81"/>
            <rFont val="Tahoma"/>
            <family val="2"/>
          </rPr>
          <t xml:space="preserve">
Trafikarbetet motsvarar utvecklingstakten i Basprognos 2018 men utifrånTrafikanalys offifiella trafikarbetsstatistik för år 2017. Eftersom befolkningsutvecklingen skrivits upp betydligt sedan BP2018 har även en justering gjorts för att ta höjd för förändringen med +2,5 % år 2030 samt + 5 % år 2040. </t>
        </r>
      </text>
    </comment>
    <comment ref="A15" authorId="0" shapeId="0">
      <text>
        <r>
          <rPr>
            <b/>
            <sz val="9"/>
            <color indexed="81"/>
            <rFont val="Tahoma"/>
            <family val="2"/>
          </rPr>
          <t>Samuelsson, Sandra:</t>
        </r>
        <r>
          <rPr>
            <sz val="9"/>
            <color indexed="81"/>
            <rFont val="Tahoma"/>
            <family val="2"/>
          </rPr>
          <t xml:space="preserve">
Från HBEFA juni 2019 fram till 2030 (och 2035) sedan utvecklingstakt från Scenario Transporteffektivt 20190529</t>
        </r>
      </text>
    </comment>
    <comment ref="F15" authorId="0" shapeId="0">
      <text>
        <r>
          <rPr>
            <b/>
            <sz val="9"/>
            <color indexed="81"/>
            <rFont val="Tahoma"/>
            <family val="2"/>
          </rPr>
          <t>Samuelsson, Sandra:</t>
        </r>
        <r>
          <rPr>
            <sz val="9"/>
            <color indexed="81"/>
            <rFont val="Tahoma"/>
            <family val="2"/>
          </rPr>
          <t xml:space="preserve">
Från HBEFA juni 2019 fram till 2030 (och 2035) sedan utvecklingstakt från Scenario Transporteffektivt 20190529</t>
        </r>
      </text>
    </comment>
    <comment ref="A16" authorId="0" shapeId="0">
      <text>
        <r>
          <rPr>
            <b/>
            <sz val="9"/>
            <color indexed="81"/>
            <rFont val="Tahoma"/>
            <family val="2"/>
          </rPr>
          <t>Samuelsson, Sandra:</t>
        </r>
        <r>
          <rPr>
            <sz val="9"/>
            <color indexed="81"/>
            <rFont val="Tahoma"/>
            <family val="2"/>
          </rPr>
          <t xml:space="preserve">
Bensin=Otto</t>
        </r>
      </text>
    </comment>
    <comment ref="F16" authorId="0" shapeId="0">
      <text>
        <r>
          <rPr>
            <b/>
            <sz val="9"/>
            <color indexed="81"/>
            <rFont val="Tahoma"/>
            <family val="2"/>
          </rPr>
          <t>Samuelsson, Sandra:</t>
        </r>
        <r>
          <rPr>
            <sz val="9"/>
            <color indexed="81"/>
            <rFont val="Tahoma"/>
            <family val="2"/>
          </rPr>
          <t xml:space="preserve">
Bensin=Otto</t>
        </r>
      </text>
    </comment>
  </commentList>
</comments>
</file>

<file path=xl/comments4.xml><?xml version="1.0" encoding="utf-8"?>
<comments xmlns="http://schemas.openxmlformats.org/spreadsheetml/2006/main">
  <authors>
    <author>Samuelsson, Sandra</author>
  </authors>
  <commentList>
    <comment ref="D11" authorId="0" shapeId="0">
      <text>
        <r>
          <rPr>
            <b/>
            <sz val="9"/>
            <color indexed="81"/>
            <rFont val="Tahoma"/>
            <family val="2"/>
          </rPr>
          <t xml:space="preserve">Lindblom Helen, PLkvm:
</t>
        </r>
        <r>
          <rPr>
            <sz val="9"/>
            <color indexed="81"/>
            <rFont val="Tahoma"/>
            <family val="2"/>
          </rPr>
          <t xml:space="preserve">År 2019 gjordes ingen indexuppräkning med +2 %. Förslaget var dock att återinföra uppräkningen 2020. I efterhand blev det inte +2% 2020 heller, men i denna version av scenarioverktyget behåller vi antagandet som vi haft i scenarioarbetet under 2019. </t>
        </r>
      </text>
    </comment>
    <comment ref="E12" authorId="0" shapeId="0">
      <text>
        <r>
          <rPr>
            <b/>
            <sz val="9"/>
            <color indexed="81"/>
            <rFont val="Tahoma"/>
            <family val="2"/>
          </rPr>
          <t>Samuelsson, Sandra:</t>
        </r>
        <r>
          <rPr>
            <sz val="9"/>
            <color indexed="81"/>
            <rFont val="Tahoma"/>
            <family val="2"/>
          </rPr>
          <t xml:space="preserve">
Linjär utveckling antas mellan 2017 och 2040.</t>
        </r>
      </text>
    </comment>
    <comment ref="G12" authorId="0" shapeId="0">
      <text>
        <r>
          <rPr>
            <b/>
            <sz val="9"/>
            <color indexed="81"/>
            <rFont val="Tahoma"/>
            <family val="2"/>
          </rPr>
          <t>Samuelsson, Sandra:</t>
        </r>
        <r>
          <rPr>
            <sz val="9"/>
            <color indexed="81"/>
            <rFont val="Tahoma"/>
            <family val="2"/>
          </rPr>
          <t xml:space="preserve">
Linjär utveckling antas mellan 2017 och 2040.</t>
        </r>
      </text>
    </comment>
    <comment ref="I12" authorId="0" shapeId="0">
      <text>
        <r>
          <rPr>
            <b/>
            <sz val="9"/>
            <color indexed="81"/>
            <rFont val="Tahoma"/>
            <family val="2"/>
          </rPr>
          <t>Samuelsson, Sandra:</t>
        </r>
        <r>
          <rPr>
            <sz val="9"/>
            <color indexed="81"/>
            <rFont val="Tahoma"/>
            <family val="2"/>
          </rPr>
          <t xml:space="preserve">
Linjär utveckling antas mellan 2017 och 2040.</t>
        </r>
      </text>
    </comment>
    <comment ref="E14" authorId="0" shapeId="0">
      <text>
        <r>
          <rPr>
            <b/>
            <sz val="9"/>
            <color indexed="81"/>
            <rFont val="Tahoma"/>
            <family val="2"/>
          </rPr>
          <t>Samuelsson, Sandra:</t>
        </r>
        <r>
          <rPr>
            <sz val="9"/>
            <color indexed="81"/>
            <rFont val="Tahoma"/>
            <family val="2"/>
          </rPr>
          <t xml:space="preserve">
Linjär utveckling antas mellan 2017 och 2040.</t>
        </r>
      </text>
    </comment>
    <comment ref="G14" authorId="0" shapeId="0">
      <text>
        <r>
          <rPr>
            <b/>
            <sz val="9"/>
            <color indexed="81"/>
            <rFont val="Tahoma"/>
            <family val="2"/>
          </rPr>
          <t>Samuelsson, Sandra:</t>
        </r>
        <r>
          <rPr>
            <sz val="9"/>
            <color indexed="81"/>
            <rFont val="Tahoma"/>
            <family val="2"/>
          </rPr>
          <t xml:space="preserve">
Linjär utveckling antas mellan 2017 och 2040.</t>
        </r>
      </text>
    </comment>
    <comment ref="I14" authorId="0" shapeId="0">
      <text>
        <r>
          <rPr>
            <b/>
            <sz val="9"/>
            <color indexed="81"/>
            <rFont val="Tahoma"/>
            <family val="2"/>
          </rPr>
          <t>Samuelsson, Sandra:</t>
        </r>
        <r>
          <rPr>
            <sz val="9"/>
            <color indexed="81"/>
            <rFont val="Tahoma"/>
            <family val="2"/>
          </rPr>
          <t xml:space="preserve">
Linjär utveckling antas mellan 2017 och 2040.</t>
        </r>
      </text>
    </comment>
    <comment ref="E15" authorId="0" shapeId="0">
      <text>
        <r>
          <rPr>
            <b/>
            <sz val="9"/>
            <color indexed="81"/>
            <rFont val="Tahoma"/>
            <family val="2"/>
          </rPr>
          <t>Samuelsson, Sandra:</t>
        </r>
        <r>
          <rPr>
            <sz val="9"/>
            <color indexed="81"/>
            <rFont val="Tahoma"/>
            <family val="2"/>
          </rPr>
          <t xml:space="preserve">
Linjär utveckling antas mellan 2017 och 2040.</t>
        </r>
      </text>
    </comment>
    <comment ref="G15" authorId="0" shapeId="0">
      <text>
        <r>
          <rPr>
            <b/>
            <sz val="9"/>
            <color indexed="81"/>
            <rFont val="Tahoma"/>
            <family val="2"/>
          </rPr>
          <t>Samuelsson, Sandra:</t>
        </r>
        <r>
          <rPr>
            <sz val="9"/>
            <color indexed="81"/>
            <rFont val="Tahoma"/>
            <family val="2"/>
          </rPr>
          <t xml:space="preserve">
Linjär utveckling antas mellan 2017 och 2040.</t>
        </r>
      </text>
    </comment>
    <comment ref="I15" authorId="0" shapeId="0">
      <text>
        <r>
          <rPr>
            <b/>
            <sz val="9"/>
            <color indexed="81"/>
            <rFont val="Tahoma"/>
            <family val="2"/>
          </rPr>
          <t>Samuelsson, Sandra:</t>
        </r>
        <r>
          <rPr>
            <sz val="9"/>
            <color indexed="81"/>
            <rFont val="Tahoma"/>
            <family val="2"/>
          </rPr>
          <t xml:space="preserve">
Linjär utveckling antas mellan 2017 och 2040.</t>
        </r>
      </text>
    </comment>
    <comment ref="D30" authorId="0" shapeId="0">
      <text>
        <r>
          <rPr>
            <b/>
            <sz val="9"/>
            <color indexed="81"/>
            <rFont val="Tahoma"/>
            <family val="2"/>
          </rPr>
          <t xml:space="preserve">Lindblom Helen, PLkvm:
</t>
        </r>
        <r>
          <rPr>
            <sz val="9"/>
            <color indexed="81"/>
            <rFont val="Tahoma"/>
            <family val="2"/>
          </rPr>
          <t xml:space="preserve">År 2019 gjordes ingen indexuppräkning med +2 %. Förslaget var dock att återinföra uppräkningen 2020. I efterhand blev det inte +2% 2020 heller, men i denna version av scenarioverktyget behåller vi antagandet som vi haft i scenarioarbetet under 2019. </t>
        </r>
      </text>
    </comment>
    <comment ref="E31" authorId="0" shapeId="0">
      <text>
        <r>
          <rPr>
            <b/>
            <sz val="9"/>
            <color indexed="81"/>
            <rFont val="Tahoma"/>
            <family val="2"/>
          </rPr>
          <t>Samuelsson, Sandra:</t>
        </r>
        <r>
          <rPr>
            <sz val="9"/>
            <color indexed="81"/>
            <rFont val="Tahoma"/>
            <family val="2"/>
          </rPr>
          <t xml:space="preserve">
Linjär utveckling antas mellan 2017 och 2040.</t>
        </r>
      </text>
    </comment>
    <comment ref="G31" authorId="0" shapeId="0">
      <text>
        <r>
          <rPr>
            <b/>
            <sz val="9"/>
            <color indexed="81"/>
            <rFont val="Tahoma"/>
            <family val="2"/>
          </rPr>
          <t>Samuelsson, Sandra:</t>
        </r>
        <r>
          <rPr>
            <sz val="9"/>
            <color indexed="81"/>
            <rFont val="Tahoma"/>
            <family val="2"/>
          </rPr>
          <t xml:space="preserve">
Linjär utveckling antas mellan 2017 och 2040.</t>
        </r>
      </text>
    </comment>
    <comment ref="I31" authorId="0" shapeId="0">
      <text>
        <r>
          <rPr>
            <b/>
            <sz val="9"/>
            <color indexed="81"/>
            <rFont val="Tahoma"/>
            <family val="2"/>
          </rPr>
          <t>Samuelsson, Sandra:</t>
        </r>
        <r>
          <rPr>
            <sz val="9"/>
            <color indexed="81"/>
            <rFont val="Tahoma"/>
            <family val="2"/>
          </rPr>
          <t xml:space="preserve">
Linjär utveckling antas mellan 2017 och 2040.</t>
        </r>
      </text>
    </comment>
    <comment ref="E33" authorId="0" shapeId="0">
      <text>
        <r>
          <rPr>
            <b/>
            <sz val="9"/>
            <color indexed="81"/>
            <rFont val="Tahoma"/>
            <family val="2"/>
          </rPr>
          <t>Samuelsson, Sandra:</t>
        </r>
        <r>
          <rPr>
            <sz val="9"/>
            <color indexed="81"/>
            <rFont val="Tahoma"/>
            <family val="2"/>
          </rPr>
          <t xml:space="preserve">
Linjär utveckling antas mellan 2017 och 2040.</t>
        </r>
      </text>
    </comment>
    <comment ref="G33" authorId="0" shapeId="0">
      <text>
        <r>
          <rPr>
            <b/>
            <sz val="9"/>
            <color indexed="81"/>
            <rFont val="Tahoma"/>
            <family val="2"/>
          </rPr>
          <t>Samuelsson, Sandra:</t>
        </r>
        <r>
          <rPr>
            <sz val="9"/>
            <color indexed="81"/>
            <rFont val="Tahoma"/>
            <family val="2"/>
          </rPr>
          <t xml:space="preserve">
Linjär utveckling antas mellan 2017 och 2040.</t>
        </r>
      </text>
    </comment>
    <comment ref="I33" authorId="0" shapeId="0">
      <text>
        <r>
          <rPr>
            <b/>
            <sz val="9"/>
            <color indexed="81"/>
            <rFont val="Tahoma"/>
            <family val="2"/>
          </rPr>
          <t>Samuelsson, Sandra:</t>
        </r>
        <r>
          <rPr>
            <sz val="9"/>
            <color indexed="81"/>
            <rFont val="Tahoma"/>
            <family val="2"/>
          </rPr>
          <t xml:space="preserve">
Linjär utveckling antas mellan 2017 och 2040.</t>
        </r>
      </text>
    </comment>
    <comment ref="E34" authorId="0" shapeId="0">
      <text>
        <r>
          <rPr>
            <b/>
            <sz val="9"/>
            <color indexed="81"/>
            <rFont val="Tahoma"/>
            <family val="2"/>
          </rPr>
          <t>Samuelsson, Sandra:</t>
        </r>
        <r>
          <rPr>
            <sz val="9"/>
            <color indexed="81"/>
            <rFont val="Tahoma"/>
            <family val="2"/>
          </rPr>
          <t xml:space="preserve">
Linjär utveckling antas mellan 2017 och 2040.</t>
        </r>
      </text>
    </comment>
    <comment ref="G34" authorId="0" shapeId="0">
      <text>
        <r>
          <rPr>
            <b/>
            <sz val="9"/>
            <color indexed="81"/>
            <rFont val="Tahoma"/>
            <family val="2"/>
          </rPr>
          <t>Samuelsson, Sandra:</t>
        </r>
        <r>
          <rPr>
            <sz val="9"/>
            <color indexed="81"/>
            <rFont val="Tahoma"/>
            <family val="2"/>
          </rPr>
          <t xml:space="preserve">
Linjär utveckling antas mellan 2017 och 2040.</t>
        </r>
      </text>
    </comment>
    <comment ref="I34" authorId="0" shapeId="0">
      <text>
        <r>
          <rPr>
            <b/>
            <sz val="9"/>
            <color indexed="81"/>
            <rFont val="Tahoma"/>
            <family val="2"/>
          </rPr>
          <t>Samuelsson, Sandra:</t>
        </r>
        <r>
          <rPr>
            <sz val="9"/>
            <color indexed="81"/>
            <rFont val="Tahoma"/>
            <family val="2"/>
          </rPr>
          <t xml:space="preserve">
Linjär utveckling antas mellan 2017 och 2040.</t>
        </r>
      </text>
    </comment>
    <comment ref="D49" authorId="0" shapeId="0">
      <text>
        <r>
          <rPr>
            <b/>
            <sz val="9"/>
            <color indexed="81"/>
            <rFont val="Tahoma"/>
            <family val="2"/>
          </rPr>
          <t xml:space="preserve">Lindblom Helen, PLkvm:
</t>
        </r>
        <r>
          <rPr>
            <sz val="9"/>
            <color indexed="81"/>
            <rFont val="Tahoma"/>
            <family val="2"/>
          </rPr>
          <t xml:space="preserve">År 2019 gjordes ingen indexuppräkning med +2 %. Förslaget var dock att återinföra uppräkningen 2020. I efterhand blev det inte +2% 2020 heller, men i denna version av scenarioverktyget behåller vi antagandet som vi haft i scenarioarbetet under 2019. </t>
        </r>
      </text>
    </comment>
    <comment ref="E50" authorId="0" shapeId="0">
      <text>
        <r>
          <rPr>
            <b/>
            <sz val="9"/>
            <color indexed="81"/>
            <rFont val="Tahoma"/>
            <family val="2"/>
          </rPr>
          <t>Samuelsson, Sandra:</t>
        </r>
        <r>
          <rPr>
            <sz val="9"/>
            <color indexed="81"/>
            <rFont val="Tahoma"/>
            <family val="2"/>
          </rPr>
          <t xml:space="preserve">
Linjär utveckling antas mellan 2017 och 2040.</t>
        </r>
      </text>
    </comment>
    <comment ref="G50" authorId="0" shapeId="0">
      <text>
        <r>
          <rPr>
            <b/>
            <sz val="9"/>
            <color indexed="81"/>
            <rFont val="Tahoma"/>
            <family val="2"/>
          </rPr>
          <t>Samuelsson, Sandra:</t>
        </r>
        <r>
          <rPr>
            <sz val="9"/>
            <color indexed="81"/>
            <rFont val="Tahoma"/>
            <family val="2"/>
          </rPr>
          <t xml:space="preserve">
Linjär utveckling antas mellan 2017 och 2040.</t>
        </r>
      </text>
    </comment>
    <comment ref="I50" authorId="0" shapeId="0">
      <text>
        <r>
          <rPr>
            <b/>
            <sz val="9"/>
            <color indexed="81"/>
            <rFont val="Tahoma"/>
            <family val="2"/>
          </rPr>
          <t>Samuelsson, Sandra:</t>
        </r>
        <r>
          <rPr>
            <sz val="9"/>
            <color indexed="81"/>
            <rFont val="Tahoma"/>
            <family val="2"/>
          </rPr>
          <t xml:space="preserve">
Linjär utveckling antas mellan 2017 och 2040.</t>
        </r>
      </text>
    </comment>
    <comment ref="E52" authorId="0" shapeId="0">
      <text>
        <r>
          <rPr>
            <b/>
            <sz val="9"/>
            <color indexed="81"/>
            <rFont val="Tahoma"/>
            <family val="2"/>
          </rPr>
          <t>Samuelsson, Sandra:</t>
        </r>
        <r>
          <rPr>
            <sz val="9"/>
            <color indexed="81"/>
            <rFont val="Tahoma"/>
            <family val="2"/>
          </rPr>
          <t xml:space="preserve">
Linjär utveckling antas mellan 2017 och 2040.</t>
        </r>
      </text>
    </comment>
    <comment ref="G52" authorId="0" shapeId="0">
      <text>
        <r>
          <rPr>
            <b/>
            <sz val="9"/>
            <color indexed="81"/>
            <rFont val="Tahoma"/>
            <family val="2"/>
          </rPr>
          <t>Samuelsson, Sandra:</t>
        </r>
        <r>
          <rPr>
            <sz val="9"/>
            <color indexed="81"/>
            <rFont val="Tahoma"/>
            <family val="2"/>
          </rPr>
          <t xml:space="preserve">
Linjär utveckling antas mellan 2017 och 2040.</t>
        </r>
      </text>
    </comment>
    <comment ref="I52" authorId="0" shapeId="0">
      <text>
        <r>
          <rPr>
            <b/>
            <sz val="9"/>
            <color indexed="81"/>
            <rFont val="Tahoma"/>
            <family val="2"/>
          </rPr>
          <t>Samuelsson, Sandra:</t>
        </r>
        <r>
          <rPr>
            <sz val="9"/>
            <color indexed="81"/>
            <rFont val="Tahoma"/>
            <family val="2"/>
          </rPr>
          <t xml:space="preserve">
Linjär utveckling antas mellan 2017 och 2040.</t>
        </r>
      </text>
    </comment>
    <comment ref="E53" authorId="0" shapeId="0">
      <text>
        <r>
          <rPr>
            <b/>
            <sz val="9"/>
            <color indexed="81"/>
            <rFont val="Tahoma"/>
            <family val="2"/>
          </rPr>
          <t>Samuelsson, Sandra:</t>
        </r>
        <r>
          <rPr>
            <sz val="9"/>
            <color indexed="81"/>
            <rFont val="Tahoma"/>
            <family val="2"/>
          </rPr>
          <t xml:space="preserve">
Linjär utveckling antas mellan 2017 och 2040.</t>
        </r>
      </text>
    </comment>
    <comment ref="G53" authorId="0" shapeId="0">
      <text>
        <r>
          <rPr>
            <b/>
            <sz val="9"/>
            <color indexed="81"/>
            <rFont val="Tahoma"/>
            <family val="2"/>
          </rPr>
          <t>Samuelsson, Sandra:</t>
        </r>
        <r>
          <rPr>
            <sz val="9"/>
            <color indexed="81"/>
            <rFont val="Tahoma"/>
            <family val="2"/>
          </rPr>
          <t xml:space="preserve">
Linjär utveckling antas mellan 2017 och 2040.</t>
        </r>
      </text>
    </comment>
    <comment ref="I53" authorId="0" shapeId="0">
      <text>
        <r>
          <rPr>
            <b/>
            <sz val="9"/>
            <color indexed="81"/>
            <rFont val="Tahoma"/>
            <family val="2"/>
          </rPr>
          <t>Samuelsson, Sandra:</t>
        </r>
        <r>
          <rPr>
            <sz val="9"/>
            <color indexed="81"/>
            <rFont val="Tahoma"/>
            <family val="2"/>
          </rPr>
          <t xml:space="preserve">
Linjär utveckling antas mellan 2017 och 2040.</t>
        </r>
      </text>
    </comment>
    <comment ref="E66" authorId="0" shapeId="0">
      <text>
        <r>
          <rPr>
            <b/>
            <sz val="9"/>
            <color indexed="81"/>
            <rFont val="Tahoma"/>
            <family val="2"/>
          </rPr>
          <t>Samuelsson, Sandra:</t>
        </r>
        <r>
          <rPr>
            <sz val="9"/>
            <color indexed="81"/>
            <rFont val="Tahoma"/>
            <family val="2"/>
          </rPr>
          <t xml:space="preserve">
Linjär utveckling antas mellan 2017 och 2040.</t>
        </r>
      </text>
    </comment>
    <comment ref="G66" authorId="0" shapeId="0">
      <text>
        <r>
          <rPr>
            <b/>
            <sz val="9"/>
            <color indexed="81"/>
            <rFont val="Tahoma"/>
            <family val="2"/>
          </rPr>
          <t>Samuelsson, Sandra:</t>
        </r>
        <r>
          <rPr>
            <sz val="9"/>
            <color indexed="81"/>
            <rFont val="Tahoma"/>
            <family val="2"/>
          </rPr>
          <t xml:space="preserve">
Linjär utveckling antas mellan 2017 och 2040.</t>
        </r>
      </text>
    </comment>
    <comment ref="I66" authorId="0" shapeId="0">
      <text>
        <r>
          <rPr>
            <b/>
            <sz val="9"/>
            <color indexed="81"/>
            <rFont val="Tahoma"/>
            <family val="2"/>
          </rPr>
          <t>Samuelsson, Sandra:</t>
        </r>
        <r>
          <rPr>
            <sz val="9"/>
            <color indexed="81"/>
            <rFont val="Tahoma"/>
            <family val="2"/>
          </rPr>
          <t xml:space="preserve">
Linjär utveckling antas mellan 2017 och 2040.</t>
        </r>
      </text>
    </comment>
    <comment ref="E79" authorId="0" shapeId="0">
      <text>
        <r>
          <rPr>
            <b/>
            <sz val="9"/>
            <color indexed="81"/>
            <rFont val="Tahoma"/>
            <family val="2"/>
          </rPr>
          <t>Samuelsson, Sandra:</t>
        </r>
        <r>
          <rPr>
            <sz val="9"/>
            <color indexed="81"/>
            <rFont val="Tahoma"/>
            <family val="2"/>
          </rPr>
          <t xml:space="preserve">
Linjär utveckling antas mellan 2017 och 2040.</t>
        </r>
      </text>
    </comment>
    <comment ref="G79" authorId="0" shapeId="0">
      <text>
        <r>
          <rPr>
            <b/>
            <sz val="9"/>
            <color indexed="81"/>
            <rFont val="Tahoma"/>
            <family val="2"/>
          </rPr>
          <t>Samuelsson, Sandra:</t>
        </r>
        <r>
          <rPr>
            <sz val="9"/>
            <color indexed="81"/>
            <rFont val="Tahoma"/>
            <family val="2"/>
          </rPr>
          <t xml:space="preserve">
Linjär utveckling antas mellan 2017 och 2040.</t>
        </r>
      </text>
    </comment>
    <comment ref="I79" authorId="0" shapeId="0">
      <text>
        <r>
          <rPr>
            <b/>
            <sz val="9"/>
            <color indexed="81"/>
            <rFont val="Tahoma"/>
            <family val="2"/>
          </rPr>
          <t>Samuelsson, Sandra:</t>
        </r>
        <r>
          <rPr>
            <sz val="9"/>
            <color indexed="81"/>
            <rFont val="Tahoma"/>
            <family val="2"/>
          </rPr>
          <t xml:space="preserve">
Linjär utveckling antas mellan 2017 och 2040.</t>
        </r>
      </text>
    </comment>
  </commentList>
</comments>
</file>

<file path=xl/comments5.xml><?xml version="1.0" encoding="utf-8"?>
<comments xmlns="http://schemas.openxmlformats.org/spreadsheetml/2006/main">
  <authors>
    <author>Samuelsson, Sandra</author>
  </authors>
  <commentList>
    <comment ref="V9" authorId="0" shapeId="0">
      <text>
        <r>
          <rPr>
            <b/>
            <sz val="9"/>
            <color indexed="81"/>
            <rFont val="Tahoma"/>
            <family val="2"/>
          </rPr>
          <t>Samuelsson, Sandra:</t>
        </r>
        <r>
          <rPr>
            <sz val="9"/>
            <color indexed="81"/>
            <rFont val="Tahoma"/>
            <family val="2"/>
          </rPr>
          <t xml:space="preserve">
Ev. liten justering beroende på vilken drivmedelsfördelning som använts i förebearbetning</t>
        </r>
      </text>
    </comment>
  </commentList>
</comments>
</file>

<file path=xl/sharedStrings.xml><?xml version="1.0" encoding="utf-8"?>
<sst xmlns="http://schemas.openxmlformats.org/spreadsheetml/2006/main" count="4026" uniqueCount="850">
  <si>
    <t>Drivmedelspris</t>
  </si>
  <si>
    <t>Reduktionsplikt</t>
  </si>
  <si>
    <t>Produktpris sammansatt produkt</t>
  </si>
  <si>
    <t>Summa drivmedelsskatter</t>
  </si>
  <si>
    <t>Moms på produktpris</t>
  </si>
  <si>
    <t>Moms på skatt</t>
  </si>
  <si>
    <t>Summa moms</t>
  </si>
  <si>
    <t>El</t>
  </si>
  <si>
    <t>Bensin</t>
  </si>
  <si>
    <t>Diesel</t>
  </si>
  <si>
    <t>volymprocent</t>
  </si>
  <si>
    <t>Bensin - etanol</t>
  </si>
  <si>
    <t>Bensin - biobensin (HVO)</t>
  </si>
  <si>
    <t>Diesel - FAME</t>
  </si>
  <si>
    <t>Enhet</t>
  </si>
  <si>
    <t>Kommentar</t>
  </si>
  <si>
    <t>Totalt</t>
  </si>
  <si>
    <t>Trafikarbete</t>
  </si>
  <si>
    <t>Kategori</t>
  </si>
  <si>
    <t>andel i procent</t>
  </si>
  <si>
    <t>Sammanvägd bensin+diesel</t>
  </si>
  <si>
    <t>Kilometerskatt</t>
  </si>
  <si>
    <t>Ytterligare energieffektiv användning av fordon</t>
  </si>
  <si>
    <t>Transporteffektiv samhällsplanering</t>
  </si>
  <si>
    <t>kr/km</t>
  </si>
  <si>
    <t>procent</t>
  </si>
  <si>
    <t>Styrmedel</t>
  </si>
  <si>
    <t>Socioekonomi</t>
  </si>
  <si>
    <t>Befolkning</t>
  </si>
  <si>
    <t>Bilinnehav</t>
  </si>
  <si>
    <t>bil/person</t>
  </si>
  <si>
    <t>antal personer (nattbefolkning)</t>
  </si>
  <si>
    <t xml:space="preserve">Befolkning </t>
  </si>
  <si>
    <t>personer (nattbefolkning)</t>
  </si>
  <si>
    <t>Antal bilar</t>
  </si>
  <si>
    <t>personbil och lätt lastbil</t>
  </si>
  <si>
    <t>miljarder fordonskilometer per år</t>
  </si>
  <si>
    <t>Diesel - biodiesel (HVO)</t>
  </si>
  <si>
    <t>Drivmedelsförbrukning</t>
  </si>
  <si>
    <t>liter/mil</t>
  </si>
  <si>
    <t>kWh/mil</t>
  </si>
  <si>
    <t xml:space="preserve">Förändring av drivmedelsskatter </t>
  </si>
  <si>
    <t xml:space="preserve">procent per år </t>
  </si>
  <si>
    <t>procent per år</t>
  </si>
  <si>
    <t>Alla värden uttryckta i 2017-års penningvärde.</t>
  </si>
  <si>
    <t xml:space="preserve">Bensin - bränslepris vid pump </t>
  </si>
  <si>
    <t>Diesel för personbilar - bränslepris vid pump</t>
  </si>
  <si>
    <t>Reduktionsplikt - FAME</t>
  </si>
  <si>
    <t>Reduktionsplikt - biobensin (HVO)</t>
  </si>
  <si>
    <t>Diesel för lastbilar - bulk</t>
  </si>
  <si>
    <t>El för hushåll (personbilar)</t>
  </si>
  <si>
    <t>El, försäljningspris vid pump, kr/kWh</t>
  </si>
  <si>
    <t>El för företag (lastbilar, bussar)</t>
  </si>
  <si>
    <t>EU-krav/Bonus-Malus</t>
  </si>
  <si>
    <t>FÖRUTSÄTTNINGAR för beslutad politik</t>
  </si>
  <si>
    <t>(37,5% reduktion för personbil och 30% för lastbil)</t>
  </si>
  <si>
    <t>(50% reduktion för personbil och 30% för lastbil)</t>
  </si>
  <si>
    <t>Indata till scenarioverktyget</t>
  </si>
  <si>
    <t>Prisnivå 2017</t>
  </si>
  <si>
    <t>Övriga åtgärder</t>
  </si>
  <si>
    <t>Indata som kan justeras</t>
  </si>
  <si>
    <t>1. Beslutad politik</t>
  </si>
  <si>
    <t>Hämtas från HBEFA (utan hänsyn till förändring av drivmedelspriser)</t>
  </si>
  <si>
    <t>Lista för rullista</t>
  </si>
  <si>
    <t>Referensscenario</t>
  </si>
  <si>
    <t>Scenario 1</t>
  </si>
  <si>
    <t>Scenario 2</t>
  </si>
  <si>
    <t>Beskrivning</t>
  </si>
  <si>
    <t>Energieffektiviseringselasticitet (lätt trafik, bensin och diesel) map drivmedelspris</t>
  </si>
  <si>
    <t>Elasticitet från Sampers</t>
  </si>
  <si>
    <t>Viss effektivisering antas (expertbedömning)</t>
  </si>
  <si>
    <t>Antar att ingen ytterligare effektivisering är möjlig (expertbedömning)</t>
  </si>
  <si>
    <t>Eventuell manuell justering av trafikarbetet</t>
  </si>
  <si>
    <t>2-valsalternativ</t>
  </si>
  <si>
    <t>kr/mil</t>
  </si>
  <si>
    <t>Övrig körkostnad</t>
  </si>
  <si>
    <t>Sammanvägd alla</t>
  </si>
  <si>
    <t>Total körkostnad</t>
  </si>
  <si>
    <t>-</t>
  </si>
  <si>
    <t>UTGÅNGLÄGE 1a. DRIVMEDELSPRISER</t>
  </si>
  <si>
    <t>UTGÅNGLÄGE 2a. DRIVMEDELSFÖRBRUKNING</t>
  </si>
  <si>
    <t>UTGÅNGLÄGE 4a. KILOMETERSKATT</t>
  </si>
  <si>
    <t>UTGÅNGLÄGE 5a. ÖVRIG KÖRKOSTNAD</t>
  </si>
  <si>
    <t>UTGÅNGLÄGE 3a. DRIVMEDELSFÖRDELNING (inkl. manuell justering)</t>
  </si>
  <si>
    <t>UTGÅNGLÄGE 6a. TRAFIKARBETE PER FORDONSLAG (inkl. manuell justering)</t>
  </si>
  <si>
    <t>UTGÅNGLÄGE 7a. TOTAL KÖRKOSTNAD</t>
  </si>
  <si>
    <t>UTGÅNGLÄGE 8a. BILINNEHAV</t>
  </si>
  <si>
    <t>MODELL 5c.  ÖVRIG KÖRKOSTNAD  (ingen justering)</t>
  </si>
  <si>
    <t>MODELL 7c. TOTAL KÖRKOSTNAD (ingen justering)</t>
  </si>
  <si>
    <t>MODELL 1c. DRIVMEDELSPRISER (ingen justering)</t>
  </si>
  <si>
    <t>MODELL 2c. DRIVMEDELSFÖRBRUKNING (ingen justering)</t>
  </si>
  <si>
    <t>MODELL 3c. DRIVMEDELSFÖRDELNING (ingen justering)</t>
  </si>
  <si>
    <t>MODELL 4c.  KILOMETERSKATT (ingen justering)</t>
  </si>
  <si>
    <t>MODELL 8c. BILINNEHAV (ingen justering)</t>
  </si>
  <si>
    <t>kg/liter</t>
  </si>
  <si>
    <t>Energiinnehåll</t>
  </si>
  <si>
    <t>Fossil bensin</t>
  </si>
  <si>
    <t>Fossil diesel</t>
  </si>
  <si>
    <t>Biobensin</t>
  </si>
  <si>
    <t>kWh/liter</t>
  </si>
  <si>
    <t>Biodiesel (HVO)</t>
  </si>
  <si>
    <t>Beräknas med hänsyn till reduktionsplikten i respektive scenario, prisnivå 2017</t>
  </si>
  <si>
    <t>Lätta fordon - Bensin</t>
  </si>
  <si>
    <t>Lätta fordon - Diesel</t>
  </si>
  <si>
    <t>Lätta fordon - El</t>
  </si>
  <si>
    <t>Lätta fordon - Totalt</t>
  </si>
  <si>
    <t>Tunga fordon - Totalt</t>
  </si>
  <si>
    <t xml:space="preserve">Tunga fordon - MGV16 </t>
  </si>
  <si>
    <t xml:space="preserve">Tunga fordon - MGV24 </t>
  </si>
  <si>
    <t xml:space="preserve">Tunga fordon - HGV40 </t>
  </si>
  <si>
    <t xml:space="preserve">Tunga fordon - HGV60 </t>
  </si>
  <si>
    <t>Utgångsläge - Lätta fordon</t>
  </si>
  <si>
    <t>Tunga fordon - Diesel (MGV16)</t>
  </si>
  <si>
    <t>Tunga fordon - Diesel (MGV24)</t>
  </si>
  <si>
    <t>Tunga fordon - Diesel (MGV40)</t>
  </si>
  <si>
    <t>Tunga fordon - Diesel (MGV60)</t>
  </si>
  <si>
    <t>MGV16</t>
  </si>
  <si>
    <t>MGV24</t>
  </si>
  <si>
    <t>MGV40</t>
  </si>
  <si>
    <t>MGV60</t>
  </si>
  <si>
    <t>Totalt tunga fordon</t>
  </si>
  <si>
    <t>Tunga fordon</t>
  </si>
  <si>
    <t>Tunga fordon - El (MGV16)</t>
  </si>
  <si>
    <t>Tunga fordon - El (MGV24)</t>
  </si>
  <si>
    <t>Tunga fordon - El (MGV40)</t>
  </si>
  <si>
    <t>Tunga fordon - El (MGV60)</t>
  </si>
  <si>
    <t>Bränsleförbrukning (liter/mil eller kWh/mil)</t>
  </si>
  <si>
    <t>Trafikandelar (%) - Lätta fordon</t>
  </si>
  <si>
    <t>miljoner ton per år</t>
  </si>
  <si>
    <t>TWh per år</t>
  </si>
  <si>
    <t>Energianvändning</t>
  </si>
  <si>
    <t>Totalt fossil</t>
  </si>
  <si>
    <t>Totalt bio</t>
  </si>
  <si>
    <t>Totalt el</t>
  </si>
  <si>
    <t>Etanol</t>
  </si>
  <si>
    <t>FAME</t>
  </si>
  <si>
    <t>miljarder kronor per år</t>
  </si>
  <si>
    <t xml:space="preserve">Diesel - MGV16 </t>
  </si>
  <si>
    <t xml:space="preserve">Diesel - MGV24 </t>
  </si>
  <si>
    <t xml:space="preserve">Diesel - HGV40 </t>
  </si>
  <si>
    <t xml:space="preserve">Diesel - HGV60 </t>
  </si>
  <si>
    <t>Diesel - Genomsnitt</t>
  </si>
  <si>
    <t xml:space="preserve">El - MGV16 </t>
  </si>
  <si>
    <t xml:space="preserve">El - MGV24 </t>
  </si>
  <si>
    <t xml:space="preserve">El - HGV40 </t>
  </si>
  <si>
    <t xml:space="preserve">El - HGV60 </t>
  </si>
  <si>
    <t>El - Genomsnitt</t>
  </si>
  <si>
    <t>andel el i procent</t>
  </si>
  <si>
    <t>UTGÅNGLÄGE 3a. ANDEL ELFORDON av trafikarbetet (inkl. manuell justering)</t>
  </si>
  <si>
    <t>Andel elfordon</t>
  </si>
  <si>
    <t>Andel av trafikarbetet</t>
  </si>
  <si>
    <t>FÖRBEARBETNING 3b. ANDEL ELFORDON av trafikarbetet (ingen justering)</t>
  </si>
  <si>
    <t>MODELL 3c. ANDEL ELFORDON av trafikarbetet (ingen justering)</t>
  </si>
  <si>
    <t>EFTERBEARBETNING 1d. DRIVMEDELSPRISER (ingen justering)</t>
  </si>
  <si>
    <t>EFTERBEARBETNING 2d. DRIVMEDELSFÖRBRUKNING (ingen justering)</t>
  </si>
  <si>
    <t>EFTERBEARBETNING 3d. DRIVMEDELSFÖRDELNING (ingen justering)</t>
  </si>
  <si>
    <t>EFTERBEARBETNING 4d.  KILOMETERSKATT (ingen justering)</t>
  </si>
  <si>
    <t>EFTERBEARBETNING 5d.  ÖVRIG KÖRKOSTNAD  (ingen justering)</t>
  </si>
  <si>
    <t>EFTERBEARBETNING 7d. TOTAL KÖRKOSTNAD (ingen justering)</t>
  </si>
  <si>
    <t>EFTERBEARBETNING 8d. BILINNEHAV (ingen justering)</t>
  </si>
  <si>
    <t>FÖRBEARBETNING 4b.  KILOMETERSKATT  (ingen justering)</t>
  </si>
  <si>
    <t>FÖRBEARBETNING 5b.  ÖVRIG KÖRKOSTNAD  (ingen justering)</t>
  </si>
  <si>
    <t>FÖRBEARBETNING 6b. TRAFIKARBETE PER FORDONSLAG (ingen justering)</t>
  </si>
  <si>
    <t>Diesel - Totalt</t>
  </si>
  <si>
    <t>El - Totalt</t>
  </si>
  <si>
    <t xml:space="preserve">Totalt - MGV16 </t>
  </si>
  <si>
    <t xml:space="preserve">Totalt - MGV24 </t>
  </si>
  <si>
    <t xml:space="preserve">Totalt - HGV40 </t>
  </si>
  <si>
    <t xml:space="preserve">Totalt - HGV60 </t>
  </si>
  <si>
    <t>Totalt - Totalt</t>
  </si>
  <si>
    <t>Energiskatt</t>
  </si>
  <si>
    <t>Koldioxidskatt</t>
  </si>
  <si>
    <t>Uppräkning av drivmedelsskatter</t>
  </si>
  <si>
    <t>Enligt basprognos 2020 (ASEK 7), prisnivå 2017</t>
  </si>
  <si>
    <t>Hämtas från HBEFA (baserat på EU-krav/Bonus-Malus utan hänsyn till förändring av drivmedelspriser)</t>
  </si>
  <si>
    <t>Energieffektivisering av bensin- och dieselbilar (lätta fordon) map drivmedelspris</t>
  </si>
  <si>
    <t>Energieffektivisering av diesellastbilar (tunga fordon) map drivmedelspris</t>
  </si>
  <si>
    <t>Förändrat bilinnehav map körkostnad</t>
  </si>
  <si>
    <t>Förändrat trafikarbete för lätta fordon map körkostnad (exkl. effekt av bilinnehav)</t>
  </si>
  <si>
    <t>Förändrat trafikarbete för tunga fordon map körkostnad</t>
  </si>
  <si>
    <t>Resultat</t>
  </si>
  <si>
    <t>Indata</t>
  </si>
  <si>
    <t>Utdata</t>
  </si>
  <si>
    <t>Lätta fordon - Sammanvägd</t>
  </si>
  <si>
    <t>Tunga fordon - Diesel</t>
  </si>
  <si>
    <t>Tunga fordon - El</t>
  </si>
  <si>
    <t>kr/kWh inkl. moms</t>
  </si>
  <si>
    <t>Lätta fordon</t>
  </si>
  <si>
    <t>Diesel - Sammanvägd</t>
  </si>
  <si>
    <t>El - Sammanvägd</t>
  </si>
  <si>
    <t>Totalt - Sammanvägd</t>
  </si>
  <si>
    <t>miljoner ton CO2 per år</t>
  </si>
  <si>
    <t>Buss</t>
  </si>
  <si>
    <t>Tung lastbil</t>
  </si>
  <si>
    <t>Motorcykel och moped</t>
  </si>
  <si>
    <t>Övrigt</t>
  </si>
  <si>
    <t>Lätta fordon - Fossil</t>
  </si>
  <si>
    <t>Lätta fordon - Bio</t>
  </si>
  <si>
    <t>Totalt - Fossil</t>
  </si>
  <si>
    <t>Totalt - Bio</t>
  </si>
  <si>
    <t>Totalt - El</t>
  </si>
  <si>
    <t>Skatteintäkter - Kilometerskatt</t>
  </si>
  <si>
    <t>Skatteintäkter- Kilometerskatt</t>
  </si>
  <si>
    <t>Skatteintäkter - 
Kilometerskatt</t>
  </si>
  <si>
    <t>Skatteintäkter - 
Totalt</t>
  </si>
  <si>
    <t>Justering av trafikarbetet</t>
  </si>
  <si>
    <t>Förutbestämd eller automatisk beräknad indata</t>
  </si>
  <si>
    <t>Beskrivning av scenariot</t>
  </si>
  <si>
    <t>Eventuell manuell justering av andel elbilar</t>
  </si>
  <si>
    <t>kr/liter inkl. moms</t>
  </si>
  <si>
    <t>Överflyttning till elbilar för personbilar map drivmedelspris</t>
  </si>
  <si>
    <t>Elasticitet från Sampers, tillämpas på total körkostnad (drivmedelskostnad + service, kapitalkostnad etc.)</t>
  </si>
  <si>
    <t>Beräkning av drivmedelspriser</t>
  </si>
  <si>
    <t>Trafikarbete (miljarder fordonskilometer per år)</t>
  </si>
  <si>
    <t>Bränslepris, inkl. punktskatter, exkl. moms</t>
  </si>
  <si>
    <t>Bensin, försäljningspris vid pump, kr/liter (inkl. inblandning)</t>
  </si>
  <si>
    <t>Diesel, försäljningspris vid pump, kr/liter (inkl. inblandning)</t>
  </si>
  <si>
    <t>Produktpris  exkl. punktskatter och moms, kr/kWh</t>
  </si>
  <si>
    <t>Elpris, inkl. punktskatter, exkl. moms</t>
  </si>
  <si>
    <t>Produktpris  exkl. punktskatter och moms, kr/liter  - bensin med 5% etanol</t>
  </si>
  <si>
    <t>Produktpris  exkl. punktskatter och moms, kr/liter  - fossil bensin</t>
  </si>
  <si>
    <t>Produktpris  exkl. punktskatter och moms, kr/liter - etanol</t>
  </si>
  <si>
    <t>Produktpris  exkl. punktskatter och moms, kr/liter - biobensin (HVO)</t>
  </si>
  <si>
    <t>Produktpris  exkl. punktskatter och moms, kr/liter  - diesel med 5% FAME och 18% HVO</t>
  </si>
  <si>
    <t>Produktpris  exkl. punktskatter och moms, kr/liter  - fossil diesel</t>
  </si>
  <si>
    <t>Produktpris  exkl. punktskatter och moms, kr/liter - FAME</t>
  </si>
  <si>
    <t>UTGÅNGSLÄGE: Startvärden inkl. manuella justeringar</t>
  </si>
  <si>
    <t>MODELL: Beräkning av trafikarbetet baserat på uppdaterad körkostnad och bilinnehav</t>
  </si>
  <si>
    <t>FÖRBEARBETNING 2b. JUSTERAR DRIVMEDELSFÖRBRUKNING m.h.t. DRIVMEDELSPRIS och YTTERLIGARE ENERGIEFFEKTIV ANVÄNDNING</t>
  </si>
  <si>
    <t>FÖRBEARBETNING 3b. JUSTERAR ANDELEN ELBILAR I FLOTTAN m.h.t. DRIVMEDELSPRIS</t>
  </si>
  <si>
    <t>FÖRBEARBETNING 6b. JUSTERAR TRAFIKARBETE PER FORDONSLAG m.h.t. NY DRIVMEDELSFÖRDELNING</t>
  </si>
  <si>
    <t>MODELL 6c. JUSTERAR TRAFIKARBETE PER FORDONSLAG m.h.t. NYTT BILINNEHAV och TOTAL KÖRKOSTNAD</t>
  </si>
  <si>
    <t>EFTERBEARBETNING 6d. JUSTERAR TRAFIKARBETE PER FORDONSLAG m.h.t. TRANSPORTEFFEKTIV SAMHÄLLE</t>
  </si>
  <si>
    <t>FÖRBEARBETNING 7b. JUSTERAR TOTAL KÖRKOSTNAD m.h.t. NYA DRIVMEDELSPRISER och  NY DRIVMEDELSFÖRBRUKNING</t>
  </si>
  <si>
    <t>Förändring jmf med utgångsläge</t>
  </si>
  <si>
    <t>FÖRBEARBETNING 8b. JUSTERAR BILINNEHAV m.h.t. KÖRKOSTNADSFÖRÄNDRING</t>
  </si>
  <si>
    <t>Skatteintäkter - Drivmedelsskatt</t>
  </si>
  <si>
    <t>FÖRBEARBETNING: Beräkning av körkostnad och bilinnehav baserat på uppdaterat drivmedelspris, drivmedelsförburkning och drivmedelsfördelning</t>
  </si>
  <si>
    <t>EFTERBEARBETNING: Beräkning av trafikarbetet baserat på transporteffektiv samhälle samt beräkning av utsläpp, energianvändning och skatteintäkter</t>
  </si>
  <si>
    <t>FÖRBEARBETNING 1b. JUSTERAR DRIVMEDELSPRISER m.h.t. DRIVMEDELSSKATTER och REDUKTIONSPLIKT</t>
  </si>
  <si>
    <t>FÖRBEARBETNING: Beräkning av körkostnad baserat på uppdaterat drivmedelspris, drivmedelsförburkning och drivmedelsfördelning</t>
  </si>
  <si>
    <t>MODELL: Beräkning av trafikarbetet baserat på uppdaterad körkostnad</t>
  </si>
  <si>
    <t>MODELL 6c. JUSTERAR TRAFIKARBETE PER FORDONSLAG m.h.t. NY TOTAL KÖRKOSTNAD</t>
  </si>
  <si>
    <t>Skatteintäkter -Drivmedelsskatt</t>
  </si>
  <si>
    <t>Förändring jmf med utgångsläge(diesel)</t>
  </si>
  <si>
    <t>Skatteintäkter -Drivmedelsskatter</t>
  </si>
  <si>
    <t>Modell - Drivmedelpriser</t>
  </si>
  <si>
    <t>Modell - Lätta fordon</t>
  </si>
  <si>
    <t>Modell - Tunga fordon</t>
  </si>
  <si>
    <t>Flik</t>
  </si>
  <si>
    <t>Modellberäkningar för lätta fordon (personbilar och lätta lastbilar)</t>
  </si>
  <si>
    <t>Modellberäkningar för tunga fordon (tunga lastbilar)</t>
  </si>
  <si>
    <t>Sammanställning av resultat</t>
  </si>
  <si>
    <t>Modellberäkningar för lätta fordon</t>
  </si>
  <si>
    <t>Modellberäkningar för tunga fordon</t>
  </si>
  <si>
    <t>Procentuell minskning av trafikarbete (plustecken)</t>
  </si>
  <si>
    <t>Procentuell minskning av drivmedelsförbrukningen (plustecken)</t>
  </si>
  <si>
    <t>Tunga fordon exkl. buss</t>
  </si>
  <si>
    <t>2. Förstärka EU-krav/Bonus-Malus</t>
  </si>
  <si>
    <t>FÖRUTSÄTTNINGAR för förstärka EU-krav och/eller Bonus-Malus</t>
  </si>
  <si>
    <t>Information</t>
  </si>
  <si>
    <t>Enligt basprognos 2020 (ASEK 7), prisnivå 2017 (antas vara konstant). Övrig kostnad avser service, kapitalkostnad, etc.</t>
  </si>
  <si>
    <t>kr/liter exkl. moms</t>
  </si>
  <si>
    <t>kr/kWh exkl. moms</t>
  </si>
  <si>
    <t>Effektsamband och faktorer</t>
  </si>
  <si>
    <t>Utsläpp  - Koldioxid</t>
  </si>
  <si>
    <t>Utsläpp  - NOx</t>
  </si>
  <si>
    <t>EFTERBEARBETNING 9d. BERÄKNAR UTSLÄPP</t>
  </si>
  <si>
    <t>EFTERBEARBETNING 10d. BERÄKNAR ENERGIANVÄNDNING</t>
  </si>
  <si>
    <t>Utsläpp - Koldioxid</t>
  </si>
  <si>
    <t>Utsläpp - Partiklar (avgas)</t>
  </si>
  <si>
    <t>Utsläpp - Partiklar (slitage)</t>
  </si>
  <si>
    <t>Utsläpp  - Partiklar (avgas)</t>
  </si>
  <si>
    <t>Utsläpp  - Partiklar (slitage)</t>
  </si>
  <si>
    <t>kg/kWh</t>
  </si>
  <si>
    <t>EFTERBEARBETNING 11d. BERÄKNAR SKATTINTÄKTER</t>
  </si>
  <si>
    <t>Utsläpp - Kväveoxider</t>
  </si>
  <si>
    <t>Andel elfordon (%) - Tunga fordon</t>
  </si>
  <si>
    <t>Totalt - Lätta och tunga fordon</t>
  </si>
  <si>
    <t>Utsläpp - Kolidoxid</t>
  </si>
  <si>
    <t>Alla kostnader är uttryckta i 2017-års penningvärde</t>
  </si>
  <si>
    <t>Effektsamband, emissionsfaktorer och energiinnehåll</t>
  </si>
  <si>
    <t>Justerbar indata samt sammanställning av all indata</t>
  </si>
  <si>
    <t>Indata - Effektsamband-Faktorer</t>
  </si>
  <si>
    <t>g/fkm</t>
  </si>
  <si>
    <t>Bensin - lätta fordon</t>
  </si>
  <si>
    <t>Diesel - lätta fordon</t>
  </si>
  <si>
    <t>Diesel - tunga fordon</t>
  </si>
  <si>
    <t>Energimyndigheten</t>
  </si>
  <si>
    <t xml:space="preserve"> tusen ton per år</t>
  </si>
  <si>
    <t>Andel el av trafikarbetet</t>
  </si>
  <si>
    <t>Avser direkta utsläpp för fossil bensin, ej LCA</t>
  </si>
  <si>
    <t>Avser direkta utsläpp för fossil diesel, ej LCA</t>
  </si>
  <si>
    <t>Avser direkta utsläpp, ej LCA</t>
  </si>
  <si>
    <t>Elasticiteter</t>
  </si>
  <si>
    <t xml:space="preserve">Lätta fordon (oavsett drivmedel) </t>
  </si>
  <si>
    <t>Tunga fordon (oavsett drivmedel)</t>
  </si>
  <si>
    <t>Indata fordonsflotta och trafikarbete</t>
  </si>
  <si>
    <t xml:space="preserve">Etanol (volymandel) </t>
  </si>
  <si>
    <t>Biobensin/HVO (volymandel)</t>
  </si>
  <si>
    <t>Produktpris  exkl. punktskatter och moms, kr/liter - biodiesel (HVO)</t>
  </si>
  <si>
    <t>FAME (volymandel)</t>
  </si>
  <si>
    <t>HVO (volymandel)</t>
  </si>
  <si>
    <t>Bussars energianvändning</t>
  </si>
  <si>
    <t xml:space="preserve">Bussar </t>
  </si>
  <si>
    <t>Utgångsläge - Lastbilar</t>
  </si>
  <si>
    <t>Utgångsläge - Bussar</t>
  </si>
  <si>
    <t>Biodrivmedel</t>
  </si>
  <si>
    <t>FÖRUTSÄTTNINGAR Bussar Biodrivmedel</t>
  </si>
  <si>
    <t>TWh</t>
  </si>
  <si>
    <t xml:space="preserve">Beslutad politik </t>
  </si>
  <si>
    <t>Bussar beslutad politik</t>
  </si>
  <si>
    <t>Total energianvändning</t>
  </si>
  <si>
    <t>3-valsalternativ</t>
  </si>
  <si>
    <t>Utrycks i reella termer och appliceras från och med 2021</t>
  </si>
  <si>
    <t>Övriga vägtransporter (buss, motorcykel och moped)</t>
  </si>
  <si>
    <t>Inga beräkningar sker, denna post är både indata och utdata</t>
  </si>
  <si>
    <t>Tung fordon (lastbil+buss) - Fossil</t>
  </si>
  <si>
    <t>Tung fordon (lastbil + buss) - Biodrivmedel</t>
  </si>
  <si>
    <t>Tung fordon  (lastbil + buss)- El</t>
  </si>
  <si>
    <t>Lätta fordon - Biodrivmedel</t>
  </si>
  <si>
    <t>Tunga lastbilar - Bio</t>
  </si>
  <si>
    <t>Tunga lastbilar - Fossil</t>
  </si>
  <si>
    <t>Tunga lastbilar - El</t>
  </si>
  <si>
    <t>Tunga lastbilar</t>
  </si>
  <si>
    <t>tusen ton per år</t>
  </si>
  <si>
    <t>ASEK 7</t>
  </si>
  <si>
    <t>ASEK 7 (baseras på HBEFA 3.3)</t>
  </si>
  <si>
    <t>Elasticitet från Samgods, tillämpas på körkostnad för drivmedel och ev. km-skatt</t>
  </si>
  <si>
    <t>Baseras på körning med Bilparksmodellen. Ska läsas som "andel av bränslebilarna som flyttas över till el i HELA fordonsparken, dvs inte bara nybilsförsäljningen"</t>
  </si>
  <si>
    <r>
      <t>Hämtas från HBEFA 3.3, juni 2019. Baseras på utvecklings</t>
    </r>
    <r>
      <rPr>
        <sz val="9"/>
        <rFont val="Arial"/>
        <family val="2"/>
      </rPr>
      <t>takt från basprognos 2018</t>
    </r>
  </si>
  <si>
    <t>Enligt Basprognosen 2018 antagande om konstant bilinnehav per person</t>
  </si>
  <si>
    <t>Bestämmer vilken drivmedelsfördelning (andel elfordon) som ska användas i utgångsläget</t>
  </si>
  <si>
    <t xml:space="preserve">Bestämmer totala energimängden för bussar samt fördelningen mellan el och biodrivmedel </t>
  </si>
  <si>
    <t>Nivå 2</t>
  </si>
  <si>
    <t>Nivå1</t>
  </si>
  <si>
    <t>Beslutad politik</t>
  </si>
  <si>
    <t>Totalt - Lätta fordon och lastbilar</t>
  </si>
  <si>
    <t xml:space="preserve">Personbil </t>
  </si>
  <si>
    <t xml:space="preserve">Lätt lastbil </t>
  </si>
  <si>
    <r>
      <rPr>
        <b/>
        <sz val="9"/>
        <color theme="1"/>
        <rFont val="Arial"/>
        <family val="2"/>
      </rPr>
      <t>Källa</t>
    </r>
    <r>
      <rPr>
        <sz val="9"/>
        <color theme="1"/>
        <rFont val="Arial"/>
        <family val="2"/>
      </rPr>
      <t>: Naturvårdsverket (http://www.naturvardsverket.se/Sa-mar-miljon/Statistik-A-O/Vaxthusgaser-utslapp-fran-inrikes-transporter/)</t>
    </r>
  </si>
  <si>
    <r>
      <rPr>
        <b/>
        <sz val="9"/>
        <color theme="1"/>
        <rFont val="Arial"/>
        <family val="2"/>
      </rPr>
      <t>Enhet</t>
    </r>
    <r>
      <rPr>
        <sz val="9"/>
        <color theme="1"/>
        <rFont val="Arial"/>
        <family val="2"/>
      </rPr>
      <t>: tusen ton CO2ekv per år</t>
    </r>
  </si>
  <si>
    <t>Totalt (miljoner ton)</t>
  </si>
  <si>
    <t>Totalt (tusen ton)</t>
  </si>
  <si>
    <t>Indata - Fordon och Trafik</t>
  </si>
  <si>
    <t>Indata kring fordonsflottan och trafikutvecklingen</t>
  </si>
  <si>
    <t xml:space="preserve">Kort instruktion: </t>
  </si>
  <si>
    <t>De enda flikar som ska användas är "Indata" och "Resultat". I de gråmarkerade cellerna</t>
  </si>
  <si>
    <t xml:space="preserve">i "Indata"-fliken kan värden justeras av användaren. I "Resultat"-fliken ser man resultatet </t>
  </si>
  <si>
    <t xml:space="preserve">av de förutsättningar som valts i indatafliken. Observera att värden som ligger i indatafliken </t>
  </si>
  <si>
    <t xml:space="preserve">under de gråmarkerade fälten är indata som går in i modellen och ska inte </t>
  </si>
  <si>
    <t xml:space="preserve">förväxlas med resultatet som framgår i resultatfliken. </t>
  </si>
  <si>
    <t>Källa: HBEFA/Trafikverkets antaganden. Beskrivs i rapporten Beskrivning av Scenarioverktyget, 20200316.</t>
  </si>
  <si>
    <t>Effektsambanden beskrivs i rapporten Beskrivning av Scenarioverktyget, 20200316.</t>
  </si>
  <si>
    <t>Värden hämtade från ASEK 7</t>
  </si>
  <si>
    <t>Pmavgas</t>
  </si>
  <si>
    <t>NOx</t>
  </si>
  <si>
    <t>Tunga lastbilar - Diesel</t>
  </si>
  <si>
    <t>Tunga lastbilar - Sammanvägd</t>
  </si>
  <si>
    <t>Tunga lastbillar - Diesel</t>
  </si>
  <si>
    <t>Tunga lastbilar - Totalt</t>
  </si>
  <si>
    <t>Förändring jmf mot år 2010</t>
  </si>
  <si>
    <t>Andel inblandning som volymprocent</t>
  </si>
  <si>
    <t>Total energianvändnign</t>
  </si>
  <si>
    <t>Partiklar från vägslitage (CRF 1A3b)</t>
  </si>
  <si>
    <t>Partiklar från däck och bromsar (CRF 1A3b)</t>
  </si>
  <si>
    <t>PM10, Vägtrafik totalt</t>
  </si>
  <si>
    <t>CO2</t>
  </si>
  <si>
    <t>Övriga emissioner</t>
  </si>
  <si>
    <t>PMslitage</t>
  </si>
  <si>
    <r>
      <rPr>
        <b/>
        <sz val="9"/>
        <color theme="1"/>
        <rFont val="Arial"/>
        <family val="2"/>
      </rPr>
      <t>Enhet</t>
    </r>
    <r>
      <rPr>
        <sz val="9"/>
        <color theme="1"/>
        <rFont val="Arial"/>
        <family val="2"/>
      </rPr>
      <t xml:space="preserve">: tusen ton </t>
    </r>
  </si>
  <si>
    <r>
      <rPr>
        <b/>
        <sz val="9"/>
        <color theme="1"/>
        <rFont val="Arial"/>
        <family val="2"/>
      </rPr>
      <t>Källa</t>
    </r>
    <r>
      <rPr>
        <sz val="9"/>
        <color theme="1"/>
        <rFont val="Arial"/>
        <family val="2"/>
      </rPr>
      <t>: SCB (http://www.statistikdatabasen.scb.se/pxweb/sv/ssd/?rxid=5f5d2d49-2c01-4d75-98e6-dce2ddf03238)</t>
    </r>
  </si>
  <si>
    <t xml:space="preserve">Indata - Utsläpp </t>
  </si>
  <si>
    <t>Indata gällande utsläpp av koldioxidekvivalenter, NOx, PM</t>
  </si>
  <si>
    <t>Önskad andel elbilar som indata</t>
  </si>
  <si>
    <t>Enligt SAMS-databasen (basprognos 2018) med uppjustering 2,5 % år 2030 och 5 % år 2040</t>
  </si>
  <si>
    <t xml:space="preserve">Antaganden </t>
  </si>
  <si>
    <t>HBEFA 3.3, bearbetning till Samgodssegment</t>
  </si>
  <si>
    <t>Lätta fordon och tunga lastbilar</t>
  </si>
  <si>
    <t>Förbrukning ellastbilar</t>
  </si>
  <si>
    <t>Förbrukning diesellastbilar</t>
  </si>
  <si>
    <r>
      <t>Scenarioverktyget är ett excelbaserat verktyg för att analysera ekonomiska styrmedelseffekter på bland annat trafikarbete, energianvändning och förnybar energi. Scenarioverktyget kan användas för att göra scenarier för år 2030 och/eller 2040. Verktyget kan användas i huvudsak på två sätt:
        -   för att uppskatta vilka förutsättningar som krävs i en Sampers/Samgodskörning för att transportsektorn ska nå en viss CO2-reduktion 2030 resp. 2040
        -   för att göra känslighetsanalyser (t.ex. hur ett förändrad antagande om andel elbilar påverkar resultatet)
Scenarioverktyget är framförallt utformat för att analysera effekter av styrmedel som påverkar körkostnad:
       -    Drivmedelsskatt (energi/CO2)
       -    Reduktionsplikt (andel förnybar energi i bensin och diesel)
       -    Km-skatt
       -    EU-krav och Bonus-Malus (ej dynamiskt utan endast två alternativ)
Det finns även möjlighet att studera effekter av åtgärder:
       -    Energieffektivare användning av fordon (t.ex. sparsam körning)
       -    Transporteffektivare samhälle (samhällsplanering, parkeringspolicy etc.)
Fokus i verktyget är lätta fordon (personbilar och lätta lastbilar) samt tunga lastb</t>
    </r>
    <r>
      <rPr>
        <sz val="10"/>
        <rFont val="Arial"/>
        <family val="2"/>
      </rPr>
      <t>ilar. Bussar inkluderas delvis</t>
    </r>
    <r>
      <rPr>
        <sz val="10"/>
        <color theme="1"/>
        <rFont val="Arial"/>
        <family val="2"/>
      </rPr>
      <t xml:space="preserve"> (energianvändning och utsläpp ingår). Övriga trafikslag är inte med. Anledningen till detta är att övriga trafikslags påverkan på de nationella utsläppen inom ramen för klimatmålet till 2030 är mycket liten (särskilt då inrikes flyg ej inkluderas i målet). Sjöfart kommer dock inkluderas i kommande versioner. 
</t>
    </r>
    <r>
      <rPr>
        <sz val="10"/>
        <rFont val="Arial"/>
        <family val="2"/>
      </rPr>
      <t xml:space="preserve">Scenarioverktyget utgår från Trafikverkets basprognos 2018 men med justering för högre befolkningsutveckling enligt befolkningsprognosen som ligger till grund för Basprognos 2020, sedan kan olika förutsättningar justeras i verktyget för att analysera hur det påverkar trafikarbete, energianvändning och CO2-utsläpp. 
Alla kostnader är uttryckta i 2017-års penningvärde. Drivmedelspriserna och övriga körkostnad är hämtade från ASEK 7. Drivmedelsförburkning och fördelning är hämtade från HBEFA.
Mer utförlig beskrivning av scenarioverktyget ses i rapporten "Beskrivning av Scenarioverktyget, 20200316". </t>
    </r>
  </si>
  <si>
    <t>Indata - Utsläpp av växthusgaser och luftföroreningar</t>
  </si>
  <si>
    <t>Beskrivning av scenarioverktyget v.1.0.</t>
  </si>
  <si>
    <t>2 Mer ambitios politik</t>
  </si>
  <si>
    <t>Level 1</t>
  </si>
  <si>
    <t>Level 2</t>
  </si>
  <si>
    <t>Fossile fuel cost adjutment (before tax)</t>
  </si>
  <si>
    <t>Fossile gasoline cost is calculated "backwards" from product price for gas with 5% ethanol</t>
  </si>
  <si>
    <t>Electricity cost adjustment (before tax)</t>
  </si>
  <si>
    <t>Biofouel cost adjustment (before tax)</t>
  </si>
  <si>
    <t>Indata för beräkningar</t>
  </si>
  <si>
    <t>Körkostnad</t>
  </si>
  <si>
    <t xml:space="preserve">Trafikarbete referens justerat för transporteffektivt samhälle </t>
  </si>
  <si>
    <t>Beteckning</t>
  </si>
  <si>
    <t>c</t>
  </si>
  <si>
    <t>d</t>
  </si>
  <si>
    <t>d0</t>
  </si>
  <si>
    <t>d1-d0</t>
  </si>
  <si>
    <t>Förändring i trafikarbete jmfr referens</t>
  </si>
  <si>
    <t>Förändring i kostnad jmfr referens</t>
  </si>
  <si>
    <t>c1-c0</t>
  </si>
  <si>
    <t>Delta CS remaining/old users</t>
  </si>
  <si>
    <t>Delta CS diverted users/new users</t>
  </si>
  <si>
    <t>miljarder kronor</t>
  </si>
  <si>
    <t>Delta CS total</t>
  </si>
  <si>
    <t>Delta CS total bilar lastbilar</t>
  </si>
  <si>
    <t>Truck demand change</t>
  </si>
  <si>
    <t>Manipulates cell</t>
  </si>
  <si>
    <t xml:space="preserve">Light vehicle demand change </t>
  </si>
  <si>
    <t>Unit</t>
  </si>
  <si>
    <t>Deviation from base forecast [0,inf]</t>
  </si>
  <si>
    <t>Reference 2030</t>
  </si>
  <si>
    <t>Inputs (X) affecting both reference and policy scenario</t>
  </si>
  <si>
    <t>Policy scenario 2030</t>
  </si>
  <si>
    <t>Indata!F38</t>
  </si>
  <si>
    <t>Indata!F61</t>
  </si>
  <si>
    <t>Truck electrification share input</t>
  </si>
  <si>
    <t>Light vehicle electrification share input</t>
  </si>
  <si>
    <t>Indata!F28</t>
  </si>
  <si>
    <t>[0,1]</t>
  </si>
  <si>
    <t>Fossile price adjustment</t>
  </si>
  <si>
    <t>Biofuel price adjustment</t>
  </si>
  <si>
    <t>Electricity price adjustment</t>
  </si>
  <si>
    <t>Change in price before taxes (underlying market price)</t>
  </si>
  <si>
    <t>Comment</t>
  </si>
  <si>
    <t>Controls all truck types, i.e. no differentiation between truck sizes</t>
  </si>
  <si>
    <t>Own adjustments to model, se sheet "Modell - Drivmedelpriser"</t>
  </si>
  <si>
    <t>Inputs ® - parameter uncertainty</t>
  </si>
  <si>
    <t>Value (default reference value), controlled by EMA workbench</t>
  </si>
  <si>
    <t>Indata - Effektsamband-Faktorer'!D4</t>
  </si>
  <si>
    <t>Elasticity</t>
  </si>
  <si>
    <t>Indata - Effektsamband-Faktorer'!D7</t>
  </si>
  <si>
    <t>Indata - Effektsamband-Faktorer'!D9</t>
  </si>
  <si>
    <t>Indata - Effektsamband-Faktorer'!D8</t>
  </si>
  <si>
    <t>Outputs (M)</t>
  </si>
  <si>
    <t>From cell</t>
  </si>
  <si>
    <t>Value</t>
  </si>
  <si>
    <t>CO2 TTW change trucks</t>
  </si>
  <si>
    <t>Calculation</t>
  </si>
  <si>
    <t>Relative change compared to 2010</t>
  </si>
  <si>
    <t>CO2 TTW change light vehicles</t>
  </si>
  <si>
    <t>CO2 TTW change total</t>
  </si>
  <si>
    <t>Resultat!F41</t>
  </si>
  <si>
    <t>VKT light vehicles</t>
  </si>
  <si>
    <t>VKT trucks</t>
  </si>
  <si>
    <t>VKT total</t>
  </si>
  <si>
    <t>Resultat!F33</t>
  </si>
  <si>
    <t>Billion VKT</t>
  </si>
  <si>
    <t>Resultat!F30</t>
  </si>
  <si>
    <t>Resultat!F34</t>
  </si>
  <si>
    <t>Energy bio total</t>
  </si>
  <si>
    <t>Energy fossile total</t>
  </si>
  <si>
    <t>Energy el total</t>
  </si>
  <si>
    <t>Energy total</t>
  </si>
  <si>
    <t>Resultat!F61</t>
  </si>
  <si>
    <t>Resultat!F60</t>
  </si>
  <si>
    <t>Resultat!F62</t>
  </si>
  <si>
    <t>Resultat!F63</t>
  </si>
  <si>
    <t>TWh per year</t>
  </si>
  <si>
    <t>Electrified VKT share light vehicles</t>
  </si>
  <si>
    <t>Electrified VKT share trucks</t>
  </si>
  <si>
    <t>Electric share of total energy</t>
  </si>
  <si>
    <t>Resultat!F35</t>
  </si>
  <si>
    <t>Resultat!F36</t>
  </si>
  <si>
    <t>Driving cost light vehicles relative reference</t>
  </si>
  <si>
    <t>Driving cost trucks vehicles relative reference</t>
  </si>
  <si>
    <t>Delta CS light vehicles</t>
  </si>
  <si>
    <t>Delta CS trucks</t>
  </si>
  <si>
    <t>Billion SEK per year</t>
  </si>
  <si>
    <t>Delta CS + Delta tax income</t>
  </si>
  <si>
    <t>Delta tax income</t>
  </si>
  <si>
    <t>Resultat!F79</t>
  </si>
  <si>
    <t>Resultat!F80</t>
  </si>
  <si>
    <t>Resultat!F81</t>
  </si>
  <si>
    <t>Resultat!F84</t>
  </si>
  <si>
    <t>Resultat!F87</t>
  </si>
  <si>
    <t>Share</t>
  </si>
  <si>
    <t>Relative change</t>
  </si>
  <si>
    <t>Policy scenario (EMA)</t>
  </si>
  <si>
    <t>Fordon/</t>
  </si>
  <si>
    <t>Baseras på Springel (2021)</t>
  </si>
  <si>
    <t>Change in government spending million kr</t>
  </si>
  <si>
    <t>x</t>
  </si>
  <si>
    <t>y - ev price subsidy</t>
  </si>
  <si>
    <t>y-station subsidy</t>
  </si>
  <si>
    <t>Log param</t>
  </si>
  <si>
    <t>a</t>
  </si>
  <si>
    <t>b</t>
  </si>
  <si>
    <t>base</t>
  </si>
  <si>
    <t>Reference scenario (EMA -beslutad politik, varierande X)</t>
  </si>
  <si>
    <t>Reference 2040</t>
  </si>
  <si>
    <t>Policy scenario 2040</t>
  </si>
  <si>
    <t>EMA policy</t>
  </si>
  <si>
    <t>EMA reference</t>
  </si>
  <si>
    <t>Baseline (Trafikverkets basscenario, beslutad politik)</t>
  </si>
  <si>
    <t>Beslutad politik - Trafikverkets basscenario, ändras ej av EMA!</t>
  </si>
  <si>
    <t>Beräkning konsumentöverskott - jämför mellan scenario 1 och 2.</t>
  </si>
  <si>
    <t>Indata!H38</t>
  </si>
  <si>
    <t>Indata!H61</t>
  </si>
  <si>
    <t>Indata!H28</t>
  </si>
  <si>
    <t>Indata!H45</t>
  </si>
  <si>
    <t>Indata!F45</t>
  </si>
  <si>
    <t>Modell - Drivmedelpriser!G5</t>
  </si>
  <si>
    <t>Modell - Drivmedelpriser!G6</t>
  </si>
  <si>
    <t>Modell - Drivmedelpriser!G4</t>
  </si>
  <si>
    <t>Modell - Drivmedelpriser!H5</t>
  </si>
  <si>
    <t>Modell - Drivmedelpriser!H6</t>
  </si>
  <si>
    <t>Modell - Drivmedelpriser!H4</t>
  </si>
  <si>
    <t>External electrification rate?</t>
  </si>
  <si>
    <t>No</t>
  </si>
  <si>
    <t>Förändrat konsumentöverskott scenario 1 - scenario 2</t>
  </si>
  <si>
    <t>Förändring skatteinteäkter Scenario 1 - Scenario 2</t>
  </si>
  <si>
    <t>Summa skatteintäkter, konsumentöverskott, scenario 1 - scenario 2</t>
  </si>
  <si>
    <t>Resultat!G30</t>
  </si>
  <si>
    <t>Resultat!G33</t>
  </si>
  <si>
    <t>Resultat!G34</t>
  </si>
  <si>
    <t>Resultat!G61</t>
  </si>
  <si>
    <t>Resultat!G60</t>
  </si>
  <si>
    <t>Resultat!G62</t>
  </si>
  <si>
    <t>Resultat!G63</t>
  </si>
  <si>
    <t>Resultat!G35</t>
  </si>
  <si>
    <t>Resultat!G36</t>
  </si>
  <si>
    <t>Resultat!G41</t>
  </si>
  <si>
    <t>Resultat!G79</t>
  </si>
  <si>
    <t>Resultat!G80</t>
  </si>
  <si>
    <t>Resultat!G81</t>
  </si>
  <si>
    <t>Resultat!G84</t>
  </si>
  <si>
    <t>Resultat!G87</t>
  </si>
  <si>
    <t>Indata - Effektsamband-Faktorer'!E4</t>
  </si>
  <si>
    <t>Indata - Effektsamband-Faktorer'!E7</t>
  </si>
  <si>
    <t>Indata - Effektsamband-Faktorer'!E8</t>
  </si>
  <si>
    <t>Indata - Effektsamband-Faktorer'!E9</t>
  </si>
  <si>
    <t>Levers (L)</t>
  </si>
  <si>
    <t>CO2 reduction ambition level</t>
  </si>
  <si>
    <t>Bus energy consumption</t>
  </si>
  <si>
    <t>Share HVO diesel</t>
  </si>
  <si>
    <t>Share FAME diesel</t>
  </si>
  <si>
    <t>Share HVO gasoline</t>
  </si>
  <si>
    <t>Share ethanol gasoline</t>
  </si>
  <si>
    <t>km-tax light vehicles</t>
  </si>
  <si>
    <t>km-tax trucks</t>
  </si>
  <si>
    <t>Change in fuel tax gasoline</t>
  </si>
  <si>
    <t>Change in fuel tax diesel</t>
  </si>
  <si>
    <t>Additional energy efficiency light vehicles</t>
  </si>
  <si>
    <t>Additional energy efficiency trucks</t>
  </si>
  <si>
    <t>Transport efficient society light vehicles</t>
  </si>
  <si>
    <t>Transport efficient society trucks</t>
  </si>
  <si>
    <t>Indata!H17</t>
  </si>
  <si>
    <t>Indata!F17</t>
  </si>
  <si>
    <t>Indata!G17</t>
  </si>
  <si>
    <t>Indata!I17</t>
  </si>
  <si>
    <t>Indata!H23</t>
  </si>
  <si>
    <t>Indata!F23</t>
  </si>
  <si>
    <t>Indata!G23</t>
  </si>
  <si>
    <t>Indata!I23</t>
  </si>
  <si>
    <t>Indata!F12</t>
  </si>
  <si>
    <t>Indata!H12</t>
  </si>
  <si>
    <t>Indata!G12</t>
  </si>
  <si>
    <t>Indata!I12</t>
  </si>
  <si>
    <t>Indata!F11</t>
  </si>
  <si>
    <t>Indata!H11</t>
  </si>
  <si>
    <t>Indata!G11</t>
  </si>
  <si>
    <t>Indata!I11</t>
  </si>
  <si>
    <t>Indata!H10</t>
  </si>
  <si>
    <t>Indata!F10</t>
  </si>
  <si>
    <t>Indata!I10</t>
  </si>
  <si>
    <t>Indata!G10</t>
  </si>
  <si>
    <t>Indata!H9</t>
  </si>
  <si>
    <t>Indata!F9</t>
  </si>
  <si>
    <t>Indata!I9</t>
  </si>
  <si>
    <t>Indata!G9</t>
  </si>
  <si>
    <t>Indata!F15</t>
  </si>
  <si>
    <t>Indata!G15</t>
  </si>
  <si>
    <t>Indata!H15</t>
  </si>
  <si>
    <t>Indata!I15</t>
  </si>
  <si>
    <t>Indata!H16</t>
  </si>
  <si>
    <t>Indata!F16</t>
  </si>
  <si>
    <t>Indata!I16</t>
  </si>
  <si>
    <t>Indata!G16</t>
  </si>
  <si>
    <t>Annual change</t>
  </si>
  <si>
    <t>SEK</t>
  </si>
  <si>
    <t>Indata!H13</t>
  </si>
  <si>
    <t>Indata!F13</t>
  </si>
  <si>
    <t>Indata!I13</t>
  </si>
  <si>
    <t>Indata!G13</t>
  </si>
  <si>
    <t>Indata!H14</t>
  </si>
  <si>
    <t>Indata!F14</t>
  </si>
  <si>
    <t>Indata!I14</t>
  </si>
  <si>
    <t>Indata!G14</t>
  </si>
  <si>
    <t>Indata!F19</t>
  </si>
  <si>
    <t>Indata!H19</t>
  </si>
  <si>
    <t>Indata!I19</t>
  </si>
  <si>
    <t>Indata!G19</t>
  </si>
  <si>
    <t>Indata!H20</t>
  </si>
  <si>
    <t>Indata!F20</t>
  </si>
  <si>
    <t>Indata!I20</t>
  </si>
  <si>
    <t>Indata!G20</t>
  </si>
  <si>
    <t>Indata!H21</t>
  </si>
  <si>
    <t>Indata!F21</t>
  </si>
  <si>
    <t>Indata!I21</t>
  </si>
  <si>
    <t>Indata!G21</t>
  </si>
  <si>
    <t>Indata!H22</t>
  </si>
  <si>
    <t>Indata!F22</t>
  </si>
  <si>
    <t>Indata!I22</t>
  </si>
  <si>
    <t>Indata!G22</t>
  </si>
  <si>
    <t>%</t>
  </si>
  <si>
    <t>Change in fossile fuel price compared to reference heavy trucks</t>
  </si>
  <si>
    <t>Change in fossile fuel price compared to reference light vehicles</t>
  </si>
  <si>
    <t>ALL DATA BASED ON ASEK 7, NOT SAMGODS DATA</t>
  </si>
  <si>
    <t>dollar to sek</t>
  </si>
  <si>
    <t>Sek to dollar</t>
  </si>
  <si>
    <t>Time and distance dependent costs</t>
  </si>
  <si>
    <t>Manually driven trucks</t>
  </si>
  <si>
    <t>Basic variables</t>
  </si>
  <si>
    <t>Discount rate</t>
  </si>
  <si>
    <t>Life length/
investment horizon [y]</t>
  </si>
  <si>
    <t>Depreciation fixed</t>
  </si>
  <si>
    <t>Depreciation distane</t>
  </si>
  <si>
    <t>Driving distance [km]</t>
  </si>
  <si>
    <t>Operating hours</t>
  </si>
  <si>
    <t>Number of axles</t>
  </si>
  <si>
    <t>Number of tires</t>
  </si>
  <si>
    <t>Fuel cons l/km 2017</t>
  </si>
  <si>
    <t>Fuel price 2017 Samgods</t>
  </si>
  <si>
    <t>Insurance+other</t>
  </si>
  <si>
    <t>Purchase cost</t>
  </si>
  <si>
    <t>Residual value</t>
  </si>
  <si>
    <t>Fuel cons l/km 2040</t>
  </si>
  <si>
    <t>Energy cons el kwh/km 2040</t>
  </si>
  <si>
    <t>Share of fkm electrified 2040?</t>
  </si>
  <si>
    <t>Fuel cost 2040 Samgods Prognos A (5% FAME, 18%HVO)</t>
  </si>
  <si>
    <t>Fuel cost 2040 Samgods Prognos B (7% FAME, 63%HVO)</t>
  </si>
  <si>
    <t>Electricity cost sek/kwh 2017 (Samgods)</t>
  </si>
  <si>
    <t>Electricity cost sek/kwh 2040 (Samgods)</t>
  </si>
  <si>
    <t xml:space="preserve">3,5MD-truck </t>
  </si>
  <si>
    <t>16MD-truck</t>
  </si>
  <si>
    <t>24MD-truck</t>
  </si>
  <si>
    <t>40 MD-truck</t>
  </si>
  <si>
    <t>60MD-truck</t>
  </si>
  <si>
    <t>Yearly costs</t>
  </si>
  <si>
    <t>Truck type</t>
  </si>
  <si>
    <t>Insurance</t>
  </si>
  <si>
    <t>Other</t>
  </si>
  <si>
    <t>Depreciation total</t>
  </si>
  <si>
    <t xml:space="preserve">Depreciation fixed </t>
  </si>
  <si>
    <t>Capital</t>
  </si>
  <si>
    <t>Taxes</t>
  </si>
  <si>
    <t>Total (dep. Fixed)</t>
  </si>
  <si>
    <t>Non-adjusted</t>
  </si>
  <si>
    <t xml:space="preserve">Calcualted </t>
  </si>
  <si>
    <t>Direct ASEK</t>
  </si>
  <si>
    <t xml:space="preserve">MD-TRUCK FINAL COSTS </t>
  </si>
  <si>
    <t>Adjusted</t>
  </si>
  <si>
    <t>Driverless trucks</t>
  </si>
  <si>
    <t>Enter assumptions here</t>
  </si>
  <si>
    <t>ASSUMPTIONS</t>
  </si>
  <si>
    <t>Parameters</t>
  </si>
  <si>
    <t>"Alpha"</t>
  </si>
  <si>
    <t>"Gamma"</t>
  </si>
  <si>
    <t>α_Purchase</t>
  </si>
  <si>
    <t>α_Fuelcons</t>
  </si>
  <si>
    <t>α_Maintenance</t>
  </si>
  <si>
    <t>α_Tires</t>
  </si>
  <si>
    <t>α_Depreciation,y,d</t>
  </si>
  <si>
    <t>α_Dist</t>
  </si>
  <si>
    <t>α_driver</t>
  </si>
  <si>
    <t>α_Capital,y</t>
  </si>
  <si>
    <t>α_Depreciation,y,t</t>
  </si>
  <si>
    <t>α_Tax</t>
  </si>
  <si>
    <t>α_Insurance,y</t>
  </si>
  <si>
    <t>α_Other,y</t>
  </si>
  <si>
    <t>α_Time</t>
  </si>
  <si>
    <t>γ_RemoteOpsCost</t>
  </si>
  <si>
    <t>γ_RemoteOpsUsage</t>
  </si>
  <si>
    <t>Fuel cons l/km</t>
  </si>
  <si>
    <t>Fuel price 2040 Samgods</t>
  </si>
  <si>
    <t>DL-TRUCK COSTS</t>
  </si>
  <si>
    <t>Distance costs</t>
  </si>
  <si>
    <t>Time costs</t>
  </si>
  <si>
    <t>Fuel</t>
  </si>
  <si>
    <t>Maintenance</t>
  </si>
  <si>
    <t>Tires</t>
  </si>
  <si>
    <t>Depreciation</t>
  </si>
  <si>
    <t>Total distance</t>
  </si>
  <si>
    <t>Driver</t>
  </si>
  <si>
    <t xml:space="preserve">Capital </t>
  </si>
  <si>
    <t>Remote ops</t>
  </si>
  <si>
    <t>Total time</t>
  </si>
  <si>
    <t xml:space="preserve">3,5DL-truck </t>
  </si>
  <si>
    <t>16DL-truck</t>
  </si>
  <si>
    <t>24DL-truck</t>
  </si>
  <si>
    <t>40DL-truck</t>
  </si>
  <si>
    <t>60DL-truck</t>
  </si>
  <si>
    <t>Time cost vehicle only/ferry</t>
  </si>
  <si>
    <t>For comparison</t>
  </si>
  <si>
    <t>DIFF DL-MD</t>
  </si>
  <si>
    <t>DIFF REL DL-MD</t>
  </si>
  <si>
    <t>Node costs</t>
  </si>
  <si>
    <t>NC_LCO_DRY</t>
  </si>
  <si>
    <t>NC_LCO_LIQ</t>
  </si>
  <si>
    <t>NC_LCO_GC</t>
  </si>
  <si>
    <t>NC_LTI_DRY</t>
  </si>
  <si>
    <t>NC_LTI_LIQ</t>
  </si>
  <si>
    <t>NC_LTI_GC</t>
  </si>
  <si>
    <t>CONT_LCO</t>
  </si>
  <si>
    <t>CONT_LTI</t>
  </si>
  <si>
    <t>Capacity</t>
  </si>
  <si>
    <t>Time cost/h</t>
  </si>
  <si>
    <t>Driver cost</t>
  </si>
  <si>
    <t>Conventional loading/unloding</t>
  </si>
  <si>
    <t>Dry</t>
  </si>
  <si>
    <t>Liquid</t>
  </si>
  <si>
    <t>GC</t>
  </si>
  <si>
    <t>Cont</t>
  </si>
  <si>
    <t>Time cost</t>
  </si>
  <si>
    <t>Node time cost</t>
  </si>
  <si>
    <t>Assumed fill rate</t>
  </si>
  <si>
    <t>Driver compensation</t>
  </si>
  <si>
    <t>Bulk cost tot</t>
  </si>
  <si>
    <t>Time cost node</t>
  </si>
  <si>
    <t>Cost 1 loading</t>
  </si>
  <si>
    <t>Time cost vehicle only</t>
  </si>
  <si>
    <t>Driver cost to add per loading</t>
  </si>
  <si>
    <t>Cost1 loading</t>
  </si>
  <si>
    <t>Container</t>
  </si>
  <si>
    <t>Dry %</t>
  </si>
  <si>
    <t>Liq %</t>
  </si>
  <si>
    <t>GC %</t>
  </si>
  <si>
    <t>Cont%</t>
  </si>
  <si>
    <t>Average cost 1 load</t>
  </si>
  <si>
    <t>Average loading time</t>
  </si>
  <si>
    <t>Average cost 1 tranfer</t>
  </si>
  <si>
    <t>Transfer costs</t>
  </si>
  <si>
    <t>NC_LCO_DRY_T</t>
  </si>
  <si>
    <t>NC_LCO_LIQ_T</t>
  </si>
  <si>
    <t>NC_LCO_GC_T</t>
  </si>
  <si>
    <t>NC_LTI_DRY_T</t>
  </si>
  <si>
    <t>NC_LTI_LIQ_T</t>
  </si>
  <si>
    <t>NC_LTI_GC_T</t>
  </si>
  <si>
    <t>CONT_LCO_T</t>
  </si>
  <si>
    <t>CONT_LTI_T</t>
  </si>
  <si>
    <t>transer cost factor</t>
  </si>
  <si>
    <t>Assuming using link time cost</t>
  </si>
  <si>
    <t>Vehicle Swap transfer</t>
  </si>
  <si>
    <t>Inputs</t>
  </si>
  <si>
    <t>Time per vehicle (hrs)</t>
  </si>
  <si>
    <t>Service fee (/swap, both trucks)</t>
  </si>
  <si>
    <t>Total cost per swap target</t>
  </si>
  <si>
    <t>Time - MD</t>
  </si>
  <si>
    <t>Time -DL</t>
  </si>
  <si>
    <t>Service fee</t>
  </si>
  <si>
    <t>Total</t>
  </si>
  <si>
    <t>Compared to convetional average</t>
  </si>
  <si>
    <t>Actual costs in Samgods</t>
  </si>
  <si>
    <t>Loading times</t>
  </si>
  <si>
    <t>Loading time costs</t>
  </si>
  <si>
    <t>Diff cost from target</t>
  </si>
  <si>
    <t>Liq</t>
  </si>
  <si>
    <t>40MD-truck</t>
  </si>
  <si>
    <t>Availabl loading time to stay within time cost budget</t>
  </si>
  <si>
    <t>Bulk costs (average based on assumed fill rate)</t>
  </si>
  <si>
    <t>Diff from service fee</t>
  </si>
  <si>
    <t>Bulk + time cost MD</t>
  </si>
  <si>
    <t>Diff from cost target MD</t>
  </si>
  <si>
    <t>DL truck parameters</t>
  </si>
  <si>
    <t>Diff for bulk costs</t>
  </si>
  <si>
    <t>Negative bulk allowed</t>
  </si>
  <si>
    <t>Average tons</t>
  </si>
  <si>
    <t>Bulk cost parameter</t>
  </si>
  <si>
    <t>Bulk costs</t>
  </si>
  <si>
    <t>Diff from target</t>
  </si>
  <si>
    <t>CHECK negative bulk costs allowed</t>
  </si>
  <si>
    <t>COST 1 swap</t>
  </si>
  <si>
    <t>0.1 smalles bulk cost allowed</t>
  </si>
  <si>
    <t>Compared to conventional</t>
  </si>
  <si>
    <t>&lt;</t>
  </si>
  <si>
    <t>Drifttimmar</t>
  </si>
  <si>
    <t>Körda km</t>
  </si>
  <si>
    <t>Tabell 14.8</t>
  </si>
  <si>
    <t>Beräknat</t>
  </si>
  <si>
    <t>Time costs - allocated per km</t>
  </si>
  <si>
    <t>Total per km</t>
  </si>
  <si>
    <t>Total per mil</t>
  </si>
  <si>
    <t>Change rel MD</t>
  </si>
  <si>
    <t>Total per mil excl. Fuel</t>
  </si>
  <si>
    <t>MD</t>
  </si>
  <si>
    <t>Diesel price</t>
  </si>
  <si>
    <t>Fuel cons</t>
  </si>
  <si>
    <t>Veh type</t>
  </si>
  <si>
    <t>Variable</t>
  </si>
  <si>
    <t>Fuel cost</t>
  </si>
  <si>
    <t>l/mil</t>
  </si>
  <si>
    <t>SEK/mil (excl. Moms)</t>
  </si>
  <si>
    <t>Other costs</t>
  </si>
  <si>
    <t>SEK/mil</t>
  </si>
  <si>
    <t>Total cost</t>
  </si>
  <si>
    <t>Max fuel cons reduction</t>
  </si>
  <si>
    <t>Max other cost reduction</t>
  </si>
  <si>
    <t>AV benefits [0-1]</t>
  </si>
  <si>
    <t>AV</t>
  </si>
  <si>
    <t>All</t>
  </si>
  <si>
    <t>Fuel cons reduction</t>
  </si>
  <si>
    <t>Other cost reduction</t>
  </si>
  <si>
    <t>AV penetration rate</t>
  </si>
  <si>
    <t>Example calculation, fleet impact rel. Cost saving</t>
  </si>
  <si>
    <t>Genomsnittlig hastighet, förhållande körda km per år / drifttimmar per år</t>
  </si>
  <si>
    <t>Värden från Asek 7</t>
  </si>
  <si>
    <t>SEK/l (excl.VAT)</t>
  </si>
  <si>
    <t>SEK/mil (excl. VAT)</t>
  </si>
  <si>
    <t>Rel. Diff cost saving AV vs MD (total cost)</t>
  </si>
  <si>
    <t>Diff</t>
  </si>
  <si>
    <t xml:space="preserve">Total </t>
  </si>
  <si>
    <t>mil/timme</t>
  </si>
  <si>
    <t>Teknikosäkerhet</t>
  </si>
  <si>
    <t>Andel av förarlösa fordon i fordonsflottan</t>
  </si>
  <si>
    <t>andel förarlöst i procent</t>
  </si>
  <si>
    <t>Pessimistic</t>
  </si>
  <si>
    <t>Intermediate</t>
  </si>
  <si>
    <t>Optimistic</t>
  </si>
  <si>
    <t>Change in fuel consumption</t>
  </si>
  <si>
    <t>Change in other costs</t>
  </si>
  <si>
    <t>Övrig körkostnad 2030 &amp; 2040 (samtliga kostnader förutom energi). Beräknat baserat på ASEK 7, ASEK antar oförändrade realkostnader 2030-2040</t>
  </si>
  <si>
    <t>UTGÅNGLÄGE 7a. ÖVRIG KÖRKOSTNAD</t>
  </si>
  <si>
    <t>FÖRBEARBETNING 2b. JUSTERAR DRIVMEDELSFÖRBRUKNING m.h.t. DRIVMEDELSPRIS och YTTERLIGARE ENERGIEFFEKTIV ANVÄNDNING Samt AVS</t>
  </si>
  <si>
    <t>AV energy cons change</t>
  </si>
  <si>
    <t>Boolean (Yes/No). Whether if electrification rate should be set using an (X) paramter (Yes) or using the default high/low scenarios</t>
  </si>
  <si>
    <t>The penetration rate of Avs in the truck fleet [0,1]</t>
  </si>
  <si>
    <t>The relative change in energy consumption for Avs relative conventional vehicles [-1,inf]</t>
  </si>
  <si>
    <t>Övrig körkostnad lastbilar - utgångsläge (manuella fordon)</t>
  </si>
  <si>
    <t>Förändrad energiförbrukning förarlösa lastbilar (per körd mil)</t>
  </si>
  <si>
    <t>Förändring av övrig körkostnad förarlösa lastbilar</t>
  </si>
  <si>
    <t>förändring i procent</t>
  </si>
  <si>
    <t>bensinbilar</t>
  </si>
  <si>
    <t>dieselbilar</t>
  </si>
  <si>
    <t>elbilar</t>
  </si>
  <si>
    <t>fkm per bensinbil</t>
  </si>
  <si>
    <t>fkm per dieselbil</t>
  </si>
  <si>
    <t>fkm per elbil</t>
  </si>
  <si>
    <t>Antal bilar (antal personer med tillgång till bil?)</t>
  </si>
  <si>
    <t>Population SAV kan adressera</t>
  </si>
  <si>
    <t>SAV</t>
  </si>
  <si>
    <t>SAV andel av adresserbar population</t>
  </si>
  <si>
    <t>fkm per SAV</t>
  </si>
  <si>
    <t xml:space="preserve">UTGÅNGLÄGE 8a. TOTAL KÖRKOSTNAD </t>
  </si>
  <si>
    <t>FÖRBEARBETNING 8b. JUSTERAR TOTAL KÖRKOSTNAD m.h.t. NYA DRIVMEDELSPRISER och  NY DRIVMEDELSFÖRBRUKNING</t>
  </si>
  <si>
    <t>FÖRBEARBETNING 7b. ÖVRIG KÖRKOSTNAD JUSTERAD FÖR Avs</t>
  </si>
  <si>
    <t>MODELL 7c. ÖVRIG KÖRKOSTNAD JUSTERAD FÖR Avs (ingen justering)</t>
  </si>
  <si>
    <t>AV penetration rate trucks</t>
  </si>
  <si>
    <t>BACKUP KÖRKOSTAND LASTBIL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</si>
</sst>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4" formatCode="_-* #,##0.00\ &quot;kr&quot;_-;\-* #,##0.00\ &quot;kr&quot;_-;_-* &quot;-&quot;??\ &quot;kr&quot;_-;_-@_-"/>
    <numFmt numFmtId="43" formatCode="_-* #,##0.00_-;\-* #,##0.00_-;_-* &quot;-&quot;??_-;_-@_-"/>
    <numFmt numFmtId="164" formatCode="0.000"/>
    <numFmt numFmtId="165" formatCode="0.0%"/>
    <numFmt numFmtId="166" formatCode="0.0"/>
    <numFmt numFmtId="167" formatCode="_-* #,##0.00\ _k_r_-;\-* #,##0.00\ _k_r_-;_-* &quot;-&quot;??\ _k_r_-;_-@_-"/>
    <numFmt numFmtId="168" formatCode="#,##0.0"/>
    <numFmt numFmtId="169" formatCode="_-* #,##0.00\ [$kr-41D]_-;\-* #,##0.00\ [$kr-41D]_-;_-* &quot;-&quot;??\ [$kr-41D]_-;_-@_-"/>
    <numFmt numFmtId="170" formatCode="_-[$$-409]* #,##0.00_ ;_-[$$-409]* \-#,##0.00\ ;_-[$$-409]* &quot;-&quot;??_ ;_-@_ "/>
    <numFmt numFmtId="171" formatCode="_-* #,##0\ [$kr-41D]_-;\-* #,##0\ [$kr-41D]_-;_-* &quot;-&quot;??\ [$kr-41D]_-;_-@_-"/>
  </numFmts>
  <fonts count="61" x14ac:knownFonts="1">
    <font>
      <sz val="11"/>
      <color theme="1"/>
      <name val="Calibri"/>
      <family val="2"/>
      <scheme val="minor"/>
    </font>
    <font>
      <sz val="11"/>
      <color theme="1"/>
      <name val="Calibri"/>
      <family val="2"/>
      <scheme val="minor"/>
    </font>
    <font>
      <sz val="11"/>
      <color rgb="FF3F3F76"/>
      <name val="Calibri"/>
      <family val="2"/>
      <scheme val="minor"/>
    </font>
    <font>
      <sz val="11"/>
      <color rgb="FFFF0000"/>
      <name val="Calibri"/>
      <family val="2"/>
      <scheme val="minor"/>
    </font>
    <font>
      <sz val="10"/>
      <color theme="1"/>
      <name val="Calibri"/>
      <family val="2"/>
      <scheme val="minor"/>
    </font>
    <font>
      <b/>
      <sz val="9"/>
      <color indexed="81"/>
      <name val="Tahoma"/>
      <family val="2"/>
    </font>
    <font>
      <sz val="9"/>
      <color indexed="81"/>
      <name val="Tahoma"/>
      <family val="2"/>
    </font>
    <font>
      <sz val="10"/>
      <color indexed="8"/>
      <name val="Arial"/>
      <family val="2"/>
    </font>
    <font>
      <sz val="10"/>
      <color theme="1"/>
      <name val="Arial"/>
      <family val="2"/>
    </font>
    <font>
      <sz val="10"/>
      <name val="Arial"/>
      <family val="2"/>
    </font>
    <font>
      <sz val="9"/>
      <color theme="1"/>
      <name val="Arial"/>
      <family val="2"/>
    </font>
    <font>
      <sz val="11"/>
      <color theme="1"/>
      <name val="Arial"/>
      <family val="2"/>
    </font>
    <font>
      <b/>
      <sz val="9"/>
      <color theme="1"/>
      <name val="Arial"/>
      <family val="2"/>
    </font>
    <font>
      <b/>
      <i/>
      <sz val="9"/>
      <color theme="1"/>
      <name val="Arial"/>
      <family val="2"/>
    </font>
    <font>
      <sz val="11"/>
      <color theme="1"/>
      <name val="Calibri Light"/>
      <family val="2"/>
      <scheme val="major"/>
    </font>
    <font>
      <sz val="9"/>
      <color rgb="FFFF0000"/>
      <name val="Arial"/>
      <family val="2"/>
    </font>
    <font>
      <b/>
      <sz val="11"/>
      <color rgb="FFFA7D00"/>
      <name val="Calibri"/>
      <family val="2"/>
      <scheme val="minor"/>
    </font>
    <font>
      <i/>
      <sz val="9"/>
      <color theme="1"/>
      <name val="Arial"/>
      <family val="2"/>
    </font>
    <font>
      <b/>
      <sz val="12"/>
      <color theme="1"/>
      <name val="Arial"/>
      <family val="2"/>
    </font>
    <font>
      <b/>
      <sz val="9"/>
      <name val="Arial"/>
      <family val="2"/>
    </font>
    <font>
      <sz val="9"/>
      <name val="Arial"/>
      <family val="2"/>
    </font>
    <font>
      <b/>
      <sz val="11"/>
      <color theme="1"/>
      <name val="Calibri"/>
      <family val="2"/>
      <scheme val="minor"/>
    </font>
    <font>
      <b/>
      <sz val="9"/>
      <color theme="0"/>
      <name val="Arial"/>
      <family val="2"/>
    </font>
    <font>
      <b/>
      <sz val="10"/>
      <color theme="0"/>
      <name val="Arial"/>
      <family val="2"/>
    </font>
    <font>
      <b/>
      <sz val="14"/>
      <color rgb="FFD70000"/>
      <name val="Arial"/>
      <family val="2"/>
    </font>
    <font>
      <sz val="12"/>
      <color theme="1"/>
      <name val="Arial"/>
      <family val="2"/>
    </font>
    <font>
      <b/>
      <sz val="12"/>
      <color theme="0"/>
      <name val="Arial"/>
      <family val="2"/>
    </font>
    <font>
      <sz val="12"/>
      <color theme="1"/>
      <name val="Calibri"/>
      <family val="2"/>
      <scheme val="minor"/>
    </font>
    <font>
      <sz val="9"/>
      <color theme="0"/>
      <name val="Arial"/>
      <family val="2"/>
    </font>
    <font>
      <i/>
      <sz val="9"/>
      <color theme="0"/>
      <name val="Arial"/>
      <family val="2"/>
    </font>
    <font>
      <sz val="11"/>
      <name val="Calibri"/>
      <family val="2"/>
      <scheme val="minor"/>
    </font>
    <font>
      <i/>
      <sz val="9"/>
      <name val="Arial"/>
      <family val="2"/>
    </font>
    <font>
      <sz val="10"/>
      <color theme="0"/>
      <name val="Arial"/>
      <family val="2"/>
    </font>
    <font>
      <sz val="14"/>
      <color theme="3"/>
      <name val="Calibri"/>
      <family val="2"/>
      <scheme val="minor"/>
    </font>
    <font>
      <sz val="10"/>
      <color rgb="FF9C6500"/>
      <name val="Arial"/>
      <family val="2"/>
    </font>
    <font>
      <sz val="10"/>
      <color rgb="FF3F3F76"/>
      <name val="Arial"/>
      <family val="2"/>
    </font>
    <font>
      <b/>
      <sz val="10"/>
      <color rgb="FFFA7D00"/>
      <name val="Arial"/>
      <family val="2"/>
    </font>
    <font>
      <i/>
      <sz val="10"/>
      <color rgb="FF7F7F7F"/>
      <name val="Arial"/>
      <family val="2"/>
    </font>
    <font>
      <b/>
      <sz val="11"/>
      <name val="Calibri"/>
      <family val="2"/>
      <scheme val="minor"/>
    </font>
    <font>
      <sz val="10"/>
      <name val="Times New Roman"/>
      <family val="1"/>
    </font>
    <font>
      <sz val="9"/>
      <name val="Helvetica"/>
    </font>
    <font>
      <sz val="9"/>
      <name val="Helvetica"/>
      <family val="2"/>
    </font>
    <font>
      <sz val="11"/>
      <color rgb="FFFF0000"/>
      <name val="Arial"/>
      <family val="2"/>
    </font>
    <font>
      <b/>
      <sz val="18"/>
      <color theme="1"/>
      <name val="Calibri"/>
      <family val="2"/>
      <scheme val="minor"/>
    </font>
    <font>
      <b/>
      <sz val="10"/>
      <color theme="1"/>
      <name val="Arial"/>
      <family val="2"/>
    </font>
    <font>
      <b/>
      <sz val="11"/>
      <color theme="0"/>
      <name val="Calibri"/>
      <family val="2"/>
      <scheme val="minor"/>
    </font>
    <font>
      <sz val="11"/>
      <color theme="0"/>
      <name val="Calibri"/>
      <family val="2"/>
      <scheme val="minor"/>
    </font>
    <font>
      <b/>
      <sz val="22"/>
      <color theme="1"/>
      <name val="Calibri"/>
      <family val="2"/>
      <scheme val="minor"/>
    </font>
    <font>
      <sz val="10"/>
      <color theme="1"/>
      <name val="Georgia"/>
      <family val="1"/>
    </font>
    <font>
      <sz val="11"/>
      <color theme="3"/>
      <name val="Calibri"/>
      <family val="2"/>
      <scheme val="minor"/>
    </font>
    <font>
      <sz val="10"/>
      <name val="Calibri"/>
      <family val="2"/>
      <scheme val="minor"/>
    </font>
    <font>
      <sz val="11"/>
      <color theme="5"/>
      <name val="Calibri"/>
      <family val="2"/>
      <scheme val="minor"/>
    </font>
    <font>
      <sz val="12"/>
      <color theme="4"/>
      <name val="Calibri"/>
      <family val="2"/>
      <scheme val="minor"/>
    </font>
    <font>
      <sz val="12"/>
      <color theme="9"/>
      <name val="Calibri"/>
      <family val="2"/>
      <scheme val="minor"/>
    </font>
    <font>
      <b/>
      <sz val="10"/>
      <name val="Calibri"/>
      <family val="2"/>
      <scheme val="minor"/>
    </font>
    <font>
      <i/>
      <sz val="11"/>
      <color theme="1"/>
      <name val="Calibri"/>
      <family val="2"/>
      <scheme val="minor"/>
    </font>
    <font>
      <sz val="11"/>
      <color theme="4"/>
      <name val="Calibri"/>
      <family val="2"/>
      <scheme val="minor"/>
    </font>
    <font>
      <sz val="11"/>
      <color theme="9"/>
      <name val="Calibri"/>
      <family val="2"/>
      <scheme val="minor"/>
    </font>
    <font>
      <b/>
      <sz val="9"/>
      <color theme="1"/>
      <name val="Calibri"/>
      <family val="2"/>
      <scheme val="minor"/>
    </font>
    <font>
      <i/>
      <sz val="11"/>
      <color theme="3"/>
      <name val="Calibri"/>
      <family val="2"/>
      <scheme val="minor"/>
    </font>
    <font>
      <b/>
      <i/>
      <sz val="11"/>
      <color theme="1"/>
      <name val="Calibri"/>
      <family val="2"/>
      <scheme val="minor"/>
    </font>
  </fonts>
  <fills count="17">
    <fill>
      <patternFill patternType="none"/>
    </fill>
    <fill>
      <patternFill patternType="gray125"/>
    </fill>
    <fill>
      <patternFill patternType="solid">
        <fgColor rgb="FFFFCC99"/>
      </patternFill>
    </fill>
    <fill>
      <patternFill patternType="solid">
        <fgColor theme="0"/>
        <bgColor indexed="64"/>
      </patternFill>
    </fill>
    <fill>
      <patternFill patternType="solid">
        <fgColor rgb="FFF2F2F2"/>
      </patternFill>
    </fill>
    <fill>
      <patternFill patternType="solid">
        <fgColor rgb="FFD2D2D2"/>
        <bgColor indexed="64"/>
      </patternFill>
    </fill>
    <fill>
      <patternFill patternType="solid">
        <fgColor rgb="FFD70000"/>
        <bgColor indexed="64"/>
      </patternFill>
    </fill>
    <fill>
      <patternFill patternType="solid">
        <fgColor rgb="FFFFEB9C"/>
      </patternFill>
    </fill>
    <fill>
      <patternFill patternType="solid">
        <fgColor theme="1"/>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theme="9" tint="0.59999389629810485"/>
        <bgColor indexed="64"/>
      </patternFill>
    </fill>
    <fill>
      <patternFill patternType="solid">
        <fgColor theme="6" tint="0.79998168889431442"/>
        <bgColor indexed="64"/>
      </patternFill>
    </fill>
    <fill>
      <patternFill patternType="solid">
        <fgColor theme="7"/>
        <bgColor indexed="64"/>
      </patternFill>
    </fill>
  </fills>
  <borders count="99">
    <border>
      <left/>
      <right/>
      <top/>
      <bottom/>
      <diagonal/>
    </border>
    <border>
      <left style="thin">
        <color rgb="FF7F7F7F"/>
      </left>
      <right style="thin">
        <color rgb="FF7F7F7F"/>
      </right>
      <top style="thin">
        <color rgb="FF7F7F7F"/>
      </top>
      <bottom style="thin">
        <color rgb="FF7F7F7F"/>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medium">
        <color indexed="64"/>
      </bottom>
      <diagonal/>
    </border>
    <border>
      <left style="thin">
        <color rgb="FF7F7F7F"/>
      </left>
      <right style="thin">
        <color indexed="64"/>
      </right>
      <top/>
      <bottom/>
      <diagonal/>
    </border>
    <border>
      <left style="thin">
        <color indexed="64"/>
      </left>
      <right/>
      <top style="thin">
        <color indexed="64"/>
      </top>
      <bottom style="thin">
        <color indexed="64"/>
      </bottom>
      <diagonal/>
    </border>
    <border>
      <left style="medium">
        <color indexed="64"/>
      </left>
      <right style="medium">
        <color indexed="64"/>
      </right>
      <top/>
      <bottom/>
      <diagonal/>
    </border>
    <border>
      <left style="thin">
        <color rgb="FF7F7F7F"/>
      </left>
      <right style="medium">
        <color indexed="64"/>
      </right>
      <top style="medium">
        <color indexed="64"/>
      </top>
      <bottom style="medium">
        <color indexed="64"/>
      </bottom>
      <diagonal/>
    </border>
    <border>
      <left style="thin">
        <color rgb="FF7F7F7F"/>
      </left>
      <right style="medium">
        <color indexed="64"/>
      </right>
      <top style="medium">
        <color indexed="64"/>
      </top>
      <bottom style="thin">
        <color rgb="FF7F7F7F"/>
      </bottom>
      <diagonal/>
    </border>
    <border>
      <left style="thin">
        <color rgb="FF7F7F7F"/>
      </left>
      <right style="medium">
        <color indexed="64"/>
      </right>
      <top style="thin">
        <color rgb="FF7F7F7F"/>
      </top>
      <bottom style="thin">
        <color rgb="FF7F7F7F"/>
      </bottom>
      <diagonal/>
    </border>
    <border>
      <left style="thin">
        <color rgb="FF7F7F7F"/>
      </left>
      <right style="medium">
        <color indexed="64"/>
      </right>
      <top style="thin">
        <color rgb="FF7F7F7F"/>
      </top>
      <bottom/>
      <diagonal/>
    </border>
    <border>
      <left style="medium">
        <color indexed="64"/>
      </left>
      <right style="thin">
        <color rgb="FF7F7F7F"/>
      </right>
      <top style="medium">
        <color indexed="64"/>
      </top>
      <bottom style="thin">
        <color rgb="FF7F7F7F"/>
      </bottom>
      <diagonal/>
    </border>
    <border>
      <left style="medium">
        <color indexed="64"/>
      </left>
      <right style="thin">
        <color rgb="FF7F7F7F"/>
      </right>
      <top style="thin">
        <color rgb="FF7F7F7F"/>
      </top>
      <bottom style="thin">
        <color rgb="FF7F7F7F"/>
      </bottom>
      <diagonal/>
    </border>
    <border>
      <left style="medium">
        <color indexed="64"/>
      </left>
      <right style="thin">
        <color rgb="FF7F7F7F"/>
      </right>
      <top style="thin">
        <color rgb="FF7F7F7F"/>
      </top>
      <bottom/>
      <diagonal/>
    </border>
    <border>
      <left style="medium">
        <color indexed="64"/>
      </left>
      <right style="thin">
        <color rgb="FF7F7F7F"/>
      </right>
      <top style="medium">
        <color indexed="64"/>
      </top>
      <bottom style="medium">
        <color indexed="64"/>
      </bottom>
      <diagonal/>
    </border>
    <border>
      <left style="thin">
        <color rgb="FF7F7F7F"/>
      </left>
      <right style="medium">
        <color indexed="64"/>
      </right>
      <top style="thin">
        <color rgb="FF7F7F7F"/>
      </top>
      <bottom style="medium">
        <color indexed="64"/>
      </bottom>
      <diagonal/>
    </border>
    <border>
      <left style="thin">
        <color rgb="FF7F7F7F"/>
      </left>
      <right style="medium">
        <color indexed="64"/>
      </right>
      <top/>
      <bottom style="thin">
        <color rgb="FF7F7F7F"/>
      </bottom>
      <diagonal/>
    </border>
    <border>
      <left/>
      <right style="thin">
        <color rgb="FF7F7F7F"/>
      </right>
      <top/>
      <bottom style="thin">
        <color rgb="FF7F7F7F"/>
      </bottom>
      <diagonal/>
    </border>
    <border>
      <left/>
      <right style="thin">
        <color rgb="FF7F7F7F"/>
      </right>
      <top style="thin">
        <color rgb="FF7F7F7F"/>
      </top>
      <bottom style="medium">
        <color indexed="64"/>
      </bottom>
      <diagonal/>
    </border>
    <border>
      <left style="medium">
        <color indexed="64"/>
      </left>
      <right style="thin">
        <color rgb="FF7F7F7F"/>
      </right>
      <top style="thin">
        <color rgb="FF7F7F7F"/>
      </top>
      <bottom style="medium">
        <color indexed="64"/>
      </bottom>
      <diagonal/>
    </border>
    <border>
      <left/>
      <right style="thin">
        <color rgb="FF7F7F7F"/>
      </right>
      <top style="medium">
        <color indexed="64"/>
      </top>
      <bottom style="thin">
        <color rgb="FF7F7F7F"/>
      </bottom>
      <diagonal/>
    </border>
    <border>
      <left/>
      <right style="thin">
        <color rgb="FF7F7F7F"/>
      </right>
      <top/>
      <bottom/>
      <diagonal/>
    </border>
    <border>
      <left style="thin">
        <color rgb="FF7F7F7F"/>
      </left>
      <right/>
      <top style="medium">
        <color indexed="64"/>
      </top>
      <bottom style="thin">
        <color rgb="FF7F7F7F"/>
      </bottom>
      <diagonal/>
    </border>
    <border>
      <left style="thin">
        <color rgb="FF7F7F7F"/>
      </left>
      <right/>
      <top style="thin">
        <color rgb="FF7F7F7F"/>
      </top>
      <bottom style="medium">
        <color indexed="64"/>
      </bottom>
      <diagonal/>
    </border>
    <border>
      <left style="medium">
        <color indexed="64"/>
      </left>
      <right style="thin">
        <color rgb="FF7F7F7F"/>
      </right>
      <top/>
      <bottom/>
      <diagonal/>
    </border>
    <border>
      <left style="thin">
        <color rgb="FF7F7F7F"/>
      </left>
      <right style="medium">
        <color indexed="64"/>
      </right>
      <top/>
      <bottom/>
      <diagonal/>
    </border>
    <border>
      <left style="medium">
        <color indexed="64"/>
      </left>
      <right style="thin">
        <color rgb="FF7F7F7F"/>
      </right>
      <top/>
      <bottom style="medium">
        <color indexed="64"/>
      </bottom>
      <diagonal/>
    </border>
    <border>
      <left style="thin">
        <color rgb="FF7F7F7F"/>
      </left>
      <right style="medium">
        <color indexed="64"/>
      </right>
      <top/>
      <bottom style="medium">
        <color indexed="64"/>
      </bottom>
      <diagonal/>
    </border>
    <border>
      <left/>
      <right style="thin">
        <color rgb="FF7F7F7F"/>
      </right>
      <top style="thin">
        <color rgb="FF7F7F7F"/>
      </top>
      <bottom style="thin">
        <color rgb="FF7F7F7F"/>
      </bottom>
      <diagonal/>
    </border>
    <border>
      <left style="medium">
        <color indexed="64"/>
      </left>
      <right style="thin">
        <color rgb="FF7F7F7F"/>
      </right>
      <top/>
      <bottom style="thin">
        <color rgb="FF7F7F7F"/>
      </bottom>
      <diagonal/>
    </border>
    <border>
      <left/>
      <right style="thin">
        <color rgb="FF7F7F7F"/>
      </right>
      <top/>
      <bottom style="medium">
        <color indexed="64"/>
      </bottom>
      <diagonal/>
    </border>
    <border>
      <left style="thin">
        <color indexed="64"/>
      </left>
      <right style="medium">
        <color indexed="64"/>
      </right>
      <top style="medium">
        <color indexed="64"/>
      </top>
      <bottom style="thin">
        <color rgb="FF7F7F7F"/>
      </bottom>
      <diagonal/>
    </border>
    <border>
      <left style="thin">
        <color indexed="64"/>
      </left>
      <right style="medium">
        <color indexed="64"/>
      </right>
      <top style="thin">
        <color rgb="FF7F7F7F"/>
      </top>
      <bottom style="medium">
        <color indexed="64"/>
      </bottom>
      <diagonal/>
    </border>
    <border>
      <left style="thin">
        <color indexed="64"/>
      </left>
      <right/>
      <top style="medium">
        <color indexed="64"/>
      </top>
      <bottom style="thin">
        <color rgb="FF7F7F7F"/>
      </bottom>
      <diagonal/>
    </border>
    <border>
      <left style="thin">
        <color indexed="64"/>
      </left>
      <right/>
      <top style="thin">
        <color rgb="FF7F7F7F"/>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rgb="FF7F7F7F"/>
      </left>
      <right/>
      <top/>
      <bottom style="thin">
        <color rgb="FF7F7F7F"/>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rgb="FF7F7F7F"/>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style="thin">
        <color rgb="FF7F7F7F"/>
      </left>
      <right/>
      <top style="thin">
        <color rgb="FF7F7F7F"/>
      </top>
      <bottom style="thin">
        <color rgb="FF7F7F7F"/>
      </bottom>
      <diagonal/>
    </border>
    <border>
      <left style="thin">
        <color rgb="FF7F7F7F"/>
      </left>
      <right/>
      <top style="thin">
        <color rgb="FF7F7F7F"/>
      </top>
      <bottom/>
      <diagonal/>
    </border>
    <border>
      <left/>
      <right style="thin">
        <color rgb="FF7F7F7F"/>
      </right>
      <top style="thin">
        <color rgb="FF7F7F7F"/>
      </top>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style="thin">
        <color indexed="64"/>
      </right>
      <top/>
      <bottom style="thin">
        <color indexed="64"/>
      </bottom>
      <diagonal/>
    </border>
    <border>
      <left/>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medium">
        <color indexed="64"/>
      </top>
      <bottom style="medium">
        <color indexed="64"/>
      </bottom>
      <diagonal/>
    </border>
    <border>
      <left style="medium">
        <color indexed="64"/>
      </left>
      <right/>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s>
  <cellStyleXfs count="29">
    <xf numFmtId="0" fontId="0" fillId="0" borderId="0"/>
    <xf numFmtId="9" fontId="1" fillId="0" borderId="0" applyFont="0" applyFill="0" applyBorder="0" applyAlignment="0" applyProtection="0"/>
    <xf numFmtId="0" fontId="2" fillId="2" borderId="1" applyNumberFormat="0" applyAlignment="0" applyProtection="0"/>
    <xf numFmtId="0" fontId="7" fillId="0" borderId="0" applyFill="0" applyProtection="0"/>
    <xf numFmtId="0" fontId="1" fillId="0" borderId="0"/>
    <xf numFmtId="9" fontId="9" fillId="0" borderId="0" applyFont="0" applyFill="0" applyBorder="0" applyAlignment="0" applyProtection="0"/>
    <xf numFmtId="0" fontId="14" fillId="0" borderId="0"/>
    <xf numFmtId="0" fontId="16" fillId="4" borderId="1" applyNumberFormat="0" applyAlignment="0" applyProtection="0"/>
    <xf numFmtId="0" fontId="33" fillId="0" borderId="0" applyNumberFormat="0"/>
    <xf numFmtId="0" fontId="1" fillId="0" borderId="0"/>
    <xf numFmtId="0" fontId="21" fillId="0" borderId="0">
      <alignment horizontal="center"/>
    </xf>
    <xf numFmtId="0" fontId="34" fillId="7" borderId="0" applyNumberFormat="0" applyBorder="0" applyAlignment="0" applyProtection="0"/>
    <xf numFmtId="0" fontId="35" fillId="2" borderId="1" applyNumberFormat="0" applyAlignment="0" applyProtection="0"/>
    <xf numFmtId="0" fontId="36" fillId="4" borderId="1" applyNumberFormat="0" applyAlignment="0" applyProtection="0"/>
    <xf numFmtId="0" fontId="37" fillId="0" borderId="0" applyNumberFormat="0" applyFill="0" applyBorder="0" applyAlignment="0" applyProtection="0"/>
    <xf numFmtId="9" fontId="1" fillId="0" borderId="0" applyFont="0" applyFill="0" applyBorder="0" applyAlignment="0" applyProtection="0"/>
    <xf numFmtId="0" fontId="9" fillId="0" borderId="0"/>
    <xf numFmtId="0" fontId="9" fillId="0" borderId="0"/>
    <xf numFmtId="9" fontId="1" fillId="0" borderId="0" applyFont="0" applyFill="0" applyBorder="0" applyAlignment="0" applyProtection="0"/>
    <xf numFmtId="0" fontId="9" fillId="0" borderId="0"/>
    <xf numFmtId="0" fontId="9" fillId="0" borderId="0"/>
    <xf numFmtId="0" fontId="39" fillId="0" borderId="0"/>
    <xf numFmtId="0" fontId="39" fillId="0" borderId="0"/>
    <xf numFmtId="0" fontId="9" fillId="0" borderId="0"/>
    <xf numFmtId="0" fontId="40" fillId="0" borderId="0"/>
    <xf numFmtId="9" fontId="41" fillId="0" borderId="0" applyFont="0" applyFill="0" applyBorder="0" applyAlignment="0" applyProtection="0"/>
    <xf numFmtId="167"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cellStyleXfs>
  <cellXfs count="1184">
    <xf numFmtId="0" fontId="0" fillId="0" borderId="0" xfId="0"/>
    <xf numFmtId="0" fontId="11" fillId="3" borderId="11" xfId="0" applyFont="1" applyFill="1" applyBorder="1"/>
    <xf numFmtId="0" fontId="11" fillId="3" borderId="12" xfId="0" applyFont="1" applyFill="1" applyBorder="1"/>
    <xf numFmtId="165" fontId="10" fillId="3" borderId="5" xfId="1" applyNumberFormat="1" applyFont="1" applyFill="1" applyBorder="1"/>
    <xf numFmtId="165" fontId="10" fillId="3" borderId="6" xfId="1" applyNumberFormat="1" applyFont="1" applyFill="1" applyBorder="1"/>
    <xf numFmtId="165" fontId="10" fillId="3" borderId="0" xfId="1" applyNumberFormat="1" applyFont="1" applyFill="1" applyBorder="1"/>
    <xf numFmtId="0" fontId="11" fillId="3" borderId="8" xfId="0" applyFont="1" applyFill="1" applyBorder="1"/>
    <xf numFmtId="0" fontId="11" fillId="3" borderId="9" xfId="0" applyFont="1" applyFill="1" applyBorder="1"/>
    <xf numFmtId="2" fontId="10" fillId="3" borderId="2" xfId="3" applyNumberFormat="1" applyFont="1" applyFill="1" applyBorder="1"/>
    <xf numFmtId="2" fontId="10" fillId="3" borderId="3" xfId="3" applyNumberFormat="1" applyFont="1" applyFill="1" applyBorder="1"/>
    <xf numFmtId="2" fontId="10" fillId="3" borderId="2" xfId="0" applyNumberFormat="1" applyFont="1" applyFill="1" applyBorder="1"/>
    <xf numFmtId="2" fontId="10" fillId="3" borderId="4" xfId="0" applyNumberFormat="1" applyFont="1" applyFill="1" applyBorder="1"/>
    <xf numFmtId="2" fontId="10" fillId="3" borderId="3" xfId="0" applyNumberFormat="1" applyFont="1" applyFill="1" applyBorder="1"/>
    <xf numFmtId="2" fontId="12" fillId="3" borderId="2" xfId="3" applyNumberFormat="1" applyFont="1" applyFill="1" applyBorder="1"/>
    <xf numFmtId="0" fontId="11" fillId="3" borderId="3" xfId="0" applyFont="1" applyFill="1" applyBorder="1"/>
    <xf numFmtId="0" fontId="11" fillId="3" borderId="4" xfId="0" applyFont="1" applyFill="1" applyBorder="1"/>
    <xf numFmtId="2" fontId="12" fillId="3" borderId="4" xfId="3" applyNumberFormat="1" applyFont="1" applyFill="1" applyBorder="1"/>
    <xf numFmtId="2" fontId="10" fillId="3" borderId="5" xfId="3" applyNumberFormat="1" applyFont="1" applyFill="1" applyBorder="1"/>
    <xf numFmtId="0" fontId="11" fillId="3" borderId="0" xfId="0" applyFont="1" applyFill="1" applyBorder="1"/>
    <xf numFmtId="0" fontId="11" fillId="3" borderId="6" xfId="0" applyFont="1" applyFill="1" applyBorder="1"/>
    <xf numFmtId="2" fontId="10" fillId="3" borderId="6" xfId="3" applyNumberFormat="1" applyFont="1" applyFill="1" applyBorder="1"/>
    <xf numFmtId="2" fontId="10" fillId="3" borderId="11" xfId="3" applyNumberFormat="1" applyFont="1" applyFill="1" applyBorder="1"/>
    <xf numFmtId="2" fontId="10" fillId="3" borderId="8" xfId="3" applyNumberFormat="1" applyFont="1" applyFill="1" applyBorder="1"/>
    <xf numFmtId="2" fontId="10" fillId="3" borderId="10" xfId="3" applyNumberFormat="1" applyFont="1" applyFill="1" applyBorder="1"/>
    <xf numFmtId="2" fontId="10" fillId="3" borderId="7" xfId="3" applyNumberFormat="1" applyFont="1" applyFill="1" applyBorder="1"/>
    <xf numFmtId="2" fontId="10" fillId="3" borderId="0" xfId="3" applyNumberFormat="1" applyFont="1" applyFill="1" applyBorder="1"/>
    <xf numFmtId="0" fontId="0" fillId="3" borderId="0" xfId="0" applyFill="1"/>
    <xf numFmtId="0" fontId="0" fillId="3" borderId="0" xfId="0" applyFill="1" applyBorder="1"/>
    <xf numFmtId="2" fontId="12" fillId="3" borderId="3" xfId="3" applyNumberFormat="1" applyFont="1" applyFill="1" applyBorder="1"/>
    <xf numFmtId="0" fontId="10" fillId="3" borderId="10" xfId="0" applyFont="1" applyFill="1" applyBorder="1"/>
    <xf numFmtId="0" fontId="10" fillId="3" borderId="7" xfId="0" applyFont="1" applyFill="1" applyBorder="1"/>
    <xf numFmtId="0" fontId="10" fillId="3" borderId="2" xfId="0" applyFont="1" applyFill="1" applyBorder="1"/>
    <xf numFmtId="0" fontId="10" fillId="3" borderId="5" xfId="0" applyFont="1" applyFill="1" applyBorder="1"/>
    <xf numFmtId="0" fontId="12" fillId="3" borderId="2" xfId="0" applyFont="1" applyFill="1" applyBorder="1"/>
    <xf numFmtId="0" fontId="13" fillId="3" borderId="2" xfId="0" applyFont="1" applyFill="1" applyBorder="1"/>
    <xf numFmtId="0" fontId="10" fillId="3" borderId="19" xfId="0" applyFont="1" applyFill="1" applyBorder="1"/>
    <xf numFmtId="0" fontId="11" fillId="3" borderId="0" xfId="0" applyFont="1" applyFill="1"/>
    <xf numFmtId="0" fontId="12" fillId="3" borderId="3" xfId="0" applyFont="1" applyFill="1" applyBorder="1"/>
    <xf numFmtId="0" fontId="12" fillId="3" borderId="4" xfId="0" applyFont="1" applyFill="1" applyBorder="1"/>
    <xf numFmtId="0" fontId="18" fillId="3" borderId="0" xfId="0" applyFont="1" applyFill="1"/>
    <xf numFmtId="0" fontId="10" fillId="3" borderId="0" xfId="0" applyFont="1" applyFill="1"/>
    <xf numFmtId="0" fontId="4" fillId="3" borderId="0" xfId="0" applyFont="1" applyFill="1"/>
    <xf numFmtId="0" fontId="12" fillId="3" borderId="0" xfId="0" applyFont="1" applyFill="1"/>
    <xf numFmtId="0" fontId="10" fillId="3" borderId="0" xfId="0" applyFont="1" applyFill="1" applyBorder="1"/>
    <xf numFmtId="0" fontId="10" fillId="3" borderId="0" xfId="0" applyFont="1" applyFill="1" applyAlignment="1">
      <alignment horizontal="center"/>
    </xf>
    <xf numFmtId="165" fontId="10" fillId="3" borderId="28" xfId="2" applyNumberFormat="1" applyFont="1" applyFill="1" applyBorder="1" applyAlignment="1">
      <alignment horizontal="center"/>
    </xf>
    <xf numFmtId="165" fontId="10" fillId="3" borderId="25" xfId="2" applyNumberFormat="1" applyFont="1" applyFill="1" applyBorder="1" applyAlignment="1">
      <alignment horizontal="center"/>
    </xf>
    <xf numFmtId="165" fontId="10" fillId="3" borderId="37" xfId="2" applyNumberFormat="1" applyFont="1" applyFill="1" applyBorder="1" applyAlignment="1">
      <alignment horizontal="center"/>
    </xf>
    <xf numFmtId="165" fontId="10" fillId="3" borderId="29" xfId="2" applyNumberFormat="1" applyFont="1" applyFill="1" applyBorder="1" applyAlignment="1">
      <alignment horizontal="center"/>
    </xf>
    <xf numFmtId="165" fontId="10" fillId="3" borderId="26" xfId="2" applyNumberFormat="1" applyFont="1" applyFill="1" applyBorder="1" applyAlignment="1">
      <alignment horizontal="center"/>
    </xf>
    <xf numFmtId="165" fontId="10" fillId="3" borderId="45" xfId="2" applyNumberFormat="1" applyFont="1" applyFill="1" applyBorder="1" applyAlignment="1">
      <alignment horizontal="center"/>
    </xf>
    <xf numFmtId="165" fontId="10" fillId="3" borderId="36" xfId="2" applyNumberFormat="1" applyFont="1" applyFill="1" applyBorder="1" applyAlignment="1">
      <alignment horizontal="center"/>
    </xf>
    <xf numFmtId="165" fontId="10" fillId="3" borderId="32" xfId="2" applyNumberFormat="1" applyFont="1" applyFill="1" applyBorder="1" applyAlignment="1">
      <alignment horizontal="center"/>
    </xf>
    <xf numFmtId="165" fontId="10" fillId="3" borderId="35" xfId="2" applyNumberFormat="1" applyFont="1" applyFill="1" applyBorder="1" applyAlignment="1">
      <alignment horizontal="center"/>
    </xf>
    <xf numFmtId="2" fontId="10" fillId="3" borderId="28" xfId="2" applyNumberFormat="1" applyFont="1" applyFill="1" applyBorder="1" applyAlignment="1">
      <alignment horizontal="center"/>
    </xf>
    <xf numFmtId="2" fontId="10" fillId="3" borderId="25" xfId="2" applyNumberFormat="1" applyFont="1" applyFill="1" applyBorder="1" applyAlignment="1">
      <alignment horizontal="center"/>
    </xf>
    <xf numFmtId="2" fontId="10" fillId="3" borderId="29" xfId="2" applyNumberFormat="1" applyFont="1" applyFill="1" applyBorder="1" applyAlignment="1">
      <alignment horizontal="center"/>
    </xf>
    <xf numFmtId="2" fontId="10" fillId="3" borderId="26" xfId="2" applyNumberFormat="1" applyFont="1" applyFill="1" applyBorder="1" applyAlignment="1">
      <alignment horizontal="center"/>
    </xf>
    <xf numFmtId="2" fontId="10" fillId="3" borderId="36" xfId="2" applyNumberFormat="1" applyFont="1" applyFill="1" applyBorder="1" applyAlignment="1">
      <alignment horizontal="center"/>
    </xf>
    <xf numFmtId="2" fontId="10" fillId="3" borderId="32" xfId="2" applyNumberFormat="1" applyFont="1" applyFill="1" applyBorder="1" applyAlignment="1">
      <alignment horizontal="center"/>
    </xf>
    <xf numFmtId="2" fontId="10" fillId="3" borderId="43" xfId="2" applyNumberFormat="1" applyFont="1" applyFill="1" applyBorder="1" applyAlignment="1">
      <alignment horizontal="center"/>
    </xf>
    <xf numFmtId="2" fontId="10" fillId="3" borderId="44" xfId="2" applyNumberFormat="1" applyFont="1" applyFill="1" applyBorder="1" applyAlignment="1">
      <alignment horizontal="center"/>
    </xf>
    <xf numFmtId="0" fontId="17" fillId="3" borderId="23" xfId="0" applyFont="1" applyFill="1" applyBorder="1" applyAlignment="1"/>
    <xf numFmtId="0" fontId="17" fillId="3" borderId="16" xfId="0" applyFont="1" applyFill="1" applyBorder="1" applyAlignment="1"/>
    <xf numFmtId="0" fontId="12" fillId="3" borderId="19" xfId="0" applyFont="1" applyFill="1" applyBorder="1"/>
    <xf numFmtId="0" fontId="12" fillId="3" borderId="0" xfId="0" applyFont="1" applyFill="1" applyAlignment="1">
      <alignment vertical="center"/>
    </xf>
    <xf numFmtId="0" fontId="10" fillId="3" borderId="0" xfId="0" applyFont="1" applyFill="1" applyAlignment="1">
      <alignment vertical="center"/>
    </xf>
    <xf numFmtId="0" fontId="0" fillId="3" borderId="0" xfId="0" applyFill="1" applyAlignment="1">
      <alignment vertical="center"/>
    </xf>
    <xf numFmtId="165" fontId="10" fillId="3" borderId="30" xfId="2" applyNumberFormat="1" applyFont="1" applyFill="1" applyBorder="1" applyAlignment="1">
      <alignment horizontal="center"/>
    </xf>
    <xf numFmtId="165" fontId="10" fillId="3" borderId="27" xfId="2" applyNumberFormat="1" applyFont="1" applyFill="1" applyBorder="1" applyAlignment="1">
      <alignment horizontal="center"/>
    </xf>
    <xf numFmtId="2" fontId="10" fillId="3" borderId="31" xfId="2" applyNumberFormat="1" applyFont="1" applyFill="1" applyBorder="1" applyAlignment="1">
      <alignment horizontal="center"/>
    </xf>
    <xf numFmtId="2" fontId="10" fillId="3" borderId="24" xfId="2" applyNumberFormat="1" applyFont="1" applyFill="1" applyBorder="1" applyAlignment="1">
      <alignment horizontal="center"/>
    </xf>
    <xf numFmtId="165" fontId="10" fillId="3" borderId="41" xfId="2" applyNumberFormat="1" applyFont="1" applyFill="1" applyBorder="1" applyAlignment="1">
      <alignment horizontal="center"/>
    </xf>
    <xf numFmtId="165" fontId="10" fillId="3" borderId="21" xfId="2" applyNumberFormat="1" applyFont="1" applyFill="1" applyBorder="1" applyAlignment="1">
      <alignment horizontal="center"/>
    </xf>
    <xf numFmtId="0" fontId="15" fillId="3" borderId="0" xfId="0" applyFont="1" applyFill="1"/>
    <xf numFmtId="0" fontId="12" fillId="3" borderId="2" xfId="0" applyFont="1" applyFill="1" applyBorder="1" applyAlignment="1">
      <alignment horizontal="center" vertical="center"/>
    </xf>
    <xf numFmtId="0" fontId="10" fillId="3" borderId="0" xfId="0" applyFont="1" applyFill="1" applyAlignment="1">
      <alignment horizontal="center" vertical="center"/>
    </xf>
    <xf numFmtId="0" fontId="12" fillId="3" borderId="0" xfId="0" applyFont="1" applyFill="1" applyAlignment="1">
      <alignment horizontal="center" vertical="center"/>
    </xf>
    <xf numFmtId="0" fontId="20" fillId="3" borderId="0" xfId="0" applyFont="1" applyFill="1"/>
    <xf numFmtId="2" fontId="10" fillId="3" borderId="46" xfId="2" applyNumberFormat="1" applyFont="1" applyFill="1" applyBorder="1" applyAlignment="1">
      <alignment horizontal="center"/>
    </xf>
    <xf numFmtId="2" fontId="10" fillId="3" borderId="33" xfId="2" applyNumberFormat="1" applyFont="1" applyFill="1" applyBorder="1" applyAlignment="1">
      <alignment horizontal="center"/>
    </xf>
    <xf numFmtId="165" fontId="10" fillId="3" borderId="31" xfId="1" applyNumberFormat="1" applyFont="1" applyFill="1" applyBorder="1" applyAlignment="1">
      <alignment horizontal="center"/>
    </xf>
    <xf numFmtId="165" fontId="10" fillId="3" borderId="3" xfId="1" applyNumberFormat="1" applyFont="1" applyFill="1" applyBorder="1" applyAlignment="1">
      <alignment horizontal="center"/>
    </xf>
    <xf numFmtId="0" fontId="17" fillId="3" borderId="0" xfId="0" applyFont="1" applyFill="1" applyAlignment="1">
      <alignment horizontal="center"/>
    </xf>
    <xf numFmtId="2" fontId="10" fillId="0" borderId="36" xfId="2" applyNumberFormat="1" applyFont="1" applyFill="1" applyBorder="1" applyAlignment="1">
      <alignment horizontal="center"/>
    </xf>
    <xf numFmtId="2" fontId="10" fillId="0" borderId="32" xfId="2" applyNumberFormat="1" applyFont="1" applyFill="1" applyBorder="1" applyAlignment="1">
      <alignment horizontal="center"/>
    </xf>
    <xf numFmtId="2" fontId="10" fillId="0" borderId="4" xfId="3" applyNumberFormat="1" applyFont="1" applyFill="1" applyBorder="1"/>
    <xf numFmtId="165" fontId="10" fillId="3" borderId="10" xfId="3" applyNumberFormat="1" applyFont="1" applyFill="1" applyBorder="1"/>
    <xf numFmtId="165" fontId="10" fillId="3" borderId="5" xfId="3" applyNumberFormat="1" applyFont="1" applyFill="1" applyBorder="1"/>
    <xf numFmtId="2" fontId="10" fillId="0" borderId="51" xfId="2" applyNumberFormat="1" applyFont="1" applyFill="1" applyBorder="1" applyAlignment="1">
      <alignment horizontal="center"/>
    </xf>
    <xf numFmtId="3" fontId="10" fillId="0" borderId="48" xfId="2" applyNumberFormat="1" applyFont="1" applyFill="1" applyBorder="1" applyAlignment="1">
      <alignment horizontal="center"/>
    </xf>
    <xf numFmtId="2" fontId="10" fillId="0" borderId="49" xfId="2" applyNumberFormat="1" applyFont="1" applyFill="1" applyBorder="1" applyAlignment="1">
      <alignment horizontal="center"/>
    </xf>
    <xf numFmtId="165" fontId="10" fillId="3" borderId="39" xfId="2" applyNumberFormat="1" applyFont="1" applyFill="1" applyBorder="1" applyAlignment="1">
      <alignment horizontal="center"/>
    </xf>
    <xf numFmtId="165" fontId="10" fillId="3" borderId="40" xfId="2" applyNumberFormat="1" applyFont="1" applyFill="1" applyBorder="1" applyAlignment="1">
      <alignment horizontal="center"/>
    </xf>
    <xf numFmtId="165" fontId="10" fillId="3" borderId="34" xfId="2" applyNumberFormat="1" applyFont="1" applyFill="1" applyBorder="1" applyAlignment="1">
      <alignment horizontal="center"/>
    </xf>
    <xf numFmtId="165" fontId="10" fillId="3" borderId="55" xfId="2" applyNumberFormat="1" applyFont="1" applyFill="1" applyBorder="1" applyAlignment="1">
      <alignment horizontal="center"/>
    </xf>
    <xf numFmtId="0" fontId="0" fillId="3" borderId="0" xfId="0" applyFill="1" applyAlignment="1">
      <alignment horizontal="center"/>
    </xf>
    <xf numFmtId="0" fontId="12" fillId="3" borderId="0" xfId="0" applyFont="1" applyFill="1" applyAlignment="1">
      <alignment horizontal="center"/>
    </xf>
    <xf numFmtId="9" fontId="10" fillId="3" borderId="36" xfId="1" applyNumberFormat="1" applyFont="1" applyFill="1" applyBorder="1" applyAlignment="1">
      <alignment horizontal="center"/>
    </xf>
    <xf numFmtId="9" fontId="10" fillId="3" borderId="32" xfId="1" applyNumberFormat="1" applyFont="1" applyFill="1" applyBorder="1" applyAlignment="1">
      <alignment horizontal="center"/>
    </xf>
    <xf numFmtId="9" fontId="10" fillId="3" borderId="35" xfId="1" applyNumberFormat="1" applyFont="1" applyFill="1" applyBorder="1" applyAlignment="1">
      <alignment horizontal="center"/>
    </xf>
    <xf numFmtId="9" fontId="10" fillId="3" borderId="46" xfId="1" applyNumberFormat="1" applyFont="1" applyFill="1" applyBorder="1" applyAlignment="1">
      <alignment horizontal="center"/>
    </xf>
    <xf numFmtId="9" fontId="10" fillId="3" borderId="55" xfId="1" applyNumberFormat="1" applyFont="1" applyFill="1" applyBorder="1" applyAlignment="1">
      <alignment horizontal="center"/>
    </xf>
    <xf numFmtId="9" fontId="10" fillId="3" borderId="33" xfId="1" applyNumberFormat="1" applyFont="1" applyFill="1" applyBorder="1" applyAlignment="1">
      <alignment horizontal="center"/>
    </xf>
    <xf numFmtId="9" fontId="10" fillId="3" borderId="34" xfId="1" applyNumberFormat="1" applyFont="1" applyFill="1" applyBorder="1" applyAlignment="1">
      <alignment horizontal="center"/>
    </xf>
    <xf numFmtId="0" fontId="0" fillId="3" borderId="0" xfId="0" applyFill="1" applyBorder="1" applyAlignment="1">
      <alignment horizontal="center"/>
    </xf>
    <xf numFmtId="0" fontId="10" fillId="3" borderId="11" xfId="0" applyFont="1" applyFill="1" applyBorder="1"/>
    <xf numFmtId="0" fontId="10" fillId="3" borderId="8" xfId="0" applyFont="1" applyFill="1" applyBorder="1"/>
    <xf numFmtId="0" fontId="10" fillId="3" borderId="3" xfId="0" applyFont="1" applyFill="1" applyBorder="1"/>
    <xf numFmtId="0" fontId="22" fillId="6" borderId="2" xfId="0" applyFont="1" applyFill="1" applyBorder="1"/>
    <xf numFmtId="0" fontId="23" fillId="6" borderId="2" xfId="0" applyFont="1" applyFill="1" applyBorder="1"/>
    <xf numFmtId="0" fontId="23" fillId="6" borderId="3" xfId="0" applyFont="1" applyFill="1" applyBorder="1"/>
    <xf numFmtId="165" fontId="10" fillId="5" borderId="28" xfId="2" applyNumberFormat="1" applyFont="1" applyFill="1" applyBorder="1" applyAlignment="1">
      <alignment horizontal="center"/>
    </xf>
    <xf numFmtId="165" fontId="10" fillId="5" borderId="25" xfId="2" applyNumberFormat="1" applyFont="1" applyFill="1" applyBorder="1" applyAlignment="1">
      <alignment horizontal="center"/>
    </xf>
    <xf numFmtId="165" fontId="10" fillId="5" borderId="29" xfId="2" applyNumberFormat="1" applyFont="1" applyFill="1" applyBorder="1" applyAlignment="1">
      <alignment horizontal="center"/>
    </xf>
    <xf numFmtId="165" fontId="10" fillId="5" borderId="26" xfId="2" applyNumberFormat="1" applyFont="1" applyFill="1" applyBorder="1" applyAlignment="1">
      <alignment horizontal="center"/>
    </xf>
    <xf numFmtId="165" fontId="10" fillId="5" borderId="30" xfId="2" applyNumberFormat="1" applyFont="1" applyFill="1" applyBorder="1" applyAlignment="1">
      <alignment horizontal="center"/>
    </xf>
    <xf numFmtId="165" fontId="10" fillId="5" borderId="27" xfId="2" applyNumberFormat="1" applyFont="1" applyFill="1" applyBorder="1" applyAlignment="1">
      <alignment horizontal="center"/>
    </xf>
    <xf numFmtId="2" fontId="10" fillId="5" borderId="28" xfId="2" applyNumberFormat="1" applyFont="1" applyFill="1" applyBorder="1" applyAlignment="1">
      <alignment horizontal="center"/>
    </xf>
    <xf numFmtId="2" fontId="10" fillId="5" borderId="31" xfId="2" applyNumberFormat="1" applyFont="1" applyFill="1" applyBorder="1" applyAlignment="1">
      <alignment horizontal="center"/>
    </xf>
    <xf numFmtId="2" fontId="10" fillId="5" borderId="24" xfId="2" applyNumberFormat="1" applyFont="1" applyFill="1" applyBorder="1" applyAlignment="1">
      <alignment horizontal="center"/>
    </xf>
    <xf numFmtId="0" fontId="24" fillId="3" borderId="0" xfId="0" applyFont="1" applyFill="1"/>
    <xf numFmtId="0" fontId="25" fillId="3" borderId="0" xfId="0" applyFont="1" applyFill="1"/>
    <xf numFmtId="0" fontId="27" fillId="3" borderId="0" xfId="0" applyFont="1" applyFill="1"/>
    <xf numFmtId="0" fontId="26" fillId="6" borderId="2" xfId="0" applyFont="1" applyFill="1" applyBorder="1"/>
    <xf numFmtId="0" fontId="26" fillId="6" borderId="3" xfId="0" applyFont="1" applyFill="1" applyBorder="1"/>
    <xf numFmtId="0" fontId="26" fillId="6" borderId="2" xfId="0" applyFont="1" applyFill="1" applyBorder="1" applyAlignment="1">
      <alignment horizontal="center"/>
    </xf>
    <xf numFmtId="0" fontId="26" fillId="6" borderId="4" xfId="0" applyFont="1" applyFill="1" applyBorder="1" applyAlignment="1">
      <alignment horizontal="center"/>
    </xf>
    <xf numFmtId="0" fontId="28" fillId="6" borderId="11" xfId="0" applyFont="1" applyFill="1" applyBorder="1"/>
    <xf numFmtId="0" fontId="28" fillId="6" borderId="0" xfId="0" applyFont="1" applyFill="1" applyBorder="1"/>
    <xf numFmtId="0" fontId="28" fillId="6" borderId="8" xfId="0" applyFont="1" applyFill="1" applyBorder="1"/>
    <xf numFmtId="0" fontId="10" fillId="3" borderId="3" xfId="0" applyFont="1" applyFill="1" applyBorder="1" applyAlignment="1">
      <alignment vertical="center"/>
    </xf>
    <xf numFmtId="0" fontId="10" fillId="3" borderId="4" xfId="0" applyFont="1" applyFill="1" applyBorder="1" applyAlignment="1">
      <alignment vertical="center"/>
    </xf>
    <xf numFmtId="0" fontId="12" fillId="3" borderId="2" xfId="0" applyFont="1" applyFill="1" applyBorder="1" applyAlignment="1">
      <alignment horizontal="center" vertical="center" wrapText="1"/>
    </xf>
    <xf numFmtId="0" fontId="10" fillId="3" borderId="12" xfId="0" applyFont="1" applyFill="1" applyBorder="1" applyAlignment="1">
      <alignment horizontal="left"/>
    </xf>
    <xf numFmtId="0" fontId="10" fillId="3" borderId="9" xfId="0" applyFont="1" applyFill="1" applyBorder="1" applyAlignment="1">
      <alignment horizontal="left"/>
    </xf>
    <xf numFmtId="0" fontId="10" fillId="3" borderId="6" xfId="0" applyFont="1" applyFill="1" applyBorder="1"/>
    <xf numFmtId="0" fontId="10" fillId="3" borderId="9" xfId="0" applyFont="1" applyFill="1" applyBorder="1"/>
    <xf numFmtId="0" fontId="12" fillId="3" borderId="5" xfId="0" applyFont="1" applyFill="1" applyBorder="1" applyAlignment="1">
      <alignment horizontal="center" vertical="center" wrapText="1"/>
    </xf>
    <xf numFmtId="0" fontId="12" fillId="3" borderId="7" xfId="0" applyFont="1" applyFill="1" applyBorder="1" applyAlignment="1">
      <alignment horizontal="center" vertical="center"/>
    </xf>
    <xf numFmtId="0" fontId="10" fillId="3" borderId="12" xfId="0" applyFont="1" applyFill="1" applyBorder="1"/>
    <xf numFmtId="0" fontId="10" fillId="5" borderId="1" xfId="2" applyFont="1" applyFill="1"/>
    <xf numFmtId="0" fontId="10" fillId="3" borderId="1" xfId="2" applyFont="1" applyFill="1"/>
    <xf numFmtId="2" fontId="10" fillId="5" borderId="10" xfId="3" applyNumberFormat="1" applyFont="1" applyFill="1" applyBorder="1"/>
    <xf numFmtId="2" fontId="10" fillId="5" borderId="5" xfId="3" applyNumberFormat="1" applyFont="1" applyFill="1" applyBorder="1"/>
    <xf numFmtId="2" fontId="10" fillId="5" borderId="7" xfId="3" applyNumberFormat="1" applyFont="1" applyFill="1" applyBorder="1"/>
    <xf numFmtId="2" fontId="10" fillId="5" borderId="12" xfId="3" applyNumberFormat="1" applyFont="1" applyFill="1" applyBorder="1"/>
    <xf numFmtId="2" fontId="10" fillId="5" borderId="6" xfId="3" applyNumberFormat="1" applyFont="1" applyFill="1" applyBorder="1"/>
    <xf numFmtId="2" fontId="13" fillId="3" borderId="2" xfId="3" applyNumberFormat="1" applyFont="1" applyFill="1" applyBorder="1"/>
    <xf numFmtId="2" fontId="13" fillId="3" borderId="3" xfId="3" applyNumberFormat="1" applyFont="1" applyFill="1" applyBorder="1"/>
    <xf numFmtId="2" fontId="13" fillId="3" borderId="4" xfId="3" applyNumberFormat="1" applyFont="1" applyFill="1" applyBorder="1"/>
    <xf numFmtId="0" fontId="22" fillId="6" borderId="4" xfId="0" applyFont="1" applyFill="1" applyBorder="1"/>
    <xf numFmtId="2" fontId="10" fillId="5" borderId="0" xfId="3" applyNumberFormat="1" applyFont="1" applyFill="1" applyBorder="1"/>
    <xf numFmtId="2" fontId="10" fillId="5" borderId="9" xfId="3" applyNumberFormat="1" applyFont="1" applyFill="1" applyBorder="1"/>
    <xf numFmtId="9" fontId="10" fillId="3" borderId="5" xfId="0" applyNumberFormat="1" applyFont="1" applyFill="1" applyBorder="1"/>
    <xf numFmtId="9" fontId="10" fillId="3" borderId="0" xfId="0" applyNumberFormat="1" applyFont="1" applyFill="1" applyBorder="1"/>
    <xf numFmtId="9" fontId="10" fillId="3" borderId="6" xfId="0" applyNumberFormat="1" applyFont="1" applyFill="1" applyBorder="1"/>
    <xf numFmtId="9" fontId="12" fillId="3" borderId="2" xfId="0" applyNumberFormat="1" applyFont="1" applyFill="1" applyBorder="1"/>
    <xf numFmtId="9" fontId="12" fillId="3" borderId="3" xfId="0" applyNumberFormat="1" applyFont="1" applyFill="1" applyBorder="1"/>
    <xf numFmtId="9" fontId="12" fillId="3" borderId="4" xfId="0" applyNumberFormat="1" applyFont="1" applyFill="1" applyBorder="1"/>
    <xf numFmtId="0" fontId="12" fillId="3" borderId="0" xfId="0" applyFont="1" applyFill="1" applyBorder="1"/>
    <xf numFmtId="9" fontId="12" fillId="3" borderId="0" xfId="0" applyNumberFormat="1" applyFont="1" applyFill="1" applyBorder="1"/>
    <xf numFmtId="2" fontId="12" fillId="3" borderId="2" xfId="0" applyNumberFormat="1" applyFont="1" applyFill="1" applyBorder="1"/>
    <xf numFmtId="2" fontId="12" fillId="3" borderId="3" xfId="0" applyNumberFormat="1" applyFont="1" applyFill="1" applyBorder="1"/>
    <xf numFmtId="2" fontId="12" fillId="3" borderId="4" xfId="0" applyNumberFormat="1" applyFont="1" applyFill="1" applyBorder="1"/>
    <xf numFmtId="2" fontId="10" fillId="3" borderId="10" xfId="0" applyNumberFormat="1" applyFont="1" applyFill="1" applyBorder="1"/>
    <xf numFmtId="2" fontId="10" fillId="3" borderId="11" xfId="0" applyNumberFormat="1" applyFont="1" applyFill="1" applyBorder="1"/>
    <xf numFmtId="2" fontId="10" fillId="3" borderId="12" xfId="0" applyNumberFormat="1" applyFont="1" applyFill="1" applyBorder="1"/>
    <xf numFmtId="2" fontId="10" fillId="3" borderId="5" xfId="0" applyNumberFormat="1" applyFont="1" applyFill="1" applyBorder="1"/>
    <xf numFmtId="2" fontId="10" fillId="3" borderId="0" xfId="0" applyNumberFormat="1" applyFont="1" applyFill="1" applyBorder="1"/>
    <xf numFmtId="2" fontId="10" fillId="3" borderId="6" xfId="0" applyNumberFormat="1" applyFont="1" applyFill="1" applyBorder="1"/>
    <xf numFmtId="2" fontId="10" fillId="3" borderId="7" xfId="0" applyNumberFormat="1" applyFont="1" applyFill="1" applyBorder="1"/>
    <xf numFmtId="2" fontId="10" fillId="3" borderId="8" xfId="0" applyNumberFormat="1" applyFont="1" applyFill="1" applyBorder="1"/>
    <xf numFmtId="2" fontId="10" fillId="3" borderId="9" xfId="0" applyNumberFormat="1" applyFont="1" applyFill="1" applyBorder="1"/>
    <xf numFmtId="0" fontId="10" fillId="3" borderId="16" xfId="0" applyFont="1" applyFill="1" applyBorder="1"/>
    <xf numFmtId="0" fontId="11" fillId="3" borderId="0" xfId="0" applyFont="1" applyFill="1" applyAlignment="1">
      <alignment horizontal="center"/>
    </xf>
    <xf numFmtId="0" fontId="8" fillId="3" borderId="0" xfId="0" applyFont="1" applyFill="1" applyAlignment="1">
      <alignment horizontal="center"/>
    </xf>
    <xf numFmtId="0" fontId="3" fillId="3" borderId="0" xfId="0" applyFont="1" applyFill="1" applyAlignment="1">
      <alignment horizontal="center"/>
    </xf>
    <xf numFmtId="0" fontId="15" fillId="3" borderId="0" xfId="0" applyFont="1" applyFill="1" applyAlignment="1">
      <alignment horizontal="center"/>
    </xf>
    <xf numFmtId="0" fontId="0" fillId="3" borderId="3" xfId="0" applyFill="1" applyBorder="1"/>
    <xf numFmtId="0" fontId="22" fillId="6" borderId="0" xfId="0" applyFont="1" applyFill="1" applyBorder="1"/>
    <xf numFmtId="0" fontId="29" fillId="6" borderId="8" xfId="0" applyFont="1" applyFill="1" applyBorder="1"/>
    <xf numFmtId="0" fontId="22" fillId="6" borderId="8" xfId="0" applyFont="1" applyFill="1" applyBorder="1"/>
    <xf numFmtId="0" fontId="28" fillId="6" borderId="12" xfId="0" applyFont="1" applyFill="1" applyBorder="1"/>
    <xf numFmtId="0" fontId="28" fillId="6" borderId="6" xfId="0" applyFont="1" applyFill="1" applyBorder="1"/>
    <xf numFmtId="0" fontId="29" fillId="6" borderId="9" xfId="0" applyFont="1" applyFill="1" applyBorder="1"/>
    <xf numFmtId="0" fontId="28" fillId="6" borderId="9" xfId="0" applyFont="1" applyFill="1" applyBorder="1"/>
    <xf numFmtId="0" fontId="8" fillId="3" borderId="0" xfId="4" applyFont="1" applyFill="1"/>
    <xf numFmtId="0" fontId="23" fillId="6" borderId="4" xfId="0" applyFont="1" applyFill="1" applyBorder="1"/>
    <xf numFmtId="0" fontId="23" fillId="6" borderId="19" xfId="3" applyFont="1" applyFill="1" applyBorder="1" applyAlignment="1" applyProtection="1"/>
    <xf numFmtId="0" fontId="8" fillId="3" borderId="0" xfId="3" applyNumberFormat="1" applyFont="1" applyFill="1" applyBorder="1" applyAlignment="1"/>
    <xf numFmtId="2" fontId="19" fillId="3" borderId="53" xfId="7" applyNumberFormat="1" applyFont="1" applyFill="1" applyBorder="1" applyAlignment="1">
      <alignment horizontal="center" vertical="center"/>
    </xf>
    <xf numFmtId="2" fontId="19" fillId="3" borderId="18" xfId="7" applyNumberFormat="1" applyFont="1" applyFill="1" applyBorder="1" applyAlignment="1">
      <alignment horizontal="center" vertical="center"/>
    </xf>
    <xf numFmtId="2" fontId="19" fillId="3" borderId="17" xfId="7" applyNumberFormat="1" applyFont="1" applyFill="1" applyBorder="1" applyAlignment="1">
      <alignment horizontal="center" vertical="center"/>
    </xf>
    <xf numFmtId="0" fontId="20" fillId="3" borderId="0" xfId="0" applyFont="1" applyFill="1" applyAlignment="1">
      <alignment horizontal="center" vertical="center"/>
    </xf>
    <xf numFmtId="2" fontId="20" fillId="3" borderId="52" xfId="7" applyNumberFormat="1" applyFont="1" applyFill="1" applyBorder="1" applyAlignment="1">
      <alignment horizontal="center" vertical="center"/>
    </xf>
    <xf numFmtId="2" fontId="20" fillId="3" borderId="14" xfId="7" applyNumberFormat="1" applyFont="1" applyFill="1" applyBorder="1" applyAlignment="1">
      <alignment horizontal="center" vertical="center"/>
    </xf>
    <xf numFmtId="2" fontId="20" fillId="3" borderId="13" xfId="7" applyNumberFormat="1" applyFont="1" applyFill="1" applyBorder="1" applyAlignment="1">
      <alignment horizontal="center" vertical="center"/>
    </xf>
    <xf numFmtId="2" fontId="20" fillId="3" borderId="53" xfId="7" applyNumberFormat="1" applyFont="1" applyFill="1" applyBorder="1" applyAlignment="1">
      <alignment horizontal="center" vertical="center"/>
    </xf>
    <xf numFmtId="2" fontId="20" fillId="3" borderId="18" xfId="7" applyNumberFormat="1" applyFont="1" applyFill="1" applyBorder="1" applyAlignment="1">
      <alignment horizontal="center" vertical="center"/>
    </xf>
    <xf numFmtId="2" fontId="20" fillId="3" borderId="17" xfId="7" applyNumberFormat="1" applyFont="1" applyFill="1" applyBorder="1" applyAlignment="1">
      <alignment horizontal="center" vertical="center"/>
    </xf>
    <xf numFmtId="2" fontId="19" fillId="3" borderId="54" xfId="7" applyNumberFormat="1" applyFont="1" applyFill="1" applyBorder="1" applyAlignment="1">
      <alignment horizontal="center" vertical="center"/>
    </xf>
    <xf numFmtId="2" fontId="19" fillId="3" borderId="57" xfId="7" applyNumberFormat="1" applyFont="1" applyFill="1" applyBorder="1" applyAlignment="1">
      <alignment horizontal="center" vertical="center"/>
    </xf>
    <xf numFmtId="2" fontId="19" fillId="3" borderId="15" xfId="7" applyNumberFormat="1" applyFont="1" applyFill="1" applyBorder="1" applyAlignment="1">
      <alignment horizontal="center" vertical="center"/>
    </xf>
    <xf numFmtId="2" fontId="19" fillId="3" borderId="20" xfId="7" applyNumberFormat="1" applyFont="1" applyFill="1" applyBorder="1" applyAlignment="1">
      <alignment horizontal="center" vertical="center"/>
    </xf>
    <xf numFmtId="0" fontId="20" fillId="3" borderId="0" xfId="0" applyFont="1" applyFill="1" applyAlignment="1">
      <alignment vertical="center"/>
    </xf>
    <xf numFmtId="9" fontId="19" fillId="3" borderId="54" xfId="7" applyNumberFormat="1" applyFont="1" applyFill="1" applyBorder="1" applyAlignment="1">
      <alignment horizontal="center" vertical="center"/>
    </xf>
    <xf numFmtId="9" fontId="19" fillId="3" borderId="57" xfId="7" applyNumberFormat="1" applyFont="1" applyFill="1" applyBorder="1" applyAlignment="1">
      <alignment horizontal="center" vertical="center"/>
    </xf>
    <xf numFmtId="9" fontId="19" fillId="3" borderId="15" xfId="7" applyNumberFormat="1" applyFont="1" applyFill="1" applyBorder="1" applyAlignment="1">
      <alignment horizontal="center" vertical="center"/>
    </xf>
    <xf numFmtId="9" fontId="19" fillId="3" borderId="20" xfId="7" applyNumberFormat="1" applyFont="1" applyFill="1" applyBorder="1" applyAlignment="1">
      <alignment horizontal="center" vertical="center"/>
    </xf>
    <xf numFmtId="0" fontId="30" fillId="3" borderId="0" xfId="0" applyFont="1" applyFill="1"/>
    <xf numFmtId="2" fontId="19" fillId="3" borderId="53" xfId="7" applyNumberFormat="1" applyFont="1" applyFill="1" applyBorder="1" applyAlignment="1">
      <alignment horizontal="center"/>
    </xf>
    <xf numFmtId="2" fontId="19" fillId="3" borderId="18" xfId="7" applyNumberFormat="1" applyFont="1" applyFill="1" applyBorder="1" applyAlignment="1">
      <alignment horizontal="center"/>
    </xf>
    <xf numFmtId="2" fontId="19" fillId="3" borderId="17" xfId="7" applyNumberFormat="1" applyFont="1" applyFill="1" applyBorder="1" applyAlignment="1">
      <alignment horizontal="center"/>
    </xf>
    <xf numFmtId="2" fontId="19" fillId="3" borderId="54" xfId="7" applyNumberFormat="1" applyFont="1" applyFill="1" applyBorder="1" applyAlignment="1">
      <alignment horizontal="center"/>
    </xf>
    <xf numFmtId="2" fontId="19" fillId="3" borderId="15" xfId="7" applyNumberFormat="1" applyFont="1" applyFill="1" applyBorder="1" applyAlignment="1">
      <alignment horizontal="center"/>
    </xf>
    <xf numFmtId="2" fontId="19" fillId="3" borderId="20" xfId="7" applyNumberFormat="1" applyFont="1" applyFill="1" applyBorder="1" applyAlignment="1">
      <alignment horizontal="center"/>
    </xf>
    <xf numFmtId="9" fontId="31" fillId="3" borderId="54" xfId="1" applyFont="1" applyFill="1" applyBorder="1" applyAlignment="1">
      <alignment horizontal="center" vertical="center"/>
    </xf>
    <xf numFmtId="9" fontId="31" fillId="3" borderId="15" xfId="1" applyFont="1" applyFill="1" applyBorder="1" applyAlignment="1">
      <alignment horizontal="center" vertical="center"/>
    </xf>
    <xf numFmtId="9" fontId="31" fillId="3" borderId="20" xfId="1" applyFont="1" applyFill="1" applyBorder="1" applyAlignment="1">
      <alignment horizontal="center" vertical="center"/>
    </xf>
    <xf numFmtId="2" fontId="20" fillId="3" borderId="56" xfId="7" applyNumberFormat="1" applyFont="1" applyFill="1" applyBorder="1" applyAlignment="1">
      <alignment horizontal="center" vertical="center"/>
    </xf>
    <xf numFmtId="2" fontId="20" fillId="3" borderId="22" xfId="7" applyNumberFormat="1" applyFont="1" applyFill="1" applyBorder="1" applyAlignment="1">
      <alignment horizontal="center" vertical="center"/>
    </xf>
    <xf numFmtId="2" fontId="20" fillId="3" borderId="54" xfId="7" applyNumberFormat="1" applyFont="1" applyFill="1" applyBorder="1" applyAlignment="1">
      <alignment horizontal="center" vertical="center"/>
    </xf>
    <xf numFmtId="2" fontId="20" fillId="3" borderId="57" xfId="7" applyNumberFormat="1" applyFont="1" applyFill="1" applyBorder="1" applyAlignment="1">
      <alignment horizontal="center" vertical="center"/>
    </xf>
    <xf numFmtId="2" fontId="20" fillId="3" borderId="15" xfId="7" applyNumberFormat="1" applyFont="1" applyFill="1" applyBorder="1" applyAlignment="1">
      <alignment horizontal="center" vertical="center"/>
    </xf>
    <xf numFmtId="2" fontId="20" fillId="3" borderId="20" xfId="7" applyNumberFormat="1" applyFont="1" applyFill="1" applyBorder="1" applyAlignment="1">
      <alignment horizontal="center" vertical="center"/>
    </xf>
    <xf numFmtId="9" fontId="20" fillId="3" borderId="52" xfId="7" applyNumberFormat="1" applyFont="1" applyFill="1" applyBorder="1" applyAlignment="1">
      <alignment horizontal="center" vertical="center"/>
    </xf>
    <xf numFmtId="9" fontId="20" fillId="3" borderId="56" xfId="7" applyNumberFormat="1" applyFont="1" applyFill="1" applyBorder="1" applyAlignment="1">
      <alignment horizontal="center" vertical="center"/>
    </xf>
    <xf numFmtId="9" fontId="20" fillId="3" borderId="14" xfId="7" applyNumberFormat="1" applyFont="1" applyFill="1" applyBorder="1" applyAlignment="1">
      <alignment horizontal="center" vertical="center"/>
    </xf>
    <xf numFmtId="9" fontId="20" fillId="3" borderId="13" xfId="7" applyNumberFormat="1" applyFont="1" applyFill="1" applyBorder="1" applyAlignment="1">
      <alignment horizontal="center" vertical="center"/>
    </xf>
    <xf numFmtId="9" fontId="20" fillId="3" borderId="53" xfId="7" applyNumberFormat="1" applyFont="1" applyFill="1" applyBorder="1" applyAlignment="1">
      <alignment horizontal="center" vertical="center"/>
    </xf>
    <xf numFmtId="9" fontId="20" fillId="3" borderId="22" xfId="7" applyNumberFormat="1" applyFont="1" applyFill="1" applyBorder="1" applyAlignment="1">
      <alignment horizontal="center" vertical="center"/>
    </xf>
    <xf numFmtId="9" fontId="20" fillId="3" borderId="18" xfId="7" applyNumberFormat="1" applyFont="1" applyFill="1" applyBorder="1" applyAlignment="1">
      <alignment horizontal="center" vertical="center"/>
    </xf>
    <xf numFmtId="9" fontId="20" fillId="3" borderId="17" xfId="7" applyNumberFormat="1" applyFont="1" applyFill="1" applyBorder="1" applyAlignment="1">
      <alignment horizontal="center" vertical="center"/>
    </xf>
    <xf numFmtId="9" fontId="20" fillId="3" borderId="54" xfId="7" applyNumberFormat="1" applyFont="1" applyFill="1" applyBorder="1" applyAlignment="1">
      <alignment horizontal="center" vertical="center"/>
    </xf>
    <xf numFmtId="9" fontId="20" fillId="3" borderId="57" xfId="7" applyNumberFormat="1" applyFont="1" applyFill="1" applyBorder="1" applyAlignment="1">
      <alignment horizontal="center" vertical="center"/>
    </xf>
    <xf numFmtId="9" fontId="20" fillId="3" borderId="15" xfId="7" applyNumberFormat="1" applyFont="1" applyFill="1" applyBorder="1" applyAlignment="1">
      <alignment horizontal="center" vertical="center"/>
    </xf>
    <xf numFmtId="9" fontId="20" fillId="3" borderId="20" xfId="7" applyNumberFormat="1" applyFont="1" applyFill="1" applyBorder="1" applyAlignment="1">
      <alignment horizontal="center" vertical="center"/>
    </xf>
    <xf numFmtId="2" fontId="20" fillId="3" borderId="52" xfId="7" applyNumberFormat="1" applyFont="1" applyFill="1" applyBorder="1" applyAlignment="1">
      <alignment horizontal="center"/>
    </xf>
    <xf numFmtId="2" fontId="20" fillId="3" borderId="14" xfId="7" applyNumberFormat="1" applyFont="1" applyFill="1" applyBorder="1" applyAlignment="1">
      <alignment horizontal="center"/>
    </xf>
    <xf numFmtId="2" fontId="20" fillId="3" borderId="13" xfId="7" applyNumberFormat="1" applyFont="1" applyFill="1" applyBorder="1" applyAlignment="1">
      <alignment horizontal="center"/>
    </xf>
    <xf numFmtId="2" fontId="20" fillId="3" borderId="53" xfId="7" applyNumberFormat="1" applyFont="1" applyFill="1" applyBorder="1" applyAlignment="1">
      <alignment horizontal="center"/>
    </xf>
    <xf numFmtId="2" fontId="20" fillId="3" borderId="18" xfId="7" applyNumberFormat="1" applyFont="1" applyFill="1" applyBorder="1" applyAlignment="1">
      <alignment horizontal="center"/>
    </xf>
    <xf numFmtId="2" fontId="20" fillId="3" borderId="17" xfId="7" applyNumberFormat="1" applyFont="1" applyFill="1" applyBorder="1" applyAlignment="1">
      <alignment horizontal="center"/>
    </xf>
    <xf numFmtId="2" fontId="20" fillId="3" borderId="54" xfId="7" applyNumberFormat="1" applyFont="1" applyFill="1" applyBorder="1" applyAlignment="1">
      <alignment horizontal="center"/>
    </xf>
    <xf numFmtId="2" fontId="20" fillId="3" borderId="15" xfId="7" applyNumberFormat="1" applyFont="1" applyFill="1" applyBorder="1" applyAlignment="1">
      <alignment horizontal="center"/>
    </xf>
    <xf numFmtId="2" fontId="20" fillId="3" borderId="20" xfId="7" applyNumberFormat="1" applyFont="1" applyFill="1" applyBorder="1" applyAlignment="1">
      <alignment horizontal="center"/>
    </xf>
    <xf numFmtId="3" fontId="20" fillId="3" borderId="52" xfId="7" applyNumberFormat="1" applyFont="1" applyFill="1" applyBorder="1" applyAlignment="1">
      <alignment horizontal="center"/>
    </xf>
    <xf numFmtId="3" fontId="20" fillId="3" borderId="56" xfId="7" applyNumberFormat="1" applyFont="1" applyFill="1" applyBorder="1" applyAlignment="1">
      <alignment horizontal="center"/>
    </xf>
    <xf numFmtId="3" fontId="20" fillId="3" borderId="14" xfId="7" applyNumberFormat="1" applyFont="1" applyFill="1" applyBorder="1" applyAlignment="1">
      <alignment horizontal="center"/>
    </xf>
    <xf numFmtId="3" fontId="20" fillId="3" borderId="13" xfId="7" applyNumberFormat="1" applyFont="1" applyFill="1" applyBorder="1" applyAlignment="1">
      <alignment horizontal="center"/>
    </xf>
    <xf numFmtId="164" fontId="20" fillId="3" borderId="53" xfId="7" applyNumberFormat="1" applyFont="1" applyFill="1" applyBorder="1" applyAlignment="1">
      <alignment horizontal="center"/>
    </xf>
    <xf numFmtId="164" fontId="20" fillId="3" borderId="22" xfId="7" applyNumberFormat="1" applyFont="1" applyFill="1" applyBorder="1" applyAlignment="1">
      <alignment horizontal="center"/>
    </xf>
    <xf numFmtId="164" fontId="20" fillId="3" borderId="18" xfId="7" applyNumberFormat="1" applyFont="1" applyFill="1" applyBorder="1" applyAlignment="1">
      <alignment horizontal="center"/>
    </xf>
    <xf numFmtId="164" fontId="20" fillId="3" borderId="17" xfId="7" applyNumberFormat="1" applyFont="1" applyFill="1" applyBorder="1" applyAlignment="1">
      <alignment horizontal="center"/>
    </xf>
    <xf numFmtId="3" fontId="20" fillId="3" borderId="53" xfId="7" applyNumberFormat="1" applyFont="1" applyFill="1" applyBorder="1" applyAlignment="1">
      <alignment horizontal="center" vertical="center"/>
    </xf>
    <xf numFmtId="3" fontId="20" fillId="3" borderId="18" xfId="7" applyNumberFormat="1" applyFont="1" applyFill="1" applyBorder="1" applyAlignment="1">
      <alignment horizontal="center" vertical="center"/>
    </xf>
    <xf numFmtId="3" fontId="20" fillId="3" borderId="17" xfId="7" applyNumberFormat="1" applyFont="1" applyFill="1" applyBorder="1" applyAlignment="1">
      <alignment horizontal="center" vertical="center"/>
    </xf>
    <xf numFmtId="0" fontId="26" fillId="6" borderId="2" xfId="0" applyFont="1" applyFill="1" applyBorder="1" applyAlignment="1">
      <alignment horizontal="center" vertical="center"/>
    </xf>
    <xf numFmtId="0" fontId="26" fillId="6" borderId="4" xfId="0" applyFont="1" applyFill="1" applyBorder="1" applyAlignment="1">
      <alignment horizontal="center" vertical="center"/>
    </xf>
    <xf numFmtId="0" fontId="26" fillId="6" borderId="3" xfId="0" applyFont="1" applyFill="1" applyBorder="1" applyAlignment="1">
      <alignment horizontal="center" vertical="center"/>
    </xf>
    <xf numFmtId="0" fontId="22" fillId="6" borderId="6" xfId="0" applyFont="1" applyFill="1" applyBorder="1"/>
    <xf numFmtId="0" fontId="22" fillId="6" borderId="9" xfId="0" applyFont="1" applyFill="1" applyBorder="1"/>
    <xf numFmtId="2" fontId="19" fillId="3" borderId="59" xfId="7" applyNumberFormat="1" applyFont="1" applyFill="1" applyBorder="1" applyAlignment="1">
      <alignment horizontal="center"/>
    </xf>
    <xf numFmtId="2" fontId="19" fillId="3" borderId="61" xfId="7" applyNumberFormat="1" applyFont="1" applyFill="1" applyBorder="1" applyAlignment="1">
      <alignment horizontal="center"/>
    </xf>
    <xf numFmtId="2" fontId="19" fillId="3" borderId="62" xfId="7" applyNumberFormat="1" applyFont="1" applyFill="1" applyBorder="1" applyAlignment="1">
      <alignment horizontal="center"/>
    </xf>
    <xf numFmtId="2" fontId="20" fillId="3" borderId="66" xfId="7" applyNumberFormat="1" applyFont="1" applyFill="1" applyBorder="1" applyAlignment="1">
      <alignment horizontal="center"/>
    </xf>
    <xf numFmtId="2" fontId="20" fillId="3" borderId="59" xfId="7" applyNumberFormat="1" applyFont="1" applyFill="1" applyBorder="1" applyAlignment="1">
      <alignment horizontal="center"/>
    </xf>
    <xf numFmtId="2" fontId="20" fillId="3" borderId="61" xfId="7" applyNumberFormat="1" applyFont="1" applyFill="1" applyBorder="1" applyAlignment="1">
      <alignment horizontal="center"/>
    </xf>
    <xf numFmtId="2" fontId="20" fillId="3" borderId="62" xfId="7" applyNumberFormat="1" applyFont="1" applyFill="1" applyBorder="1" applyAlignment="1">
      <alignment horizontal="center"/>
    </xf>
    <xf numFmtId="2" fontId="19" fillId="3" borderId="59" xfId="7" applyNumberFormat="1" applyFont="1" applyFill="1" applyBorder="1" applyAlignment="1">
      <alignment horizontal="center" vertical="center"/>
    </xf>
    <xf numFmtId="2" fontId="19" fillId="3" borderId="60" xfId="7" applyNumberFormat="1" applyFont="1" applyFill="1" applyBorder="1" applyAlignment="1">
      <alignment horizontal="center" vertical="center"/>
    </xf>
    <xf numFmtId="2" fontId="19" fillId="3" borderId="61" xfId="7" applyNumberFormat="1" applyFont="1" applyFill="1" applyBorder="1" applyAlignment="1">
      <alignment horizontal="center" vertical="center"/>
    </xf>
    <xf numFmtId="2" fontId="19" fillId="3" borderId="62" xfId="7" applyNumberFormat="1" applyFont="1" applyFill="1" applyBorder="1" applyAlignment="1">
      <alignment horizontal="center" vertical="center"/>
    </xf>
    <xf numFmtId="2" fontId="20" fillId="3" borderId="59" xfId="7" applyNumberFormat="1" applyFont="1" applyFill="1" applyBorder="1" applyAlignment="1">
      <alignment horizontal="center" vertical="center"/>
    </xf>
    <xf numFmtId="2" fontId="20" fillId="3" borderId="60" xfId="7" applyNumberFormat="1" applyFont="1" applyFill="1" applyBorder="1" applyAlignment="1">
      <alignment horizontal="center" vertical="center"/>
    </xf>
    <xf numFmtId="2" fontId="20" fillId="3" borderId="61" xfId="7" applyNumberFormat="1" applyFont="1" applyFill="1" applyBorder="1" applyAlignment="1">
      <alignment horizontal="center" vertical="center"/>
    </xf>
    <xf numFmtId="2" fontId="20" fillId="3" borderId="62" xfId="7" applyNumberFormat="1" applyFont="1" applyFill="1" applyBorder="1" applyAlignment="1">
      <alignment horizontal="center" vertical="center"/>
    </xf>
    <xf numFmtId="2" fontId="31" fillId="3" borderId="54" xfId="7" applyNumberFormat="1" applyFont="1" applyFill="1" applyBorder="1" applyAlignment="1">
      <alignment horizontal="center" vertical="center"/>
    </xf>
    <xf numFmtId="2" fontId="31" fillId="3" borderId="57" xfId="7" applyNumberFormat="1" applyFont="1" applyFill="1" applyBorder="1" applyAlignment="1">
      <alignment horizontal="center" vertical="center"/>
    </xf>
    <xf numFmtId="2" fontId="31" fillId="3" borderId="15" xfId="7" applyNumberFormat="1" applyFont="1" applyFill="1" applyBorder="1" applyAlignment="1">
      <alignment horizontal="center" vertical="center"/>
    </xf>
    <xf numFmtId="2" fontId="31" fillId="3" borderId="20" xfId="7" applyNumberFormat="1" applyFont="1" applyFill="1" applyBorder="1" applyAlignment="1">
      <alignment horizontal="center" vertical="center"/>
    </xf>
    <xf numFmtId="0" fontId="19" fillId="3" borderId="2" xfId="0" applyFont="1" applyFill="1" applyBorder="1" applyAlignment="1">
      <alignment horizontal="center" vertical="center"/>
    </xf>
    <xf numFmtId="0" fontId="20" fillId="3" borderId="3" xfId="0" applyFont="1" applyFill="1" applyBorder="1" applyAlignment="1">
      <alignment vertical="center"/>
    </xf>
    <xf numFmtId="0" fontId="20" fillId="3" borderId="4" xfId="0" applyFont="1" applyFill="1" applyBorder="1" applyAlignment="1">
      <alignment vertical="center"/>
    </xf>
    <xf numFmtId="0" fontId="20" fillId="3" borderId="11" xfId="0" applyFont="1" applyFill="1" applyBorder="1"/>
    <xf numFmtId="0" fontId="20" fillId="3" borderId="0" xfId="0" applyFont="1" applyFill="1" applyBorder="1"/>
    <xf numFmtId="0" fontId="20" fillId="3" borderId="8" xfId="0" applyFont="1" applyFill="1" applyBorder="1"/>
    <xf numFmtId="0" fontId="20" fillId="3" borderId="12" xfId="0" applyFont="1" applyFill="1" applyBorder="1"/>
    <xf numFmtId="0" fontId="20" fillId="3" borderId="6" xfId="0" applyFont="1" applyFill="1" applyBorder="1"/>
    <xf numFmtId="0" fontId="10" fillId="3" borderId="52" xfId="0" applyFont="1" applyFill="1" applyBorder="1"/>
    <xf numFmtId="0" fontId="10" fillId="3" borderId="14" xfId="0" applyFont="1" applyFill="1" applyBorder="1"/>
    <xf numFmtId="0" fontId="10" fillId="3" borderId="53" xfId="0" applyFont="1" applyFill="1" applyBorder="1"/>
    <xf numFmtId="0" fontId="10" fillId="3" borderId="18" xfId="0" applyFont="1" applyFill="1" applyBorder="1"/>
    <xf numFmtId="0" fontId="10" fillId="3" borderId="54" xfId="0" applyFont="1" applyFill="1" applyBorder="1"/>
    <xf numFmtId="0" fontId="10" fillId="3" borderId="15" xfId="0" applyFont="1" applyFill="1" applyBorder="1"/>
    <xf numFmtId="0" fontId="21" fillId="3" borderId="0" xfId="0" applyFont="1" applyFill="1"/>
    <xf numFmtId="2" fontId="10" fillId="3" borderId="0" xfId="0" applyNumberFormat="1" applyFont="1" applyFill="1"/>
    <xf numFmtId="0" fontId="22" fillId="6" borderId="0" xfId="0" applyFont="1" applyFill="1"/>
    <xf numFmtId="2" fontId="12" fillId="3" borderId="0" xfId="0" applyNumberFormat="1" applyFont="1" applyFill="1"/>
    <xf numFmtId="9" fontId="31" fillId="3" borderId="57" xfId="1" applyFont="1" applyFill="1" applyBorder="1" applyAlignment="1">
      <alignment horizontal="center" vertical="center"/>
    </xf>
    <xf numFmtId="2" fontId="19" fillId="0" borderId="53" xfId="7" applyNumberFormat="1" applyFont="1" applyFill="1" applyBorder="1" applyAlignment="1">
      <alignment horizontal="center" vertical="center"/>
    </xf>
    <xf numFmtId="2" fontId="19" fillId="0" borderId="18" xfId="7" applyNumberFormat="1" applyFont="1" applyFill="1" applyBorder="1" applyAlignment="1">
      <alignment horizontal="center" vertical="center"/>
    </xf>
    <xf numFmtId="2" fontId="19" fillId="0" borderId="17" xfId="7" applyNumberFormat="1" applyFont="1" applyFill="1" applyBorder="1" applyAlignment="1">
      <alignment horizontal="center" vertical="center"/>
    </xf>
    <xf numFmtId="9" fontId="10" fillId="3" borderId="11" xfId="1" applyFont="1" applyFill="1" applyBorder="1"/>
    <xf numFmtId="9" fontId="10" fillId="3" borderId="12" xfId="1" applyFont="1" applyFill="1" applyBorder="1"/>
    <xf numFmtId="9" fontId="10" fillId="3" borderId="0" xfId="1" applyFont="1" applyFill="1" applyBorder="1"/>
    <xf numFmtId="9" fontId="10" fillId="3" borderId="6" xfId="1" applyFont="1" applyFill="1" applyBorder="1"/>
    <xf numFmtId="9" fontId="10" fillId="3" borderId="9" xfId="1" applyFont="1" applyFill="1" applyBorder="1"/>
    <xf numFmtId="9" fontId="12" fillId="3" borderId="3" xfId="1" applyFont="1" applyFill="1" applyBorder="1"/>
    <xf numFmtId="9" fontId="12" fillId="3" borderId="4" xfId="1" applyFont="1" applyFill="1" applyBorder="1"/>
    <xf numFmtId="2" fontId="20" fillId="3" borderId="11" xfId="3" applyNumberFormat="1" applyFont="1" applyFill="1" applyBorder="1"/>
    <xf numFmtId="2" fontId="20" fillId="3" borderId="8" xfId="3" applyNumberFormat="1" applyFont="1" applyFill="1" applyBorder="1"/>
    <xf numFmtId="0" fontId="26" fillId="6" borderId="10" xfId="0" applyFont="1" applyFill="1" applyBorder="1" applyAlignment="1">
      <alignment vertical="center"/>
    </xf>
    <xf numFmtId="0" fontId="26" fillId="6" borderId="11" xfId="0" applyFont="1" applyFill="1" applyBorder="1" applyAlignment="1">
      <alignment vertical="center"/>
    </xf>
    <xf numFmtId="0" fontId="26" fillId="6" borderId="12" xfId="0" applyFont="1" applyFill="1" applyBorder="1" applyAlignment="1">
      <alignment vertical="center"/>
    </xf>
    <xf numFmtId="2" fontId="10" fillId="3" borderId="41" xfId="2" applyNumberFormat="1" applyFont="1" applyFill="1" applyBorder="1" applyAlignment="1">
      <alignment horizontal="center"/>
    </xf>
    <xf numFmtId="2" fontId="10" fillId="3" borderId="42" xfId="2" applyNumberFormat="1" applyFont="1" applyFill="1" applyBorder="1" applyAlignment="1">
      <alignment horizontal="center"/>
    </xf>
    <xf numFmtId="0" fontId="25" fillId="3" borderId="0" xfId="0" applyFont="1" applyFill="1" applyAlignment="1">
      <alignment vertical="center"/>
    </xf>
    <xf numFmtId="2" fontId="20" fillId="0" borderId="45" xfId="2" applyNumberFormat="1" applyFont="1" applyFill="1" applyBorder="1" applyAlignment="1">
      <alignment horizontal="center"/>
    </xf>
    <xf numFmtId="2" fontId="20" fillId="0" borderId="35" xfId="2" applyNumberFormat="1" applyFont="1" applyFill="1" applyBorder="1" applyAlignment="1">
      <alignment horizontal="center"/>
    </xf>
    <xf numFmtId="0" fontId="30" fillId="0" borderId="0" xfId="0" applyFont="1" applyFill="1"/>
    <xf numFmtId="0" fontId="10" fillId="0" borderId="6" xfId="0" applyFont="1" applyFill="1" applyBorder="1"/>
    <xf numFmtId="2" fontId="20" fillId="0" borderId="52" xfId="2" applyNumberFormat="1" applyFont="1" applyFill="1" applyBorder="1" applyAlignment="1">
      <alignment horizontal="center"/>
    </xf>
    <xf numFmtId="2" fontId="20" fillId="0" borderId="14" xfId="2" applyNumberFormat="1" applyFont="1" applyFill="1" applyBorder="1" applyAlignment="1">
      <alignment horizontal="center"/>
    </xf>
    <xf numFmtId="2" fontId="20" fillId="0" borderId="54" xfId="2" applyNumberFormat="1" applyFont="1" applyFill="1" applyBorder="1" applyAlignment="1">
      <alignment horizontal="center"/>
    </xf>
    <xf numFmtId="2" fontId="20" fillId="0" borderId="15" xfId="2" applyNumberFormat="1" applyFont="1" applyFill="1" applyBorder="1" applyAlignment="1">
      <alignment horizontal="center"/>
    </xf>
    <xf numFmtId="0" fontId="26" fillId="6" borderId="2" xfId="0" applyFont="1" applyFill="1" applyBorder="1" applyAlignment="1"/>
    <xf numFmtId="0" fontId="20" fillId="0" borderId="5" xfId="0" applyFont="1" applyFill="1" applyBorder="1"/>
    <xf numFmtId="166" fontId="12" fillId="3" borderId="2" xfId="0" applyNumberFormat="1" applyFont="1" applyFill="1" applyBorder="1"/>
    <xf numFmtId="166" fontId="12" fillId="3" borderId="3" xfId="0" applyNumberFormat="1" applyFont="1" applyFill="1" applyBorder="1"/>
    <xf numFmtId="166" fontId="12" fillId="3" borderId="4" xfId="0" applyNumberFormat="1" applyFont="1" applyFill="1" applyBorder="1"/>
    <xf numFmtId="0" fontId="12" fillId="3" borderId="10" xfId="0" applyFont="1" applyFill="1" applyBorder="1"/>
    <xf numFmtId="0" fontId="12" fillId="3" borderId="11" xfId="0" applyFont="1" applyFill="1" applyBorder="1"/>
    <xf numFmtId="0" fontId="12" fillId="3" borderId="12" xfId="0" applyFont="1" applyFill="1" applyBorder="1"/>
    <xf numFmtId="2" fontId="12" fillId="3" borderId="7" xfId="0" applyNumberFormat="1" applyFont="1" applyFill="1" applyBorder="1"/>
    <xf numFmtId="2" fontId="12" fillId="3" borderId="8" xfId="0" applyNumberFormat="1" applyFont="1" applyFill="1" applyBorder="1"/>
    <xf numFmtId="2" fontId="12" fillId="3" borderId="9" xfId="0" applyNumberFormat="1" applyFont="1" applyFill="1" applyBorder="1"/>
    <xf numFmtId="166" fontId="10" fillId="3" borderId="11" xfId="0" applyNumberFormat="1" applyFont="1" applyFill="1" applyBorder="1"/>
    <xf numFmtId="166" fontId="10" fillId="3" borderId="0" xfId="0" applyNumberFormat="1" applyFont="1" applyFill="1" applyBorder="1"/>
    <xf numFmtId="166" fontId="10" fillId="3" borderId="8" xfId="0" applyNumberFormat="1" applyFont="1" applyFill="1" applyBorder="1"/>
    <xf numFmtId="166" fontId="10" fillId="3" borderId="12" xfId="0" applyNumberFormat="1" applyFont="1" applyFill="1" applyBorder="1"/>
    <xf numFmtId="166" fontId="10" fillId="3" borderId="6" xfId="0" applyNumberFormat="1" applyFont="1" applyFill="1" applyBorder="1"/>
    <xf numFmtId="166" fontId="10" fillId="3" borderId="9" xfId="0" applyNumberFormat="1" applyFont="1" applyFill="1" applyBorder="1"/>
    <xf numFmtId="0" fontId="12" fillId="0" borderId="7" xfId="0" applyFont="1" applyFill="1" applyBorder="1" applyAlignment="1">
      <alignment horizontal="center" vertical="center" wrapText="1"/>
    </xf>
    <xf numFmtId="166" fontId="10" fillId="0" borderId="43" xfId="2" applyNumberFormat="1" applyFont="1" applyFill="1" applyBorder="1" applyAlignment="1">
      <alignment horizontal="center"/>
    </xf>
    <xf numFmtId="166" fontId="10" fillId="0" borderId="44" xfId="2" applyNumberFormat="1" applyFont="1" applyFill="1" applyBorder="1" applyAlignment="1">
      <alignment horizontal="center"/>
    </xf>
    <xf numFmtId="166" fontId="10" fillId="3" borderId="43" xfId="2" applyNumberFormat="1" applyFont="1" applyFill="1" applyBorder="1" applyAlignment="1">
      <alignment horizontal="center"/>
    </xf>
    <xf numFmtId="166" fontId="10" fillId="3" borderId="44" xfId="2" applyNumberFormat="1" applyFont="1" applyFill="1" applyBorder="1" applyAlignment="1">
      <alignment horizontal="center"/>
    </xf>
    <xf numFmtId="0" fontId="20" fillId="0" borderId="10" xfId="0" applyFont="1" applyFill="1" applyBorder="1"/>
    <xf numFmtId="2" fontId="10" fillId="0" borderId="5" xfId="3" applyNumberFormat="1" applyFont="1" applyFill="1" applyBorder="1"/>
    <xf numFmtId="2" fontId="10" fillId="0" borderId="6" xfId="3" applyNumberFormat="1" applyFont="1" applyFill="1" applyBorder="1"/>
    <xf numFmtId="2" fontId="10" fillId="0" borderId="0" xfId="3" applyNumberFormat="1" applyFont="1" applyFill="1" applyBorder="1"/>
    <xf numFmtId="2" fontId="11" fillId="3" borderId="0" xfId="0" applyNumberFormat="1" applyFont="1" applyFill="1" applyBorder="1"/>
    <xf numFmtId="2" fontId="11" fillId="3" borderId="0" xfId="0" applyNumberFormat="1" applyFont="1" applyFill="1"/>
    <xf numFmtId="2" fontId="0" fillId="3" borderId="0" xfId="0" applyNumberFormat="1" applyFill="1"/>
    <xf numFmtId="0" fontId="12" fillId="3" borderId="7" xfId="0" applyFont="1" applyFill="1" applyBorder="1" applyAlignment="1">
      <alignment horizontal="center" vertical="center" wrapText="1"/>
    </xf>
    <xf numFmtId="0" fontId="23" fillId="6" borderId="0" xfId="0" applyFont="1" applyFill="1" applyAlignment="1">
      <alignment horizontal="center"/>
    </xf>
    <xf numFmtId="0" fontId="22" fillId="6" borderId="0" xfId="0" applyFont="1" applyFill="1" applyAlignment="1">
      <alignment horizontal="center"/>
    </xf>
    <xf numFmtId="2" fontId="12" fillId="3" borderId="7" xfId="3" applyNumberFormat="1" applyFont="1" applyFill="1" applyBorder="1"/>
    <xf numFmtId="2" fontId="12" fillId="3" borderId="9" xfId="3" applyNumberFormat="1" applyFont="1" applyFill="1" applyBorder="1"/>
    <xf numFmtId="2" fontId="10" fillId="5" borderId="11" xfId="3" applyNumberFormat="1" applyFont="1" applyFill="1" applyBorder="1"/>
    <xf numFmtId="2" fontId="10" fillId="5" borderId="8" xfId="3" applyNumberFormat="1" applyFont="1" applyFill="1" applyBorder="1"/>
    <xf numFmtId="0" fontId="23" fillId="6" borderId="10" xfId="0" applyFont="1" applyFill="1" applyBorder="1"/>
    <xf numFmtId="0" fontId="23" fillId="6" borderId="12" xfId="0" applyFont="1" applyFill="1" applyBorder="1"/>
    <xf numFmtId="165" fontId="10" fillId="3" borderId="10" xfId="1" applyNumberFormat="1" applyFont="1" applyFill="1" applyBorder="1"/>
    <xf numFmtId="165" fontId="10" fillId="3" borderId="12" xfId="1" applyNumberFormat="1" applyFont="1" applyFill="1" applyBorder="1"/>
    <xf numFmtId="165" fontId="10" fillId="3" borderId="7" xfId="1" applyNumberFormat="1" applyFont="1" applyFill="1" applyBorder="1"/>
    <xf numFmtId="165" fontId="10" fillId="3" borderId="9" xfId="1" applyNumberFormat="1" applyFont="1" applyFill="1" applyBorder="1"/>
    <xf numFmtId="0" fontId="23" fillId="6" borderId="0" xfId="0" applyFont="1" applyFill="1" applyAlignment="1">
      <alignment horizontal="left"/>
    </xf>
    <xf numFmtId="0" fontId="17" fillId="3" borderId="67" xfId="0" applyFont="1" applyFill="1" applyBorder="1" applyAlignment="1"/>
    <xf numFmtId="0" fontId="12" fillId="3" borderId="67" xfId="0" applyFont="1" applyFill="1" applyBorder="1"/>
    <xf numFmtId="0" fontId="0" fillId="3" borderId="0" xfId="0" applyFill="1"/>
    <xf numFmtId="0" fontId="38" fillId="3" borderId="0" xfId="0" applyFont="1" applyFill="1"/>
    <xf numFmtId="2" fontId="30" fillId="3" borderId="0" xfId="0" applyNumberFormat="1" applyFont="1" applyFill="1"/>
    <xf numFmtId="0" fontId="19" fillId="3" borderId="10" xfId="0" applyFont="1" applyFill="1" applyBorder="1" applyAlignment="1">
      <alignment horizontal="center" vertical="center"/>
    </xf>
    <xf numFmtId="165" fontId="10" fillId="3" borderId="4" xfId="1" applyNumberFormat="1" applyFont="1" applyFill="1" applyBorder="1" applyAlignment="1">
      <alignment horizontal="center"/>
    </xf>
    <xf numFmtId="0" fontId="22" fillId="6" borderId="10" xfId="0" applyFont="1" applyFill="1" applyBorder="1" applyAlignment="1">
      <alignment horizontal="center" vertical="center" wrapText="1"/>
    </xf>
    <xf numFmtId="0" fontId="22" fillId="6" borderId="7" xfId="0" applyFont="1" applyFill="1" applyBorder="1" applyAlignment="1">
      <alignment horizontal="center" vertical="center" wrapText="1"/>
    </xf>
    <xf numFmtId="0" fontId="31" fillId="3" borderId="8" xfId="0" applyFont="1" applyFill="1" applyBorder="1"/>
    <xf numFmtId="9" fontId="10" fillId="0" borderId="6" xfId="0" applyNumberFormat="1" applyFont="1" applyFill="1" applyBorder="1"/>
    <xf numFmtId="0" fontId="10" fillId="3" borderId="12" xfId="0" applyFont="1" applyFill="1" applyBorder="1" applyAlignment="1">
      <alignment horizontal="center"/>
    </xf>
    <xf numFmtId="0" fontId="19" fillId="3" borderId="0" xfId="0" applyFont="1" applyFill="1" applyBorder="1"/>
    <xf numFmtId="0" fontId="19" fillId="3" borderId="8" xfId="0" applyFont="1" applyFill="1" applyBorder="1"/>
    <xf numFmtId="0" fontId="19" fillId="3" borderId="6" xfId="0" applyFont="1" applyFill="1" applyBorder="1"/>
    <xf numFmtId="0" fontId="19" fillId="3" borderId="9" xfId="0" applyFont="1" applyFill="1" applyBorder="1"/>
    <xf numFmtId="4" fontId="0" fillId="3" borderId="0" xfId="0" applyNumberFormat="1" applyFill="1"/>
    <xf numFmtId="2" fontId="12" fillId="3" borderId="10" xfId="3" applyNumberFormat="1" applyFont="1" applyFill="1" applyBorder="1"/>
    <xf numFmtId="2" fontId="12" fillId="3" borderId="8" xfId="3" applyNumberFormat="1" applyFont="1" applyFill="1" applyBorder="1"/>
    <xf numFmtId="2" fontId="10" fillId="3" borderId="12" xfId="3" applyNumberFormat="1" applyFont="1" applyFill="1" applyBorder="1"/>
    <xf numFmtId="2" fontId="10" fillId="3" borderId="9" xfId="3" applyNumberFormat="1" applyFont="1" applyFill="1" applyBorder="1"/>
    <xf numFmtId="2" fontId="20" fillId="0" borderId="53" xfId="7" applyNumberFormat="1" applyFont="1" applyFill="1" applyBorder="1" applyAlignment="1">
      <alignment horizontal="center"/>
    </xf>
    <xf numFmtId="2" fontId="20" fillId="0" borderId="18" xfId="7" applyNumberFormat="1" applyFont="1" applyFill="1" applyBorder="1" applyAlignment="1">
      <alignment horizontal="center"/>
    </xf>
    <xf numFmtId="0" fontId="12" fillId="0" borderId="0" xfId="0" applyFont="1" applyFill="1"/>
    <xf numFmtId="0" fontId="10" fillId="0" borderId="0" xfId="0" applyFont="1" applyFill="1"/>
    <xf numFmtId="2" fontId="20" fillId="0" borderId="37" xfId="2" applyNumberFormat="1" applyFont="1" applyFill="1" applyBorder="1" applyAlignment="1">
      <alignment horizontal="center"/>
    </xf>
    <xf numFmtId="2" fontId="20" fillId="0" borderId="38" xfId="2" applyNumberFormat="1" applyFont="1" applyFill="1" applyBorder="1" applyAlignment="1">
      <alignment horizontal="center"/>
    </xf>
    <xf numFmtId="164" fontId="10" fillId="0" borderId="27" xfId="2" applyNumberFormat="1" applyFont="1" applyFill="1" applyBorder="1" applyAlignment="1">
      <alignment horizontal="center"/>
    </xf>
    <xf numFmtId="2" fontId="20" fillId="0" borderId="25" xfId="2" applyNumberFormat="1" applyFont="1" applyFill="1" applyBorder="1" applyAlignment="1">
      <alignment horizontal="center"/>
    </xf>
    <xf numFmtId="164" fontId="20" fillId="0" borderId="25" xfId="2" applyNumberFormat="1" applyFont="1" applyFill="1" applyBorder="1" applyAlignment="1">
      <alignment horizontal="center"/>
    </xf>
    <xf numFmtId="164" fontId="20" fillId="0" borderId="42" xfId="2" applyNumberFormat="1" applyFont="1" applyFill="1" applyBorder="1" applyAlignment="1">
      <alignment horizontal="center"/>
    </xf>
    <xf numFmtId="2" fontId="20" fillId="0" borderId="42" xfId="2" applyNumberFormat="1" applyFont="1" applyFill="1" applyBorder="1" applyAlignment="1">
      <alignment horizontal="center"/>
    </xf>
    <xf numFmtId="0" fontId="20" fillId="3" borderId="5" xfId="0" applyFont="1" applyFill="1" applyBorder="1"/>
    <xf numFmtId="164" fontId="20" fillId="0" borderId="37" xfId="2" applyNumberFormat="1" applyFont="1" applyFill="1" applyBorder="1" applyAlignment="1">
      <alignment horizontal="center"/>
    </xf>
    <xf numFmtId="164" fontId="20" fillId="0" borderId="38" xfId="2" applyNumberFormat="1" applyFont="1" applyFill="1" applyBorder="1" applyAlignment="1">
      <alignment horizontal="center"/>
    </xf>
    <xf numFmtId="164" fontId="20" fillId="0" borderId="65" xfId="2" applyNumberFormat="1" applyFont="1" applyFill="1" applyBorder="1" applyAlignment="1">
      <alignment horizontal="center"/>
    </xf>
    <xf numFmtId="0" fontId="10" fillId="0" borderId="9" xfId="0" applyFont="1" applyFill="1" applyBorder="1"/>
    <xf numFmtId="0" fontId="20" fillId="0" borderId="0" xfId="0" applyFont="1" applyFill="1"/>
    <xf numFmtId="0" fontId="10" fillId="3" borderId="10" xfId="0" applyFont="1" applyFill="1" applyBorder="1" applyAlignment="1">
      <alignment horizontal="center"/>
    </xf>
    <xf numFmtId="0" fontId="10" fillId="3" borderId="7" xfId="0" applyFont="1" applyFill="1" applyBorder="1" applyAlignment="1">
      <alignment horizontal="center"/>
    </xf>
    <xf numFmtId="166" fontId="12" fillId="3" borderId="46" xfId="2" applyNumberFormat="1" applyFont="1" applyFill="1" applyBorder="1" applyAlignment="1">
      <alignment horizontal="center"/>
    </xf>
    <xf numFmtId="166" fontId="12" fillId="3" borderId="33" xfId="2" applyNumberFormat="1" applyFont="1" applyFill="1" applyBorder="1" applyAlignment="1">
      <alignment horizontal="center"/>
    </xf>
    <xf numFmtId="9" fontId="31" fillId="3" borderId="54" xfId="1" applyNumberFormat="1" applyFont="1" applyFill="1" applyBorder="1" applyAlignment="1">
      <alignment horizontal="center" vertical="center"/>
    </xf>
    <xf numFmtId="164" fontId="20" fillId="3" borderId="52" xfId="7" applyNumberFormat="1" applyFont="1" applyFill="1" applyBorder="1" applyAlignment="1">
      <alignment horizontal="center"/>
    </xf>
    <xf numFmtId="164" fontId="20" fillId="3" borderId="59" xfId="7" applyNumberFormat="1" applyFont="1" applyFill="1" applyBorder="1" applyAlignment="1">
      <alignment horizontal="center"/>
    </xf>
    <xf numFmtId="9" fontId="10" fillId="3" borderId="0" xfId="0" applyNumberFormat="1" applyFont="1" applyFill="1"/>
    <xf numFmtId="4" fontId="10" fillId="3" borderId="0" xfId="0" applyNumberFormat="1" applyFont="1" applyFill="1"/>
    <xf numFmtId="9" fontId="10" fillId="3" borderId="0" xfId="1" applyFont="1" applyFill="1"/>
    <xf numFmtId="3" fontId="12" fillId="3" borderId="35" xfId="2" applyNumberFormat="1" applyFont="1" applyFill="1" applyBorder="1" applyAlignment="1">
      <alignment horizontal="center"/>
    </xf>
    <xf numFmtId="3" fontId="0" fillId="3" borderId="0" xfId="0" applyNumberFormat="1" applyFill="1"/>
    <xf numFmtId="3" fontId="12" fillId="3" borderId="32" xfId="2" applyNumberFormat="1" applyFont="1" applyFill="1" applyBorder="1" applyAlignment="1">
      <alignment horizontal="center"/>
    </xf>
    <xf numFmtId="0" fontId="19" fillId="3" borderId="7" xfId="0" applyFont="1" applyFill="1" applyBorder="1" applyAlignment="1">
      <alignment horizontal="center" vertical="center"/>
    </xf>
    <xf numFmtId="0" fontId="19" fillId="3" borderId="5" xfId="0" applyFont="1" applyFill="1" applyBorder="1" applyAlignment="1">
      <alignment horizontal="center" vertical="center"/>
    </xf>
    <xf numFmtId="0" fontId="12" fillId="3" borderId="7" xfId="0" applyFont="1" applyFill="1" applyBorder="1" applyAlignment="1">
      <alignment horizontal="center" vertical="center" wrapText="1"/>
    </xf>
    <xf numFmtId="0" fontId="26" fillId="6" borderId="10" xfId="0" applyFont="1" applyFill="1" applyBorder="1" applyAlignment="1">
      <alignment horizontal="center"/>
    </xf>
    <xf numFmtId="0" fontId="26" fillId="6" borderId="12" xfId="0" applyFont="1" applyFill="1" applyBorder="1" applyAlignment="1">
      <alignment horizontal="center"/>
    </xf>
    <xf numFmtId="166" fontId="12" fillId="3" borderId="0" xfId="0" applyNumberFormat="1" applyFont="1" applyFill="1"/>
    <xf numFmtId="1" fontId="10" fillId="3" borderId="0" xfId="0" applyNumberFormat="1" applyFont="1" applyFill="1"/>
    <xf numFmtId="0" fontId="9" fillId="3" borderId="0" xfId="0" applyFont="1" applyFill="1"/>
    <xf numFmtId="0" fontId="42" fillId="3" borderId="0" xfId="0" applyFont="1" applyFill="1"/>
    <xf numFmtId="0" fontId="42" fillId="3" borderId="0" xfId="0" applyFont="1" applyFill="1" applyAlignment="1">
      <alignment horizontal="center"/>
    </xf>
    <xf numFmtId="166" fontId="20" fillId="3" borderId="52" xfId="7" applyNumberFormat="1" applyFont="1" applyFill="1" applyBorder="1" applyAlignment="1">
      <alignment horizontal="center"/>
    </xf>
    <xf numFmtId="166" fontId="20" fillId="3" borderId="14" xfId="7" applyNumberFormat="1" applyFont="1" applyFill="1" applyBorder="1" applyAlignment="1">
      <alignment horizontal="center"/>
    </xf>
    <xf numFmtId="166" fontId="20" fillId="3" borderId="13" xfId="7" applyNumberFormat="1" applyFont="1" applyFill="1" applyBorder="1" applyAlignment="1">
      <alignment horizontal="center"/>
    </xf>
    <xf numFmtId="166" fontId="20" fillId="3" borderId="53" xfId="7" applyNumberFormat="1" applyFont="1" applyFill="1" applyBorder="1" applyAlignment="1">
      <alignment horizontal="center"/>
    </xf>
    <xf numFmtId="166" fontId="20" fillId="3" borderId="18" xfId="7" applyNumberFormat="1" applyFont="1" applyFill="1" applyBorder="1" applyAlignment="1">
      <alignment horizontal="center"/>
    </xf>
    <xf numFmtId="166" fontId="20" fillId="3" borderId="17" xfId="7" applyNumberFormat="1" applyFont="1" applyFill="1" applyBorder="1" applyAlignment="1">
      <alignment horizontal="center"/>
    </xf>
    <xf numFmtId="166" fontId="20" fillId="0" borderId="53" xfId="7" applyNumberFormat="1" applyFont="1" applyFill="1" applyBorder="1" applyAlignment="1">
      <alignment horizontal="center"/>
    </xf>
    <xf numFmtId="166" fontId="20" fillId="0" borderId="18" xfId="7" applyNumberFormat="1" applyFont="1" applyFill="1" applyBorder="1" applyAlignment="1">
      <alignment horizontal="center"/>
    </xf>
    <xf numFmtId="166" fontId="20" fillId="0" borderId="17" xfId="7" applyNumberFormat="1" applyFont="1" applyFill="1" applyBorder="1" applyAlignment="1">
      <alignment horizontal="center"/>
    </xf>
    <xf numFmtId="166" fontId="19" fillId="3" borderId="54" xfId="7" applyNumberFormat="1" applyFont="1" applyFill="1" applyBorder="1" applyAlignment="1">
      <alignment horizontal="center"/>
    </xf>
    <xf numFmtId="166" fontId="19" fillId="3" borderId="15" xfId="7" applyNumberFormat="1" applyFont="1" applyFill="1" applyBorder="1" applyAlignment="1">
      <alignment horizontal="center"/>
    </xf>
    <xf numFmtId="166" fontId="19" fillId="3" borderId="20" xfId="7" applyNumberFormat="1" applyFont="1" applyFill="1" applyBorder="1" applyAlignment="1">
      <alignment horizontal="center"/>
    </xf>
    <xf numFmtId="166" fontId="20" fillId="0" borderId="52" xfId="7" applyNumberFormat="1" applyFont="1" applyFill="1" applyBorder="1" applyAlignment="1">
      <alignment horizontal="center"/>
    </xf>
    <xf numFmtId="166" fontId="19" fillId="0" borderId="54" xfId="7" applyNumberFormat="1" applyFont="1" applyFill="1" applyBorder="1" applyAlignment="1">
      <alignment horizontal="center"/>
    </xf>
    <xf numFmtId="166" fontId="19" fillId="3" borderId="59" xfId="7" applyNumberFormat="1" applyFont="1" applyFill="1" applyBorder="1" applyAlignment="1">
      <alignment horizontal="center"/>
    </xf>
    <xf numFmtId="166" fontId="19" fillId="3" borderId="61" xfId="7" applyNumberFormat="1" applyFont="1" applyFill="1" applyBorder="1" applyAlignment="1">
      <alignment horizontal="center"/>
    </xf>
    <xf numFmtId="166" fontId="19" fillId="3" borderId="68" xfId="7" applyNumberFormat="1" applyFont="1" applyFill="1" applyBorder="1" applyAlignment="1">
      <alignment horizontal="center"/>
    </xf>
    <xf numFmtId="166" fontId="20" fillId="0" borderId="14" xfId="7" applyNumberFormat="1" applyFont="1" applyFill="1" applyBorder="1" applyAlignment="1">
      <alignment horizontal="center"/>
    </xf>
    <xf numFmtId="166" fontId="19" fillId="0" borderId="15" xfId="7" applyNumberFormat="1" applyFont="1" applyFill="1" applyBorder="1" applyAlignment="1">
      <alignment horizontal="center"/>
    </xf>
    <xf numFmtId="166" fontId="20" fillId="0" borderId="56" xfId="7" applyNumberFormat="1" applyFont="1" applyFill="1" applyBorder="1" applyAlignment="1">
      <alignment horizontal="center"/>
    </xf>
    <xf numFmtId="166" fontId="20" fillId="0" borderId="22" xfId="7" applyNumberFormat="1" applyFont="1" applyFill="1" applyBorder="1" applyAlignment="1">
      <alignment horizontal="center"/>
    </xf>
    <xf numFmtId="166" fontId="19" fillId="0" borderId="57" xfId="7" applyNumberFormat="1" applyFont="1" applyFill="1" applyBorder="1" applyAlignment="1">
      <alignment horizontal="center"/>
    </xf>
    <xf numFmtId="166" fontId="19" fillId="3" borderId="62" xfId="7" applyNumberFormat="1" applyFont="1" applyFill="1" applyBorder="1" applyAlignment="1">
      <alignment horizontal="center"/>
    </xf>
    <xf numFmtId="2" fontId="19" fillId="3" borderId="52" xfId="7" applyNumberFormat="1" applyFont="1" applyFill="1" applyBorder="1" applyAlignment="1">
      <alignment horizontal="center"/>
    </xf>
    <xf numFmtId="2" fontId="19" fillId="3" borderId="14" xfId="7" applyNumberFormat="1" applyFont="1" applyFill="1" applyBorder="1" applyAlignment="1">
      <alignment horizontal="center"/>
    </xf>
    <xf numFmtId="2" fontId="20" fillId="3" borderId="69" xfId="7" applyNumberFormat="1" applyFont="1" applyFill="1" applyBorder="1" applyAlignment="1">
      <alignment horizontal="center" vertical="center"/>
    </xf>
    <xf numFmtId="2" fontId="20" fillId="3" borderId="70" xfId="7" applyNumberFormat="1" applyFont="1" applyFill="1" applyBorder="1" applyAlignment="1">
      <alignment horizontal="center" vertical="center"/>
    </xf>
    <xf numFmtId="2" fontId="20" fillId="3" borderId="56" xfId="7" applyNumberFormat="1" applyFont="1" applyFill="1" applyBorder="1" applyAlignment="1">
      <alignment horizontal="center"/>
    </xf>
    <xf numFmtId="2" fontId="20" fillId="3" borderId="22" xfId="7" applyNumberFormat="1" applyFont="1" applyFill="1" applyBorder="1" applyAlignment="1">
      <alignment horizontal="center"/>
    </xf>
    <xf numFmtId="2" fontId="19" fillId="3" borderId="57" xfId="7" applyNumberFormat="1" applyFont="1" applyFill="1" applyBorder="1" applyAlignment="1">
      <alignment horizontal="center"/>
    </xf>
    <xf numFmtId="2" fontId="20" fillId="3" borderId="71" xfId="7" applyNumberFormat="1" applyFont="1" applyFill="1" applyBorder="1" applyAlignment="1">
      <alignment horizontal="center" vertical="center"/>
    </xf>
    <xf numFmtId="3" fontId="10" fillId="3" borderId="28" xfId="2" applyNumberFormat="1" applyFont="1" applyFill="1" applyBorder="1" applyAlignment="1">
      <alignment horizontal="center"/>
    </xf>
    <xf numFmtId="3" fontId="10" fillId="3" borderId="39" xfId="2" applyNumberFormat="1" applyFont="1" applyFill="1" applyBorder="1" applyAlignment="1">
      <alignment horizontal="center"/>
    </xf>
    <xf numFmtId="3" fontId="10" fillId="3" borderId="25" xfId="2" applyNumberFormat="1" applyFont="1" applyFill="1" applyBorder="1" applyAlignment="1">
      <alignment horizontal="center"/>
    </xf>
    <xf numFmtId="3" fontId="10" fillId="3" borderId="37" xfId="2" applyNumberFormat="1" applyFont="1" applyFill="1" applyBorder="1" applyAlignment="1">
      <alignment horizontal="center"/>
    </xf>
    <xf numFmtId="3" fontId="10" fillId="3" borderId="29" xfId="2" applyNumberFormat="1" applyFont="1" applyFill="1" applyBorder="1" applyAlignment="1">
      <alignment horizontal="center"/>
    </xf>
    <xf numFmtId="3" fontId="10" fillId="3" borderId="63" xfId="2" applyNumberFormat="1" applyFont="1" applyFill="1" applyBorder="1" applyAlignment="1">
      <alignment horizontal="center"/>
    </xf>
    <xf numFmtId="3" fontId="10" fillId="3" borderId="26" xfId="2" applyNumberFormat="1" applyFont="1" applyFill="1" applyBorder="1" applyAlignment="1">
      <alignment horizontal="center"/>
    </xf>
    <xf numFmtId="3" fontId="10" fillId="3" borderId="45" xfId="2" applyNumberFormat="1" applyFont="1" applyFill="1" applyBorder="1" applyAlignment="1">
      <alignment horizontal="center"/>
    </xf>
    <xf numFmtId="3" fontId="10" fillId="3" borderId="36" xfId="2" applyNumberFormat="1" applyFont="1" applyFill="1" applyBorder="1" applyAlignment="1">
      <alignment horizontal="center"/>
    </xf>
    <xf numFmtId="3" fontId="10" fillId="3" borderId="40" xfId="2" applyNumberFormat="1" applyFont="1" applyFill="1" applyBorder="1" applyAlignment="1">
      <alignment horizontal="center"/>
    </xf>
    <xf numFmtId="3" fontId="10" fillId="3" borderId="32" xfId="2" applyNumberFormat="1" applyFont="1" applyFill="1" applyBorder="1" applyAlignment="1">
      <alignment horizontal="center"/>
    </xf>
    <xf numFmtId="3" fontId="10" fillId="3" borderId="35" xfId="2" applyNumberFormat="1" applyFont="1" applyFill="1" applyBorder="1" applyAlignment="1">
      <alignment horizontal="center"/>
    </xf>
    <xf numFmtId="3" fontId="10" fillId="0" borderId="29" xfId="2" applyNumberFormat="1" applyFont="1" applyFill="1" applyBorder="1" applyAlignment="1">
      <alignment horizontal="center"/>
    </xf>
    <xf numFmtId="3" fontId="10" fillId="0" borderId="28" xfId="2" applyNumberFormat="1" applyFont="1" applyFill="1" applyBorder="1" applyAlignment="1">
      <alignment horizontal="center"/>
    </xf>
    <xf numFmtId="3" fontId="10" fillId="0" borderId="39" xfId="2" applyNumberFormat="1" applyFont="1" applyFill="1" applyBorder="1" applyAlignment="1">
      <alignment horizontal="center"/>
    </xf>
    <xf numFmtId="3" fontId="10" fillId="0" borderId="63" xfId="2" applyNumberFormat="1" applyFont="1" applyFill="1" applyBorder="1" applyAlignment="1">
      <alignment horizontal="center"/>
    </xf>
    <xf numFmtId="3" fontId="12" fillId="3" borderId="29" xfId="2" applyNumberFormat="1" applyFont="1" applyFill="1" applyBorder="1" applyAlignment="1">
      <alignment horizontal="center"/>
    </xf>
    <xf numFmtId="3" fontId="12" fillId="0" borderId="63" xfId="2" applyNumberFormat="1" applyFont="1" applyFill="1" applyBorder="1" applyAlignment="1">
      <alignment horizontal="center"/>
    </xf>
    <xf numFmtId="3" fontId="12" fillId="3" borderId="26" xfId="2" applyNumberFormat="1" applyFont="1" applyFill="1" applyBorder="1" applyAlignment="1">
      <alignment horizontal="center"/>
    </xf>
    <xf numFmtId="3" fontId="12" fillId="3" borderId="45" xfId="2" applyNumberFormat="1" applyFont="1" applyFill="1" applyBorder="1" applyAlignment="1">
      <alignment horizontal="center"/>
    </xf>
    <xf numFmtId="3" fontId="10" fillId="3" borderId="30" xfId="2" applyNumberFormat="1" applyFont="1" applyFill="1" applyBorder="1" applyAlignment="1">
      <alignment horizontal="center"/>
    </xf>
    <xf numFmtId="3" fontId="10" fillId="3" borderId="64" xfId="2" applyNumberFormat="1" applyFont="1" applyFill="1" applyBorder="1" applyAlignment="1">
      <alignment horizontal="center"/>
    </xf>
    <xf numFmtId="3" fontId="10" fillId="3" borderId="27" xfId="2" applyNumberFormat="1" applyFont="1" applyFill="1" applyBorder="1" applyAlignment="1">
      <alignment horizontal="center"/>
    </xf>
    <xf numFmtId="3" fontId="10" fillId="3" borderId="65" xfId="2" applyNumberFormat="1" applyFont="1" applyFill="1" applyBorder="1" applyAlignment="1">
      <alignment horizontal="center"/>
    </xf>
    <xf numFmtId="3" fontId="12" fillId="3" borderId="36" xfId="2" applyNumberFormat="1" applyFont="1" applyFill="1" applyBorder="1" applyAlignment="1">
      <alignment horizontal="center"/>
    </xf>
    <xf numFmtId="3" fontId="12" fillId="3" borderId="40" xfId="2" applyNumberFormat="1" applyFont="1" applyFill="1" applyBorder="1" applyAlignment="1">
      <alignment horizontal="center"/>
    </xf>
    <xf numFmtId="3" fontId="12" fillId="3" borderId="63" xfId="2" applyNumberFormat="1" applyFont="1" applyFill="1" applyBorder="1" applyAlignment="1">
      <alignment horizontal="center"/>
    </xf>
    <xf numFmtId="168" fontId="10" fillId="0" borderId="52" xfId="2" applyNumberFormat="1" applyFont="1" applyFill="1" applyBorder="1" applyAlignment="1">
      <alignment horizontal="center"/>
    </xf>
    <xf numFmtId="168" fontId="10" fillId="0" borderId="14" xfId="2" applyNumberFormat="1" applyFont="1" applyFill="1" applyBorder="1" applyAlignment="1">
      <alignment horizontal="center"/>
    </xf>
    <xf numFmtId="168" fontId="10" fillId="0" borderId="53" xfId="2" applyNumberFormat="1" applyFont="1" applyFill="1" applyBorder="1" applyAlignment="1">
      <alignment horizontal="center"/>
    </xf>
    <xf numFmtId="168" fontId="10" fillId="0" borderId="18" xfId="2" applyNumberFormat="1" applyFont="1" applyFill="1" applyBorder="1" applyAlignment="1">
      <alignment horizontal="center"/>
    </xf>
    <xf numFmtId="168" fontId="12" fillId="0" borderId="53" xfId="2" applyNumberFormat="1" applyFont="1" applyFill="1" applyBorder="1" applyAlignment="1">
      <alignment horizontal="center"/>
    </xf>
    <xf numFmtId="168" fontId="12" fillId="0" borderId="18" xfId="2" applyNumberFormat="1" applyFont="1" applyFill="1" applyBorder="1" applyAlignment="1">
      <alignment horizontal="center"/>
    </xf>
    <xf numFmtId="168" fontId="12" fillId="0" borderId="54" xfId="2" applyNumberFormat="1" applyFont="1" applyFill="1" applyBorder="1" applyAlignment="1">
      <alignment horizontal="center"/>
    </xf>
    <xf numFmtId="168" fontId="12" fillId="0" borderId="15" xfId="2" applyNumberFormat="1" applyFont="1" applyFill="1" applyBorder="1" applyAlignment="1">
      <alignment horizontal="center"/>
    </xf>
    <xf numFmtId="3" fontId="10" fillId="3" borderId="46" xfId="2" applyNumberFormat="1" applyFont="1" applyFill="1" applyBorder="1" applyAlignment="1">
      <alignment horizontal="center"/>
    </xf>
    <xf numFmtId="3" fontId="10" fillId="3" borderId="55" xfId="2" applyNumberFormat="1" applyFont="1" applyFill="1" applyBorder="1" applyAlignment="1">
      <alignment horizontal="center"/>
    </xf>
    <xf numFmtId="3" fontId="19" fillId="3" borderId="36" xfId="2" applyNumberFormat="1" applyFont="1" applyFill="1" applyBorder="1" applyAlignment="1">
      <alignment horizontal="center"/>
    </xf>
    <xf numFmtId="3" fontId="19" fillId="3" borderId="40" xfId="2" applyNumberFormat="1" applyFont="1" applyFill="1" applyBorder="1" applyAlignment="1">
      <alignment horizontal="center"/>
    </xf>
    <xf numFmtId="3" fontId="19" fillId="3" borderId="32" xfId="2" applyNumberFormat="1" applyFont="1" applyFill="1" applyBorder="1" applyAlignment="1">
      <alignment horizontal="center"/>
    </xf>
    <xf numFmtId="3" fontId="19" fillId="3" borderId="35" xfId="2" applyNumberFormat="1" applyFont="1" applyFill="1" applyBorder="1" applyAlignment="1">
      <alignment horizontal="center"/>
    </xf>
    <xf numFmtId="165" fontId="10" fillId="3" borderId="30" xfId="1" applyNumberFormat="1" applyFont="1" applyFill="1" applyBorder="1" applyAlignment="1">
      <alignment horizontal="center"/>
    </xf>
    <xf numFmtId="165" fontId="10" fillId="3" borderId="64" xfId="1" applyNumberFormat="1" applyFont="1" applyFill="1" applyBorder="1" applyAlignment="1">
      <alignment horizontal="center"/>
    </xf>
    <xf numFmtId="168" fontId="20" fillId="0" borderId="53" xfId="2" applyNumberFormat="1" applyFont="1" applyFill="1" applyBorder="1" applyAlignment="1">
      <alignment horizontal="center"/>
    </xf>
    <xf numFmtId="168" fontId="20" fillId="0" borderId="18" xfId="2" applyNumberFormat="1" applyFont="1" applyFill="1" applyBorder="1" applyAlignment="1">
      <alignment horizontal="center"/>
    </xf>
    <xf numFmtId="9" fontId="10" fillId="0" borderId="54" xfId="1" applyFont="1" applyFill="1" applyBorder="1" applyAlignment="1">
      <alignment horizontal="center"/>
    </xf>
    <xf numFmtId="9" fontId="10" fillId="0" borderId="15" xfId="1" applyFont="1" applyFill="1" applyBorder="1" applyAlignment="1">
      <alignment horizontal="center"/>
    </xf>
    <xf numFmtId="0" fontId="31" fillId="3" borderId="0" xfId="0" applyFont="1" applyFill="1" applyBorder="1"/>
    <xf numFmtId="9" fontId="10" fillId="0" borderId="59" xfId="1" applyFont="1" applyFill="1" applyBorder="1" applyAlignment="1">
      <alignment horizontal="center"/>
    </xf>
    <xf numFmtId="9" fontId="10" fillId="0" borderId="61" xfId="1" applyFont="1" applyFill="1" applyBorder="1" applyAlignment="1">
      <alignment horizontal="center"/>
    </xf>
    <xf numFmtId="168" fontId="0" fillId="3" borderId="0" xfId="0" applyNumberFormat="1" applyFill="1"/>
    <xf numFmtId="3" fontId="10" fillId="3" borderId="33" xfId="2" applyNumberFormat="1" applyFont="1" applyFill="1" applyBorder="1" applyAlignment="1">
      <alignment horizontal="center"/>
    </xf>
    <xf numFmtId="3" fontId="10" fillId="3" borderId="34" xfId="2" applyNumberFormat="1" applyFont="1" applyFill="1" applyBorder="1" applyAlignment="1">
      <alignment horizontal="center"/>
    </xf>
    <xf numFmtId="3" fontId="10" fillId="0" borderId="50" xfId="2" applyNumberFormat="1" applyFont="1" applyFill="1" applyBorder="1" applyAlignment="1">
      <alignment horizontal="center"/>
    </xf>
    <xf numFmtId="166" fontId="12" fillId="3" borderId="34" xfId="2" applyNumberFormat="1" applyFont="1" applyFill="1" applyBorder="1" applyAlignment="1">
      <alignment horizontal="center"/>
    </xf>
    <xf numFmtId="165" fontId="10" fillId="0" borderId="31" xfId="2" applyNumberFormat="1" applyFont="1" applyFill="1" applyBorder="1" applyAlignment="1">
      <alignment horizontal="center"/>
    </xf>
    <xf numFmtId="165" fontId="10" fillId="0" borderId="24" xfId="2" applyNumberFormat="1" applyFont="1" applyFill="1" applyBorder="1" applyAlignment="1">
      <alignment horizontal="center"/>
    </xf>
    <xf numFmtId="165" fontId="10" fillId="0" borderId="58" xfId="2" applyNumberFormat="1" applyFont="1" applyFill="1" applyBorder="1" applyAlignment="1">
      <alignment horizontal="center"/>
    </xf>
    <xf numFmtId="0" fontId="10" fillId="3" borderId="11" xfId="0" applyFont="1" applyFill="1" applyBorder="1" applyAlignment="1">
      <alignment horizontal="center"/>
    </xf>
    <xf numFmtId="0" fontId="10" fillId="3" borderId="8" xfId="0" applyFont="1" applyFill="1" applyBorder="1" applyAlignment="1">
      <alignment horizontal="center"/>
    </xf>
    <xf numFmtId="0" fontId="10" fillId="3" borderId="9" xfId="0" applyFont="1" applyFill="1" applyBorder="1" applyAlignment="1">
      <alignment horizontal="center"/>
    </xf>
    <xf numFmtId="165" fontId="10" fillId="0" borderId="38" xfId="2" applyNumberFormat="1" applyFont="1" applyFill="1" applyBorder="1" applyAlignment="1">
      <alignment horizontal="center"/>
    </xf>
    <xf numFmtId="166" fontId="10" fillId="3" borderId="28" xfId="2" applyNumberFormat="1" applyFont="1" applyFill="1" applyBorder="1" applyAlignment="1">
      <alignment horizontal="center"/>
    </xf>
    <xf numFmtId="166" fontId="10" fillId="3" borderId="25" xfId="2" applyNumberFormat="1" applyFont="1" applyFill="1" applyBorder="1" applyAlignment="1">
      <alignment horizontal="center"/>
    </xf>
    <xf numFmtId="166" fontId="10" fillId="3" borderId="29" xfId="2" applyNumberFormat="1" applyFont="1" applyFill="1" applyBorder="1" applyAlignment="1">
      <alignment horizontal="center"/>
    </xf>
    <xf numFmtId="166" fontId="10" fillId="3" borderId="26" xfId="2" applyNumberFormat="1" applyFont="1" applyFill="1" applyBorder="1" applyAlignment="1">
      <alignment horizontal="center"/>
    </xf>
    <xf numFmtId="166" fontId="10" fillId="3" borderId="47" xfId="2" applyNumberFormat="1" applyFont="1" applyFill="1" applyBorder="1" applyAlignment="1">
      <alignment horizontal="center"/>
    </xf>
    <xf numFmtId="9" fontId="10" fillId="3" borderId="28" xfId="2" applyNumberFormat="1" applyFont="1" applyFill="1" applyBorder="1" applyAlignment="1">
      <alignment horizontal="center"/>
    </xf>
    <xf numFmtId="9" fontId="10" fillId="3" borderId="25" xfId="2" applyNumberFormat="1" applyFont="1" applyFill="1" applyBorder="1" applyAlignment="1">
      <alignment horizontal="center"/>
    </xf>
    <xf numFmtId="9" fontId="10" fillId="3" borderId="33" xfId="2" applyNumberFormat="1" applyFont="1" applyFill="1" applyBorder="1" applyAlignment="1">
      <alignment horizontal="center"/>
    </xf>
    <xf numFmtId="9" fontId="10" fillId="3" borderId="26" xfId="2" applyNumberFormat="1" applyFont="1" applyFill="1" applyBorder="1" applyAlignment="1">
      <alignment horizontal="center"/>
    </xf>
    <xf numFmtId="9" fontId="10" fillId="3" borderId="32" xfId="2" applyNumberFormat="1" applyFont="1" applyFill="1" applyBorder="1" applyAlignment="1">
      <alignment horizontal="center"/>
    </xf>
    <xf numFmtId="9" fontId="10" fillId="3" borderId="45" xfId="2" applyNumberFormat="1" applyFont="1" applyFill="1" applyBorder="1" applyAlignment="1">
      <alignment horizontal="center"/>
    </xf>
    <xf numFmtId="9" fontId="10" fillId="3" borderId="35" xfId="2" applyNumberFormat="1" applyFont="1" applyFill="1" applyBorder="1" applyAlignment="1">
      <alignment horizontal="center"/>
    </xf>
    <xf numFmtId="0" fontId="26" fillId="6" borderId="10" xfId="0" applyFont="1" applyFill="1" applyBorder="1"/>
    <xf numFmtId="0" fontId="26" fillId="6" borderId="11" xfId="0" applyFont="1" applyFill="1" applyBorder="1"/>
    <xf numFmtId="166" fontId="0" fillId="3" borderId="0" xfId="0" applyNumberFormat="1" applyFill="1"/>
    <xf numFmtId="166" fontId="10" fillId="3" borderId="37" xfId="2" applyNumberFormat="1" applyFont="1" applyFill="1" applyBorder="1" applyAlignment="1">
      <alignment horizontal="center"/>
    </xf>
    <xf numFmtId="166" fontId="10" fillId="3" borderId="34" xfId="2" applyNumberFormat="1" applyFont="1" applyFill="1" applyBorder="1" applyAlignment="1">
      <alignment horizontal="center"/>
    </xf>
    <xf numFmtId="166" fontId="10" fillId="3" borderId="33" xfId="2" applyNumberFormat="1" applyFont="1" applyFill="1" applyBorder="1" applyAlignment="1">
      <alignment horizontal="center"/>
    </xf>
    <xf numFmtId="166" fontId="10" fillId="3" borderId="46" xfId="2" applyNumberFormat="1" applyFont="1" applyFill="1" applyBorder="1" applyAlignment="1">
      <alignment horizontal="center"/>
    </xf>
    <xf numFmtId="166" fontId="10" fillId="3" borderId="45" xfId="2" applyNumberFormat="1" applyFont="1" applyFill="1" applyBorder="1" applyAlignment="1">
      <alignment horizontal="center"/>
    </xf>
    <xf numFmtId="166" fontId="10" fillId="3" borderId="35" xfId="2" applyNumberFormat="1" applyFont="1" applyFill="1" applyBorder="1" applyAlignment="1">
      <alignment horizontal="center"/>
    </xf>
    <xf numFmtId="166" fontId="10" fillId="3" borderId="32" xfId="2" applyNumberFormat="1" applyFont="1" applyFill="1" applyBorder="1" applyAlignment="1">
      <alignment horizontal="center"/>
    </xf>
    <xf numFmtId="166" fontId="10" fillId="3" borderId="36" xfId="2" applyNumberFormat="1" applyFont="1" applyFill="1" applyBorder="1" applyAlignment="1">
      <alignment horizontal="center"/>
    </xf>
    <xf numFmtId="166" fontId="10" fillId="0" borderId="36" xfId="2" applyNumberFormat="1" applyFont="1" applyFill="1" applyBorder="1" applyAlignment="1">
      <alignment horizontal="center"/>
    </xf>
    <xf numFmtId="166" fontId="10" fillId="0" borderId="32" xfId="2" applyNumberFormat="1" applyFont="1" applyFill="1" applyBorder="1" applyAlignment="1">
      <alignment horizontal="center"/>
    </xf>
    <xf numFmtId="168" fontId="12" fillId="3" borderId="29" xfId="2" applyNumberFormat="1" applyFont="1" applyFill="1" applyBorder="1" applyAlignment="1">
      <alignment horizontal="center"/>
    </xf>
    <xf numFmtId="168" fontId="10" fillId="3" borderId="29" xfId="2" applyNumberFormat="1" applyFont="1" applyFill="1" applyBorder="1" applyAlignment="1">
      <alignment horizontal="center"/>
    </xf>
    <xf numFmtId="168" fontId="10" fillId="3" borderId="63" xfId="2" applyNumberFormat="1" applyFont="1" applyFill="1" applyBorder="1" applyAlignment="1">
      <alignment horizontal="center"/>
    </xf>
    <xf numFmtId="168" fontId="10" fillId="3" borderId="26" xfId="2" applyNumberFormat="1" applyFont="1" applyFill="1" applyBorder="1" applyAlignment="1">
      <alignment horizontal="center"/>
    </xf>
    <xf numFmtId="168" fontId="10" fillId="3" borderId="45" xfId="2" applyNumberFormat="1" applyFont="1" applyFill="1" applyBorder="1" applyAlignment="1">
      <alignment horizontal="center"/>
    </xf>
    <xf numFmtId="168" fontId="12" fillId="3" borderId="63" xfId="2" applyNumberFormat="1" applyFont="1" applyFill="1" applyBorder="1" applyAlignment="1">
      <alignment horizontal="center"/>
    </xf>
    <xf numFmtId="168" fontId="19" fillId="3" borderId="29" xfId="2" applyNumberFormat="1" applyFont="1" applyFill="1" applyBorder="1" applyAlignment="1">
      <alignment horizontal="center"/>
    </xf>
    <xf numFmtId="168" fontId="12" fillId="3" borderId="26" xfId="2" applyNumberFormat="1" applyFont="1" applyFill="1" applyBorder="1" applyAlignment="1">
      <alignment horizontal="center"/>
    </xf>
    <xf numFmtId="168" fontId="12" fillId="3" borderId="45" xfId="2" applyNumberFormat="1" applyFont="1" applyFill="1" applyBorder="1" applyAlignment="1">
      <alignment horizontal="center"/>
    </xf>
    <xf numFmtId="168" fontId="10" fillId="3" borderId="30" xfId="2" applyNumberFormat="1" applyFont="1" applyFill="1" applyBorder="1" applyAlignment="1">
      <alignment horizontal="center"/>
    </xf>
    <xf numFmtId="168" fontId="10" fillId="3" borderId="64" xfId="2" applyNumberFormat="1" applyFont="1" applyFill="1" applyBorder="1" applyAlignment="1">
      <alignment horizontal="center"/>
    </xf>
    <xf numFmtId="168" fontId="10" fillId="3" borderId="27" xfId="2" applyNumberFormat="1" applyFont="1" applyFill="1" applyBorder="1" applyAlignment="1">
      <alignment horizontal="center"/>
    </xf>
    <xf numFmtId="168" fontId="10" fillId="3" borderId="65" xfId="2" applyNumberFormat="1" applyFont="1" applyFill="1" applyBorder="1" applyAlignment="1">
      <alignment horizontal="center"/>
    </xf>
    <xf numFmtId="168" fontId="12" fillId="3" borderId="36" xfId="2" applyNumberFormat="1" applyFont="1" applyFill="1" applyBorder="1" applyAlignment="1">
      <alignment horizontal="center"/>
    </xf>
    <xf numFmtId="168" fontId="12" fillId="3" borderId="40" xfId="2" applyNumberFormat="1" applyFont="1" applyFill="1" applyBorder="1" applyAlignment="1">
      <alignment horizontal="center"/>
    </xf>
    <xf numFmtId="168" fontId="12" fillId="3" borderId="32" xfId="2" applyNumberFormat="1" applyFont="1" applyFill="1" applyBorder="1" applyAlignment="1">
      <alignment horizontal="center"/>
    </xf>
    <xf numFmtId="168" fontId="12" fillId="3" borderId="35" xfId="2" applyNumberFormat="1" applyFont="1" applyFill="1" applyBorder="1" applyAlignment="1">
      <alignment horizontal="center"/>
    </xf>
    <xf numFmtId="0" fontId="8" fillId="5" borderId="0" xfId="3" applyNumberFormat="1" applyFont="1" applyFill="1" applyBorder="1" applyAlignment="1">
      <alignment horizontal="left"/>
    </xf>
    <xf numFmtId="0" fontId="0" fillId="0" borderId="0" xfId="0" applyAlignment="1"/>
    <xf numFmtId="0" fontId="43" fillId="0" borderId="0" xfId="0" applyFont="1"/>
    <xf numFmtId="1" fontId="0" fillId="0" borderId="0" xfId="28" applyNumberFormat="1" applyFont="1"/>
    <xf numFmtId="2" fontId="0" fillId="0" borderId="0" xfId="0" applyNumberFormat="1"/>
    <xf numFmtId="166" fontId="0" fillId="0" borderId="0" xfId="0" applyNumberFormat="1"/>
    <xf numFmtId="1" fontId="0" fillId="0" borderId="0" xfId="0" applyNumberFormat="1"/>
    <xf numFmtId="3" fontId="12" fillId="3" borderId="30" xfId="2" applyNumberFormat="1" applyFont="1" applyFill="1" applyBorder="1" applyAlignment="1">
      <alignment horizontal="center"/>
    </xf>
    <xf numFmtId="3" fontId="12" fillId="3" borderId="64" xfId="2" applyNumberFormat="1" applyFont="1" applyFill="1" applyBorder="1" applyAlignment="1">
      <alignment horizontal="center"/>
    </xf>
    <xf numFmtId="3" fontId="12" fillId="3" borderId="27" xfId="2" applyNumberFormat="1" applyFont="1" applyFill="1" applyBorder="1" applyAlignment="1">
      <alignment horizontal="center"/>
    </xf>
    <xf numFmtId="3" fontId="12" fillId="3" borderId="65" xfId="2" applyNumberFormat="1" applyFont="1" applyFill="1" applyBorder="1" applyAlignment="1">
      <alignment horizontal="center"/>
    </xf>
    <xf numFmtId="1" fontId="0" fillId="3" borderId="14" xfId="0" applyNumberFormat="1" applyFill="1" applyBorder="1"/>
    <xf numFmtId="1" fontId="0" fillId="3" borderId="18" xfId="0" applyNumberFormat="1" applyFill="1" applyBorder="1"/>
    <xf numFmtId="0" fontId="0" fillId="3" borderId="52" xfId="0" applyFill="1" applyBorder="1"/>
    <xf numFmtId="3" fontId="0" fillId="3" borderId="14" xfId="0" applyNumberFormat="1" applyFill="1" applyBorder="1"/>
    <xf numFmtId="0" fontId="0" fillId="3" borderId="53" xfId="0" applyFill="1" applyBorder="1"/>
    <xf numFmtId="3" fontId="0" fillId="3" borderId="18" xfId="0" applyNumberFormat="1" applyFill="1" applyBorder="1"/>
    <xf numFmtId="0" fontId="0" fillId="3" borderId="54" xfId="0" applyFill="1" applyBorder="1"/>
    <xf numFmtId="0" fontId="0" fillId="3" borderId="56" xfId="0" applyFill="1" applyBorder="1"/>
    <xf numFmtId="4" fontId="0" fillId="3" borderId="22" xfId="0" applyNumberFormat="1" applyFill="1" applyBorder="1"/>
    <xf numFmtId="0" fontId="0" fillId="3" borderId="60" xfId="0" applyFill="1" applyBorder="1"/>
    <xf numFmtId="0" fontId="0" fillId="3" borderId="22" xfId="0" applyFill="1" applyBorder="1"/>
    <xf numFmtId="0" fontId="0" fillId="3" borderId="57" xfId="0" applyFill="1" applyBorder="1"/>
    <xf numFmtId="1" fontId="0" fillId="3" borderId="52" xfId="0" applyNumberFormat="1" applyFill="1" applyBorder="1"/>
    <xf numFmtId="1" fontId="0" fillId="3" borderId="53" xfId="0" applyNumberFormat="1" applyFill="1" applyBorder="1"/>
    <xf numFmtId="3" fontId="0" fillId="3" borderId="52" xfId="0" applyNumberFormat="1" applyFill="1" applyBorder="1"/>
    <xf numFmtId="3" fontId="0" fillId="3" borderId="53" xfId="0" applyNumberFormat="1" applyFill="1" applyBorder="1"/>
    <xf numFmtId="1" fontId="21" fillId="3" borderId="59" xfId="0" applyNumberFormat="1" applyFont="1" applyFill="1" applyBorder="1"/>
    <xf numFmtId="1" fontId="21" fillId="3" borderId="61" xfId="0" applyNumberFormat="1" applyFont="1" applyFill="1" applyBorder="1"/>
    <xf numFmtId="0" fontId="26" fillId="6" borderId="2" xfId="0" applyFont="1" applyFill="1" applyBorder="1" applyAlignment="1">
      <alignment horizontal="center"/>
    </xf>
    <xf numFmtId="0" fontId="26" fillId="6" borderId="4" xfId="0" applyFont="1" applyFill="1" applyBorder="1" applyAlignment="1">
      <alignment horizontal="center"/>
    </xf>
    <xf numFmtId="0" fontId="0" fillId="3" borderId="69" xfId="0" applyFill="1" applyBorder="1"/>
    <xf numFmtId="0" fontId="0" fillId="3" borderId="72" xfId="0" applyFill="1" applyBorder="1"/>
    <xf numFmtId="3" fontId="0" fillId="3" borderId="69" xfId="0" applyNumberFormat="1" applyFill="1" applyBorder="1"/>
    <xf numFmtId="3" fontId="0" fillId="3" borderId="70" xfId="0" applyNumberFormat="1" applyFill="1" applyBorder="1"/>
    <xf numFmtId="3" fontId="0" fillId="3" borderId="15" xfId="0" applyNumberFormat="1" applyFill="1" applyBorder="1"/>
    <xf numFmtId="1" fontId="0" fillId="3" borderId="13" xfId="0" applyNumberFormat="1" applyFill="1" applyBorder="1"/>
    <xf numFmtId="1" fontId="0" fillId="3" borderId="17" xfId="0" applyNumberFormat="1" applyFill="1" applyBorder="1"/>
    <xf numFmtId="3" fontId="0" fillId="3" borderId="17" xfId="0" applyNumberFormat="1" applyFill="1" applyBorder="1"/>
    <xf numFmtId="3" fontId="0" fillId="3" borderId="20" xfId="0" applyNumberFormat="1" applyFill="1" applyBorder="1"/>
    <xf numFmtId="3" fontId="0" fillId="3" borderId="54" xfId="0" applyNumberFormat="1" applyFill="1" applyBorder="1"/>
    <xf numFmtId="4" fontId="0" fillId="3" borderId="59" xfId="0" applyNumberFormat="1" applyFill="1" applyBorder="1"/>
    <xf numFmtId="1" fontId="21" fillId="3" borderId="62" xfId="0" applyNumberFormat="1" applyFont="1" applyFill="1" applyBorder="1"/>
    <xf numFmtId="3" fontId="0" fillId="3" borderId="71" xfId="0" applyNumberFormat="1" applyFill="1" applyBorder="1"/>
    <xf numFmtId="3" fontId="0" fillId="3" borderId="13" xfId="0" applyNumberFormat="1" applyFill="1" applyBorder="1"/>
    <xf numFmtId="0" fontId="44" fillId="3" borderId="0" xfId="3" applyNumberFormat="1" applyFont="1" applyFill="1" applyBorder="1" applyAlignment="1"/>
    <xf numFmtId="0" fontId="0" fillId="0" borderId="0" xfId="0" applyBorder="1"/>
    <xf numFmtId="0" fontId="0" fillId="0" borderId="73" xfId="0" applyBorder="1"/>
    <xf numFmtId="0" fontId="21" fillId="0" borderId="74" xfId="0" applyFont="1" applyBorder="1"/>
    <xf numFmtId="0" fontId="0" fillId="0" borderId="62" xfId="0" applyBorder="1"/>
    <xf numFmtId="0" fontId="0" fillId="0" borderId="75" xfId="0" applyBorder="1"/>
    <xf numFmtId="0" fontId="21" fillId="0" borderId="75" xfId="0" applyFont="1" applyBorder="1"/>
    <xf numFmtId="0" fontId="0" fillId="0" borderId="60" xfId="0" applyBorder="1"/>
    <xf numFmtId="9" fontId="0" fillId="0" borderId="62" xfId="0" applyNumberFormat="1" applyBorder="1"/>
    <xf numFmtId="0" fontId="0" fillId="0" borderId="77" xfId="0" applyBorder="1"/>
    <xf numFmtId="9" fontId="0" fillId="0" borderId="75" xfId="0" applyNumberFormat="1" applyBorder="1"/>
    <xf numFmtId="2" fontId="20" fillId="0" borderId="75" xfId="2" applyNumberFormat="1" applyFont="1" applyFill="1" applyBorder="1" applyAlignment="1">
      <alignment horizontal="center"/>
    </xf>
    <xf numFmtId="9" fontId="0" fillId="0" borderId="77" xfId="1" applyFont="1" applyBorder="1"/>
    <xf numFmtId="9" fontId="0" fillId="0" borderId="75" xfId="1" applyFont="1" applyBorder="1"/>
    <xf numFmtId="2" fontId="0" fillId="0" borderId="77" xfId="0" applyNumberFormat="1" applyBorder="1"/>
    <xf numFmtId="2" fontId="0" fillId="0" borderId="75" xfId="0" applyNumberFormat="1" applyBorder="1"/>
    <xf numFmtId="1" fontId="0" fillId="0" borderId="77" xfId="0" applyNumberFormat="1" applyBorder="1"/>
    <xf numFmtId="1" fontId="0" fillId="0" borderId="75" xfId="0" applyNumberFormat="1" applyBorder="1"/>
    <xf numFmtId="3" fontId="0" fillId="0" borderId="77" xfId="0" applyNumberFormat="1" applyBorder="1"/>
    <xf numFmtId="3" fontId="0" fillId="0" borderId="75" xfId="0" applyNumberFormat="1" applyBorder="1"/>
    <xf numFmtId="2" fontId="0" fillId="0" borderId="77" xfId="0" quotePrefix="1" applyNumberFormat="1" applyBorder="1"/>
    <xf numFmtId="2" fontId="0" fillId="0" borderId="0" xfId="0" quotePrefix="1" applyNumberFormat="1" applyBorder="1"/>
    <xf numFmtId="9" fontId="0" fillId="0" borderId="77" xfId="0" applyNumberFormat="1" applyBorder="1"/>
    <xf numFmtId="9" fontId="0" fillId="0" borderId="0" xfId="0" applyNumberFormat="1" applyBorder="1"/>
    <xf numFmtId="0" fontId="0" fillId="0" borderId="71" xfId="0" applyBorder="1"/>
    <xf numFmtId="0" fontId="21" fillId="0" borderId="72" xfId="0" applyFont="1" applyBorder="1"/>
    <xf numFmtId="0" fontId="21" fillId="0" borderId="71" xfId="0" applyFont="1" applyBorder="1"/>
    <xf numFmtId="0" fontId="21" fillId="0" borderId="73" xfId="0" applyFont="1" applyBorder="1"/>
    <xf numFmtId="0" fontId="21" fillId="0" borderId="76" xfId="0" applyFont="1" applyBorder="1"/>
    <xf numFmtId="0" fontId="0" fillId="0" borderId="79" xfId="0" applyBorder="1"/>
    <xf numFmtId="0" fontId="0" fillId="0" borderId="78" xfId="0" applyBorder="1"/>
    <xf numFmtId="0" fontId="0" fillId="0" borderId="22" xfId="0" applyBorder="1"/>
    <xf numFmtId="0" fontId="0" fillId="0" borderId="17" xfId="0" applyBorder="1"/>
    <xf numFmtId="0" fontId="21" fillId="0" borderId="72" xfId="0" applyFont="1" applyBorder="1" applyAlignment="1">
      <alignment horizontal="center" vertical="center"/>
    </xf>
    <xf numFmtId="0" fontId="21" fillId="0" borderId="71" xfId="0" applyFont="1" applyBorder="1" applyAlignment="1">
      <alignment horizontal="center" vertical="center"/>
    </xf>
    <xf numFmtId="0" fontId="0" fillId="0" borderId="0" xfId="0" applyFill="1" applyBorder="1"/>
    <xf numFmtId="10" fontId="0" fillId="0" borderId="77" xfId="0" applyNumberFormat="1" applyBorder="1"/>
    <xf numFmtId="10" fontId="0" fillId="0" borderId="75" xfId="0" applyNumberFormat="1" applyBorder="1"/>
    <xf numFmtId="0" fontId="0" fillId="0" borderId="7" xfId="0" applyBorder="1" applyAlignment="1">
      <alignment horizontal="center" vertical="center"/>
    </xf>
    <xf numFmtId="0" fontId="26" fillId="6" borderId="10" xfId="0" applyFont="1" applyFill="1" applyBorder="1" applyAlignment="1">
      <alignment horizontal="center"/>
    </xf>
    <xf numFmtId="0" fontId="26" fillId="6" borderId="12" xfId="0" applyFont="1" applyFill="1" applyBorder="1" applyAlignment="1">
      <alignment horizontal="center"/>
    </xf>
    <xf numFmtId="0" fontId="47" fillId="0" borderId="0" xfId="0" applyFont="1"/>
    <xf numFmtId="0" fontId="48" fillId="0" borderId="0" xfId="0" applyFont="1"/>
    <xf numFmtId="0" fontId="45" fillId="8" borderId="0" xfId="0" applyFont="1" applyFill="1"/>
    <xf numFmtId="0" fontId="46" fillId="8" borderId="0" xfId="0" applyFont="1" applyFill="1"/>
    <xf numFmtId="0" fontId="0" fillId="9" borderId="19" xfId="0" applyFill="1" applyBorder="1"/>
    <xf numFmtId="0" fontId="49" fillId="9" borderId="80" xfId="0" applyFont="1" applyFill="1" applyBorder="1" applyAlignment="1">
      <alignment wrapText="1"/>
    </xf>
    <xf numFmtId="0" fontId="49" fillId="9" borderId="81" xfId="0" applyFont="1" applyFill="1" applyBorder="1" applyAlignment="1">
      <alignment vertical="center" wrapText="1"/>
    </xf>
    <xf numFmtId="0" fontId="49" fillId="9" borderId="81" xfId="0" applyFont="1" applyFill="1" applyBorder="1" applyAlignment="1">
      <alignment wrapText="1"/>
    </xf>
    <xf numFmtId="0" fontId="0" fillId="9" borderId="81" xfId="0" applyFont="1" applyFill="1" applyBorder="1" applyAlignment="1">
      <alignment wrapText="1"/>
    </xf>
    <xf numFmtId="0" fontId="0" fillId="9" borderId="81" xfId="0" applyFill="1" applyBorder="1" applyAlignment="1">
      <alignment wrapText="1"/>
    </xf>
    <xf numFmtId="0" fontId="0" fillId="9" borderId="82" xfId="0" applyFont="1" applyFill="1" applyBorder="1" applyAlignment="1">
      <alignment wrapText="1"/>
    </xf>
    <xf numFmtId="0" fontId="0" fillId="9" borderId="80" xfId="0" applyFont="1" applyFill="1" applyBorder="1" applyAlignment="1">
      <alignment wrapText="1"/>
    </xf>
    <xf numFmtId="0" fontId="0" fillId="9" borderId="2" xfId="0" applyFont="1" applyFill="1" applyBorder="1" applyAlignment="1">
      <alignment wrapText="1"/>
    </xf>
    <xf numFmtId="0" fontId="0" fillId="9" borderId="10" xfId="0" applyFont="1" applyFill="1" applyBorder="1" applyAlignment="1">
      <alignment wrapText="1"/>
    </xf>
    <xf numFmtId="0" fontId="0" fillId="9" borderId="11" xfId="0" applyFont="1" applyFill="1" applyBorder="1" applyAlignment="1">
      <alignment wrapText="1"/>
    </xf>
    <xf numFmtId="0" fontId="0" fillId="9" borderId="19" xfId="0" applyFont="1" applyFill="1" applyBorder="1" applyAlignment="1">
      <alignment wrapText="1"/>
    </xf>
    <xf numFmtId="0" fontId="0" fillId="9" borderId="0" xfId="0" applyFont="1" applyFill="1" applyBorder="1" applyAlignment="1">
      <alignment wrapText="1"/>
    </xf>
    <xf numFmtId="0" fontId="50" fillId="9" borderId="83" xfId="0" applyFont="1" applyFill="1" applyBorder="1" applyAlignment="1">
      <alignment vertical="center" wrapText="1"/>
    </xf>
    <xf numFmtId="165" fontId="0" fillId="9" borderId="69" xfId="0" applyNumberFormat="1" applyFill="1" applyBorder="1"/>
    <xf numFmtId="0" fontId="0" fillId="9" borderId="78" xfId="0" applyFill="1" applyBorder="1"/>
    <xf numFmtId="9" fontId="0" fillId="9" borderId="78" xfId="0" applyNumberFormat="1" applyFill="1" applyBorder="1"/>
    <xf numFmtId="44" fontId="51" fillId="9" borderId="78" xfId="28" applyFont="1" applyFill="1" applyBorder="1"/>
    <xf numFmtId="44" fontId="0" fillId="9" borderId="78" xfId="28" applyFont="1" applyFill="1" applyBorder="1"/>
    <xf numFmtId="44" fontId="0" fillId="9" borderId="70" xfId="28" applyFont="1" applyFill="1" applyBorder="1"/>
    <xf numFmtId="2" fontId="0" fillId="9" borderId="69" xfId="0" applyNumberFormat="1" applyFill="1" applyBorder="1"/>
    <xf numFmtId="2" fontId="0" fillId="9" borderId="72" xfId="0" applyNumberFormat="1" applyFill="1" applyBorder="1"/>
    <xf numFmtId="169" fontId="0" fillId="9" borderId="52" xfId="0" applyNumberFormat="1" applyFill="1" applyBorder="1"/>
    <xf numFmtId="169" fontId="0" fillId="9" borderId="56" xfId="0" applyNumberFormat="1" applyFill="1" applyBorder="1"/>
    <xf numFmtId="169" fontId="0" fillId="9" borderId="78" xfId="0" applyNumberFormat="1" applyFill="1" applyBorder="1"/>
    <xf numFmtId="169" fontId="0" fillId="9" borderId="70" xfId="0" applyNumberFormat="1" applyFill="1" applyBorder="1"/>
    <xf numFmtId="0" fontId="50" fillId="9" borderId="84" xfId="0" applyFont="1" applyFill="1" applyBorder="1" applyAlignment="1">
      <alignment vertical="center" wrapText="1"/>
    </xf>
    <xf numFmtId="165" fontId="0" fillId="9" borderId="53" xfId="0" applyNumberFormat="1" applyFill="1" applyBorder="1"/>
    <xf numFmtId="0" fontId="0" fillId="9" borderId="74" xfId="0" applyFill="1" applyBorder="1"/>
    <xf numFmtId="9" fontId="0" fillId="9" borderId="74" xfId="0" applyNumberFormat="1" applyFill="1" applyBorder="1"/>
    <xf numFmtId="44" fontId="0" fillId="9" borderId="74" xfId="28" applyFont="1" applyFill="1" applyBorder="1"/>
    <xf numFmtId="44" fontId="0" fillId="9" borderId="18" xfId="28" applyFont="1" applyFill="1" applyBorder="1"/>
    <xf numFmtId="2" fontId="0" fillId="9" borderId="53" xfId="0" applyNumberFormat="1" applyFill="1" applyBorder="1"/>
    <xf numFmtId="2" fontId="0" fillId="9" borderId="22" xfId="0" applyNumberFormat="1" applyFill="1" applyBorder="1"/>
    <xf numFmtId="169" fontId="0" fillId="9" borderId="69" xfId="0" applyNumberFormat="1" applyFill="1" applyBorder="1"/>
    <xf numFmtId="169" fontId="0" fillId="9" borderId="72" xfId="0" applyNumberFormat="1" applyFill="1" applyBorder="1"/>
    <xf numFmtId="169" fontId="0" fillId="9" borderId="74" xfId="0" applyNumberFormat="1" applyFill="1" applyBorder="1"/>
    <xf numFmtId="169" fontId="0" fillId="9" borderId="18" xfId="0" applyNumberFormat="1" applyFill="1" applyBorder="1"/>
    <xf numFmtId="0" fontId="50" fillId="9" borderId="85" xfId="0" applyFont="1" applyFill="1" applyBorder="1" applyAlignment="1">
      <alignment vertical="center" wrapText="1"/>
    </xf>
    <xf numFmtId="165" fontId="0" fillId="9" borderId="54" xfId="0" applyNumberFormat="1" applyFill="1" applyBorder="1"/>
    <xf numFmtId="0" fontId="0" fillId="9" borderId="86" xfId="0" applyFill="1" applyBorder="1"/>
    <xf numFmtId="9" fontId="0" fillId="9" borderId="86" xfId="0" applyNumberFormat="1" applyFill="1" applyBorder="1"/>
    <xf numFmtId="44" fontId="0" fillId="9" borderId="87" xfId="28" applyFont="1" applyFill="1" applyBorder="1"/>
    <xf numFmtId="44" fontId="0" fillId="9" borderId="86" xfId="28" applyFont="1" applyFill="1" applyBorder="1"/>
    <xf numFmtId="44" fontId="0" fillId="9" borderId="15" xfId="28" applyFont="1" applyFill="1" applyBorder="1"/>
    <xf numFmtId="2" fontId="0" fillId="9" borderId="54" xfId="0" applyNumberFormat="1" applyFill="1" applyBorder="1"/>
    <xf numFmtId="2" fontId="0" fillId="9" borderId="57" xfId="0" applyNumberFormat="1" applyFill="1" applyBorder="1"/>
    <xf numFmtId="169" fontId="0" fillId="9" borderId="68" xfId="0" applyNumberFormat="1" applyFill="1" applyBorder="1"/>
    <xf numFmtId="169" fontId="0" fillId="9" borderId="88" xfId="0" applyNumberFormat="1" applyFill="1" applyBorder="1"/>
    <xf numFmtId="0" fontId="50" fillId="0" borderId="0" xfId="0" applyFont="1" applyBorder="1" applyAlignment="1">
      <alignment vertical="center" wrapText="1"/>
    </xf>
    <xf numFmtId="0" fontId="0" fillId="10" borderId="89" xfId="0" applyFill="1" applyBorder="1"/>
    <xf numFmtId="0" fontId="0" fillId="0" borderId="13" xfId="0" applyBorder="1"/>
    <xf numFmtId="0" fontId="0" fillId="0" borderId="90" xfId="0" applyBorder="1"/>
    <xf numFmtId="0" fontId="0" fillId="0" borderId="14" xfId="0" applyBorder="1"/>
    <xf numFmtId="0" fontId="0" fillId="10" borderId="85" xfId="0" applyFill="1" applyBorder="1"/>
    <xf numFmtId="0" fontId="0" fillId="0" borderId="20" xfId="0" applyBorder="1"/>
    <xf numFmtId="0" fontId="0" fillId="0" borderId="86" xfId="0" applyBorder="1"/>
    <xf numFmtId="0" fontId="0" fillId="0" borderId="86" xfId="0" applyFill="1" applyBorder="1"/>
    <xf numFmtId="0" fontId="0" fillId="0" borderId="15" xfId="0" applyFill="1" applyBorder="1"/>
    <xf numFmtId="0" fontId="50" fillId="10" borderId="83" xfId="0" applyFont="1" applyFill="1" applyBorder="1" applyAlignment="1">
      <alignment vertical="center" wrapText="1"/>
    </xf>
    <xf numFmtId="44" fontId="0" fillId="0" borderId="71" xfId="28" applyFont="1" applyBorder="1"/>
    <xf numFmtId="44" fontId="0" fillId="0" borderId="78" xfId="28" applyFont="1" applyBorder="1"/>
    <xf numFmtId="44" fontId="0" fillId="0" borderId="70" xfId="28" applyFont="1" applyBorder="1"/>
    <xf numFmtId="44" fontId="0" fillId="0" borderId="0" xfId="28" applyFont="1"/>
    <xf numFmtId="44" fontId="0" fillId="0" borderId="0" xfId="28" applyFont="1" applyFill="1" applyBorder="1"/>
    <xf numFmtId="0" fontId="50" fillId="10" borderId="84" xfId="0" applyFont="1" applyFill="1" applyBorder="1" applyAlignment="1">
      <alignment vertical="center" wrapText="1"/>
    </xf>
    <xf numFmtId="44" fontId="0" fillId="0" borderId="17" xfId="28" applyFont="1" applyBorder="1"/>
    <xf numFmtId="44" fontId="0" fillId="0" borderId="74" xfId="28" applyFont="1" applyBorder="1"/>
    <xf numFmtId="44" fontId="0" fillId="0" borderId="18" xfId="28" applyFont="1" applyBorder="1"/>
    <xf numFmtId="44" fontId="0" fillId="0" borderId="74" xfId="28" applyFont="1" applyFill="1" applyBorder="1"/>
    <xf numFmtId="170" fontId="0" fillId="0" borderId="0" xfId="0" applyNumberFormat="1" applyFill="1" applyBorder="1"/>
    <xf numFmtId="0" fontId="50" fillId="10" borderId="85" xfId="0" applyFont="1" applyFill="1" applyBorder="1" applyAlignment="1">
      <alignment vertical="center" wrapText="1"/>
    </xf>
    <xf numFmtId="44" fontId="0" fillId="0" borderId="20" xfId="28" applyFont="1" applyBorder="1"/>
    <xf numFmtId="44" fontId="0" fillId="0" borderId="86" xfId="28" applyFont="1" applyBorder="1"/>
    <xf numFmtId="44" fontId="0" fillId="0" borderId="86" xfId="28" applyFont="1" applyFill="1" applyBorder="1"/>
    <xf numFmtId="44" fontId="0" fillId="0" borderId="15" xfId="28" applyFont="1" applyBorder="1"/>
    <xf numFmtId="0" fontId="52" fillId="0" borderId="0" xfId="0" applyFont="1" applyFill="1" applyBorder="1" applyAlignment="1">
      <alignment vertical="center" wrapText="1"/>
    </xf>
    <xf numFmtId="0" fontId="53" fillId="0" borderId="0" xfId="0" applyFont="1"/>
    <xf numFmtId="0" fontId="54" fillId="0" borderId="19" xfId="0" applyFont="1" applyBorder="1" applyAlignment="1">
      <alignment vertical="center" wrapText="1"/>
    </xf>
    <xf numFmtId="0" fontId="55" fillId="0" borderId="3" xfId="0" applyFont="1" applyBorder="1"/>
    <xf numFmtId="0" fontId="55" fillId="0" borderId="4" xfId="0" applyFont="1" applyBorder="1"/>
    <xf numFmtId="0" fontId="0" fillId="0" borderId="67" xfId="0" applyBorder="1"/>
    <xf numFmtId="0" fontId="56" fillId="0" borderId="11" xfId="0" applyFont="1" applyBorder="1"/>
    <xf numFmtId="0" fontId="57" fillId="0" borderId="11" xfId="0" applyFont="1" applyBorder="1"/>
    <xf numFmtId="0" fontId="0" fillId="0" borderId="12" xfId="0" applyBorder="1"/>
    <xf numFmtId="0" fontId="57" fillId="0" borderId="10" xfId="0" applyFont="1" applyBorder="1"/>
    <xf numFmtId="0" fontId="49" fillId="0" borderId="11" xfId="0" applyFont="1" applyBorder="1"/>
    <xf numFmtId="0" fontId="0" fillId="0" borderId="11" xfId="0" applyBorder="1"/>
    <xf numFmtId="0" fontId="50" fillId="0" borderId="83" xfId="0" applyFont="1" applyBorder="1" applyAlignment="1">
      <alignment vertical="center" wrapText="1"/>
    </xf>
    <xf numFmtId="169" fontId="0" fillId="11" borderId="52" xfId="0" applyNumberFormat="1" applyFill="1" applyBorder="1" applyAlignment="1">
      <alignment horizontal="center" vertical="center"/>
    </xf>
    <xf numFmtId="169" fontId="0" fillId="11" borderId="90" xfId="0" applyNumberFormat="1" applyFill="1" applyBorder="1" applyAlignment="1">
      <alignment horizontal="center" vertical="center"/>
    </xf>
    <xf numFmtId="169" fontId="21" fillId="11" borderId="14" xfId="0" applyNumberFormat="1" applyFont="1" applyFill="1" applyBorder="1" applyAlignment="1">
      <alignment horizontal="center" vertical="center"/>
    </xf>
    <xf numFmtId="169" fontId="0" fillId="12" borderId="52" xfId="0" applyNumberFormat="1" applyFill="1" applyBorder="1" applyAlignment="1">
      <alignment horizontal="center" vertical="center"/>
    </xf>
    <xf numFmtId="169" fontId="0" fillId="12" borderId="90" xfId="0" applyNumberFormat="1" applyFill="1" applyBorder="1" applyAlignment="1">
      <alignment horizontal="center" vertical="center"/>
    </xf>
    <xf numFmtId="169" fontId="21" fillId="12" borderId="14" xfId="0" applyNumberFormat="1" applyFont="1" applyFill="1" applyBorder="1" applyAlignment="1">
      <alignment horizontal="center" vertical="center"/>
    </xf>
    <xf numFmtId="0" fontId="50" fillId="0" borderId="84" xfId="0" applyFont="1" applyBorder="1" applyAlignment="1">
      <alignment vertical="center" wrapText="1"/>
    </xf>
    <xf numFmtId="169" fontId="0" fillId="11" borderId="53" xfId="0" applyNumberFormat="1" applyFill="1" applyBorder="1" applyAlignment="1">
      <alignment horizontal="center" vertical="center"/>
    </xf>
    <xf numFmtId="169" fontId="0" fillId="11" borderId="74" xfId="0" applyNumberFormat="1" applyFill="1" applyBorder="1" applyAlignment="1">
      <alignment horizontal="center" vertical="center"/>
    </xf>
    <xf numFmtId="169" fontId="21" fillId="11" borderId="18" xfId="0" applyNumberFormat="1" applyFont="1" applyFill="1" applyBorder="1" applyAlignment="1">
      <alignment horizontal="center" vertical="center"/>
    </xf>
    <xf numFmtId="169" fontId="0" fillId="12" borderId="53" xfId="0" applyNumberFormat="1" applyFill="1" applyBorder="1" applyAlignment="1">
      <alignment horizontal="center" vertical="center"/>
    </xf>
    <xf numFmtId="169" fontId="0" fillId="12" borderId="74" xfId="0" applyNumberFormat="1" applyFill="1" applyBorder="1" applyAlignment="1">
      <alignment horizontal="center" vertical="center"/>
    </xf>
    <xf numFmtId="169" fontId="21" fillId="12" borderId="18" xfId="0" applyNumberFormat="1" applyFont="1" applyFill="1" applyBorder="1" applyAlignment="1">
      <alignment horizontal="center" vertical="center"/>
    </xf>
    <xf numFmtId="0" fontId="50" fillId="0" borderId="85" xfId="0" applyFont="1" applyBorder="1" applyAlignment="1">
      <alignment vertical="center" wrapText="1"/>
    </xf>
    <xf numFmtId="169" fontId="0" fillId="11" borderId="54" xfId="0" applyNumberFormat="1" applyFill="1" applyBorder="1" applyAlignment="1">
      <alignment horizontal="center" vertical="center"/>
    </xf>
    <xf numFmtId="169" fontId="0" fillId="11" borderId="86" xfId="0" applyNumberFormat="1" applyFill="1" applyBorder="1" applyAlignment="1">
      <alignment horizontal="center" vertical="center"/>
    </xf>
    <xf numFmtId="169" fontId="21" fillId="11" borderId="15" xfId="0" applyNumberFormat="1" applyFont="1" applyFill="1" applyBorder="1" applyAlignment="1">
      <alignment horizontal="center" vertical="center"/>
    </xf>
    <xf numFmtId="169" fontId="0" fillId="12" borderId="54" xfId="0" applyNumberFormat="1" applyFill="1" applyBorder="1" applyAlignment="1">
      <alignment horizontal="center" vertical="center"/>
    </xf>
    <xf numFmtId="169" fontId="0" fillId="12" borderId="86" xfId="0" applyNumberFormat="1" applyFill="1" applyBorder="1" applyAlignment="1">
      <alignment horizontal="center" vertical="center"/>
    </xf>
    <xf numFmtId="169" fontId="21" fillId="12" borderId="15" xfId="0" applyNumberFormat="1" applyFont="1" applyFill="1" applyBorder="1" applyAlignment="1">
      <alignment horizontal="center" vertical="center"/>
    </xf>
    <xf numFmtId="169" fontId="0" fillId="0" borderId="0" xfId="0" applyNumberFormat="1"/>
    <xf numFmtId="169" fontId="0" fillId="11" borderId="80" xfId="0" applyNumberFormat="1" applyFill="1" applyBorder="1" applyAlignment="1">
      <alignment horizontal="center" vertical="center"/>
    </xf>
    <xf numFmtId="171" fontId="0" fillId="0" borderId="0" xfId="0" applyNumberFormat="1"/>
    <xf numFmtId="0" fontId="21" fillId="0" borderId="0" xfId="0" applyFont="1"/>
    <xf numFmtId="0" fontId="58" fillId="0" borderId="67" xfId="0" applyFont="1" applyBorder="1" applyAlignment="1">
      <alignment horizontal="center" vertical="center"/>
    </xf>
    <xf numFmtId="0" fontId="0" fillId="0" borderId="2" xfId="0" applyBorder="1"/>
    <xf numFmtId="0" fontId="0" fillId="0" borderId="3" xfId="0" applyBorder="1"/>
    <xf numFmtId="0" fontId="0" fillId="0" borderId="4" xfId="0" applyBorder="1"/>
    <xf numFmtId="0" fontId="58" fillId="0" borderId="7" xfId="0" applyFont="1" applyBorder="1" applyAlignment="1">
      <alignment horizontal="center" vertical="center"/>
    </xf>
    <xf numFmtId="0" fontId="55" fillId="0" borderId="2" xfId="0" applyFont="1" applyBorder="1"/>
    <xf numFmtId="0" fontId="50" fillId="0" borderId="91" xfId="0" applyFont="1" applyBorder="1" applyAlignment="1">
      <alignment vertical="center" wrapText="1"/>
    </xf>
    <xf numFmtId="9" fontId="0" fillId="13" borderId="52" xfId="0" applyNumberFormat="1" applyFill="1" applyBorder="1"/>
    <xf numFmtId="9" fontId="0" fillId="13" borderId="90" xfId="0" applyNumberFormat="1" applyFill="1" applyBorder="1"/>
    <xf numFmtId="9" fontId="0" fillId="13" borderId="14" xfId="0" applyNumberFormat="1" applyFill="1" applyBorder="1"/>
    <xf numFmtId="0" fontId="50" fillId="0" borderId="92" xfId="0" applyFont="1" applyBorder="1" applyAlignment="1">
      <alignment vertical="center" wrapText="1"/>
    </xf>
    <xf numFmtId="9" fontId="0" fillId="13" borderId="53" xfId="0" applyNumberFormat="1" applyFill="1" applyBorder="1"/>
    <xf numFmtId="9" fontId="0" fillId="13" borderId="74" xfId="0" applyNumberFormat="1" applyFill="1" applyBorder="1"/>
    <xf numFmtId="9" fontId="0" fillId="13" borderId="18" xfId="0" applyNumberFormat="1" applyFill="1" applyBorder="1"/>
    <xf numFmtId="0" fontId="50" fillId="0" borderId="93" xfId="0" applyFont="1" applyBorder="1" applyAlignment="1">
      <alignment vertical="center" wrapText="1"/>
    </xf>
    <xf numFmtId="9" fontId="0" fillId="13" borderId="54" xfId="0" applyNumberFormat="1" applyFill="1" applyBorder="1"/>
    <xf numFmtId="9" fontId="0" fillId="13" borderId="86" xfId="0" applyNumberFormat="1" applyFill="1" applyBorder="1"/>
    <xf numFmtId="9" fontId="0" fillId="13" borderId="15" xfId="0" applyNumberFormat="1" applyFill="1" applyBorder="1"/>
    <xf numFmtId="0" fontId="0" fillId="0" borderId="0" xfId="0" applyFill="1"/>
    <xf numFmtId="0" fontId="21" fillId="0" borderId="0" xfId="0" applyFont="1" applyFill="1" applyBorder="1" applyAlignment="1">
      <alignment horizontal="center" textRotation="90"/>
    </xf>
    <xf numFmtId="0" fontId="50" fillId="0" borderId="0" xfId="0" applyFont="1" applyFill="1" applyBorder="1" applyAlignment="1">
      <alignment vertical="center" wrapText="1"/>
    </xf>
    <xf numFmtId="9" fontId="0" fillId="0" borderId="0" xfId="0" applyNumberFormat="1" applyFill="1" applyBorder="1"/>
    <xf numFmtId="0" fontId="59" fillId="9" borderId="94" xfId="0" applyFont="1" applyFill="1" applyBorder="1"/>
    <xf numFmtId="0" fontId="59" fillId="9" borderId="81" xfId="0" applyFont="1" applyFill="1" applyBorder="1" applyAlignment="1">
      <alignment vertical="center" wrapText="1"/>
    </xf>
    <xf numFmtId="0" fontId="59" fillId="9" borderId="81" xfId="0" applyFont="1" applyFill="1" applyBorder="1"/>
    <xf numFmtId="0" fontId="21" fillId="9" borderId="81" xfId="0" applyFont="1" applyFill="1" applyBorder="1"/>
    <xf numFmtId="0" fontId="55" fillId="9" borderId="81" xfId="0" applyFont="1" applyFill="1" applyBorder="1"/>
    <xf numFmtId="0" fontId="21" fillId="9" borderId="82" xfId="0" applyFont="1" applyFill="1" applyBorder="1"/>
    <xf numFmtId="44" fontId="0" fillId="9" borderId="52" xfId="28" applyFont="1" applyFill="1" applyBorder="1"/>
    <xf numFmtId="44" fontId="0" fillId="9" borderId="90" xfId="28" applyFont="1" applyFill="1" applyBorder="1"/>
    <xf numFmtId="44" fontId="0" fillId="9" borderId="14" xfId="28" applyFont="1" applyFill="1" applyBorder="1"/>
    <xf numFmtId="44" fontId="0" fillId="9" borderId="53" xfId="28" applyFont="1" applyFill="1" applyBorder="1"/>
    <xf numFmtId="44" fontId="0" fillId="9" borderId="54" xfId="28" applyFont="1" applyFill="1" applyBorder="1"/>
    <xf numFmtId="44" fontId="0" fillId="9" borderId="88" xfId="28" applyFont="1" applyFill="1" applyBorder="1"/>
    <xf numFmtId="0" fontId="0" fillId="0" borderId="76" xfId="0" applyBorder="1"/>
    <xf numFmtId="0" fontId="0" fillId="0" borderId="76" xfId="0" applyFill="1" applyBorder="1"/>
    <xf numFmtId="0" fontId="0" fillId="0" borderId="61" xfId="0" applyFill="1" applyBorder="1"/>
    <xf numFmtId="0" fontId="50" fillId="10" borderId="95" xfId="0" applyFont="1" applyFill="1" applyBorder="1" applyAlignment="1">
      <alignment vertical="center" wrapText="1"/>
    </xf>
    <xf numFmtId="44" fontId="0" fillId="0" borderId="52" xfId="28" applyFont="1" applyBorder="1"/>
    <xf numFmtId="44" fontId="0" fillId="0" borderId="90" xfId="28" applyFont="1" applyBorder="1"/>
    <xf numFmtId="44" fontId="0" fillId="0" borderId="14" xfId="28" applyFont="1" applyBorder="1"/>
    <xf numFmtId="0" fontId="50" fillId="10" borderId="92" xfId="0" applyFont="1" applyFill="1" applyBorder="1" applyAlignment="1">
      <alignment vertical="center" wrapText="1"/>
    </xf>
    <xf numFmtId="44" fontId="0" fillId="0" borderId="53" xfId="28" applyFont="1" applyBorder="1"/>
    <xf numFmtId="0" fontId="50" fillId="10" borderId="93" xfId="0" applyFont="1" applyFill="1" applyBorder="1" applyAlignment="1">
      <alignment vertical="center" wrapText="1"/>
    </xf>
    <xf numFmtId="44" fontId="0" fillId="0" borderId="54" xfId="28" applyFont="1" applyBorder="1"/>
    <xf numFmtId="0" fontId="0" fillId="0" borderId="0" xfId="0" applyAlignment="1">
      <alignment horizontal="center" vertical="center"/>
    </xf>
    <xf numFmtId="0" fontId="0" fillId="14" borderId="60" xfId="0" applyFill="1" applyBorder="1"/>
    <xf numFmtId="0" fontId="0" fillId="14" borderId="79" xfId="0" applyFill="1" applyBorder="1"/>
    <xf numFmtId="0" fontId="0" fillId="14" borderId="79" xfId="0" applyFill="1" applyBorder="1" applyAlignment="1">
      <alignment horizontal="center" vertical="center"/>
    </xf>
    <xf numFmtId="0" fontId="0" fillId="14" borderId="62" xfId="0" applyFill="1" applyBorder="1"/>
    <xf numFmtId="0" fontId="0" fillId="14" borderId="77" xfId="0" applyFill="1" applyBorder="1"/>
    <xf numFmtId="0" fontId="21" fillId="0" borderId="2" xfId="0" applyFont="1" applyBorder="1"/>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21" fillId="0" borderId="10" xfId="0" applyFont="1" applyBorder="1" applyAlignment="1">
      <alignment horizontal="center" vertical="center"/>
    </xf>
    <xf numFmtId="0" fontId="55" fillId="0" borderId="11" xfId="0" applyFont="1" applyBorder="1" applyAlignment="1">
      <alignment horizontal="center" vertical="center"/>
    </xf>
    <xf numFmtId="0" fontId="21" fillId="0" borderId="11" xfId="0" applyFont="1" applyBorder="1" applyAlignment="1">
      <alignment horizontal="center" vertical="center"/>
    </xf>
    <xf numFmtId="0" fontId="0" fillId="0" borderId="12" xfId="0" applyFont="1" applyBorder="1" applyAlignment="1">
      <alignment horizontal="center" vertical="center"/>
    </xf>
    <xf numFmtId="0" fontId="55" fillId="0" borderId="5" xfId="0" applyFont="1" applyBorder="1" applyAlignment="1">
      <alignment horizontal="center" vertical="center"/>
    </xf>
    <xf numFmtId="0" fontId="21" fillId="0" borderId="0" xfId="0" applyFont="1" applyBorder="1" applyAlignment="1">
      <alignment horizontal="center" vertical="center"/>
    </xf>
    <xf numFmtId="0" fontId="21" fillId="0" borderId="6" xfId="0" applyFont="1" applyBorder="1" applyAlignment="1">
      <alignment horizontal="center" vertical="center"/>
    </xf>
    <xf numFmtId="0" fontId="0" fillId="0" borderId="6" xfId="0" applyFont="1" applyBorder="1" applyAlignment="1">
      <alignment horizontal="center" vertical="center"/>
    </xf>
    <xf numFmtId="0" fontId="54" fillId="0" borderId="91" xfId="0" applyFont="1" applyBorder="1" applyAlignment="1">
      <alignment vertical="center" wrapText="1"/>
    </xf>
    <xf numFmtId="44" fontId="0" fillId="11" borderId="52" xfId="28" applyFont="1" applyFill="1" applyBorder="1" applyAlignment="1">
      <alignment horizontal="center" vertical="center"/>
    </xf>
    <xf numFmtId="44" fontId="0" fillId="11" borderId="90" xfId="28" applyFont="1" applyFill="1" applyBorder="1" applyAlignment="1">
      <alignment horizontal="center" vertical="center"/>
    </xf>
    <xf numFmtId="44" fontId="60" fillId="11" borderId="14" xfId="28" applyFont="1" applyFill="1" applyBorder="1" applyAlignment="1">
      <alignment horizontal="center" vertical="center"/>
    </xf>
    <xf numFmtId="44" fontId="0" fillId="12" borderId="52" xfId="28" applyFont="1" applyFill="1" applyBorder="1" applyAlignment="1">
      <alignment horizontal="center" vertical="center"/>
    </xf>
    <xf numFmtId="44" fontId="0" fillId="12" borderId="90" xfId="28" applyFont="1" applyFill="1" applyBorder="1" applyAlignment="1">
      <alignment horizontal="center" vertical="center"/>
    </xf>
    <xf numFmtId="44" fontId="0" fillId="12" borderId="13" xfId="28" applyFont="1" applyFill="1" applyBorder="1" applyAlignment="1">
      <alignment horizontal="center" vertical="center"/>
    </xf>
    <xf numFmtId="44" fontId="60" fillId="12" borderId="96" xfId="28" applyFont="1" applyFill="1" applyBorder="1" applyAlignment="1">
      <alignment horizontal="center" vertical="center"/>
    </xf>
    <xf numFmtId="0" fontId="54" fillId="0" borderId="92" xfId="0" applyFont="1" applyBorder="1" applyAlignment="1">
      <alignment vertical="center" wrapText="1"/>
    </xf>
    <xf numFmtId="44" fontId="0" fillId="11" borderId="53" xfId="28" applyFont="1" applyFill="1" applyBorder="1" applyAlignment="1">
      <alignment horizontal="center" vertical="center"/>
    </xf>
    <xf numFmtId="44" fontId="0" fillId="11" borderId="74" xfId="28" applyFont="1" applyFill="1" applyBorder="1" applyAlignment="1">
      <alignment horizontal="center" vertical="center"/>
    </xf>
    <xf numFmtId="44" fontId="60" fillId="11" borderId="18" xfId="28" applyFont="1" applyFill="1" applyBorder="1" applyAlignment="1">
      <alignment horizontal="center" vertical="center"/>
    </xf>
    <xf numFmtId="44" fontId="0" fillId="12" borderId="53" xfId="28" applyFont="1" applyFill="1" applyBorder="1" applyAlignment="1">
      <alignment horizontal="center" vertical="center"/>
    </xf>
    <xf numFmtId="44" fontId="0" fillId="12" borderId="74" xfId="28" applyFont="1" applyFill="1" applyBorder="1" applyAlignment="1">
      <alignment horizontal="center" vertical="center"/>
    </xf>
    <xf numFmtId="44" fontId="0" fillId="12" borderId="17" xfId="28" applyFont="1" applyFill="1" applyBorder="1" applyAlignment="1">
      <alignment horizontal="center" vertical="center"/>
    </xf>
    <xf numFmtId="44" fontId="60" fillId="12" borderId="97" xfId="28" applyFont="1" applyFill="1" applyBorder="1" applyAlignment="1">
      <alignment horizontal="center" vertical="center"/>
    </xf>
    <xf numFmtId="0" fontId="54" fillId="0" borderId="93" xfId="0" applyFont="1" applyBorder="1" applyAlignment="1">
      <alignment vertical="center" wrapText="1"/>
    </xf>
    <xf numFmtId="44" fontId="0" fillId="11" borderId="54" xfId="28" applyFont="1" applyFill="1" applyBorder="1" applyAlignment="1">
      <alignment horizontal="center" vertical="center"/>
    </xf>
    <xf numFmtId="44" fontId="0" fillId="11" borderId="86" xfId="28" applyFont="1" applyFill="1" applyBorder="1" applyAlignment="1">
      <alignment horizontal="center" vertical="center"/>
    </xf>
    <xf numFmtId="44" fontId="60" fillId="11" borderId="15" xfId="28" applyFont="1" applyFill="1" applyBorder="1" applyAlignment="1">
      <alignment horizontal="center" vertical="center"/>
    </xf>
    <xf numFmtId="44" fontId="0" fillId="12" borderId="54" xfId="28" applyFont="1" applyFill="1" applyBorder="1" applyAlignment="1">
      <alignment horizontal="center" vertical="center"/>
    </xf>
    <xf numFmtId="44" fontId="0" fillId="12" borderId="86" xfId="28" applyFont="1" applyFill="1" applyBorder="1" applyAlignment="1">
      <alignment horizontal="center" vertical="center"/>
    </xf>
    <xf numFmtId="44" fontId="0" fillId="12" borderId="20" xfId="28" applyFont="1" applyFill="1" applyBorder="1" applyAlignment="1">
      <alignment horizontal="center" vertical="center"/>
    </xf>
    <xf numFmtId="44" fontId="60" fillId="12" borderId="98" xfId="28" applyFont="1" applyFill="1" applyBorder="1" applyAlignment="1">
      <alignment horizontal="center" vertical="center"/>
    </xf>
    <xf numFmtId="0" fontId="0" fillId="14" borderId="72" xfId="0" applyFill="1" applyBorder="1"/>
    <xf numFmtId="0" fontId="0" fillId="14" borderId="73" xfId="0" applyFill="1" applyBorder="1"/>
    <xf numFmtId="0" fontId="0" fillId="14" borderId="73" xfId="0" applyFill="1" applyBorder="1" applyAlignment="1">
      <alignment horizontal="center" vertical="center"/>
    </xf>
    <xf numFmtId="0" fontId="0" fillId="14" borderId="71" xfId="0" applyFill="1" applyBorder="1"/>
    <xf numFmtId="0" fontId="0" fillId="15" borderId="60" xfId="0" applyFill="1" applyBorder="1"/>
    <xf numFmtId="0" fontId="0" fillId="15" borderId="79" xfId="0" applyFill="1" applyBorder="1"/>
    <xf numFmtId="0" fontId="0" fillId="15" borderId="79" xfId="0" applyFill="1" applyBorder="1" applyAlignment="1">
      <alignment horizontal="center" vertical="center"/>
    </xf>
    <xf numFmtId="0" fontId="0" fillId="15" borderId="62" xfId="0" applyFill="1" applyBorder="1"/>
    <xf numFmtId="0" fontId="0" fillId="15" borderId="77" xfId="0" applyFill="1" applyBorder="1"/>
    <xf numFmtId="0" fontId="0" fillId="15" borderId="75" xfId="0" applyFill="1" applyBorder="1"/>
    <xf numFmtId="0" fontId="0" fillId="0" borderId="19" xfId="0" applyFill="1" applyBorder="1"/>
    <xf numFmtId="169" fontId="0" fillId="12" borderId="67" xfId="1" applyNumberFormat="1" applyFont="1" applyFill="1" applyBorder="1"/>
    <xf numFmtId="169" fontId="0" fillId="0" borderId="0" xfId="1" applyNumberFormat="1" applyFont="1"/>
    <xf numFmtId="169" fontId="0" fillId="12" borderId="19" xfId="1" applyNumberFormat="1" applyFont="1" applyFill="1" applyBorder="1"/>
    <xf numFmtId="0" fontId="0" fillId="15" borderId="72" xfId="0" applyFill="1" applyBorder="1"/>
    <xf numFmtId="0" fontId="0" fillId="15" borderId="73" xfId="0" applyFill="1" applyBorder="1"/>
    <xf numFmtId="0" fontId="0" fillId="15" borderId="73" xfId="0" applyFill="1" applyBorder="1" applyAlignment="1">
      <alignment horizontal="center" vertical="center"/>
    </xf>
    <xf numFmtId="0" fontId="0" fillId="15" borderId="71" xfId="0" applyFill="1" applyBorder="1"/>
    <xf numFmtId="0" fontId="55" fillId="0" borderId="10" xfId="0" applyFont="1" applyBorder="1" applyAlignment="1">
      <alignment horizontal="center" vertical="center"/>
    </xf>
    <xf numFmtId="0" fontId="55" fillId="0" borderId="12" xfId="0" applyFont="1" applyBorder="1" applyAlignment="1">
      <alignment horizontal="center" vertical="center"/>
    </xf>
    <xf numFmtId="0" fontId="55" fillId="0" borderId="0" xfId="0" applyFont="1" applyAlignment="1">
      <alignment horizontal="center" vertical="center"/>
    </xf>
    <xf numFmtId="0" fontId="55" fillId="0" borderId="6" xfId="0" applyFont="1" applyBorder="1" applyAlignment="1">
      <alignment horizontal="center" vertical="center"/>
    </xf>
    <xf numFmtId="44" fontId="60" fillId="12" borderId="14" xfId="28" applyFont="1" applyFill="1" applyBorder="1" applyAlignment="1">
      <alignment horizontal="center" vertical="center"/>
    </xf>
    <xf numFmtId="44" fontId="60" fillId="12" borderId="18" xfId="28" applyFont="1" applyFill="1" applyBorder="1" applyAlignment="1">
      <alignment horizontal="center" vertical="center"/>
    </xf>
    <xf numFmtId="44" fontId="60" fillId="12" borderId="15" xfId="28" applyFont="1" applyFill="1" applyBorder="1" applyAlignment="1">
      <alignment horizontal="center" vertical="center"/>
    </xf>
    <xf numFmtId="9" fontId="0" fillId="11" borderId="52" xfId="1" applyFont="1" applyFill="1" applyBorder="1" applyAlignment="1">
      <alignment horizontal="center" vertical="center"/>
    </xf>
    <xf numFmtId="9" fontId="0" fillId="11" borderId="90" xfId="1" applyFont="1" applyFill="1" applyBorder="1" applyAlignment="1">
      <alignment horizontal="center" vertical="center"/>
    </xf>
    <xf numFmtId="9" fontId="60" fillId="11" borderId="14" xfId="1" applyNumberFormat="1" applyFont="1" applyFill="1" applyBorder="1" applyAlignment="1">
      <alignment horizontal="center" vertical="center"/>
    </xf>
    <xf numFmtId="9" fontId="0" fillId="12" borderId="52" xfId="1" applyFont="1" applyFill="1" applyBorder="1" applyAlignment="1">
      <alignment horizontal="center" vertical="center"/>
    </xf>
    <xf numFmtId="9" fontId="0" fillId="12" borderId="90" xfId="1" applyFont="1" applyFill="1" applyBorder="1" applyAlignment="1">
      <alignment horizontal="center" vertical="center"/>
    </xf>
    <xf numFmtId="9" fontId="60" fillId="12" borderId="14" xfId="1" applyFont="1" applyFill="1" applyBorder="1" applyAlignment="1">
      <alignment horizontal="center" vertical="center"/>
    </xf>
    <xf numFmtId="9" fontId="0" fillId="11" borderId="53" xfId="1" applyFont="1" applyFill="1" applyBorder="1" applyAlignment="1">
      <alignment horizontal="center" vertical="center"/>
    </xf>
    <xf numFmtId="9" fontId="0" fillId="11" borderId="74" xfId="1" applyFont="1" applyFill="1" applyBorder="1" applyAlignment="1">
      <alignment horizontal="center" vertical="center"/>
    </xf>
    <xf numFmtId="9" fontId="60" fillId="11" borderId="18" xfId="1" applyFont="1" applyFill="1" applyBorder="1" applyAlignment="1">
      <alignment horizontal="center" vertical="center"/>
    </xf>
    <xf numFmtId="9" fontId="0" fillId="12" borderId="53" xfId="1" applyFont="1" applyFill="1" applyBorder="1" applyAlignment="1">
      <alignment horizontal="center" vertical="center"/>
    </xf>
    <xf numFmtId="9" fontId="0" fillId="12" borderId="74" xfId="1" applyFont="1" applyFill="1" applyBorder="1" applyAlignment="1">
      <alignment horizontal="center" vertical="center"/>
    </xf>
    <xf numFmtId="9" fontId="60" fillId="12" borderId="18" xfId="1" applyFont="1" applyFill="1" applyBorder="1" applyAlignment="1">
      <alignment horizontal="center" vertical="center"/>
    </xf>
    <xf numFmtId="9" fontId="0" fillId="11" borderId="54" xfId="1" applyFont="1" applyFill="1" applyBorder="1" applyAlignment="1">
      <alignment horizontal="center" vertical="center"/>
    </xf>
    <xf numFmtId="9" fontId="0" fillId="11" borderId="86" xfId="1" applyFont="1" applyFill="1" applyBorder="1" applyAlignment="1">
      <alignment horizontal="center" vertical="center"/>
    </xf>
    <xf numFmtId="9" fontId="60" fillId="11" borderId="15" xfId="1" applyFont="1" applyFill="1" applyBorder="1" applyAlignment="1">
      <alignment horizontal="center" vertical="center"/>
    </xf>
    <xf numFmtId="9" fontId="0" fillId="12" borderId="54" xfId="1" applyFont="1" applyFill="1" applyBorder="1" applyAlignment="1">
      <alignment horizontal="center" vertical="center"/>
    </xf>
    <xf numFmtId="9" fontId="0" fillId="12" borderId="86" xfId="1" applyFont="1" applyFill="1" applyBorder="1" applyAlignment="1">
      <alignment horizontal="center" vertical="center"/>
    </xf>
    <xf numFmtId="9" fontId="60" fillId="12" borderId="15" xfId="1" applyFont="1" applyFill="1" applyBorder="1" applyAlignment="1">
      <alignment horizontal="center" vertical="center"/>
    </xf>
    <xf numFmtId="0" fontId="50" fillId="0" borderId="95" xfId="0" applyFont="1" applyBorder="1" applyAlignment="1">
      <alignment vertical="center" wrapText="1"/>
    </xf>
    <xf numFmtId="44" fontId="0" fillId="0" borderId="10" xfId="28" applyFont="1" applyBorder="1"/>
    <xf numFmtId="44" fontId="0" fillId="13" borderId="11" xfId="28" applyFont="1" applyFill="1" applyBorder="1"/>
    <xf numFmtId="44" fontId="0" fillId="0" borderId="12" xfId="28" applyFont="1" applyBorder="1"/>
    <xf numFmtId="0" fontId="0" fillId="13" borderId="0" xfId="0" applyFill="1"/>
    <xf numFmtId="44" fontId="0" fillId="13" borderId="0" xfId="28" applyFont="1" applyFill="1"/>
    <xf numFmtId="44" fontId="0" fillId="0" borderId="5" xfId="28" applyFont="1" applyBorder="1"/>
    <xf numFmtId="44" fontId="0" fillId="0" borderId="6" xfId="28" applyFont="1" applyBorder="1"/>
    <xf numFmtId="44" fontId="0" fillId="13" borderId="0" xfId="28" applyFont="1" applyFill="1" applyBorder="1"/>
    <xf numFmtId="44" fontId="0" fillId="0" borderId="0" xfId="28" applyFont="1" applyBorder="1"/>
    <xf numFmtId="44" fontId="0" fillId="0" borderId="7" xfId="28" applyFont="1" applyBorder="1"/>
    <xf numFmtId="44" fontId="0" fillId="0" borderId="8" xfId="28" applyFont="1" applyBorder="1"/>
    <xf numFmtId="44" fontId="0" fillId="0" borderId="9" xfId="28" applyFont="1" applyBorder="1"/>
    <xf numFmtId="0" fontId="0" fillId="0" borderId="8" xfId="0" applyBorder="1"/>
    <xf numFmtId="0" fontId="50" fillId="0" borderId="0" xfId="0" applyFont="1" applyAlignment="1">
      <alignment vertical="center" wrapText="1"/>
    </xf>
    <xf numFmtId="0" fontId="0" fillId="0" borderId="67" xfId="0" applyFill="1" applyBorder="1"/>
    <xf numFmtId="0" fontId="0" fillId="0" borderId="10" xfId="0" applyFill="1" applyBorder="1"/>
    <xf numFmtId="0" fontId="0" fillId="0" borderId="11" xfId="0" applyFill="1" applyBorder="1"/>
    <xf numFmtId="0" fontId="0" fillId="0" borderId="12" xfId="0" applyFill="1" applyBorder="1"/>
    <xf numFmtId="0" fontId="0" fillId="0" borderId="23" xfId="0" applyFill="1" applyBorder="1"/>
    <xf numFmtId="0" fontId="0" fillId="0" borderId="5" xfId="0" applyFill="1" applyBorder="1"/>
    <xf numFmtId="0" fontId="0" fillId="0" borderId="6" xfId="0" applyFill="1" applyBorder="1"/>
    <xf numFmtId="0" fontId="0" fillId="0" borderId="7" xfId="0" applyFill="1" applyBorder="1"/>
    <xf numFmtId="0" fontId="0" fillId="0" borderId="8" xfId="0" applyFill="1" applyBorder="1"/>
    <xf numFmtId="0" fontId="0" fillId="0" borderId="9" xfId="0" applyFill="1" applyBorder="1"/>
    <xf numFmtId="0" fontId="54" fillId="0" borderId="23" xfId="0" applyFont="1" applyFill="1" applyBorder="1" applyAlignment="1">
      <alignment vertical="center" wrapText="1"/>
    </xf>
    <xf numFmtId="44" fontId="0" fillId="0" borderId="10" xfId="28" applyFont="1" applyFill="1" applyBorder="1"/>
    <xf numFmtId="44" fontId="0" fillId="0" borderId="11" xfId="28" applyFont="1" applyFill="1" applyBorder="1"/>
    <xf numFmtId="44" fontId="0" fillId="0" borderId="12" xfId="28" applyFont="1" applyFill="1" applyBorder="1"/>
    <xf numFmtId="44" fontId="0" fillId="0" borderId="6" xfId="28" applyFont="1" applyFill="1" applyBorder="1"/>
    <xf numFmtId="9" fontId="0" fillId="13" borderId="5" xfId="0" applyNumberFormat="1" applyFill="1" applyBorder="1"/>
    <xf numFmtId="9" fontId="0" fillId="13" borderId="0" xfId="0" applyNumberFormat="1" applyFill="1" applyBorder="1"/>
    <xf numFmtId="0" fontId="0" fillId="13" borderId="0" xfId="0" applyFill="1" applyBorder="1"/>
    <xf numFmtId="0" fontId="0" fillId="13" borderId="6" xfId="0" applyFill="1" applyBorder="1"/>
    <xf numFmtId="9" fontId="0" fillId="0" borderId="5" xfId="0" applyNumberFormat="1" applyFill="1" applyBorder="1"/>
    <xf numFmtId="44" fontId="0" fillId="0" borderId="5" xfId="28" applyFont="1" applyFill="1" applyBorder="1"/>
    <xf numFmtId="0" fontId="54" fillId="0" borderId="16" xfId="0" applyFont="1" applyFill="1" applyBorder="1" applyAlignment="1">
      <alignment vertical="center" wrapText="1"/>
    </xf>
    <xf numFmtId="44" fontId="0" fillId="0" borderId="7" xfId="28" applyFont="1" applyFill="1" applyBorder="1"/>
    <xf numFmtId="44" fontId="0" fillId="0" borderId="8" xfId="28" applyFont="1" applyFill="1" applyBorder="1"/>
    <xf numFmtId="44" fontId="0" fillId="0" borderId="9" xfId="28" applyFont="1" applyFill="1" applyBorder="1"/>
    <xf numFmtId="9" fontId="0" fillId="0" borderId="8" xfId="0" applyNumberFormat="1" applyFill="1" applyBorder="1"/>
    <xf numFmtId="9" fontId="0" fillId="0" borderId="7" xfId="0" applyNumberFormat="1" applyFill="1" applyBorder="1"/>
    <xf numFmtId="0" fontId="0" fillId="15" borderId="0" xfId="0" applyFill="1"/>
    <xf numFmtId="0" fontId="54" fillId="15" borderId="0" xfId="0" applyFont="1" applyFill="1" applyBorder="1" applyAlignment="1">
      <alignment vertical="center" wrapText="1"/>
    </xf>
    <xf numFmtId="44" fontId="0" fillId="15" borderId="0" xfId="28" applyFont="1" applyFill="1" applyBorder="1"/>
    <xf numFmtId="9" fontId="0" fillId="15" borderId="0" xfId="0" applyNumberFormat="1" applyFill="1" applyBorder="1"/>
    <xf numFmtId="0" fontId="0" fillId="15" borderId="2" xfId="0" applyFill="1" applyBorder="1"/>
    <xf numFmtId="0" fontId="0" fillId="15" borderId="10" xfId="0" applyFill="1" applyBorder="1"/>
    <xf numFmtId="0" fontId="0" fillId="15" borderId="11" xfId="0" applyFill="1" applyBorder="1"/>
    <xf numFmtId="9" fontId="0" fillId="15" borderId="2" xfId="0" applyNumberFormat="1" applyFill="1" applyBorder="1"/>
    <xf numFmtId="44" fontId="0" fillId="15" borderId="3" xfId="28" applyFont="1" applyFill="1" applyBorder="1"/>
    <xf numFmtId="44" fontId="0" fillId="15" borderId="4" xfId="28" applyFont="1" applyFill="1" applyBorder="1"/>
    <xf numFmtId="0" fontId="54" fillId="15" borderId="5" xfId="0" applyFont="1" applyFill="1" applyBorder="1" applyAlignment="1">
      <alignment vertical="center" wrapText="1"/>
    </xf>
    <xf numFmtId="44" fontId="0" fillId="15" borderId="10" xfId="28" applyFont="1" applyFill="1" applyBorder="1"/>
    <xf numFmtId="44" fontId="0" fillId="15" borderId="11" xfId="28" applyFont="1" applyFill="1" applyBorder="1"/>
    <xf numFmtId="9" fontId="0" fillId="15" borderId="12" xfId="0" applyNumberFormat="1" applyFill="1" applyBorder="1"/>
    <xf numFmtId="44" fontId="0" fillId="15" borderId="12" xfId="28" applyFont="1" applyFill="1" applyBorder="1"/>
    <xf numFmtId="44" fontId="0" fillId="15" borderId="5" xfId="28" applyFont="1" applyFill="1" applyBorder="1"/>
    <xf numFmtId="9" fontId="0" fillId="15" borderId="6" xfId="0" applyNumberFormat="1" applyFill="1" applyBorder="1"/>
    <xf numFmtId="44" fontId="0" fillId="15" borderId="6" xfId="28" applyFont="1" applyFill="1" applyBorder="1"/>
    <xf numFmtId="0" fontId="54" fillId="15" borderId="7" xfId="0" applyFont="1" applyFill="1" applyBorder="1" applyAlignment="1">
      <alignment vertical="center" wrapText="1"/>
    </xf>
    <xf numFmtId="44" fontId="0" fillId="15" borderId="7" xfId="28" applyFont="1" applyFill="1" applyBorder="1"/>
    <xf numFmtId="44" fontId="0" fillId="15" borderId="8" xfId="28" applyFont="1" applyFill="1" applyBorder="1"/>
    <xf numFmtId="44" fontId="0" fillId="15" borderId="9" xfId="28" applyFont="1" applyFill="1" applyBorder="1"/>
    <xf numFmtId="0" fontId="50" fillId="15" borderId="0" xfId="0" applyFont="1" applyFill="1" applyAlignment="1">
      <alignment vertical="center" wrapText="1"/>
    </xf>
    <xf numFmtId="9" fontId="0" fillId="0" borderId="10" xfId="0" applyNumberFormat="1" applyBorder="1"/>
    <xf numFmtId="9" fontId="0" fillId="0" borderId="11" xfId="0" applyNumberFormat="1" applyBorder="1"/>
    <xf numFmtId="1" fontId="0" fillId="0" borderId="12" xfId="0" applyNumberFormat="1" applyBorder="1"/>
    <xf numFmtId="0" fontId="0" fillId="0" borderId="23" xfId="0" applyBorder="1"/>
    <xf numFmtId="0" fontId="0" fillId="0" borderId="6" xfId="0" applyBorder="1"/>
    <xf numFmtId="9" fontId="0" fillId="0" borderId="5" xfId="0" applyNumberFormat="1" applyBorder="1"/>
    <xf numFmtId="1" fontId="0" fillId="0" borderId="6" xfId="0" applyNumberFormat="1" applyBorder="1"/>
    <xf numFmtId="9" fontId="0" fillId="0" borderId="7" xfId="0" applyNumberFormat="1" applyBorder="1"/>
    <xf numFmtId="9" fontId="0" fillId="0" borderId="8" xfId="0" applyNumberFormat="1" applyBorder="1"/>
    <xf numFmtId="1" fontId="0" fillId="0" borderId="9" xfId="0" applyNumberFormat="1" applyBorder="1"/>
    <xf numFmtId="0" fontId="0" fillId="0" borderId="16" xfId="0" applyBorder="1"/>
    <xf numFmtId="0" fontId="0" fillId="0" borderId="9" xfId="0" applyBorder="1"/>
    <xf numFmtId="9" fontId="0" fillId="0" borderId="10" xfId="0" applyNumberFormat="1" applyFill="1" applyBorder="1"/>
    <xf numFmtId="9" fontId="0" fillId="0" borderId="11" xfId="0" applyNumberFormat="1" applyFill="1" applyBorder="1"/>
    <xf numFmtId="9" fontId="0" fillId="13" borderId="10" xfId="0" applyNumberFormat="1" applyFill="1" applyBorder="1"/>
    <xf numFmtId="9" fontId="0" fillId="13" borderId="11" xfId="0" applyNumberFormat="1" applyFill="1" applyBorder="1"/>
    <xf numFmtId="0" fontId="0" fillId="13" borderId="11" xfId="0" applyFill="1" applyBorder="1"/>
    <xf numFmtId="0" fontId="0" fillId="13" borderId="12" xfId="0" applyFill="1" applyBorder="1"/>
    <xf numFmtId="0" fontId="0" fillId="0" borderId="10" xfId="0" applyBorder="1"/>
    <xf numFmtId="0" fontId="0" fillId="0" borderId="5" xfId="0" applyBorder="1"/>
    <xf numFmtId="0" fontId="0" fillId="0" borderId="7" xfId="0" applyBorder="1"/>
    <xf numFmtId="164" fontId="0" fillId="0" borderId="8" xfId="0" applyNumberFormat="1" applyBorder="1"/>
    <xf numFmtId="0" fontId="54" fillId="0" borderId="5" xfId="0" applyFont="1" applyFill="1" applyBorder="1" applyAlignment="1">
      <alignment vertical="center" wrapText="1"/>
    </xf>
    <xf numFmtId="0" fontId="54" fillId="0" borderId="7" xfId="0" applyFont="1" applyFill="1" applyBorder="1" applyAlignment="1">
      <alignment vertical="center" wrapText="1"/>
    </xf>
    <xf numFmtId="9" fontId="0" fillId="0" borderId="6" xfId="1" applyFont="1" applyFill="1" applyBorder="1"/>
    <xf numFmtId="0" fontId="50" fillId="0" borderId="10" xfId="0" applyFont="1" applyFill="1" applyBorder="1" applyAlignment="1">
      <alignment vertical="center" wrapText="1"/>
    </xf>
    <xf numFmtId="0" fontId="0" fillId="0" borderId="12" xfId="0" applyBorder="1" applyAlignment="1">
      <alignment wrapText="1"/>
    </xf>
    <xf numFmtId="44" fontId="0" fillId="0" borderId="10" xfId="0" applyNumberFormat="1" applyBorder="1"/>
    <xf numFmtId="44" fontId="0" fillId="0" borderId="11" xfId="0" applyNumberFormat="1" applyBorder="1"/>
    <xf numFmtId="44" fontId="0" fillId="0" borderId="12" xfId="0" applyNumberFormat="1" applyBorder="1"/>
    <xf numFmtId="44" fontId="0" fillId="0" borderId="7" xfId="0" applyNumberFormat="1" applyBorder="1"/>
    <xf numFmtId="44" fontId="0" fillId="0" borderId="8" xfId="0" applyNumberFormat="1" applyBorder="1"/>
    <xf numFmtId="44" fontId="0" fillId="0" borderId="9" xfId="0" applyNumberFormat="1" applyBorder="1"/>
    <xf numFmtId="44" fontId="0" fillId="0" borderId="0" xfId="0" applyNumberFormat="1"/>
    <xf numFmtId="0" fontId="54" fillId="0" borderId="67" xfId="0" applyFont="1" applyFill="1" applyBorder="1" applyAlignment="1">
      <alignment vertical="center" wrapText="1"/>
    </xf>
    <xf numFmtId="44" fontId="0" fillId="0" borderId="0" xfId="0" applyNumberFormat="1" applyBorder="1"/>
    <xf numFmtId="44" fontId="0" fillId="0" borderId="6" xfId="0" applyNumberFormat="1" applyBorder="1"/>
    <xf numFmtId="0" fontId="54" fillId="15" borderId="12" xfId="0" applyFont="1" applyFill="1" applyBorder="1" applyAlignment="1">
      <alignment vertical="center" wrapText="1"/>
    </xf>
    <xf numFmtId="0" fontId="54" fillId="15" borderId="67" xfId="0" applyFont="1" applyFill="1" applyBorder="1" applyAlignment="1">
      <alignment vertical="center" wrapText="1"/>
    </xf>
    <xf numFmtId="0" fontId="54" fillId="15" borderId="9" xfId="0" applyFont="1" applyFill="1" applyBorder="1" applyAlignment="1">
      <alignment vertical="center" wrapText="1"/>
    </xf>
    <xf numFmtId="0" fontId="54" fillId="15" borderId="16" xfId="0" applyFont="1" applyFill="1" applyBorder="1" applyAlignment="1">
      <alignment vertical="center" wrapText="1"/>
    </xf>
    <xf numFmtId="44" fontId="0" fillId="15" borderId="0" xfId="0" applyNumberFormat="1" applyFill="1" applyBorder="1"/>
    <xf numFmtId="44" fontId="0" fillId="15" borderId="8" xfId="0" applyNumberFormat="1" applyFill="1" applyBorder="1"/>
    <xf numFmtId="9" fontId="0" fillId="0" borderId="10" xfId="1" applyFont="1" applyBorder="1"/>
    <xf numFmtId="9" fontId="0" fillId="0" borderId="67" xfId="1" applyFont="1" applyBorder="1"/>
    <xf numFmtId="44" fontId="0" fillId="0" borderId="2" xfId="0" applyNumberFormat="1" applyBorder="1"/>
    <xf numFmtId="44" fontId="0" fillId="0" borderId="3" xfId="0" applyNumberFormat="1" applyBorder="1"/>
    <xf numFmtId="44" fontId="0" fillId="0" borderId="4" xfId="0" applyNumberFormat="1" applyBorder="1"/>
    <xf numFmtId="9" fontId="0" fillId="0" borderId="2" xfId="1" applyFont="1" applyBorder="1"/>
    <xf numFmtId="9" fontId="0" fillId="0" borderId="19" xfId="1" applyFont="1" applyBorder="1"/>
    <xf numFmtId="44" fontId="0" fillId="11" borderId="56" xfId="28" applyFont="1" applyFill="1" applyBorder="1" applyAlignment="1">
      <alignment horizontal="center" vertical="center"/>
    </xf>
    <xf numFmtId="44" fontId="0" fillId="12" borderId="14" xfId="28" applyFont="1" applyFill="1" applyBorder="1" applyAlignment="1">
      <alignment horizontal="center" vertical="center"/>
    </xf>
    <xf numFmtId="44" fontId="0" fillId="11" borderId="22" xfId="28" applyFont="1" applyFill="1" applyBorder="1" applyAlignment="1">
      <alignment horizontal="center" vertical="center"/>
    </xf>
    <xf numFmtId="44" fontId="0" fillId="12" borderId="18" xfId="28" applyFont="1" applyFill="1" applyBorder="1" applyAlignment="1">
      <alignment horizontal="center" vertical="center"/>
    </xf>
    <xf numFmtId="44" fontId="0" fillId="11" borderId="57" xfId="28" applyFont="1" applyFill="1" applyBorder="1" applyAlignment="1">
      <alignment horizontal="center" vertical="center"/>
    </xf>
    <xf numFmtId="44" fontId="0" fillId="12" borderId="15" xfId="28" applyFont="1" applyFill="1" applyBorder="1" applyAlignment="1">
      <alignment horizontal="center" vertical="center"/>
    </xf>
    <xf numFmtId="0" fontId="0" fillId="0" borderId="8" xfId="0" applyBorder="1" applyAlignment="1">
      <alignment horizontal="center" vertical="center"/>
    </xf>
    <xf numFmtId="9" fontId="60" fillId="11" borderId="14" xfId="1" applyFont="1" applyFill="1" applyBorder="1" applyAlignment="1">
      <alignment horizontal="center" vertical="center"/>
    </xf>
    <xf numFmtId="165" fontId="0" fillId="13" borderId="14" xfId="0" applyNumberFormat="1" applyFill="1" applyBorder="1"/>
    <xf numFmtId="44" fontId="60" fillId="11" borderId="56" xfId="28" applyFont="1" applyFill="1" applyBorder="1" applyAlignment="1">
      <alignment horizontal="center" vertical="center"/>
    </xf>
    <xf numFmtId="169" fontId="0" fillId="12" borderId="12" xfId="1" applyNumberFormat="1" applyFont="1" applyFill="1" applyBorder="1"/>
    <xf numFmtId="44" fontId="60" fillId="11" borderId="22" xfId="28" applyFont="1" applyFill="1" applyBorder="1" applyAlignment="1">
      <alignment horizontal="center" vertical="center"/>
    </xf>
    <xf numFmtId="44" fontId="60" fillId="11" borderId="57" xfId="28" applyFont="1" applyFill="1" applyBorder="1" applyAlignment="1">
      <alignment horizontal="center" vertical="center"/>
    </xf>
    <xf numFmtId="169" fontId="0" fillId="12" borderId="4" xfId="1" applyNumberFormat="1" applyFont="1" applyFill="1" applyBorder="1"/>
    <xf numFmtId="0" fontId="56" fillId="0" borderId="0" xfId="0" applyFont="1" applyFill="1" applyBorder="1"/>
    <xf numFmtId="9" fontId="0" fillId="0" borderId="0" xfId="1" applyFont="1"/>
    <xf numFmtId="9" fontId="0" fillId="0" borderId="0" xfId="0" applyNumberFormat="1"/>
    <xf numFmtId="9" fontId="2" fillId="2" borderId="1" xfId="2" applyNumberFormat="1"/>
    <xf numFmtId="43" fontId="0" fillId="0" borderId="0" xfId="27" applyFont="1"/>
    <xf numFmtId="167" fontId="0" fillId="0" borderId="0" xfId="0" applyNumberFormat="1"/>
    <xf numFmtId="0" fontId="0" fillId="0" borderId="74" xfId="0" applyBorder="1"/>
    <xf numFmtId="166" fontId="10" fillId="0" borderId="46" xfId="2" applyNumberFormat="1" applyFont="1" applyFill="1" applyBorder="1" applyAlignment="1">
      <alignment horizontal="center"/>
    </xf>
    <xf numFmtId="166" fontId="10" fillId="0" borderId="33" xfId="2" applyNumberFormat="1" applyFont="1" applyFill="1" applyBorder="1" applyAlignment="1">
      <alignment horizontal="center"/>
    </xf>
    <xf numFmtId="0" fontId="0" fillId="3" borderId="11" xfId="0" applyFill="1" applyBorder="1"/>
    <xf numFmtId="0" fontId="0" fillId="3" borderId="12" xfId="0" applyFill="1" applyBorder="1"/>
    <xf numFmtId="0" fontId="0" fillId="3" borderId="6" xfId="0" applyFill="1" applyBorder="1"/>
    <xf numFmtId="0" fontId="50" fillId="9" borderId="74" xfId="0" applyFont="1" applyFill="1" applyBorder="1" applyAlignment="1">
      <alignment vertical="center" wrapText="1"/>
    </xf>
    <xf numFmtId="9" fontId="0" fillId="0" borderId="74" xfId="0" applyNumberFormat="1" applyBorder="1"/>
    <xf numFmtId="9" fontId="0" fillId="0" borderId="74" xfId="1" applyFont="1" applyBorder="1"/>
    <xf numFmtId="166" fontId="9" fillId="0" borderId="10" xfId="19" applyNumberFormat="1" applyBorder="1" applyAlignment="1">
      <alignment horizontal="center" vertical="center"/>
    </xf>
    <xf numFmtId="166" fontId="9" fillId="0" borderId="12" xfId="19" applyNumberFormat="1" applyBorder="1" applyAlignment="1">
      <alignment horizontal="center" vertical="center"/>
    </xf>
    <xf numFmtId="166" fontId="9" fillId="0" borderId="5" xfId="19" applyNumberFormat="1" applyBorder="1" applyAlignment="1">
      <alignment horizontal="center" vertical="center"/>
    </xf>
    <xf numFmtId="166" fontId="9" fillId="0" borderId="6" xfId="19" applyNumberFormat="1" applyBorder="1" applyAlignment="1">
      <alignment horizontal="center" vertical="center"/>
    </xf>
    <xf numFmtId="166" fontId="9" fillId="0" borderId="7" xfId="19" applyNumberFormat="1" applyBorder="1" applyAlignment="1">
      <alignment horizontal="center" vertical="center"/>
    </xf>
    <xf numFmtId="166" fontId="9" fillId="0" borderId="9" xfId="19" applyNumberFormat="1" applyBorder="1" applyAlignment="1">
      <alignment horizontal="center" vertical="center"/>
    </xf>
    <xf numFmtId="166" fontId="9" fillId="0" borderId="11" xfId="19" applyNumberFormat="1" applyBorder="1" applyAlignment="1">
      <alignment horizontal="center" vertical="center"/>
    </xf>
    <xf numFmtId="166" fontId="9" fillId="0" borderId="0" xfId="19" applyNumberFormat="1" applyBorder="1" applyAlignment="1">
      <alignment horizontal="center" vertical="center"/>
    </xf>
    <xf numFmtId="166" fontId="9" fillId="0" borderId="8" xfId="19" applyNumberFormat="1" applyBorder="1" applyAlignment="1">
      <alignment horizontal="center" vertical="center"/>
    </xf>
    <xf numFmtId="9" fontId="10" fillId="3" borderId="2" xfId="0" applyNumberFormat="1" applyFont="1" applyFill="1" applyBorder="1" applyAlignment="1">
      <alignment horizontal="center" vertical="center"/>
    </xf>
    <xf numFmtId="9" fontId="10" fillId="3" borderId="3" xfId="0" applyNumberFormat="1" applyFont="1" applyFill="1" applyBorder="1"/>
    <xf numFmtId="9" fontId="10" fillId="3" borderId="4" xfId="0" applyNumberFormat="1" applyFont="1" applyFill="1" applyBorder="1"/>
    <xf numFmtId="9" fontId="10" fillId="3" borderId="4" xfId="0" applyNumberFormat="1" applyFont="1" applyFill="1" applyBorder="1" applyAlignment="1">
      <alignment horizontal="center" vertical="center"/>
    </xf>
    <xf numFmtId="9" fontId="10" fillId="3" borderId="8" xfId="1" applyFont="1" applyFill="1" applyBorder="1" applyAlignment="1">
      <alignment horizontal="center" vertical="center"/>
    </xf>
    <xf numFmtId="9" fontId="10" fillId="3" borderId="9" xfId="0" applyNumberFormat="1" applyFont="1" applyFill="1" applyBorder="1" applyAlignment="1">
      <alignment horizontal="center" vertical="center"/>
    </xf>
    <xf numFmtId="9" fontId="10" fillId="3" borderId="7" xfId="0" applyNumberFormat="1" applyFont="1" applyFill="1" applyBorder="1"/>
    <xf numFmtId="9" fontId="10" fillId="3" borderId="9" xfId="0" applyNumberFormat="1" applyFont="1" applyFill="1" applyBorder="1"/>
    <xf numFmtId="9" fontId="10" fillId="3" borderId="11" xfId="27" applyNumberFormat="1" applyFont="1" applyFill="1" applyBorder="1" applyAlignment="1">
      <alignment horizontal="center" vertical="center"/>
    </xf>
    <xf numFmtId="9" fontId="10" fillId="3" borderId="12" xfId="0" applyNumberFormat="1" applyFont="1" applyFill="1" applyBorder="1" applyAlignment="1">
      <alignment horizontal="center" vertical="center"/>
    </xf>
    <xf numFmtId="9" fontId="10" fillId="3" borderId="0" xfId="27" applyNumberFormat="1" applyFont="1" applyFill="1" applyBorder="1" applyAlignment="1">
      <alignment horizontal="center" vertical="center"/>
    </xf>
    <xf numFmtId="9" fontId="10" fillId="3" borderId="6" xfId="0" applyNumberFormat="1" applyFont="1" applyFill="1" applyBorder="1" applyAlignment="1">
      <alignment horizontal="center" vertical="center"/>
    </xf>
    <xf numFmtId="0" fontId="0" fillId="3" borderId="8" xfId="0" applyFill="1" applyBorder="1"/>
    <xf numFmtId="9" fontId="10" fillId="3" borderId="8" xfId="27" applyNumberFormat="1" applyFont="1" applyFill="1" applyBorder="1" applyAlignment="1">
      <alignment horizontal="center" vertical="center"/>
    </xf>
    <xf numFmtId="9" fontId="10" fillId="3" borderId="10" xfId="27" applyNumberFormat="1" applyFont="1" applyFill="1" applyBorder="1" applyAlignment="1">
      <alignment horizontal="center" vertical="center"/>
    </xf>
    <xf numFmtId="9" fontId="10" fillId="3" borderId="5" xfId="27" applyNumberFormat="1" applyFont="1" applyFill="1" applyBorder="1" applyAlignment="1">
      <alignment horizontal="center" vertical="center"/>
    </xf>
    <xf numFmtId="9" fontId="10" fillId="3" borderId="7" xfId="27" applyNumberFormat="1" applyFont="1" applyFill="1" applyBorder="1" applyAlignment="1">
      <alignment horizontal="center" vertical="center"/>
    </xf>
    <xf numFmtId="0" fontId="22" fillId="6" borderId="0" xfId="0" applyFont="1" applyFill="1" applyBorder="1" applyAlignment="1">
      <alignment horizontal="center" vertical="center" wrapText="1"/>
    </xf>
    <xf numFmtId="2" fontId="19" fillId="3" borderId="0" xfId="7" applyNumberFormat="1" applyFont="1" applyFill="1" applyBorder="1" applyAlignment="1">
      <alignment horizontal="center" vertical="center"/>
    </xf>
    <xf numFmtId="0" fontId="12" fillId="16" borderId="2" xfId="0" applyFont="1" applyFill="1" applyBorder="1" applyAlignment="1">
      <alignment horizontal="center" vertical="center" wrapText="1"/>
    </xf>
    <xf numFmtId="0" fontId="12" fillId="16" borderId="7" xfId="0" applyFont="1" applyFill="1" applyBorder="1" applyAlignment="1">
      <alignment horizontal="center" vertical="center" wrapText="1"/>
    </xf>
    <xf numFmtId="0" fontId="20" fillId="16" borderId="11" xfId="0" applyFont="1" applyFill="1" applyBorder="1"/>
    <xf numFmtId="0" fontId="20" fillId="16" borderId="0" xfId="0" applyFont="1" applyFill="1" applyBorder="1"/>
    <xf numFmtId="0" fontId="19" fillId="16" borderId="0" xfId="0" applyFont="1" applyFill="1" applyBorder="1"/>
    <xf numFmtId="0" fontId="31" fillId="16" borderId="8" xfId="0" applyFont="1" applyFill="1" applyBorder="1"/>
    <xf numFmtId="0" fontId="19" fillId="3" borderId="0" xfId="0" applyFont="1" applyFill="1"/>
    <xf numFmtId="0" fontId="19" fillId="16" borderId="8" xfId="0" applyFont="1" applyFill="1" applyBorder="1"/>
    <xf numFmtId="10" fontId="31" fillId="3" borderId="15" xfId="1" applyNumberFormat="1" applyFont="1" applyFill="1" applyBorder="1" applyAlignment="1">
      <alignment horizontal="center" vertical="center"/>
    </xf>
    <xf numFmtId="9" fontId="20" fillId="3" borderId="0" xfId="1" applyFont="1" applyFill="1" applyAlignment="1">
      <alignment horizontal="center" vertical="center"/>
    </xf>
    <xf numFmtId="3" fontId="30" fillId="3" borderId="0" xfId="0" applyNumberFormat="1" applyFont="1" applyFill="1"/>
    <xf numFmtId="0" fontId="8" fillId="3" borderId="0" xfId="0" applyFont="1" applyFill="1" applyAlignment="1">
      <alignment horizontal="left" vertical="top" wrapText="1"/>
    </xf>
    <xf numFmtId="0" fontId="26" fillId="6" borderId="2" xfId="0" applyFont="1" applyFill="1" applyBorder="1" applyAlignment="1">
      <alignment horizontal="left"/>
    </xf>
    <xf numFmtId="0" fontId="26" fillId="6" borderId="4" xfId="0" applyFont="1" applyFill="1" applyBorder="1" applyAlignment="1">
      <alignment horizontal="left"/>
    </xf>
    <xf numFmtId="0" fontId="21" fillId="16" borderId="10" xfId="0" applyFont="1" applyFill="1" applyBorder="1" applyAlignment="1">
      <alignment horizontal="center" vertical="center" wrapText="1"/>
    </xf>
    <xf numFmtId="0" fontId="21" fillId="16" borderId="5" xfId="0" applyFont="1" applyFill="1" applyBorder="1" applyAlignment="1">
      <alignment horizontal="center" vertical="center" wrapText="1"/>
    </xf>
    <xf numFmtId="0" fontId="21" fillId="16" borderId="7" xfId="0" applyFont="1" applyFill="1" applyBorder="1" applyAlignment="1">
      <alignment horizontal="center" vertical="center" wrapText="1"/>
    </xf>
    <xf numFmtId="0" fontId="12" fillId="16" borderId="10" xfId="0" applyFont="1" applyFill="1" applyBorder="1" applyAlignment="1">
      <alignment horizontal="center" vertical="center" wrapText="1"/>
    </xf>
    <xf numFmtId="0" fontId="12" fillId="16" borderId="5" xfId="0" applyFont="1" applyFill="1" applyBorder="1" applyAlignment="1">
      <alignment horizontal="center" vertical="center" wrapText="1"/>
    </xf>
    <xf numFmtId="0" fontId="12" fillId="16" borderId="7" xfId="0" applyFont="1" applyFill="1" applyBorder="1" applyAlignment="1">
      <alignment horizontal="center" vertical="center" wrapText="1"/>
    </xf>
    <xf numFmtId="0" fontId="26" fillId="6" borderId="10" xfId="0" applyFont="1" applyFill="1" applyBorder="1" applyAlignment="1">
      <alignment horizontal="center"/>
    </xf>
    <xf numFmtId="0" fontId="26" fillId="6" borderId="12" xfId="0" applyFont="1" applyFill="1" applyBorder="1" applyAlignment="1">
      <alignment horizontal="center"/>
    </xf>
    <xf numFmtId="0" fontId="12" fillId="3" borderId="10" xfId="0" applyFont="1" applyFill="1" applyBorder="1" applyAlignment="1">
      <alignment horizontal="center" vertical="center" wrapText="1"/>
    </xf>
    <xf numFmtId="0" fontId="12" fillId="3" borderId="5" xfId="0" applyFont="1" applyFill="1" applyBorder="1" applyAlignment="1">
      <alignment horizontal="center" vertical="center" wrapText="1"/>
    </xf>
    <xf numFmtId="0" fontId="10" fillId="0" borderId="2" xfId="2" applyFont="1" applyFill="1" applyBorder="1" applyAlignment="1">
      <alignment horizontal="center" vertical="center" wrapText="1"/>
    </xf>
    <xf numFmtId="0" fontId="10" fillId="0" borderId="4" xfId="2" applyFont="1" applyFill="1" applyBorder="1" applyAlignment="1">
      <alignment horizontal="center" vertical="center" wrapText="1"/>
    </xf>
    <xf numFmtId="0" fontId="10" fillId="5" borderId="2" xfId="2" applyFont="1" applyFill="1" applyBorder="1" applyAlignment="1">
      <alignment horizontal="center" vertical="center" wrapText="1"/>
    </xf>
    <xf numFmtId="0" fontId="10" fillId="5" borderId="4" xfId="2" applyFont="1" applyFill="1" applyBorder="1" applyAlignment="1">
      <alignment horizontal="center" vertical="center" wrapText="1"/>
    </xf>
    <xf numFmtId="0" fontId="12" fillId="3" borderId="7" xfId="0" applyFont="1" applyFill="1" applyBorder="1" applyAlignment="1">
      <alignment horizontal="center" vertical="center" wrapText="1"/>
    </xf>
    <xf numFmtId="0" fontId="12" fillId="3" borderId="10" xfId="0" applyFont="1" applyFill="1" applyBorder="1" applyAlignment="1">
      <alignment horizontal="center" vertical="center"/>
    </xf>
    <xf numFmtId="0" fontId="12" fillId="3" borderId="7" xfId="0" applyFont="1" applyFill="1" applyBorder="1" applyAlignment="1">
      <alignment horizontal="center" vertical="center"/>
    </xf>
    <xf numFmtId="0" fontId="12" fillId="0" borderId="10" xfId="0" applyFont="1" applyFill="1" applyBorder="1" applyAlignment="1">
      <alignment horizontal="center" vertical="center" wrapText="1"/>
    </xf>
    <xf numFmtId="0" fontId="0" fillId="0" borderId="5" xfId="0" applyBorder="1" applyAlignment="1">
      <alignment horizontal="center" vertical="center"/>
    </xf>
    <xf numFmtId="0" fontId="0" fillId="0" borderId="7" xfId="0" applyBorder="1" applyAlignment="1">
      <alignment horizontal="center" vertical="center"/>
    </xf>
    <xf numFmtId="0" fontId="12" fillId="3" borderId="5" xfId="0" applyFont="1" applyFill="1" applyBorder="1" applyAlignment="1">
      <alignment horizontal="center" vertical="center"/>
    </xf>
    <xf numFmtId="0" fontId="12" fillId="0" borderId="7" xfId="0" applyFont="1" applyFill="1" applyBorder="1" applyAlignment="1">
      <alignment horizontal="center" vertical="center" wrapText="1"/>
    </xf>
    <xf numFmtId="0" fontId="21" fillId="0" borderId="60" xfId="0" applyFont="1" applyBorder="1" applyAlignment="1">
      <alignment horizontal="center" vertical="center"/>
    </xf>
    <xf numFmtId="0" fontId="21" fillId="0" borderId="72" xfId="0" applyFont="1" applyBorder="1" applyAlignment="1">
      <alignment horizontal="center" vertical="center"/>
    </xf>
    <xf numFmtId="0" fontId="21" fillId="0" borderId="62" xfId="0" applyFont="1" applyBorder="1" applyAlignment="1">
      <alignment horizontal="center" vertical="center"/>
    </xf>
    <xf numFmtId="0" fontId="21" fillId="0" borderId="71" xfId="0" applyFont="1" applyBorder="1" applyAlignment="1">
      <alignment horizontal="center" vertical="center"/>
    </xf>
    <xf numFmtId="0" fontId="21" fillId="0" borderId="79" xfId="0" applyFont="1" applyBorder="1" applyAlignment="1">
      <alignment horizontal="center" vertical="center"/>
    </xf>
    <xf numFmtId="0" fontId="21" fillId="0" borderId="73" xfId="0" applyFont="1" applyBorder="1" applyAlignment="1">
      <alignment horizontal="center" vertical="center"/>
    </xf>
    <xf numFmtId="0" fontId="21" fillId="0" borderId="60" xfId="0" applyFont="1" applyBorder="1" applyAlignment="1">
      <alignment horizontal="center"/>
    </xf>
    <xf numFmtId="0" fontId="21" fillId="0" borderId="62" xfId="0" applyFont="1" applyBorder="1" applyAlignment="1">
      <alignment horizontal="center"/>
    </xf>
    <xf numFmtId="0" fontId="21" fillId="0" borderId="22" xfId="0" applyFont="1" applyBorder="1" applyAlignment="1">
      <alignment horizontal="center"/>
    </xf>
    <xf numFmtId="0" fontId="21" fillId="0" borderId="17" xfId="0" applyFont="1" applyBorder="1" applyAlignment="1">
      <alignment horizontal="center"/>
    </xf>
    <xf numFmtId="0" fontId="21" fillId="0" borderId="79" xfId="0" applyFont="1" applyBorder="1" applyAlignment="1">
      <alignment horizontal="center"/>
    </xf>
    <xf numFmtId="0" fontId="21" fillId="0" borderId="76" xfId="0" applyFont="1" applyBorder="1" applyAlignment="1">
      <alignment horizontal="center" vertical="center"/>
    </xf>
    <xf numFmtId="0" fontId="21" fillId="0" borderId="78" xfId="0" applyFont="1" applyBorder="1" applyAlignment="1">
      <alignment horizontal="center" vertical="center"/>
    </xf>
    <xf numFmtId="0" fontId="21" fillId="0" borderId="74" xfId="0" applyFont="1" applyBorder="1" applyAlignment="1">
      <alignment horizontal="center"/>
    </xf>
    <xf numFmtId="0" fontId="22" fillId="6" borderId="10" xfId="0" applyFont="1" applyFill="1" applyBorder="1" applyAlignment="1">
      <alignment horizontal="center" vertical="center" wrapText="1"/>
    </xf>
    <xf numFmtId="0" fontId="22" fillId="6" borderId="5" xfId="0" applyFont="1" applyFill="1" applyBorder="1" applyAlignment="1">
      <alignment horizontal="center" vertical="center" wrapText="1"/>
    </xf>
    <xf numFmtId="0" fontId="22" fillId="6" borderId="7" xfId="0" applyFont="1" applyFill="1" applyBorder="1" applyAlignment="1">
      <alignment horizontal="center" vertical="center" wrapText="1"/>
    </xf>
    <xf numFmtId="0" fontId="26" fillId="6" borderId="10" xfId="0" applyFont="1" applyFill="1" applyBorder="1" applyAlignment="1">
      <alignment horizontal="center" vertical="center"/>
    </xf>
    <xf numFmtId="0" fontId="26" fillId="6" borderId="7" xfId="0" applyFont="1" applyFill="1" applyBorder="1" applyAlignment="1">
      <alignment horizontal="center" vertical="center"/>
    </xf>
    <xf numFmtId="0" fontId="32" fillId="6" borderId="11" xfId="0" applyFont="1" applyFill="1" applyBorder="1" applyAlignment="1">
      <alignment horizontal="center" vertical="center" wrapText="1"/>
    </xf>
    <xf numFmtId="0" fontId="32" fillId="6" borderId="12" xfId="0" applyFont="1" applyFill="1" applyBorder="1" applyAlignment="1">
      <alignment horizontal="center" vertical="center" wrapText="1"/>
    </xf>
    <xf numFmtId="0" fontId="32" fillId="6" borderId="8" xfId="0" applyFont="1" applyFill="1" applyBorder="1" applyAlignment="1">
      <alignment horizontal="center" vertical="center" wrapText="1"/>
    </xf>
    <xf numFmtId="0" fontId="32" fillId="6" borderId="9" xfId="0" applyFont="1" applyFill="1" applyBorder="1" applyAlignment="1">
      <alignment horizontal="center" vertical="center" wrapText="1"/>
    </xf>
    <xf numFmtId="0" fontId="19" fillId="16" borderId="10" xfId="0" applyFont="1" applyFill="1" applyBorder="1" applyAlignment="1">
      <alignment horizontal="center" vertical="center" wrapText="1"/>
    </xf>
    <xf numFmtId="0" fontId="19" fillId="16" borderId="5" xfId="0" applyFont="1" applyFill="1" applyBorder="1" applyAlignment="1">
      <alignment horizontal="center" vertical="center" wrapText="1"/>
    </xf>
    <xf numFmtId="0" fontId="19" fillId="16" borderId="7" xfId="0" applyFont="1" applyFill="1" applyBorder="1" applyAlignment="1">
      <alignment horizontal="center" vertical="center" wrapText="1"/>
    </xf>
    <xf numFmtId="0" fontId="22" fillId="6" borderId="10" xfId="0" applyFont="1" applyFill="1" applyBorder="1" applyAlignment="1">
      <alignment horizontal="center" vertical="center"/>
    </xf>
    <xf numFmtId="0" fontId="22" fillId="6" borderId="5" xfId="0" applyFont="1" applyFill="1" applyBorder="1" applyAlignment="1">
      <alignment horizontal="center" vertical="center"/>
    </xf>
    <xf numFmtId="0" fontId="22" fillId="6" borderId="7" xfId="0" applyFont="1" applyFill="1" applyBorder="1" applyAlignment="1">
      <alignment horizontal="center" vertical="center"/>
    </xf>
    <xf numFmtId="0" fontId="26" fillId="6" borderId="11" xfId="0" applyFont="1" applyFill="1" applyBorder="1" applyAlignment="1">
      <alignment horizontal="center" vertical="center"/>
    </xf>
    <xf numFmtId="0" fontId="26" fillId="6" borderId="12" xfId="0" applyFont="1" applyFill="1" applyBorder="1" applyAlignment="1">
      <alignment horizontal="center" vertical="center"/>
    </xf>
    <xf numFmtId="0" fontId="21" fillId="3" borderId="10" xfId="0" applyFont="1" applyFill="1" applyBorder="1" applyAlignment="1">
      <alignment horizontal="center" vertical="center" wrapText="1"/>
    </xf>
    <xf numFmtId="0" fontId="21" fillId="3" borderId="5" xfId="0" applyFont="1" applyFill="1" applyBorder="1" applyAlignment="1">
      <alignment horizontal="center" vertical="center" wrapText="1"/>
    </xf>
    <xf numFmtId="0" fontId="21" fillId="3" borderId="7" xfId="0" applyFont="1" applyFill="1" applyBorder="1" applyAlignment="1">
      <alignment horizontal="center" vertical="center" wrapText="1"/>
    </xf>
    <xf numFmtId="0" fontId="21" fillId="3" borderId="11" xfId="0" applyFont="1" applyFill="1" applyBorder="1" applyAlignment="1">
      <alignment horizontal="center" vertical="center" wrapText="1"/>
    </xf>
    <xf numFmtId="0" fontId="21" fillId="3" borderId="0" xfId="0" applyFont="1" applyFill="1" applyAlignment="1">
      <alignment horizontal="center" vertical="center" wrapText="1"/>
    </xf>
    <xf numFmtId="0" fontId="21" fillId="3" borderId="8" xfId="0" applyFont="1" applyFill="1" applyBorder="1" applyAlignment="1">
      <alignment horizontal="center" vertical="center" wrapText="1"/>
    </xf>
    <xf numFmtId="0" fontId="19" fillId="3" borderId="10" xfId="0" applyFont="1" applyFill="1" applyBorder="1" applyAlignment="1">
      <alignment horizontal="center" vertical="center" wrapText="1"/>
    </xf>
    <xf numFmtId="0" fontId="19" fillId="3" borderId="5" xfId="0" applyFont="1" applyFill="1" applyBorder="1" applyAlignment="1">
      <alignment horizontal="center" vertical="center" wrapText="1"/>
    </xf>
    <xf numFmtId="0" fontId="19" fillId="3" borderId="7" xfId="0" applyFont="1" applyFill="1" applyBorder="1" applyAlignment="1">
      <alignment horizontal="center" vertical="center" wrapText="1"/>
    </xf>
    <xf numFmtId="0" fontId="19" fillId="0" borderId="10" xfId="0" applyFont="1" applyFill="1" applyBorder="1" applyAlignment="1">
      <alignment horizontal="center" vertical="center"/>
    </xf>
    <xf numFmtId="0" fontId="19" fillId="0" borderId="5" xfId="0" applyFont="1" applyFill="1" applyBorder="1" applyAlignment="1">
      <alignment horizontal="center" vertical="center"/>
    </xf>
    <xf numFmtId="0" fontId="19" fillId="3" borderId="10" xfId="0" applyFont="1" applyFill="1" applyBorder="1" applyAlignment="1">
      <alignment horizontal="center" vertical="center"/>
    </xf>
    <xf numFmtId="0" fontId="19" fillId="3" borderId="5" xfId="0" applyFont="1" applyFill="1" applyBorder="1" applyAlignment="1">
      <alignment horizontal="center" vertical="center"/>
    </xf>
    <xf numFmtId="0" fontId="19" fillId="3" borderId="7" xfId="0" applyFont="1" applyFill="1" applyBorder="1" applyAlignment="1">
      <alignment horizontal="center" vertical="center"/>
    </xf>
    <xf numFmtId="0" fontId="10" fillId="3" borderId="2" xfId="2" applyFont="1" applyFill="1" applyBorder="1" applyAlignment="1">
      <alignment horizontal="center" vertical="center" wrapText="1"/>
    </xf>
    <xf numFmtId="0" fontId="10" fillId="3" borderId="4" xfId="2" applyFont="1" applyFill="1" applyBorder="1" applyAlignment="1">
      <alignment horizontal="center" vertical="center" wrapText="1"/>
    </xf>
    <xf numFmtId="0" fontId="26" fillId="6" borderId="2" xfId="0" applyFont="1" applyFill="1" applyBorder="1" applyAlignment="1">
      <alignment horizontal="center"/>
    </xf>
    <xf numFmtId="0" fontId="26" fillId="6" borderId="4" xfId="0" applyFont="1" applyFill="1" applyBorder="1" applyAlignment="1">
      <alignment horizontal="center"/>
    </xf>
    <xf numFmtId="0" fontId="17" fillId="3" borderId="0" xfId="0" applyFont="1" applyFill="1" applyAlignment="1">
      <alignment horizontal="center"/>
    </xf>
    <xf numFmtId="0" fontId="0" fillId="0" borderId="0" xfId="0" applyAlignment="1">
      <alignment horizontal="center"/>
    </xf>
    <xf numFmtId="0" fontId="23" fillId="6" borderId="0" xfId="0" applyFont="1" applyFill="1" applyAlignment="1">
      <alignment horizontal="center"/>
    </xf>
    <xf numFmtId="0" fontId="22" fillId="6" borderId="0" xfId="0" applyFont="1" applyFill="1" applyAlignment="1">
      <alignment horizontal="center"/>
    </xf>
    <xf numFmtId="0" fontId="10" fillId="3" borderId="8" xfId="0" applyFont="1" applyFill="1" applyBorder="1" applyAlignment="1">
      <alignment vertical="center" wrapText="1"/>
    </xf>
    <xf numFmtId="0" fontId="10" fillId="3" borderId="9" xfId="0" applyFont="1" applyFill="1" applyBorder="1" applyAlignment="1">
      <alignment vertical="center" wrapText="1"/>
    </xf>
    <xf numFmtId="0" fontId="10" fillId="3" borderId="11" xfId="0" applyFont="1" applyFill="1" applyBorder="1" applyAlignment="1">
      <alignment vertical="center" wrapText="1"/>
    </xf>
    <xf numFmtId="0" fontId="10" fillId="3" borderId="12" xfId="0" applyFont="1" applyFill="1" applyBorder="1" applyAlignment="1">
      <alignment vertical="center" wrapText="1"/>
    </xf>
    <xf numFmtId="0" fontId="10" fillId="3" borderId="0" xfId="0" applyFont="1" applyFill="1" applyBorder="1" applyAlignment="1">
      <alignment vertical="center" wrapText="1"/>
    </xf>
    <xf numFmtId="0" fontId="10" fillId="3" borderId="6" xfId="0" applyFont="1" applyFill="1" applyBorder="1" applyAlignment="1">
      <alignment vertical="center" wrapText="1"/>
    </xf>
    <xf numFmtId="0" fontId="12" fillId="0" borderId="5" xfId="0" applyFont="1" applyFill="1" applyBorder="1" applyAlignment="1">
      <alignment horizontal="center" vertical="center" wrapText="1"/>
    </xf>
    <xf numFmtId="0" fontId="7" fillId="3" borderId="0" xfId="3" applyFont="1" applyFill="1" applyAlignment="1" applyProtection="1">
      <alignment horizontal="left"/>
    </xf>
    <xf numFmtId="0" fontId="8" fillId="5" borderId="5" xfId="3" applyNumberFormat="1" applyFont="1" applyFill="1" applyBorder="1" applyAlignment="1">
      <alignment horizontal="left"/>
    </xf>
    <xf numFmtId="0" fontId="8" fillId="5" borderId="0" xfId="3" applyNumberFormat="1" applyFont="1" applyFill="1" applyBorder="1" applyAlignment="1">
      <alignment horizontal="left"/>
    </xf>
    <xf numFmtId="0" fontId="23" fillId="6" borderId="11" xfId="0" applyFont="1" applyFill="1" applyBorder="1" applyAlignment="1">
      <alignment horizontal="center"/>
    </xf>
    <xf numFmtId="0" fontId="23" fillId="6" borderId="12" xfId="0" applyFont="1" applyFill="1" applyBorder="1" applyAlignment="1">
      <alignment horizontal="center"/>
    </xf>
    <xf numFmtId="0" fontId="23" fillId="6" borderId="10" xfId="0" applyFont="1" applyFill="1" applyBorder="1" applyAlignment="1">
      <alignment horizontal="center"/>
    </xf>
    <xf numFmtId="0" fontId="28" fillId="6" borderId="11" xfId="0" applyFont="1" applyFill="1" applyBorder="1" applyAlignment="1">
      <alignment horizontal="center" vertical="center" wrapText="1"/>
    </xf>
    <xf numFmtId="0" fontId="28" fillId="6" borderId="12" xfId="0" applyFont="1" applyFill="1" applyBorder="1" applyAlignment="1">
      <alignment horizontal="center" vertical="center" wrapText="1"/>
    </xf>
    <xf numFmtId="0" fontId="28" fillId="6" borderId="8" xfId="0" applyFont="1" applyFill="1" applyBorder="1" applyAlignment="1">
      <alignment horizontal="center" vertical="center" wrapText="1"/>
    </xf>
    <xf numFmtId="0" fontId="28" fillId="6" borderId="9" xfId="0" applyFont="1" applyFill="1" applyBorder="1" applyAlignment="1">
      <alignment horizontal="center" vertical="center" wrapText="1"/>
    </xf>
    <xf numFmtId="0" fontId="21" fillId="0" borderId="67" xfId="0" applyFont="1" applyBorder="1" applyAlignment="1">
      <alignment horizontal="center" textRotation="90"/>
    </xf>
    <xf numFmtId="0" fontId="21" fillId="0" borderId="23" xfId="0" applyFont="1" applyBorder="1" applyAlignment="1">
      <alignment horizontal="center" textRotation="90"/>
    </xf>
    <xf numFmtId="0" fontId="21" fillId="0" borderId="5" xfId="0" applyFont="1" applyBorder="1" applyAlignment="1">
      <alignment horizontal="center" textRotation="90"/>
    </xf>
    <xf numFmtId="0" fontId="21" fillId="0" borderId="7" xfId="0" applyFont="1" applyBorder="1" applyAlignment="1">
      <alignment horizontal="center" textRotation="90"/>
    </xf>
    <xf numFmtId="0" fontId="0" fillId="0" borderId="67" xfId="0" applyBorder="1" applyAlignment="1">
      <alignment horizontal="center" vertical="center" textRotation="90"/>
    </xf>
    <xf numFmtId="0" fontId="0" fillId="0" borderId="23" xfId="0" applyBorder="1" applyAlignment="1">
      <alignment horizontal="center" vertical="center" textRotation="90"/>
    </xf>
    <xf numFmtId="0" fontId="0" fillId="0" borderId="16" xfId="0" applyBorder="1" applyAlignment="1">
      <alignment horizontal="center" vertical="center" textRotation="90"/>
    </xf>
  </cellXfs>
  <cellStyles count="29">
    <cellStyle name="Beräkning 2" xfId="13"/>
    <cellStyle name="Calculation" xfId="7" builtinId="22"/>
    <cellStyle name="Comma" xfId="27" builtinId="3"/>
    <cellStyle name="Currency" xfId="28" builtinId="4"/>
    <cellStyle name="Förklarande text 2" xfId="14"/>
    <cellStyle name="Indata 2" xfId="12"/>
    <cellStyle name="Input" xfId="2" builtinId="20"/>
    <cellStyle name="Länkat rubrikår" xfId="10"/>
    <cellStyle name="Neutral 2" xfId="11"/>
    <cellStyle name="Normal" xfId="0" builtinId="0"/>
    <cellStyle name="Normal 12" xfId="19"/>
    <cellStyle name="Normal 2" xfId="9"/>
    <cellStyle name="Normal 2 2" xfId="16"/>
    <cellStyle name="Normal 2 4" xfId="22"/>
    <cellStyle name="Normal 3" xfId="17"/>
    <cellStyle name="Normal 4" xfId="6"/>
    <cellStyle name="Normal 4 2" xfId="20"/>
    <cellStyle name="Normal 5" xfId="23"/>
    <cellStyle name="Normal 6" xfId="21"/>
    <cellStyle name="Normal 7" xfId="24"/>
    <cellStyle name="Normal 8 2" xfId="3"/>
    <cellStyle name="Normal 9" xfId="4"/>
    <cellStyle name="Percent" xfId="1" builtinId="5"/>
    <cellStyle name="Procent 2" xfId="15"/>
    <cellStyle name="Procent 3" xfId="5"/>
    <cellStyle name="Procent 4" xfId="25"/>
    <cellStyle name="Procent 6" xfId="18"/>
    <cellStyle name="Rubrik 2 PS" xfId="8"/>
    <cellStyle name="Tusental 2" xfId="26"/>
  </cellStyles>
  <dxfs count="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F0000"/>
      <color rgb="FFD70000"/>
      <color rgb="FFD2D2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sv-SE"/>
              <a:t>PMavgas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4103937007874015"/>
          <c:y val="5.0925925925925923E-2"/>
          <c:w val="0.82840507436570421"/>
          <c:h val="0.83704505686789155"/>
        </c:manualLayout>
      </c:layout>
      <c:barChart>
        <c:barDir val="col"/>
        <c:grouping val="clustered"/>
        <c:varyColors val="0"/>
        <c:ser>
          <c:idx val="2"/>
          <c:order val="0"/>
          <c:tx>
            <c:v>2010</c:v>
          </c:tx>
          <c:spPr>
            <a:solidFill>
              <a:schemeClr val="accent3"/>
            </a:solidFill>
            <a:ln>
              <a:noFill/>
            </a:ln>
            <a:effectLst/>
          </c:spPr>
          <c:invertIfNegative val="0"/>
          <c:val>
            <c:numRef>
              <c:f>'Indata - Utsläpp'!$B$24</c:f>
              <c:numCache>
                <c:formatCode>0.00</c:formatCode>
                <c:ptCount val="1"/>
                <c:pt idx="0">
                  <c:v>1.3952000000000002</c:v>
                </c:pt>
              </c:numCache>
            </c:numRef>
          </c:val>
          <c:extLst>
            <c:ext xmlns:c16="http://schemas.microsoft.com/office/drawing/2014/chart" uri="{C3380CC4-5D6E-409C-BE32-E72D297353CC}">
              <c16:uniqueId val="{0000000A-D462-4F4F-A629-88CF9AA8CD73}"/>
            </c:ext>
          </c:extLst>
        </c:ser>
        <c:ser>
          <c:idx val="0"/>
          <c:order val="1"/>
          <c:tx>
            <c:v>2030</c:v>
          </c:tx>
          <c:spPr>
            <a:solidFill>
              <a:schemeClr val="accent1"/>
            </a:solidFill>
            <a:ln>
              <a:noFill/>
            </a:ln>
            <a:effectLst/>
          </c:spPr>
          <c:invertIfNegative val="0"/>
          <c:cat>
            <c:strRef>
              <c:f>'Figurer utsläpp'!$A$1:$C$1</c:f>
              <c:strCache>
                <c:ptCount val="3"/>
                <c:pt idx="0">
                  <c:v>Referensscenario</c:v>
                </c:pt>
                <c:pt idx="1">
                  <c:v>Scenario 1</c:v>
                </c:pt>
                <c:pt idx="2">
                  <c:v>Scenario 2</c:v>
                </c:pt>
              </c:strCache>
            </c:strRef>
          </c:cat>
          <c:val>
            <c:numRef>
              <c:f>(Resultat!$D$48,Resultat!$F$48,Resultat!$H$48)</c:f>
              <c:numCache>
                <c:formatCode>#\ ##0.0</c:formatCode>
                <c:ptCount val="3"/>
                <c:pt idx="0">
                  <c:v>0.16043102663443456</c:v>
                </c:pt>
                <c:pt idx="1">
                  <c:v>0.16137072148021758</c:v>
                </c:pt>
                <c:pt idx="2">
                  <c:v>0.16137072148021758</c:v>
                </c:pt>
              </c:numCache>
            </c:numRef>
          </c:val>
          <c:extLst>
            <c:ext xmlns:c16="http://schemas.microsoft.com/office/drawing/2014/chart" uri="{C3380CC4-5D6E-409C-BE32-E72D297353CC}">
              <c16:uniqueId val="{00000001-D462-4F4F-A629-88CF9AA8CD73}"/>
            </c:ext>
          </c:extLst>
        </c:ser>
        <c:ser>
          <c:idx val="1"/>
          <c:order val="2"/>
          <c:tx>
            <c:v>2040</c:v>
          </c:tx>
          <c:spPr>
            <a:solidFill>
              <a:schemeClr val="accent2"/>
            </a:solidFill>
            <a:ln>
              <a:noFill/>
            </a:ln>
            <a:effectLst/>
          </c:spPr>
          <c:invertIfNegative val="0"/>
          <c:cat>
            <c:strRef>
              <c:f>'Figurer utsläpp'!$A$1:$C$1</c:f>
              <c:strCache>
                <c:ptCount val="3"/>
                <c:pt idx="0">
                  <c:v>Referensscenario</c:v>
                </c:pt>
                <c:pt idx="1">
                  <c:v>Scenario 1</c:v>
                </c:pt>
                <c:pt idx="2">
                  <c:v>Scenario 2</c:v>
                </c:pt>
              </c:strCache>
            </c:strRef>
          </c:cat>
          <c:val>
            <c:numRef>
              <c:f>(Resultat!$E$48,Resultat!$G$48,Resultat!$I$48)</c:f>
              <c:numCache>
                <c:formatCode>#\ ##0.0</c:formatCode>
                <c:ptCount val="3"/>
                <c:pt idx="0">
                  <c:v>0.13372072886924891</c:v>
                </c:pt>
                <c:pt idx="1">
                  <c:v>0.13436657314379757</c:v>
                </c:pt>
                <c:pt idx="2">
                  <c:v>0.13436657314379757</c:v>
                </c:pt>
              </c:numCache>
            </c:numRef>
          </c:val>
          <c:extLst>
            <c:ext xmlns:c16="http://schemas.microsoft.com/office/drawing/2014/chart" uri="{C3380CC4-5D6E-409C-BE32-E72D297353CC}">
              <c16:uniqueId val="{00000002-D462-4F4F-A629-88CF9AA8CD73}"/>
            </c:ext>
          </c:extLst>
        </c:ser>
        <c:dLbls>
          <c:showLegendKey val="0"/>
          <c:showVal val="0"/>
          <c:showCatName val="0"/>
          <c:showSerName val="0"/>
          <c:showPercent val="0"/>
          <c:showBubbleSize val="0"/>
        </c:dLbls>
        <c:gapWidth val="219"/>
        <c:overlap val="-27"/>
        <c:axId val="515645312"/>
        <c:axId val="515650232"/>
      </c:barChart>
      <c:catAx>
        <c:axId val="515645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650232"/>
        <c:crosses val="autoZero"/>
        <c:auto val="1"/>
        <c:lblAlgn val="ctr"/>
        <c:lblOffset val="100"/>
        <c:noMultiLvlLbl val="0"/>
      </c:catAx>
      <c:valAx>
        <c:axId val="5156502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sv-SE"/>
                  <a:t>Tusen ton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645312"/>
        <c:crosses val="autoZero"/>
        <c:crossBetween val="between"/>
      </c:valAx>
      <c:spPr>
        <a:noFill/>
        <a:ln>
          <a:noFill/>
        </a:ln>
        <a:effectLst/>
      </c:spPr>
    </c:plotArea>
    <c:legend>
      <c:legendPos val="r"/>
      <c:layout>
        <c:manualLayout>
          <c:xMode val="edge"/>
          <c:yMode val="edge"/>
          <c:x val="0.87187073490813649"/>
          <c:y val="0.10726778944298625"/>
          <c:w val="0.10240184443204278"/>
          <c:h val="0.250001749781277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sv-SE"/>
              <a:t>PMslitage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4103937007874015"/>
          <c:y val="5.0925925925925923E-2"/>
          <c:w val="0.82840507436570421"/>
          <c:h val="0.83704505686789155"/>
        </c:manualLayout>
      </c:layout>
      <c:barChart>
        <c:barDir val="col"/>
        <c:grouping val="clustered"/>
        <c:varyColors val="0"/>
        <c:ser>
          <c:idx val="2"/>
          <c:order val="0"/>
          <c:tx>
            <c:v>2010</c:v>
          </c:tx>
          <c:spPr>
            <a:solidFill>
              <a:schemeClr val="accent3"/>
            </a:solidFill>
            <a:ln>
              <a:noFill/>
            </a:ln>
            <a:effectLst/>
          </c:spPr>
          <c:invertIfNegative val="0"/>
          <c:val>
            <c:numRef>
              <c:f>'Indata - Utsläpp'!$B$25</c:f>
              <c:numCache>
                <c:formatCode>0.00</c:formatCode>
                <c:ptCount val="1"/>
                <c:pt idx="0">
                  <c:v>13.957799999999999</c:v>
                </c:pt>
              </c:numCache>
            </c:numRef>
          </c:val>
          <c:extLst>
            <c:ext xmlns:c16="http://schemas.microsoft.com/office/drawing/2014/chart" uri="{C3380CC4-5D6E-409C-BE32-E72D297353CC}">
              <c16:uniqueId val="{00000002-4892-4AB7-8AF9-1D0163CFC37F}"/>
            </c:ext>
          </c:extLst>
        </c:ser>
        <c:ser>
          <c:idx val="0"/>
          <c:order val="1"/>
          <c:tx>
            <c:v>2030</c:v>
          </c:tx>
          <c:spPr>
            <a:solidFill>
              <a:schemeClr val="accent1"/>
            </a:solidFill>
            <a:ln>
              <a:noFill/>
            </a:ln>
            <a:effectLst/>
          </c:spPr>
          <c:invertIfNegative val="0"/>
          <c:cat>
            <c:strRef>
              <c:f>'Figurer utsläpp'!$A$1:$C$1</c:f>
              <c:strCache>
                <c:ptCount val="3"/>
                <c:pt idx="0">
                  <c:v>Referensscenario</c:v>
                </c:pt>
                <c:pt idx="1">
                  <c:v>Scenario 1</c:v>
                </c:pt>
                <c:pt idx="2">
                  <c:v>Scenario 2</c:v>
                </c:pt>
              </c:strCache>
            </c:strRef>
          </c:cat>
          <c:val>
            <c:numRef>
              <c:f>(Resultat!$D$52,Resultat!$F$52,Resultat!$H$52)</c:f>
              <c:numCache>
                <c:formatCode>#\ ##0.0</c:formatCode>
                <c:ptCount val="3"/>
                <c:pt idx="0">
                  <c:v>18.846304382759293</c:v>
                </c:pt>
                <c:pt idx="1">
                  <c:v>18.975185667860277</c:v>
                </c:pt>
                <c:pt idx="2">
                  <c:v>18.975185667860277</c:v>
                </c:pt>
              </c:numCache>
            </c:numRef>
          </c:val>
          <c:extLst>
            <c:ext xmlns:c16="http://schemas.microsoft.com/office/drawing/2014/chart" uri="{C3380CC4-5D6E-409C-BE32-E72D297353CC}">
              <c16:uniqueId val="{00000000-4892-4AB7-8AF9-1D0163CFC37F}"/>
            </c:ext>
          </c:extLst>
        </c:ser>
        <c:ser>
          <c:idx val="1"/>
          <c:order val="2"/>
          <c:tx>
            <c:v>2040</c:v>
          </c:tx>
          <c:spPr>
            <a:solidFill>
              <a:schemeClr val="accent2"/>
            </a:solidFill>
            <a:ln>
              <a:noFill/>
            </a:ln>
            <a:effectLst/>
          </c:spPr>
          <c:invertIfNegative val="0"/>
          <c:cat>
            <c:strRef>
              <c:f>'Figurer utsläpp'!$A$1:$C$1</c:f>
              <c:strCache>
                <c:ptCount val="3"/>
                <c:pt idx="0">
                  <c:v>Referensscenario</c:v>
                </c:pt>
                <c:pt idx="1">
                  <c:v>Scenario 1</c:v>
                </c:pt>
                <c:pt idx="2">
                  <c:v>Scenario 2</c:v>
                </c:pt>
              </c:strCache>
            </c:strRef>
          </c:cat>
          <c:val>
            <c:numRef>
              <c:f>(Resultat!$E$52,Resultat!$G$52,Resultat!$I$52)</c:f>
              <c:numCache>
                <c:formatCode>#\ ##0.0</c:formatCode>
                <c:ptCount val="3"/>
                <c:pt idx="0">
                  <c:v>21.462424372705144</c:v>
                </c:pt>
                <c:pt idx="1">
                  <c:v>21.586461307597993</c:v>
                </c:pt>
                <c:pt idx="2">
                  <c:v>21.586461307597993</c:v>
                </c:pt>
              </c:numCache>
            </c:numRef>
          </c:val>
          <c:extLst>
            <c:ext xmlns:c16="http://schemas.microsoft.com/office/drawing/2014/chart" uri="{C3380CC4-5D6E-409C-BE32-E72D297353CC}">
              <c16:uniqueId val="{00000001-4892-4AB7-8AF9-1D0163CFC37F}"/>
            </c:ext>
          </c:extLst>
        </c:ser>
        <c:dLbls>
          <c:showLegendKey val="0"/>
          <c:showVal val="0"/>
          <c:showCatName val="0"/>
          <c:showSerName val="0"/>
          <c:showPercent val="0"/>
          <c:showBubbleSize val="0"/>
        </c:dLbls>
        <c:gapWidth val="219"/>
        <c:overlap val="-27"/>
        <c:axId val="515645312"/>
        <c:axId val="515650232"/>
      </c:barChart>
      <c:catAx>
        <c:axId val="515645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650232"/>
        <c:crosses val="autoZero"/>
        <c:auto val="1"/>
        <c:lblAlgn val="ctr"/>
        <c:lblOffset val="100"/>
        <c:noMultiLvlLbl val="0"/>
      </c:catAx>
      <c:valAx>
        <c:axId val="5156502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sv-SE"/>
                  <a:t>Tusen ton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645312"/>
        <c:crosses val="autoZero"/>
        <c:crossBetween val="between"/>
      </c:valAx>
      <c:spPr>
        <a:noFill/>
        <a:ln>
          <a:noFill/>
        </a:ln>
        <a:effectLst/>
      </c:spPr>
    </c:plotArea>
    <c:legend>
      <c:legendPos val="r"/>
      <c:layout>
        <c:manualLayout>
          <c:xMode val="edge"/>
          <c:yMode val="edge"/>
          <c:x val="0.87187084285475569"/>
          <c:y val="4.6872799436655781E-2"/>
          <c:w val="0.10219187901280559"/>
          <c:h val="0.2527697095598815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sv-SE"/>
              <a:t>NOx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4103941272528872"/>
          <c:y val="5.0925951329254572E-2"/>
          <c:w val="0.82840507436570421"/>
          <c:h val="0.83704505686789155"/>
        </c:manualLayout>
      </c:layout>
      <c:barChart>
        <c:barDir val="col"/>
        <c:grouping val="clustered"/>
        <c:varyColors val="0"/>
        <c:ser>
          <c:idx val="2"/>
          <c:order val="0"/>
          <c:tx>
            <c:v>2010</c:v>
          </c:tx>
          <c:spPr>
            <a:solidFill>
              <a:schemeClr val="accent3"/>
            </a:solidFill>
            <a:ln>
              <a:noFill/>
            </a:ln>
            <a:effectLst/>
          </c:spPr>
          <c:invertIfNegative val="0"/>
          <c:val>
            <c:numRef>
              <c:f>'Indata - Utsläpp'!$B$26</c:f>
              <c:numCache>
                <c:formatCode>0.00</c:formatCode>
                <c:ptCount val="1"/>
                <c:pt idx="0">
                  <c:v>59.854699999999994</c:v>
                </c:pt>
              </c:numCache>
            </c:numRef>
          </c:val>
          <c:extLst>
            <c:ext xmlns:c16="http://schemas.microsoft.com/office/drawing/2014/chart" uri="{C3380CC4-5D6E-409C-BE32-E72D297353CC}">
              <c16:uniqueId val="{00000000-811A-462E-A762-38CF8897AFCF}"/>
            </c:ext>
          </c:extLst>
        </c:ser>
        <c:ser>
          <c:idx val="0"/>
          <c:order val="1"/>
          <c:tx>
            <c:v>2030</c:v>
          </c:tx>
          <c:spPr>
            <a:solidFill>
              <a:schemeClr val="accent1"/>
            </a:solidFill>
            <a:ln>
              <a:noFill/>
            </a:ln>
            <a:effectLst/>
          </c:spPr>
          <c:invertIfNegative val="0"/>
          <c:cat>
            <c:strRef>
              <c:f>'Figurer utsläpp'!$A$1:$C$1</c:f>
              <c:strCache>
                <c:ptCount val="3"/>
                <c:pt idx="0">
                  <c:v>Referensscenario</c:v>
                </c:pt>
                <c:pt idx="1">
                  <c:v>Scenario 1</c:v>
                </c:pt>
                <c:pt idx="2">
                  <c:v>Scenario 2</c:v>
                </c:pt>
              </c:strCache>
            </c:strRef>
          </c:cat>
          <c:val>
            <c:numRef>
              <c:f>(Resultat!$D$44,Resultat!$F$44,Resultat!$H$44)</c:f>
              <c:numCache>
                <c:formatCode>#\ ##0.0</c:formatCode>
                <c:ptCount val="3"/>
                <c:pt idx="0">
                  <c:v>9.8222848467547585</c:v>
                </c:pt>
                <c:pt idx="1">
                  <c:v>9.8797397589492117</c:v>
                </c:pt>
                <c:pt idx="2">
                  <c:v>9.8797397589492117</c:v>
                </c:pt>
              </c:numCache>
            </c:numRef>
          </c:val>
          <c:extLst>
            <c:ext xmlns:c16="http://schemas.microsoft.com/office/drawing/2014/chart" uri="{C3380CC4-5D6E-409C-BE32-E72D297353CC}">
              <c16:uniqueId val="{00000001-811A-462E-A762-38CF8897AFCF}"/>
            </c:ext>
          </c:extLst>
        </c:ser>
        <c:ser>
          <c:idx val="1"/>
          <c:order val="2"/>
          <c:tx>
            <c:v>2040</c:v>
          </c:tx>
          <c:spPr>
            <a:solidFill>
              <a:schemeClr val="accent2"/>
            </a:solidFill>
            <a:ln>
              <a:noFill/>
            </a:ln>
            <a:effectLst/>
          </c:spPr>
          <c:invertIfNegative val="0"/>
          <c:cat>
            <c:strRef>
              <c:f>'Figurer utsläpp'!$A$1:$C$1</c:f>
              <c:strCache>
                <c:ptCount val="3"/>
                <c:pt idx="0">
                  <c:v>Referensscenario</c:v>
                </c:pt>
                <c:pt idx="1">
                  <c:v>Scenario 1</c:v>
                </c:pt>
                <c:pt idx="2">
                  <c:v>Scenario 2</c:v>
                </c:pt>
              </c:strCache>
            </c:strRef>
          </c:cat>
          <c:val>
            <c:numRef>
              <c:f>(Resultat!$E$44,Resultat!$G$44,Resultat!$I$44)</c:f>
              <c:numCache>
                <c:formatCode>#\ ##0.0</c:formatCode>
                <c:ptCount val="3"/>
                <c:pt idx="0">
                  <c:v>6.331070923366525</c:v>
                </c:pt>
                <c:pt idx="1">
                  <c:v>6.3589903867164423</c:v>
                </c:pt>
                <c:pt idx="2">
                  <c:v>6.3589903867164423</c:v>
                </c:pt>
              </c:numCache>
            </c:numRef>
          </c:val>
          <c:extLst>
            <c:ext xmlns:c16="http://schemas.microsoft.com/office/drawing/2014/chart" uri="{C3380CC4-5D6E-409C-BE32-E72D297353CC}">
              <c16:uniqueId val="{00000002-811A-462E-A762-38CF8897AFCF}"/>
            </c:ext>
          </c:extLst>
        </c:ser>
        <c:dLbls>
          <c:showLegendKey val="0"/>
          <c:showVal val="0"/>
          <c:showCatName val="0"/>
          <c:showSerName val="0"/>
          <c:showPercent val="0"/>
          <c:showBubbleSize val="0"/>
        </c:dLbls>
        <c:gapWidth val="219"/>
        <c:overlap val="-27"/>
        <c:axId val="515645312"/>
        <c:axId val="515650232"/>
      </c:barChart>
      <c:catAx>
        <c:axId val="515645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650232"/>
        <c:crosses val="autoZero"/>
        <c:auto val="1"/>
        <c:lblAlgn val="ctr"/>
        <c:lblOffset val="100"/>
        <c:noMultiLvlLbl val="0"/>
      </c:catAx>
      <c:valAx>
        <c:axId val="5156502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sv-SE"/>
                  <a:t>Tusen ton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645312"/>
        <c:crosses val="autoZero"/>
        <c:crossBetween val="between"/>
      </c:valAx>
      <c:spPr>
        <a:noFill/>
        <a:ln>
          <a:noFill/>
        </a:ln>
        <a:effectLst/>
      </c:spPr>
    </c:plotArea>
    <c:legend>
      <c:legendPos val="r"/>
      <c:layout>
        <c:manualLayout>
          <c:xMode val="edge"/>
          <c:yMode val="edge"/>
          <c:x val="0.89859694041585569"/>
          <c:y val="4.6872836547605462E-2"/>
          <c:w val="9.4054726206209582E-2"/>
          <c:h val="0.2351932837663584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sv-SE"/>
              <a:t>CO2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4103937007874015"/>
          <c:y val="5.0925925925925923E-2"/>
          <c:w val="0.82840507436570421"/>
          <c:h val="0.83704505686789155"/>
        </c:manualLayout>
      </c:layout>
      <c:barChart>
        <c:barDir val="col"/>
        <c:grouping val="clustered"/>
        <c:varyColors val="0"/>
        <c:ser>
          <c:idx val="2"/>
          <c:order val="0"/>
          <c:tx>
            <c:v>2010</c:v>
          </c:tx>
          <c:spPr>
            <a:solidFill>
              <a:schemeClr val="accent3"/>
            </a:solidFill>
            <a:ln>
              <a:noFill/>
            </a:ln>
            <a:effectLst/>
          </c:spPr>
          <c:invertIfNegative val="0"/>
          <c:val>
            <c:numRef>
              <c:f>'Indata - Utsläpp'!$B$12</c:f>
              <c:numCache>
                <c:formatCode>0.0</c:formatCode>
                <c:ptCount val="1"/>
                <c:pt idx="0">
                  <c:v>18.896000000000001</c:v>
                </c:pt>
              </c:numCache>
            </c:numRef>
          </c:val>
          <c:extLst>
            <c:ext xmlns:c16="http://schemas.microsoft.com/office/drawing/2014/chart" uri="{C3380CC4-5D6E-409C-BE32-E72D297353CC}">
              <c16:uniqueId val="{00000000-DB7A-47E8-879A-92050C9DDFC7}"/>
            </c:ext>
          </c:extLst>
        </c:ser>
        <c:ser>
          <c:idx val="0"/>
          <c:order val="1"/>
          <c:tx>
            <c:v>2030</c:v>
          </c:tx>
          <c:spPr>
            <a:solidFill>
              <a:schemeClr val="accent1"/>
            </a:solidFill>
            <a:ln>
              <a:noFill/>
            </a:ln>
            <a:effectLst/>
          </c:spPr>
          <c:invertIfNegative val="0"/>
          <c:cat>
            <c:strRef>
              <c:f>'Figurer utsläpp'!$A$1:$C$1</c:f>
              <c:strCache>
                <c:ptCount val="3"/>
                <c:pt idx="0">
                  <c:v>Referensscenario</c:v>
                </c:pt>
                <c:pt idx="1">
                  <c:v>Scenario 1</c:v>
                </c:pt>
                <c:pt idx="2">
                  <c:v>Scenario 2</c:v>
                </c:pt>
              </c:strCache>
            </c:strRef>
          </c:cat>
          <c:val>
            <c:numRef>
              <c:f>(Resultat!$D$40,Resultat!$F$40,Resultat!$H$40)</c:f>
              <c:numCache>
                <c:formatCode>#\ ##0.0</c:formatCode>
                <c:ptCount val="3"/>
                <c:pt idx="0">
                  <c:v>11.21232171264937</c:v>
                </c:pt>
                <c:pt idx="1">
                  <c:v>11.274818613149657</c:v>
                </c:pt>
                <c:pt idx="2">
                  <c:v>11.274818613149657</c:v>
                </c:pt>
              </c:numCache>
            </c:numRef>
          </c:val>
          <c:extLst>
            <c:ext xmlns:c16="http://schemas.microsoft.com/office/drawing/2014/chart" uri="{C3380CC4-5D6E-409C-BE32-E72D297353CC}">
              <c16:uniqueId val="{00000001-DB7A-47E8-879A-92050C9DDFC7}"/>
            </c:ext>
          </c:extLst>
        </c:ser>
        <c:ser>
          <c:idx val="1"/>
          <c:order val="2"/>
          <c:tx>
            <c:v>2040</c:v>
          </c:tx>
          <c:spPr>
            <a:solidFill>
              <a:schemeClr val="accent2"/>
            </a:solidFill>
            <a:ln>
              <a:noFill/>
            </a:ln>
            <a:effectLst/>
          </c:spPr>
          <c:invertIfNegative val="0"/>
          <c:cat>
            <c:strRef>
              <c:f>'Figurer utsläpp'!$A$1:$C$1</c:f>
              <c:strCache>
                <c:ptCount val="3"/>
                <c:pt idx="0">
                  <c:v>Referensscenario</c:v>
                </c:pt>
                <c:pt idx="1">
                  <c:v>Scenario 1</c:v>
                </c:pt>
                <c:pt idx="2">
                  <c:v>Scenario 2</c:v>
                </c:pt>
              </c:strCache>
            </c:strRef>
          </c:cat>
          <c:val>
            <c:numRef>
              <c:f>(Resultat!$E$40,Resultat!$G$40,Resultat!$I$40)</c:f>
              <c:numCache>
                <c:formatCode>#\ ##0.0</c:formatCode>
                <c:ptCount val="3"/>
                <c:pt idx="0">
                  <c:v>8.2826821776793018</c:v>
                </c:pt>
                <c:pt idx="1">
                  <c:v>8.3196470569732099</c:v>
                </c:pt>
                <c:pt idx="2">
                  <c:v>8.3196470569732099</c:v>
                </c:pt>
              </c:numCache>
            </c:numRef>
          </c:val>
          <c:extLst>
            <c:ext xmlns:c16="http://schemas.microsoft.com/office/drawing/2014/chart" uri="{C3380CC4-5D6E-409C-BE32-E72D297353CC}">
              <c16:uniqueId val="{00000002-DB7A-47E8-879A-92050C9DDFC7}"/>
            </c:ext>
          </c:extLst>
        </c:ser>
        <c:dLbls>
          <c:showLegendKey val="0"/>
          <c:showVal val="0"/>
          <c:showCatName val="0"/>
          <c:showSerName val="0"/>
          <c:showPercent val="0"/>
          <c:showBubbleSize val="0"/>
        </c:dLbls>
        <c:gapWidth val="219"/>
        <c:overlap val="-27"/>
        <c:axId val="515645312"/>
        <c:axId val="515650232"/>
      </c:barChart>
      <c:catAx>
        <c:axId val="515645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650232"/>
        <c:crosses val="autoZero"/>
        <c:auto val="1"/>
        <c:lblAlgn val="ctr"/>
        <c:lblOffset val="100"/>
        <c:noMultiLvlLbl val="0"/>
      </c:catAx>
      <c:valAx>
        <c:axId val="5156502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sv-SE"/>
                  <a:t>Miljoner ton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645312"/>
        <c:crosses val="autoZero"/>
        <c:crossBetween val="between"/>
      </c:valAx>
      <c:spPr>
        <a:noFill/>
        <a:ln>
          <a:noFill/>
        </a:ln>
        <a:effectLst/>
      </c:spPr>
    </c:plotArea>
    <c:legend>
      <c:legendPos val="r"/>
      <c:layout>
        <c:manualLayout>
          <c:xMode val="edge"/>
          <c:yMode val="edge"/>
          <c:x val="0.87187084285475569"/>
          <c:y val="4.6872799436655781E-2"/>
          <c:w val="0.10219187901280559"/>
          <c:h val="0.2527697095598815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intercept val="0"/>
            <c:dispRSqr val="0"/>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Elektrifiering!$B$5:$W$5</c:f>
              <c:numCache>
                <c:formatCode>General</c:formatCode>
                <c:ptCount val="22"/>
                <c:pt idx="0">
                  <c:v>0</c:v>
                </c:pt>
                <c:pt idx="1">
                  <c:v>1</c:v>
                </c:pt>
                <c:pt idx="2">
                  <c:v>100</c:v>
                </c:pt>
                <c:pt idx="3">
                  <c:v>200</c:v>
                </c:pt>
                <c:pt idx="4">
                  <c:v>300</c:v>
                </c:pt>
                <c:pt idx="5">
                  <c:v>400</c:v>
                </c:pt>
                <c:pt idx="6">
                  <c:v>500</c:v>
                </c:pt>
                <c:pt idx="7">
                  <c:v>600</c:v>
                </c:pt>
                <c:pt idx="8">
                  <c:v>700</c:v>
                </c:pt>
                <c:pt idx="9">
                  <c:v>800</c:v>
                </c:pt>
                <c:pt idx="10">
                  <c:v>900</c:v>
                </c:pt>
                <c:pt idx="11">
                  <c:v>1000</c:v>
                </c:pt>
                <c:pt idx="12">
                  <c:v>1100</c:v>
                </c:pt>
                <c:pt idx="13">
                  <c:v>1200</c:v>
                </c:pt>
                <c:pt idx="14">
                  <c:v>1300</c:v>
                </c:pt>
                <c:pt idx="15">
                  <c:v>1400</c:v>
                </c:pt>
                <c:pt idx="16">
                  <c:v>1500</c:v>
                </c:pt>
                <c:pt idx="17">
                  <c:v>1600</c:v>
                </c:pt>
                <c:pt idx="18">
                  <c:v>1700</c:v>
                </c:pt>
                <c:pt idx="19">
                  <c:v>1800</c:v>
                </c:pt>
                <c:pt idx="20">
                  <c:v>1900</c:v>
                </c:pt>
                <c:pt idx="21">
                  <c:v>2000</c:v>
                </c:pt>
              </c:numCache>
            </c:numRef>
          </c:xVal>
          <c:yVal>
            <c:numRef>
              <c:f>Elektrifiering!$B$6:$W$6</c:f>
              <c:numCache>
                <c:formatCode>General</c:formatCode>
                <c:ptCount val="22"/>
                <c:pt idx="0">
                  <c:v>0</c:v>
                </c:pt>
                <c:pt idx="4">
                  <c:v>1900</c:v>
                </c:pt>
                <c:pt idx="11">
                  <c:v>6000</c:v>
                </c:pt>
                <c:pt idx="15">
                  <c:v>8200</c:v>
                </c:pt>
                <c:pt idx="17">
                  <c:v>9000</c:v>
                </c:pt>
              </c:numCache>
            </c:numRef>
          </c:yVal>
          <c:smooth val="0"/>
          <c:extLst>
            <c:ext xmlns:c16="http://schemas.microsoft.com/office/drawing/2014/chart" uri="{C3380CC4-5D6E-409C-BE32-E72D297353CC}">
              <c16:uniqueId val="{00000000-4F20-44EF-8F2D-1135C85FCD55}"/>
            </c:ext>
          </c:extLst>
        </c:ser>
        <c:ser>
          <c:idx val="1"/>
          <c:order val="1"/>
          <c:tx>
            <c:strRef>
              <c:f>Elektrifiering!$A$7</c:f>
              <c:strCache>
                <c:ptCount val="1"/>
                <c:pt idx="0">
                  <c:v>y-station subsidy</c:v>
                </c:pt>
              </c:strCache>
            </c:strRef>
          </c:tx>
          <c:spPr>
            <a:ln w="2540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og"/>
            <c:dispRSqr val="0"/>
            <c:dispEq val="0"/>
          </c:trendline>
          <c:xVal>
            <c:numRef>
              <c:f>Elektrifiering!$C$5:$W$5</c:f>
              <c:numCache>
                <c:formatCode>General</c:formatCode>
                <c:ptCount val="21"/>
                <c:pt idx="0">
                  <c:v>1</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pt idx="16">
                  <c:v>1600</c:v>
                </c:pt>
                <c:pt idx="17">
                  <c:v>1700</c:v>
                </c:pt>
                <c:pt idx="18">
                  <c:v>1800</c:v>
                </c:pt>
                <c:pt idx="19">
                  <c:v>1900</c:v>
                </c:pt>
                <c:pt idx="20">
                  <c:v>2000</c:v>
                </c:pt>
              </c:numCache>
            </c:numRef>
          </c:xVal>
          <c:yVal>
            <c:numRef>
              <c:f>Elektrifiering!$C$7:$W$7</c:f>
              <c:numCache>
                <c:formatCode>General</c:formatCode>
                <c:ptCount val="21"/>
                <c:pt idx="0">
                  <c:v>1</c:v>
                </c:pt>
                <c:pt idx="2">
                  <c:v>2500</c:v>
                </c:pt>
                <c:pt idx="5">
                  <c:v>4100</c:v>
                </c:pt>
                <c:pt idx="7">
                  <c:v>4600</c:v>
                </c:pt>
                <c:pt idx="10">
                  <c:v>5600</c:v>
                </c:pt>
                <c:pt idx="11">
                  <c:v>5800</c:v>
                </c:pt>
                <c:pt idx="12">
                  <c:v>6000</c:v>
                </c:pt>
                <c:pt idx="20">
                  <c:v>7800</c:v>
                </c:pt>
              </c:numCache>
            </c:numRef>
          </c:yVal>
          <c:smooth val="0"/>
          <c:extLst>
            <c:ext xmlns:c16="http://schemas.microsoft.com/office/drawing/2014/chart" uri="{C3380CC4-5D6E-409C-BE32-E72D297353CC}">
              <c16:uniqueId val="{00000001-4F20-44EF-8F2D-1135C85FCD55}"/>
            </c:ext>
          </c:extLst>
        </c:ser>
        <c:ser>
          <c:idx val="2"/>
          <c:order val="2"/>
          <c:tx>
            <c:strRef>
              <c:f>Elektrifiering!$B$5:$W$5</c:f>
              <c:strCache>
                <c:ptCount val="22"/>
                <c:pt idx="0">
                  <c:v>0</c:v>
                </c:pt>
                <c:pt idx="1">
                  <c:v>1</c:v>
                </c:pt>
                <c:pt idx="2">
                  <c:v>100</c:v>
                </c:pt>
                <c:pt idx="3">
                  <c:v>200</c:v>
                </c:pt>
                <c:pt idx="4">
                  <c:v>300</c:v>
                </c:pt>
                <c:pt idx="5">
                  <c:v>400</c:v>
                </c:pt>
                <c:pt idx="6">
                  <c:v>500</c:v>
                </c:pt>
                <c:pt idx="7">
                  <c:v>600</c:v>
                </c:pt>
                <c:pt idx="8">
                  <c:v>700</c:v>
                </c:pt>
                <c:pt idx="9">
                  <c:v>800</c:v>
                </c:pt>
                <c:pt idx="10">
                  <c:v>900</c:v>
                </c:pt>
                <c:pt idx="11">
                  <c:v>1000</c:v>
                </c:pt>
                <c:pt idx="12">
                  <c:v>1100</c:v>
                </c:pt>
                <c:pt idx="13">
                  <c:v>1200</c:v>
                </c:pt>
                <c:pt idx="14">
                  <c:v>1300</c:v>
                </c:pt>
                <c:pt idx="15">
                  <c:v>1400</c:v>
                </c:pt>
                <c:pt idx="16">
                  <c:v>1500</c:v>
                </c:pt>
                <c:pt idx="17">
                  <c:v>1600</c:v>
                </c:pt>
                <c:pt idx="18">
                  <c:v>1700</c:v>
                </c:pt>
                <c:pt idx="19">
                  <c:v>1800</c:v>
                </c:pt>
                <c:pt idx="20">
                  <c:v>1900</c:v>
                </c:pt>
                <c:pt idx="21">
                  <c:v>2000</c:v>
                </c:pt>
              </c:strCache>
            </c:strRef>
          </c:tx>
          <c:spPr>
            <a:ln w="25400" cap="rnd">
              <a:solidFill>
                <a:schemeClr val="accent1"/>
              </a:solidFill>
              <a:round/>
            </a:ln>
            <a:effectLst/>
          </c:spPr>
          <c:marker>
            <c:symbol val="circle"/>
            <c:size val="5"/>
            <c:spPr>
              <a:solidFill>
                <a:schemeClr val="accent3"/>
              </a:solidFill>
              <a:ln w="9525">
                <a:solidFill>
                  <a:schemeClr val="accent3"/>
                </a:solidFill>
              </a:ln>
              <a:effectLst/>
            </c:spPr>
          </c:marker>
          <c:xVal>
            <c:numRef>
              <c:f>Elektrifiering!$C$5:$W$5</c:f>
              <c:numCache>
                <c:formatCode>General</c:formatCode>
                <c:ptCount val="21"/>
                <c:pt idx="0">
                  <c:v>1</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pt idx="16">
                  <c:v>1600</c:v>
                </c:pt>
                <c:pt idx="17">
                  <c:v>1700</c:v>
                </c:pt>
                <c:pt idx="18">
                  <c:v>1800</c:v>
                </c:pt>
                <c:pt idx="19">
                  <c:v>1900</c:v>
                </c:pt>
                <c:pt idx="20">
                  <c:v>2000</c:v>
                </c:pt>
              </c:numCache>
            </c:numRef>
          </c:xVal>
          <c:yVal>
            <c:numRef>
              <c:f>Elektrifiering!$C$8:$W$8</c:f>
              <c:numCache>
                <c:formatCode>General</c:formatCode>
                <c:ptCount val="21"/>
                <c:pt idx="0">
                  <c:v>0</c:v>
                </c:pt>
                <c:pt idx="1">
                  <c:v>4000</c:v>
                </c:pt>
                <c:pt idx="2">
                  <c:v>4602.0599913279621</c:v>
                </c:pt>
                <c:pt idx="3">
                  <c:v>4954.2425094393247</c:v>
                </c:pt>
                <c:pt idx="4">
                  <c:v>5204.1199826559241</c:v>
                </c:pt>
                <c:pt idx="5">
                  <c:v>5397.940008672037</c:v>
                </c:pt>
                <c:pt idx="6">
                  <c:v>5556.3025007672868</c:v>
                </c:pt>
                <c:pt idx="7">
                  <c:v>5690.1960800285133</c:v>
                </c:pt>
                <c:pt idx="8">
                  <c:v>5806.1799739838871</c:v>
                </c:pt>
                <c:pt idx="9">
                  <c:v>5908.4850188786495</c:v>
                </c:pt>
                <c:pt idx="10">
                  <c:v>5999.9999999999991</c:v>
                </c:pt>
                <c:pt idx="11">
                  <c:v>6082.7853703164492</c:v>
                </c:pt>
                <c:pt idx="12">
                  <c:v>6158.3624920952498</c:v>
                </c:pt>
                <c:pt idx="13">
                  <c:v>6227.8867046136729</c:v>
                </c:pt>
                <c:pt idx="14">
                  <c:v>6292.2560713564753</c:v>
                </c:pt>
                <c:pt idx="15">
                  <c:v>6352.1825181113618</c:v>
                </c:pt>
                <c:pt idx="16">
                  <c:v>6408.2399653118491</c:v>
                </c:pt>
                <c:pt idx="17">
                  <c:v>6460.8978427565471</c:v>
                </c:pt>
                <c:pt idx="18">
                  <c:v>6510.5450102066125</c:v>
                </c:pt>
                <c:pt idx="19">
                  <c:v>6557.5072019056579</c:v>
                </c:pt>
                <c:pt idx="20">
                  <c:v>6602.0599913279621</c:v>
                </c:pt>
              </c:numCache>
            </c:numRef>
          </c:yVal>
          <c:smooth val="0"/>
          <c:extLst>
            <c:ext xmlns:c16="http://schemas.microsoft.com/office/drawing/2014/chart" uri="{C3380CC4-5D6E-409C-BE32-E72D297353CC}">
              <c16:uniqueId val="{00000002-4F20-44EF-8F2D-1135C85FCD55}"/>
            </c:ext>
          </c:extLst>
        </c:ser>
        <c:dLbls>
          <c:showLegendKey val="0"/>
          <c:showVal val="0"/>
          <c:showCatName val="0"/>
          <c:showSerName val="0"/>
          <c:showPercent val="0"/>
          <c:showBubbleSize val="0"/>
        </c:dLbls>
        <c:axId val="296027104"/>
        <c:axId val="296027760"/>
      </c:scatterChart>
      <c:valAx>
        <c:axId val="29602710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6027760"/>
        <c:crosses val="autoZero"/>
        <c:crossBetween val="midCat"/>
      </c:valAx>
      <c:valAx>
        <c:axId val="296027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602710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Distance</a:t>
            </a:r>
            <a:r>
              <a:rPr lang="en-US" baseline="0"/>
              <a:t> dependent costs [sek/km]</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'DL-truck costs_base'!$D$23</c:f>
              <c:strCache>
                <c:ptCount val="1"/>
                <c:pt idx="0">
                  <c:v>Fuel</c:v>
                </c:pt>
              </c:strCache>
            </c:strRef>
          </c:tx>
          <c:spPr>
            <a:solidFill>
              <a:schemeClr val="accent1"/>
            </a:solidFill>
            <a:ln>
              <a:noFill/>
            </a:ln>
            <a:effectLst/>
          </c:spPr>
          <c:invertIfNegative val="0"/>
          <c:cat>
            <c:strRef>
              <c:f>('DL-truck costs_base'!$C$24:$C$28,'DL-truck costs_base'!$C$74:$C$78)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costs_base'!$D$24:$D$28,'DL-truck costs_base'!$D$74:$D$78)</c:f>
              <c:numCache>
                <c:formatCode>_-* #\ ##0.00\ [$kr-41D]_-;\-* #\ ##0.00\ [$kr-41D]_-;_-* "-"??\ [$kr-41D]_-;_-@_-</c:formatCode>
                <c:ptCount val="10"/>
                <c:pt idx="0">
                  <c:v>0.69408000000000003</c:v>
                </c:pt>
                <c:pt idx="1">
                  <c:v>1.5809600000000001</c:v>
                </c:pt>
                <c:pt idx="2">
                  <c:v>2.1400800000000002</c:v>
                </c:pt>
                <c:pt idx="3">
                  <c:v>2.6124400000000003</c:v>
                </c:pt>
                <c:pt idx="4">
                  <c:v>3.3932799999999999</c:v>
                </c:pt>
                <c:pt idx="5" formatCode="_(&quot;kr&quot;* #,##0.00_);_(&quot;kr&quot;* \(#,##0.00\);_(&quot;kr&quot;* &quot;-&quot;??_);_(@_)">
                  <c:v>0.62467200000000001</c:v>
                </c:pt>
                <c:pt idx="6" formatCode="_(&quot;kr&quot;* #,##0.00_);_(&quot;kr&quot;* \(#,##0.00\);_(&quot;kr&quot;* &quot;-&quot;??_);_(@_)">
                  <c:v>1.4228640000000001</c:v>
                </c:pt>
                <c:pt idx="7" formatCode="_(&quot;kr&quot;* #,##0.00_);_(&quot;kr&quot;* \(#,##0.00\);_(&quot;kr&quot;* &quot;-&quot;??_);_(@_)">
                  <c:v>1.9260720000000002</c:v>
                </c:pt>
                <c:pt idx="8" formatCode="_(&quot;kr&quot;* #,##0.00_);_(&quot;kr&quot;* \(#,##0.00\);_(&quot;kr&quot;* &quot;-&quot;??_);_(@_)">
                  <c:v>2.3511960000000003</c:v>
                </c:pt>
                <c:pt idx="9" formatCode="_(&quot;kr&quot;* #,##0.00_);_(&quot;kr&quot;* \(#,##0.00\);_(&quot;kr&quot;* &quot;-&quot;??_);_(@_)">
                  <c:v>3.0539519999999998</c:v>
                </c:pt>
              </c:numCache>
            </c:numRef>
          </c:val>
          <c:extLst>
            <c:ext xmlns:c16="http://schemas.microsoft.com/office/drawing/2014/chart" uri="{C3380CC4-5D6E-409C-BE32-E72D297353CC}">
              <c16:uniqueId val="{00000000-36B2-4DD4-A6E5-5490B54C981B}"/>
            </c:ext>
          </c:extLst>
        </c:ser>
        <c:ser>
          <c:idx val="1"/>
          <c:order val="1"/>
          <c:tx>
            <c:strRef>
              <c:f>'DL-truck costs_base'!$E$23</c:f>
              <c:strCache>
                <c:ptCount val="1"/>
                <c:pt idx="0">
                  <c:v>Maintenance</c:v>
                </c:pt>
              </c:strCache>
            </c:strRef>
          </c:tx>
          <c:spPr>
            <a:solidFill>
              <a:schemeClr val="accent2"/>
            </a:solidFill>
            <a:ln>
              <a:noFill/>
            </a:ln>
            <a:effectLst/>
          </c:spPr>
          <c:invertIfNegative val="0"/>
          <c:cat>
            <c:strRef>
              <c:f>('DL-truck costs_base'!$C$24:$C$28,'DL-truck costs_base'!$C$74:$C$78)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costs_base'!$E$24:$E$28,'DL-truck costs_base'!$E$74:$E$78)</c:f>
              <c:numCache>
                <c:formatCode>_-* #\ ##0.00\ [$kr-41D]_-;\-* #\ ##0.00\ [$kr-41D]_-;_-* "-"??\ [$kr-41D]_-;_-@_-</c:formatCode>
                <c:ptCount val="10"/>
                <c:pt idx="0">
                  <c:v>0.33</c:v>
                </c:pt>
                <c:pt idx="1">
                  <c:v>1.06</c:v>
                </c:pt>
                <c:pt idx="2">
                  <c:v>1.26</c:v>
                </c:pt>
                <c:pt idx="3">
                  <c:v>1.19</c:v>
                </c:pt>
                <c:pt idx="4">
                  <c:v>1.04</c:v>
                </c:pt>
                <c:pt idx="5" formatCode="_(&quot;kr&quot;* #,##0.00_);_(&quot;kr&quot;* \(#,##0.00\);_(&quot;kr&quot;* &quot;-&quot;??_);_(@_)">
                  <c:v>0.33</c:v>
                </c:pt>
                <c:pt idx="6" formatCode="_(&quot;kr&quot;* #,##0.00_);_(&quot;kr&quot;* \(#,##0.00\);_(&quot;kr&quot;* &quot;-&quot;??_);_(@_)">
                  <c:v>1.06</c:v>
                </c:pt>
                <c:pt idx="7" formatCode="_(&quot;kr&quot;* #,##0.00_);_(&quot;kr&quot;* \(#,##0.00\);_(&quot;kr&quot;* &quot;-&quot;??_);_(@_)">
                  <c:v>1.26</c:v>
                </c:pt>
                <c:pt idx="8" formatCode="_(&quot;kr&quot;* #,##0.00_);_(&quot;kr&quot;* \(#,##0.00\);_(&quot;kr&quot;* &quot;-&quot;??_);_(@_)">
                  <c:v>1.19</c:v>
                </c:pt>
                <c:pt idx="9" formatCode="_(&quot;kr&quot;* #,##0.00_);_(&quot;kr&quot;* \(#,##0.00\);_(&quot;kr&quot;* &quot;-&quot;??_);_(@_)">
                  <c:v>1.04</c:v>
                </c:pt>
              </c:numCache>
            </c:numRef>
          </c:val>
          <c:extLst>
            <c:ext xmlns:c16="http://schemas.microsoft.com/office/drawing/2014/chart" uri="{C3380CC4-5D6E-409C-BE32-E72D297353CC}">
              <c16:uniqueId val="{00000001-36B2-4DD4-A6E5-5490B54C981B}"/>
            </c:ext>
          </c:extLst>
        </c:ser>
        <c:ser>
          <c:idx val="2"/>
          <c:order val="2"/>
          <c:tx>
            <c:strRef>
              <c:f>'DL-truck costs_base'!$F$23</c:f>
              <c:strCache>
                <c:ptCount val="1"/>
                <c:pt idx="0">
                  <c:v>Tires</c:v>
                </c:pt>
              </c:strCache>
            </c:strRef>
          </c:tx>
          <c:spPr>
            <a:solidFill>
              <a:schemeClr val="accent3"/>
            </a:solidFill>
            <a:ln>
              <a:noFill/>
            </a:ln>
            <a:effectLst/>
          </c:spPr>
          <c:invertIfNegative val="0"/>
          <c:cat>
            <c:strRef>
              <c:f>('DL-truck costs_base'!$C$24:$C$28,'DL-truck costs_base'!$C$74:$C$78)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costs_base'!$F$24:$F$28,'DL-truck costs_base'!$F$74:$F$78)</c:f>
              <c:numCache>
                <c:formatCode>_-* #\ ##0.00\ [$kr-41D]_-;\-* #\ ##0.00\ [$kr-41D]_-;_-* "-"??\ [$kr-41D]_-;_-@_-</c:formatCode>
                <c:ptCount val="10"/>
                <c:pt idx="0">
                  <c:v>0.51</c:v>
                </c:pt>
                <c:pt idx="1">
                  <c:v>0.32</c:v>
                </c:pt>
                <c:pt idx="2">
                  <c:v>0.64</c:v>
                </c:pt>
                <c:pt idx="3">
                  <c:v>0.94</c:v>
                </c:pt>
                <c:pt idx="4">
                  <c:v>1.18</c:v>
                </c:pt>
                <c:pt idx="5" formatCode="_(&quot;kr&quot;* #,##0.00_);_(&quot;kr&quot;* \(#,##0.00\);_(&quot;kr&quot;* &quot;-&quot;??_);_(@_)">
                  <c:v>0.51</c:v>
                </c:pt>
                <c:pt idx="6" formatCode="_(&quot;kr&quot;* #,##0.00_);_(&quot;kr&quot;* \(#,##0.00\);_(&quot;kr&quot;* &quot;-&quot;??_);_(@_)">
                  <c:v>0.32</c:v>
                </c:pt>
                <c:pt idx="7" formatCode="_(&quot;kr&quot;* #,##0.00_);_(&quot;kr&quot;* \(#,##0.00\);_(&quot;kr&quot;* &quot;-&quot;??_);_(@_)">
                  <c:v>0.64</c:v>
                </c:pt>
                <c:pt idx="8" formatCode="_(&quot;kr&quot;* #,##0.00_);_(&quot;kr&quot;* \(#,##0.00\);_(&quot;kr&quot;* &quot;-&quot;??_);_(@_)">
                  <c:v>0.94</c:v>
                </c:pt>
                <c:pt idx="9" formatCode="_(&quot;kr&quot;* #,##0.00_);_(&quot;kr&quot;* \(#,##0.00\);_(&quot;kr&quot;* &quot;-&quot;??_);_(@_)">
                  <c:v>1.18</c:v>
                </c:pt>
              </c:numCache>
            </c:numRef>
          </c:val>
          <c:extLst>
            <c:ext xmlns:c16="http://schemas.microsoft.com/office/drawing/2014/chart" uri="{C3380CC4-5D6E-409C-BE32-E72D297353CC}">
              <c16:uniqueId val="{00000002-36B2-4DD4-A6E5-5490B54C981B}"/>
            </c:ext>
          </c:extLst>
        </c:ser>
        <c:ser>
          <c:idx val="3"/>
          <c:order val="3"/>
          <c:tx>
            <c:strRef>
              <c:f>'DL-truck costs_base'!$G$23</c:f>
              <c:strCache>
                <c:ptCount val="1"/>
                <c:pt idx="0">
                  <c:v>Depreciation</c:v>
                </c:pt>
              </c:strCache>
            </c:strRef>
          </c:tx>
          <c:spPr>
            <a:solidFill>
              <a:schemeClr val="accent4"/>
            </a:solidFill>
            <a:ln>
              <a:noFill/>
            </a:ln>
            <a:effectLst/>
          </c:spPr>
          <c:invertIfNegative val="0"/>
          <c:cat>
            <c:strRef>
              <c:f>('DL-truck costs_base'!$C$24:$C$28,'DL-truck costs_base'!$C$74:$C$78)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costs_base'!$G$24:$G$28,'DL-truck costs_base'!$G$74:$G$78)</c:f>
              <c:numCache>
                <c:formatCode>_-* #\ ##0.00\ [$kr-41D]_-;\-* #\ ##0.00\ [$kr-41D]_-;_-* "-"??\ [$kr-41D]_-;_-@_-</c:formatCode>
                <c:ptCount val="10"/>
                <c:pt idx="0">
                  <c:v>1.0266666666666666</c:v>
                </c:pt>
                <c:pt idx="1">
                  <c:v>1.6897222222222221</c:v>
                </c:pt>
                <c:pt idx="2">
                  <c:v>2.0664583333333333</c:v>
                </c:pt>
                <c:pt idx="3">
                  <c:v>1.7855999999999999</c:v>
                </c:pt>
                <c:pt idx="4">
                  <c:v>1.9536</c:v>
                </c:pt>
                <c:pt idx="5" formatCode="_(&quot;kr&quot;* #,##0.00_);_(&quot;kr&quot;* \(#,##0.00\);_(&quot;kr&quot;* &quot;-&quot;??_);_(@_)">
                  <c:v>1.0266666666666666</c:v>
                </c:pt>
                <c:pt idx="6" formatCode="_(&quot;kr&quot;* #,##0.00_);_(&quot;kr&quot;* \(#,##0.00\);_(&quot;kr&quot;* &quot;-&quot;??_);_(@_)">
                  <c:v>1.6897222222222221</c:v>
                </c:pt>
                <c:pt idx="7" formatCode="_(&quot;kr&quot;* #,##0.00_);_(&quot;kr&quot;* \(#,##0.00\);_(&quot;kr&quot;* &quot;-&quot;??_);_(@_)">
                  <c:v>2.0664583333333333</c:v>
                </c:pt>
                <c:pt idx="8" formatCode="_(&quot;kr&quot;* #,##0.00_);_(&quot;kr&quot;* \(#,##0.00\);_(&quot;kr&quot;* &quot;-&quot;??_);_(@_)">
                  <c:v>1.7855999999999996</c:v>
                </c:pt>
                <c:pt idx="9" formatCode="_(&quot;kr&quot;* #,##0.00_);_(&quot;kr&quot;* \(#,##0.00\);_(&quot;kr&quot;* &quot;-&quot;??_);_(@_)">
                  <c:v>1.9535999999999998</c:v>
                </c:pt>
              </c:numCache>
            </c:numRef>
          </c:val>
          <c:extLst>
            <c:ext xmlns:c16="http://schemas.microsoft.com/office/drawing/2014/chart" uri="{C3380CC4-5D6E-409C-BE32-E72D297353CC}">
              <c16:uniqueId val="{00000003-36B2-4DD4-A6E5-5490B54C981B}"/>
            </c:ext>
          </c:extLst>
        </c:ser>
        <c:dLbls>
          <c:showLegendKey val="0"/>
          <c:showVal val="0"/>
          <c:showCatName val="0"/>
          <c:showSerName val="0"/>
          <c:showPercent val="0"/>
          <c:showBubbleSize val="0"/>
        </c:dLbls>
        <c:gapWidth val="219"/>
        <c:overlap val="100"/>
        <c:axId val="856156488"/>
        <c:axId val="856156816"/>
      </c:barChart>
      <c:catAx>
        <c:axId val="856156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6156816"/>
        <c:crosses val="autoZero"/>
        <c:auto val="1"/>
        <c:lblAlgn val="ctr"/>
        <c:lblOffset val="100"/>
        <c:noMultiLvlLbl val="0"/>
      </c:catAx>
      <c:valAx>
        <c:axId val="856156816"/>
        <c:scaling>
          <c:orientation val="minMax"/>
        </c:scaling>
        <c:delete val="0"/>
        <c:axPos val="l"/>
        <c:majorGridlines>
          <c:spPr>
            <a:ln w="9525" cap="flat" cmpd="sng" algn="ctr">
              <a:solidFill>
                <a:schemeClr val="tx1">
                  <a:lumMod val="15000"/>
                  <a:lumOff val="85000"/>
                </a:schemeClr>
              </a:solidFill>
              <a:round/>
            </a:ln>
            <a:effectLst/>
          </c:spPr>
        </c:majorGridlines>
        <c:numFmt formatCode="_-* #\ ##0.00\ [$kr-41D]_-;\-* #\ ##0.00\ [$kr-41D]_-;_-* &quot;-&quot;??\ [$kr-41D]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61564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Distance</a:t>
            </a:r>
            <a:r>
              <a:rPr lang="en-US" baseline="0"/>
              <a:t> dependent costs [sek/km]</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tx>
            <c:strRef>
              <c:f>'DL-truck costs_base'!$D$23</c:f>
              <c:strCache>
                <c:ptCount val="1"/>
                <c:pt idx="0">
                  <c:v>Fuel</c:v>
                </c:pt>
              </c:strCache>
            </c:strRef>
          </c:tx>
          <c:spPr>
            <a:solidFill>
              <a:schemeClr val="accent1"/>
            </a:solidFill>
            <a:ln>
              <a:noFill/>
            </a:ln>
            <a:effectLst/>
          </c:spPr>
          <c:invertIfNegative val="0"/>
          <c:cat>
            <c:strRef>
              <c:f>('DL-truck costs_base'!$C$24:$C$28,'DL-truck costs_base'!$C$74:$C$78)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costs_base'!$D$24:$D$28,'DL-truck costs_base'!$D$74:$D$78)</c:f>
              <c:numCache>
                <c:formatCode>_-* #\ ##0.00\ [$kr-41D]_-;\-* #\ ##0.00\ [$kr-41D]_-;_-* "-"??\ [$kr-41D]_-;_-@_-</c:formatCode>
                <c:ptCount val="10"/>
                <c:pt idx="0">
                  <c:v>0.69408000000000003</c:v>
                </c:pt>
                <c:pt idx="1">
                  <c:v>1.5809600000000001</c:v>
                </c:pt>
                <c:pt idx="2">
                  <c:v>2.1400800000000002</c:v>
                </c:pt>
                <c:pt idx="3">
                  <c:v>2.6124400000000003</c:v>
                </c:pt>
                <c:pt idx="4">
                  <c:v>3.3932799999999999</c:v>
                </c:pt>
                <c:pt idx="5" formatCode="_(&quot;kr&quot;* #,##0.00_);_(&quot;kr&quot;* \(#,##0.00\);_(&quot;kr&quot;* &quot;-&quot;??_);_(@_)">
                  <c:v>0.62467200000000001</c:v>
                </c:pt>
                <c:pt idx="6" formatCode="_(&quot;kr&quot;* #,##0.00_);_(&quot;kr&quot;* \(#,##0.00\);_(&quot;kr&quot;* &quot;-&quot;??_);_(@_)">
                  <c:v>1.4228640000000001</c:v>
                </c:pt>
                <c:pt idx="7" formatCode="_(&quot;kr&quot;* #,##0.00_);_(&quot;kr&quot;* \(#,##0.00\);_(&quot;kr&quot;* &quot;-&quot;??_);_(@_)">
                  <c:v>1.9260720000000002</c:v>
                </c:pt>
                <c:pt idx="8" formatCode="_(&quot;kr&quot;* #,##0.00_);_(&quot;kr&quot;* \(#,##0.00\);_(&quot;kr&quot;* &quot;-&quot;??_);_(@_)">
                  <c:v>2.3511960000000003</c:v>
                </c:pt>
                <c:pt idx="9" formatCode="_(&quot;kr&quot;* #,##0.00_);_(&quot;kr&quot;* \(#,##0.00\);_(&quot;kr&quot;* &quot;-&quot;??_);_(@_)">
                  <c:v>3.0539519999999998</c:v>
                </c:pt>
              </c:numCache>
            </c:numRef>
          </c:val>
          <c:extLst>
            <c:ext xmlns:c16="http://schemas.microsoft.com/office/drawing/2014/chart" uri="{C3380CC4-5D6E-409C-BE32-E72D297353CC}">
              <c16:uniqueId val="{00000000-E206-469B-8639-C3D3BA8D7B98}"/>
            </c:ext>
          </c:extLst>
        </c:ser>
        <c:ser>
          <c:idx val="1"/>
          <c:order val="1"/>
          <c:tx>
            <c:strRef>
              <c:f>'DL-truck costs_base'!$E$23</c:f>
              <c:strCache>
                <c:ptCount val="1"/>
                <c:pt idx="0">
                  <c:v>Maintenance</c:v>
                </c:pt>
              </c:strCache>
            </c:strRef>
          </c:tx>
          <c:spPr>
            <a:solidFill>
              <a:schemeClr val="accent2"/>
            </a:solidFill>
            <a:ln>
              <a:noFill/>
            </a:ln>
            <a:effectLst/>
          </c:spPr>
          <c:invertIfNegative val="0"/>
          <c:cat>
            <c:strRef>
              <c:f>('DL-truck costs_base'!$C$24:$C$28,'DL-truck costs_base'!$C$74:$C$78)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costs_base'!$E$24:$E$28,'DL-truck costs_base'!$E$74:$E$78)</c:f>
              <c:numCache>
                <c:formatCode>_-* #\ ##0.00\ [$kr-41D]_-;\-* #\ ##0.00\ [$kr-41D]_-;_-* "-"??\ [$kr-41D]_-;_-@_-</c:formatCode>
                <c:ptCount val="10"/>
                <c:pt idx="0">
                  <c:v>0.33</c:v>
                </c:pt>
                <c:pt idx="1">
                  <c:v>1.06</c:v>
                </c:pt>
                <c:pt idx="2">
                  <c:v>1.26</c:v>
                </c:pt>
                <c:pt idx="3">
                  <c:v>1.19</c:v>
                </c:pt>
                <c:pt idx="4">
                  <c:v>1.04</c:v>
                </c:pt>
                <c:pt idx="5" formatCode="_(&quot;kr&quot;* #,##0.00_);_(&quot;kr&quot;* \(#,##0.00\);_(&quot;kr&quot;* &quot;-&quot;??_);_(@_)">
                  <c:v>0.33</c:v>
                </c:pt>
                <c:pt idx="6" formatCode="_(&quot;kr&quot;* #,##0.00_);_(&quot;kr&quot;* \(#,##0.00\);_(&quot;kr&quot;* &quot;-&quot;??_);_(@_)">
                  <c:v>1.06</c:v>
                </c:pt>
                <c:pt idx="7" formatCode="_(&quot;kr&quot;* #,##0.00_);_(&quot;kr&quot;* \(#,##0.00\);_(&quot;kr&quot;* &quot;-&quot;??_);_(@_)">
                  <c:v>1.26</c:v>
                </c:pt>
                <c:pt idx="8" formatCode="_(&quot;kr&quot;* #,##0.00_);_(&quot;kr&quot;* \(#,##0.00\);_(&quot;kr&quot;* &quot;-&quot;??_);_(@_)">
                  <c:v>1.19</c:v>
                </c:pt>
                <c:pt idx="9" formatCode="_(&quot;kr&quot;* #,##0.00_);_(&quot;kr&quot;* \(#,##0.00\);_(&quot;kr&quot;* &quot;-&quot;??_);_(@_)">
                  <c:v>1.04</c:v>
                </c:pt>
              </c:numCache>
            </c:numRef>
          </c:val>
          <c:extLst>
            <c:ext xmlns:c16="http://schemas.microsoft.com/office/drawing/2014/chart" uri="{C3380CC4-5D6E-409C-BE32-E72D297353CC}">
              <c16:uniqueId val="{00000001-E206-469B-8639-C3D3BA8D7B98}"/>
            </c:ext>
          </c:extLst>
        </c:ser>
        <c:ser>
          <c:idx val="2"/>
          <c:order val="2"/>
          <c:tx>
            <c:strRef>
              <c:f>'DL-truck costs_base'!$F$23</c:f>
              <c:strCache>
                <c:ptCount val="1"/>
                <c:pt idx="0">
                  <c:v>Tires</c:v>
                </c:pt>
              </c:strCache>
            </c:strRef>
          </c:tx>
          <c:spPr>
            <a:solidFill>
              <a:schemeClr val="accent3"/>
            </a:solidFill>
            <a:ln>
              <a:noFill/>
            </a:ln>
            <a:effectLst/>
          </c:spPr>
          <c:invertIfNegative val="0"/>
          <c:cat>
            <c:strRef>
              <c:f>('DL-truck costs_base'!$C$24:$C$28,'DL-truck costs_base'!$C$74:$C$78)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costs_base'!$F$24:$F$28,'DL-truck costs_base'!$F$74:$F$78)</c:f>
              <c:numCache>
                <c:formatCode>_-* #\ ##0.00\ [$kr-41D]_-;\-* #\ ##0.00\ [$kr-41D]_-;_-* "-"??\ [$kr-41D]_-;_-@_-</c:formatCode>
                <c:ptCount val="10"/>
                <c:pt idx="0">
                  <c:v>0.51</c:v>
                </c:pt>
                <c:pt idx="1">
                  <c:v>0.32</c:v>
                </c:pt>
                <c:pt idx="2">
                  <c:v>0.64</c:v>
                </c:pt>
                <c:pt idx="3">
                  <c:v>0.94</c:v>
                </c:pt>
                <c:pt idx="4">
                  <c:v>1.18</c:v>
                </c:pt>
                <c:pt idx="5" formatCode="_(&quot;kr&quot;* #,##0.00_);_(&quot;kr&quot;* \(#,##0.00\);_(&quot;kr&quot;* &quot;-&quot;??_);_(@_)">
                  <c:v>0.51</c:v>
                </c:pt>
                <c:pt idx="6" formatCode="_(&quot;kr&quot;* #,##0.00_);_(&quot;kr&quot;* \(#,##0.00\);_(&quot;kr&quot;* &quot;-&quot;??_);_(@_)">
                  <c:v>0.32</c:v>
                </c:pt>
                <c:pt idx="7" formatCode="_(&quot;kr&quot;* #,##0.00_);_(&quot;kr&quot;* \(#,##0.00\);_(&quot;kr&quot;* &quot;-&quot;??_);_(@_)">
                  <c:v>0.64</c:v>
                </c:pt>
                <c:pt idx="8" formatCode="_(&quot;kr&quot;* #,##0.00_);_(&quot;kr&quot;* \(#,##0.00\);_(&quot;kr&quot;* &quot;-&quot;??_);_(@_)">
                  <c:v>0.94</c:v>
                </c:pt>
                <c:pt idx="9" formatCode="_(&quot;kr&quot;* #,##0.00_);_(&quot;kr&quot;* \(#,##0.00\);_(&quot;kr&quot;* &quot;-&quot;??_);_(@_)">
                  <c:v>1.18</c:v>
                </c:pt>
              </c:numCache>
            </c:numRef>
          </c:val>
          <c:extLst>
            <c:ext xmlns:c16="http://schemas.microsoft.com/office/drawing/2014/chart" uri="{C3380CC4-5D6E-409C-BE32-E72D297353CC}">
              <c16:uniqueId val="{00000002-E206-469B-8639-C3D3BA8D7B98}"/>
            </c:ext>
          </c:extLst>
        </c:ser>
        <c:ser>
          <c:idx val="3"/>
          <c:order val="3"/>
          <c:tx>
            <c:strRef>
              <c:f>'DL-truck costs_base'!$G$23</c:f>
              <c:strCache>
                <c:ptCount val="1"/>
                <c:pt idx="0">
                  <c:v>Depreciation</c:v>
                </c:pt>
              </c:strCache>
            </c:strRef>
          </c:tx>
          <c:spPr>
            <a:solidFill>
              <a:schemeClr val="accent4"/>
            </a:solidFill>
            <a:ln>
              <a:noFill/>
            </a:ln>
            <a:effectLst/>
          </c:spPr>
          <c:invertIfNegative val="0"/>
          <c:cat>
            <c:strRef>
              <c:f>('DL-truck costs_base'!$C$24:$C$28,'DL-truck costs_base'!$C$74:$C$78)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costs_base'!$G$24:$G$28,'DL-truck costs_base'!$G$74:$G$78)</c:f>
              <c:numCache>
                <c:formatCode>_-* #\ ##0.00\ [$kr-41D]_-;\-* #\ ##0.00\ [$kr-41D]_-;_-* "-"??\ [$kr-41D]_-;_-@_-</c:formatCode>
                <c:ptCount val="10"/>
                <c:pt idx="0">
                  <c:v>1.0266666666666666</c:v>
                </c:pt>
                <c:pt idx="1">
                  <c:v>1.6897222222222221</c:v>
                </c:pt>
                <c:pt idx="2">
                  <c:v>2.0664583333333333</c:v>
                </c:pt>
                <c:pt idx="3">
                  <c:v>1.7855999999999999</c:v>
                </c:pt>
                <c:pt idx="4">
                  <c:v>1.9536</c:v>
                </c:pt>
                <c:pt idx="5" formatCode="_(&quot;kr&quot;* #,##0.00_);_(&quot;kr&quot;* \(#,##0.00\);_(&quot;kr&quot;* &quot;-&quot;??_);_(@_)">
                  <c:v>1.0266666666666666</c:v>
                </c:pt>
                <c:pt idx="6" formatCode="_(&quot;kr&quot;* #,##0.00_);_(&quot;kr&quot;* \(#,##0.00\);_(&quot;kr&quot;* &quot;-&quot;??_);_(@_)">
                  <c:v>1.6897222222222221</c:v>
                </c:pt>
                <c:pt idx="7" formatCode="_(&quot;kr&quot;* #,##0.00_);_(&quot;kr&quot;* \(#,##0.00\);_(&quot;kr&quot;* &quot;-&quot;??_);_(@_)">
                  <c:v>2.0664583333333333</c:v>
                </c:pt>
                <c:pt idx="8" formatCode="_(&quot;kr&quot;* #,##0.00_);_(&quot;kr&quot;* \(#,##0.00\);_(&quot;kr&quot;* &quot;-&quot;??_);_(@_)">
                  <c:v>1.7855999999999996</c:v>
                </c:pt>
                <c:pt idx="9" formatCode="_(&quot;kr&quot;* #,##0.00_);_(&quot;kr&quot;* \(#,##0.00\);_(&quot;kr&quot;* &quot;-&quot;??_);_(@_)">
                  <c:v>1.9535999999999998</c:v>
                </c:pt>
              </c:numCache>
            </c:numRef>
          </c:val>
          <c:extLst>
            <c:ext xmlns:c16="http://schemas.microsoft.com/office/drawing/2014/chart" uri="{C3380CC4-5D6E-409C-BE32-E72D297353CC}">
              <c16:uniqueId val="{00000003-E206-469B-8639-C3D3BA8D7B98}"/>
            </c:ext>
          </c:extLst>
        </c:ser>
        <c:dLbls>
          <c:showLegendKey val="0"/>
          <c:showVal val="0"/>
          <c:showCatName val="0"/>
          <c:showSerName val="0"/>
          <c:showPercent val="0"/>
          <c:showBubbleSize val="0"/>
        </c:dLbls>
        <c:gapWidth val="219"/>
        <c:overlap val="100"/>
        <c:axId val="856156488"/>
        <c:axId val="856156816"/>
      </c:barChart>
      <c:catAx>
        <c:axId val="856156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6156816"/>
        <c:crosses val="autoZero"/>
        <c:auto val="1"/>
        <c:lblAlgn val="ctr"/>
        <c:lblOffset val="100"/>
        <c:noMultiLvlLbl val="0"/>
      </c:catAx>
      <c:valAx>
        <c:axId val="85615681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61564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Time-dependent costs [sek/h]</a:t>
            </a:r>
          </a:p>
        </c:rich>
      </c:tx>
      <c:layout>
        <c:manualLayout>
          <c:xMode val="edge"/>
          <c:yMode val="edge"/>
          <c:x val="0.42448850015935202"/>
          <c:y val="2.387621199714635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'DL-truck costs_base'!$I$73</c:f>
              <c:strCache>
                <c:ptCount val="1"/>
                <c:pt idx="0">
                  <c:v>Driver</c:v>
                </c:pt>
              </c:strCache>
            </c:strRef>
          </c:tx>
          <c:spPr>
            <a:solidFill>
              <a:schemeClr val="accent1"/>
            </a:solidFill>
            <a:ln>
              <a:noFill/>
            </a:ln>
            <a:effectLst/>
          </c:spPr>
          <c:invertIfNegative val="0"/>
          <c:cat>
            <c:strRef>
              <c:f>('DL-truck costs_base'!$C$24:$C$28,'DL-truck costs_base'!$C$74:$C$78)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costs_base'!$I$24:$I$28,'DL-truck costs_base'!$I$74:$I$78)</c:f>
              <c:numCache>
                <c:formatCode>_-* #\ ##0.00\ [$kr-41D]_-;\-* #\ ##0.00\ [$kr-41D]_-;_-* "-"??\ [$kr-41D]_-;_-@_-</c:formatCode>
                <c:ptCount val="10"/>
                <c:pt idx="0">
                  <c:v>254</c:v>
                </c:pt>
                <c:pt idx="1">
                  <c:v>254</c:v>
                </c:pt>
                <c:pt idx="2">
                  <c:v>245</c:v>
                </c:pt>
                <c:pt idx="3">
                  <c:v>245</c:v>
                </c:pt>
                <c:pt idx="4">
                  <c:v>254</c:v>
                </c:pt>
                <c:pt idx="5" formatCode="_(&quot;kr&quot;* #,##0.00_);_(&quot;kr&quot;* \(#,##0.00\);_(&quot;kr&quot;* &quot;-&quot;??_);_(@_)">
                  <c:v>0</c:v>
                </c:pt>
                <c:pt idx="6" formatCode="_(&quot;kr&quot;* #,##0.00_);_(&quot;kr&quot;* \(#,##0.00\);_(&quot;kr&quot;* &quot;-&quot;??_);_(@_)">
                  <c:v>0</c:v>
                </c:pt>
                <c:pt idx="7" formatCode="_(&quot;kr&quot;* #,##0.00_);_(&quot;kr&quot;* \(#,##0.00\);_(&quot;kr&quot;* &quot;-&quot;??_);_(@_)">
                  <c:v>0</c:v>
                </c:pt>
                <c:pt idx="8" formatCode="_(&quot;kr&quot;* #,##0.00_);_(&quot;kr&quot;* \(#,##0.00\);_(&quot;kr&quot;* &quot;-&quot;??_);_(@_)">
                  <c:v>0</c:v>
                </c:pt>
                <c:pt idx="9" formatCode="_(&quot;kr&quot;* #,##0.00_);_(&quot;kr&quot;* \(#,##0.00\);_(&quot;kr&quot;* &quot;-&quot;??_);_(@_)">
                  <c:v>0</c:v>
                </c:pt>
              </c:numCache>
            </c:numRef>
          </c:val>
          <c:extLst>
            <c:ext xmlns:c16="http://schemas.microsoft.com/office/drawing/2014/chart" uri="{C3380CC4-5D6E-409C-BE32-E72D297353CC}">
              <c16:uniqueId val="{00000000-E690-4AC6-B747-E388BAEB66ED}"/>
            </c:ext>
          </c:extLst>
        </c:ser>
        <c:ser>
          <c:idx val="6"/>
          <c:order val="1"/>
          <c:tx>
            <c:strRef>
              <c:f>'DL-truck costs_base'!$O$73</c:f>
              <c:strCache>
                <c:ptCount val="1"/>
                <c:pt idx="0">
                  <c:v>Remote ops</c:v>
                </c:pt>
              </c:strCache>
            </c:strRef>
          </c:tx>
          <c:spPr>
            <a:solidFill>
              <a:schemeClr val="accent1">
                <a:lumMod val="60000"/>
              </a:schemeClr>
            </a:solidFill>
            <a:ln>
              <a:noFill/>
            </a:ln>
            <a:effectLst/>
          </c:spPr>
          <c:invertIfNegative val="0"/>
          <c:cat>
            <c:strRef>
              <c:f>('DL-truck costs_base'!$C$24:$C$28,'DL-truck costs_base'!$C$74:$C$78)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costs_base'!$O$24:$O$28,'DL-truck costs_base'!$O$74:$O$78)</c:f>
              <c:numCache>
                <c:formatCode>_-* #\ ##0.00\ [$kr-41D]_-;\-* #\ ##0.00\ [$kr-41D]_-;_-* "-"??\ [$kr-41D]_-;_-@_-</c:formatCode>
                <c:ptCount val="10"/>
                <c:pt idx="5" formatCode="_(&quot;kr&quot;* #,##0.00_);_(&quot;kr&quot;* \(#,##0.00\);_(&quot;kr&quot;* &quot;-&quot;??_);_(@_)">
                  <c:v>25.400000000000002</c:v>
                </c:pt>
                <c:pt idx="6" formatCode="_(&quot;kr&quot;* #,##0.00_);_(&quot;kr&quot;* \(#,##0.00\);_(&quot;kr&quot;* &quot;-&quot;??_);_(@_)">
                  <c:v>25.400000000000002</c:v>
                </c:pt>
                <c:pt idx="7" formatCode="_(&quot;kr&quot;* #,##0.00_);_(&quot;kr&quot;* \(#,##0.00\);_(&quot;kr&quot;* &quot;-&quot;??_);_(@_)">
                  <c:v>24.5</c:v>
                </c:pt>
                <c:pt idx="8" formatCode="_(&quot;kr&quot;* #,##0.00_);_(&quot;kr&quot;* \(#,##0.00\);_(&quot;kr&quot;* &quot;-&quot;??_);_(@_)">
                  <c:v>24.5</c:v>
                </c:pt>
                <c:pt idx="9" formatCode="_(&quot;kr&quot;* #,##0.00_);_(&quot;kr&quot;* \(#,##0.00\);_(&quot;kr&quot;* &quot;-&quot;??_);_(@_)">
                  <c:v>25.400000000000002</c:v>
                </c:pt>
              </c:numCache>
            </c:numRef>
          </c:val>
          <c:extLst>
            <c:ext xmlns:c16="http://schemas.microsoft.com/office/drawing/2014/chart" uri="{C3380CC4-5D6E-409C-BE32-E72D297353CC}">
              <c16:uniqueId val="{00000001-E690-4AC6-B747-E388BAEB66ED}"/>
            </c:ext>
          </c:extLst>
        </c:ser>
        <c:ser>
          <c:idx val="1"/>
          <c:order val="2"/>
          <c:tx>
            <c:strRef>
              <c:f>'DL-truck costs_base'!$J$73</c:f>
              <c:strCache>
                <c:ptCount val="1"/>
                <c:pt idx="0">
                  <c:v>Capital </c:v>
                </c:pt>
              </c:strCache>
            </c:strRef>
          </c:tx>
          <c:spPr>
            <a:solidFill>
              <a:schemeClr val="accent2"/>
            </a:solidFill>
            <a:ln>
              <a:noFill/>
            </a:ln>
            <a:effectLst/>
          </c:spPr>
          <c:invertIfNegative val="0"/>
          <c:cat>
            <c:strRef>
              <c:f>('DL-truck costs_base'!$C$24:$C$28,'DL-truck costs_base'!$C$74:$C$78)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costs_base'!$J$24:$J$28,'DL-truck costs_base'!$J$74:$J$78)</c:f>
              <c:numCache>
                <c:formatCode>_-* #\ ##0.00\ [$kr-41D]_-;\-* #\ ##0.00\ [$kr-41D]_-;_-* "-"??\ [$kr-41D]_-;_-@_-</c:formatCode>
                <c:ptCount val="10"/>
                <c:pt idx="0">
                  <c:v>3.5416666666666665</c:v>
                </c:pt>
                <c:pt idx="1">
                  <c:v>12.0375</c:v>
                </c:pt>
                <c:pt idx="2">
                  <c:v>19.274999999999999</c:v>
                </c:pt>
                <c:pt idx="3">
                  <c:v>17.507142857142856</c:v>
                </c:pt>
                <c:pt idx="4">
                  <c:v>19.157142857142858</c:v>
                </c:pt>
                <c:pt idx="5" formatCode="_(&quot;kr&quot;* #,##0.00_);_(&quot;kr&quot;* \(#,##0.00\);_(&quot;kr&quot;* &quot;-&quot;??_);_(@_)">
                  <c:v>2.3611111111111112</c:v>
                </c:pt>
                <c:pt idx="6" formatCode="_(&quot;kr&quot;* #,##0.00_);_(&quot;kr&quot;* \(#,##0.00\);_(&quot;kr&quot;* &quot;-&quot;??_);_(@_)">
                  <c:v>8.0250000000000004</c:v>
                </c:pt>
                <c:pt idx="7" formatCode="_(&quot;kr&quot;* #,##0.00_);_(&quot;kr&quot;* \(#,##0.00\);_(&quot;kr&quot;* &quot;-&quot;??_);_(@_)">
                  <c:v>12.85</c:v>
                </c:pt>
                <c:pt idx="8" formatCode="_(&quot;kr&quot;* #,##0.00_);_(&quot;kr&quot;* \(#,##0.00\);_(&quot;kr&quot;* &quot;-&quot;??_);_(@_)">
                  <c:v>11.671428571428571</c:v>
                </c:pt>
                <c:pt idx="9" formatCode="_(&quot;kr&quot;* #,##0.00_);_(&quot;kr&quot;* \(#,##0.00\);_(&quot;kr&quot;* &quot;-&quot;??_);_(@_)">
                  <c:v>12.771428571428572</c:v>
                </c:pt>
              </c:numCache>
            </c:numRef>
          </c:val>
          <c:extLst>
            <c:ext xmlns:c16="http://schemas.microsoft.com/office/drawing/2014/chart" uri="{C3380CC4-5D6E-409C-BE32-E72D297353CC}">
              <c16:uniqueId val="{00000002-E690-4AC6-B747-E388BAEB66ED}"/>
            </c:ext>
          </c:extLst>
        </c:ser>
        <c:ser>
          <c:idx val="2"/>
          <c:order val="3"/>
          <c:tx>
            <c:strRef>
              <c:f>'DL-truck costs_base'!$K$73</c:f>
              <c:strCache>
                <c:ptCount val="1"/>
                <c:pt idx="0">
                  <c:v>Depreciation</c:v>
                </c:pt>
              </c:strCache>
            </c:strRef>
          </c:tx>
          <c:spPr>
            <a:solidFill>
              <a:schemeClr val="accent3"/>
            </a:solidFill>
            <a:ln>
              <a:noFill/>
            </a:ln>
            <a:effectLst/>
          </c:spPr>
          <c:invertIfNegative val="0"/>
          <c:cat>
            <c:strRef>
              <c:f>('DL-truck costs_base'!$C$24:$C$28,'DL-truck costs_base'!$C$74:$C$78)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costs_base'!$K$24:$K$28,'DL-truck costs_base'!$K$74:$K$78)</c:f>
              <c:numCache>
                <c:formatCode>_-* #\ ##0.00\ [$kr-41D]_-;\-* #\ ##0.00\ [$kr-41D]_-;_-* "-"??\ [$kr-41D]_-;_-@_-</c:formatCode>
                <c:ptCount val="10"/>
                <c:pt idx="0">
                  <c:v>11.458333333333332</c:v>
                </c:pt>
                <c:pt idx="1">
                  <c:v>16.293749999999999</c:v>
                </c:pt>
                <c:pt idx="2">
                  <c:v>26.568749999999998</c:v>
                </c:pt>
                <c:pt idx="3">
                  <c:v>27.330612244897956</c:v>
                </c:pt>
                <c:pt idx="4">
                  <c:v>29.902040816326526</c:v>
                </c:pt>
                <c:pt idx="5" formatCode="_(&quot;kr&quot;* #,##0.00_);_(&quot;kr&quot;* \(#,##0.00\);_(&quot;kr&quot;* &quot;-&quot;??_);_(@_)">
                  <c:v>11.458333333333334</c:v>
                </c:pt>
                <c:pt idx="6" formatCode="_(&quot;kr&quot;* #,##0.00_);_(&quot;kr&quot;* \(#,##0.00\);_(&quot;kr&quot;* &quot;-&quot;??_);_(@_)">
                  <c:v>16.293749999999999</c:v>
                </c:pt>
                <c:pt idx="7" formatCode="_(&quot;kr&quot;* #,##0.00_);_(&quot;kr&quot;* \(#,##0.00\);_(&quot;kr&quot;* &quot;-&quot;??_);_(@_)">
                  <c:v>26.568750000000001</c:v>
                </c:pt>
                <c:pt idx="8" formatCode="_(&quot;kr&quot;* #,##0.00_);_(&quot;kr&quot;* \(#,##0.00\);_(&quot;kr&quot;* &quot;-&quot;??_);_(@_)">
                  <c:v>27.330612244897953</c:v>
                </c:pt>
                <c:pt idx="9" formatCode="_(&quot;kr&quot;* #,##0.00_);_(&quot;kr&quot;* \(#,##0.00\);_(&quot;kr&quot;* &quot;-&quot;??_);_(@_)">
                  <c:v>29.902040816326526</c:v>
                </c:pt>
              </c:numCache>
            </c:numRef>
          </c:val>
          <c:extLst>
            <c:ext xmlns:c16="http://schemas.microsoft.com/office/drawing/2014/chart" uri="{C3380CC4-5D6E-409C-BE32-E72D297353CC}">
              <c16:uniqueId val="{00000003-E690-4AC6-B747-E388BAEB66ED}"/>
            </c:ext>
          </c:extLst>
        </c:ser>
        <c:ser>
          <c:idx val="3"/>
          <c:order val="4"/>
          <c:tx>
            <c:strRef>
              <c:f>'DL-truck costs_base'!$L$73</c:f>
              <c:strCache>
                <c:ptCount val="1"/>
                <c:pt idx="0">
                  <c:v>Taxes</c:v>
                </c:pt>
              </c:strCache>
            </c:strRef>
          </c:tx>
          <c:spPr>
            <a:solidFill>
              <a:schemeClr val="accent4"/>
            </a:solidFill>
            <a:ln>
              <a:noFill/>
            </a:ln>
            <a:effectLst/>
          </c:spPr>
          <c:invertIfNegative val="0"/>
          <c:cat>
            <c:strRef>
              <c:f>('DL-truck costs_base'!$C$24:$C$28,'DL-truck costs_base'!$C$74:$C$78)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costs_base'!$L$24:$L$28,'DL-truck costs_base'!$L$74:$L$78)</c:f>
              <c:numCache>
                <c:formatCode>_-* #\ ##0.00\ [$kr-41D]_-;\-* #\ ##0.00\ [$kr-41D]_-;_-* "-"??\ [$kr-41D]_-;_-@_-</c:formatCode>
                <c:ptCount val="10"/>
                <c:pt idx="0">
                  <c:v>1.9015625</c:v>
                </c:pt>
                <c:pt idx="1">
                  <c:v>5.2765000000000004</c:v>
                </c:pt>
                <c:pt idx="2">
                  <c:v>6.4489999999999998</c:v>
                </c:pt>
                <c:pt idx="3">
                  <c:v>7.9480000000000004</c:v>
                </c:pt>
                <c:pt idx="4">
                  <c:v>7.9480000000000004</c:v>
                </c:pt>
                <c:pt idx="5" formatCode="_(&quot;kr&quot;* #,##0.00_);_(&quot;kr&quot;* \(#,##0.00\);_(&quot;kr&quot;* &quot;-&quot;??_);_(@_)">
                  <c:v>1.2677083333333334</c:v>
                </c:pt>
                <c:pt idx="6" formatCode="_(&quot;kr&quot;* #,##0.00_);_(&quot;kr&quot;* \(#,##0.00\);_(&quot;kr&quot;* &quot;-&quot;??_);_(@_)">
                  <c:v>3.5176666666666665</c:v>
                </c:pt>
                <c:pt idx="7" formatCode="_(&quot;kr&quot;* #,##0.00_);_(&quot;kr&quot;* \(#,##0.00\);_(&quot;kr&quot;* &quot;-&quot;??_);_(@_)">
                  <c:v>4.2993333333333332</c:v>
                </c:pt>
                <c:pt idx="8" formatCode="_(&quot;kr&quot;* #,##0.00_);_(&quot;kr&quot;* \(#,##0.00\);_(&quot;kr&quot;* &quot;-&quot;??_);_(@_)">
                  <c:v>5.2986666666666666</c:v>
                </c:pt>
                <c:pt idx="9" formatCode="_(&quot;kr&quot;* #,##0.00_);_(&quot;kr&quot;* \(#,##0.00\);_(&quot;kr&quot;* &quot;-&quot;??_);_(@_)">
                  <c:v>5.2986666666666666</c:v>
                </c:pt>
              </c:numCache>
            </c:numRef>
          </c:val>
          <c:extLst>
            <c:ext xmlns:c16="http://schemas.microsoft.com/office/drawing/2014/chart" uri="{C3380CC4-5D6E-409C-BE32-E72D297353CC}">
              <c16:uniqueId val="{00000004-E690-4AC6-B747-E388BAEB66ED}"/>
            </c:ext>
          </c:extLst>
        </c:ser>
        <c:ser>
          <c:idx val="4"/>
          <c:order val="5"/>
          <c:tx>
            <c:strRef>
              <c:f>'DL-truck costs_base'!$M$73</c:f>
              <c:strCache>
                <c:ptCount val="1"/>
                <c:pt idx="0">
                  <c:v>Insurance</c:v>
                </c:pt>
              </c:strCache>
            </c:strRef>
          </c:tx>
          <c:spPr>
            <a:solidFill>
              <a:schemeClr val="accent5"/>
            </a:solidFill>
            <a:ln>
              <a:noFill/>
            </a:ln>
            <a:effectLst/>
          </c:spPr>
          <c:invertIfNegative val="0"/>
          <c:cat>
            <c:strRef>
              <c:f>('DL-truck costs_base'!$C$24:$C$28,'DL-truck costs_base'!$C$74:$C$78)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costs_base'!$M$24:$M$28,'DL-truck costs_base'!$M$74:$M$78)</c:f>
              <c:numCache>
                <c:formatCode>_-* #\ ##0.00\ [$kr-41D]_-;\-* #\ ##0.00\ [$kr-41D]_-;_-* "-"??\ [$kr-41D]_-;_-@_-</c:formatCode>
                <c:ptCount val="10"/>
                <c:pt idx="0">
                  <c:v>6.4766343606278731</c:v>
                </c:pt>
                <c:pt idx="1">
                  <c:v>18.406961073200989</c:v>
                </c:pt>
                <c:pt idx="2">
                  <c:v>20.419201572968248</c:v>
                </c:pt>
                <c:pt idx="3">
                  <c:v>17.961160701754384</c:v>
                </c:pt>
                <c:pt idx="4">
                  <c:v>18.970118429807052</c:v>
                </c:pt>
                <c:pt idx="5" formatCode="_(&quot;kr&quot;* #,##0.00_);_(&quot;kr&quot;* \(#,##0.00\);_(&quot;kr&quot;* &quot;-&quot;??_);_(@_)">
                  <c:v>3.8859806163767239</c:v>
                </c:pt>
                <c:pt idx="6" formatCode="_(&quot;kr&quot;* #,##0.00_);_(&quot;kr&quot;* \(#,##0.00\);_(&quot;kr&quot;* &quot;-&quot;??_);_(@_)">
                  <c:v>11.044176643920594</c:v>
                </c:pt>
                <c:pt idx="7" formatCode="_(&quot;kr&quot;* #,##0.00_);_(&quot;kr&quot;* \(#,##0.00\);_(&quot;kr&quot;* &quot;-&quot;??_);_(@_)">
                  <c:v>12.251520943780951</c:v>
                </c:pt>
                <c:pt idx="8" formatCode="_(&quot;kr&quot;* #,##0.00_);_(&quot;kr&quot;* \(#,##0.00\);_(&quot;kr&quot;* &quot;-&quot;??_);_(@_)">
                  <c:v>10.776696421052632</c:v>
                </c:pt>
                <c:pt idx="9" formatCode="_(&quot;kr&quot;* #,##0.00_);_(&quot;kr&quot;* \(#,##0.00\);_(&quot;kr&quot;* &quot;-&quot;??_);_(@_)">
                  <c:v>11.382071057884232</c:v>
                </c:pt>
              </c:numCache>
            </c:numRef>
          </c:val>
          <c:extLst>
            <c:ext xmlns:c16="http://schemas.microsoft.com/office/drawing/2014/chart" uri="{C3380CC4-5D6E-409C-BE32-E72D297353CC}">
              <c16:uniqueId val="{00000005-E690-4AC6-B747-E388BAEB66ED}"/>
            </c:ext>
          </c:extLst>
        </c:ser>
        <c:ser>
          <c:idx val="5"/>
          <c:order val="6"/>
          <c:tx>
            <c:strRef>
              <c:f>'DL-truck costs_base'!$N$73</c:f>
              <c:strCache>
                <c:ptCount val="1"/>
                <c:pt idx="0">
                  <c:v>Other</c:v>
                </c:pt>
              </c:strCache>
            </c:strRef>
          </c:tx>
          <c:spPr>
            <a:solidFill>
              <a:schemeClr val="accent6"/>
            </a:solidFill>
            <a:ln>
              <a:noFill/>
            </a:ln>
            <a:effectLst/>
          </c:spPr>
          <c:invertIfNegative val="0"/>
          <c:cat>
            <c:strRef>
              <c:f>('DL-truck costs_base'!$C$24:$C$28,'DL-truck costs_base'!$C$74:$C$78)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costs_base'!$N$24:$N$28,'DL-truck costs_base'!$N$74:$N$78)</c:f>
              <c:numCache>
                <c:formatCode>_-* #\ ##0.00\ [$kr-41D]_-;\-* #\ ##0.00\ [$kr-41D]_-;_-* "-"??\ [$kr-41D]_-;_-@_-</c:formatCode>
                <c:ptCount val="10"/>
                <c:pt idx="0">
                  <c:v>10.797844806038791</c:v>
                </c:pt>
                <c:pt idx="1">
                  <c:v>10.640538926799007</c:v>
                </c:pt>
                <c:pt idx="2">
                  <c:v>16.033798427031751</c:v>
                </c:pt>
                <c:pt idx="3">
                  <c:v>13.194839298245613</c:v>
                </c:pt>
                <c:pt idx="4">
                  <c:v>13.228738713050088</c:v>
                </c:pt>
                <c:pt idx="5" formatCode="_(&quot;kr&quot;* #,##0.00_);_(&quot;kr&quot;* \(#,##0.00\);_(&quot;kr&quot;* &quot;-&quot;??_);_(@_)">
                  <c:v>7.1985632040258603</c:v>
                </c:pt>
                <c:pt idx="6" formatCode="_(&quot;kr&quot;* #,##0.00_);_(&quot;kr&quot;* \(#,##0.00\);_(&quot;kr&quot;* &quot;-&quot;??_);_(@_)">
                  <c:v>7.0936926178660045</c:v>
                </c:pt>
                <c:pt idx="7" formatCode="_(&quot;kr&quot;* #,##0.00_);_(&quot;kr&quot;* \(#,##0.00\);_(&quot;kr&quot;* &quot;-&quot;??_);_(@_)">
                  <c:v>10.6891989513545</c:v>
                </c:pt>
                <c:pt idx="8" formatCode="_(&quot;kr&quot;* #,##0.00_);_(&quot;kr&quot;* \(#,##0.00\);_(&quot;kr&quot;* &quot;-&quot;??_);_(@_)">
                  <c:v>8.7965595321637426</c:v>
                </c:pt>
                <c:pt idx="9" formatCode="_(&quot;kr&quot;* #,##0.00_);_(&quot;kr&quot;* \(#,##0.00\);_(&quot;kr&quot;* &quot;-&quot;??_);_(@_)">
                  <c:v>8.8191591420333921</c:v>
                </c:pt>
              </c:numCache>
            </c:numRef>
          </c:val>
          <c:extLst>
            <c:ext xmlns:c16="http://schemas.microsoft.com/office/drawing/2014/chart" uri="{C3380CC4-5D6E-409C-BE32-E72D297353CC}">
              <c16:uniqueId val="{00000006-E690-4AC6-B747-E388BAEB66ED}"/>
            </c:ext>
          </c:extLst>
        </c:ser>
        <c:dLbls>
          <c:showLegendKey val="0"/>
          <c:showVal val="0"/>
          <c:showCatName val="0"/>
          <c:showSerName val="0"/>
          <c:showPercent val="0"/>
          <c:showBubbleSize val="0"/>
        </c:dLbls>
        <c:gapWidth val="150"/>
        <c:overlap val="100"/>
        <c:axId val="877674616"/>
        <c:axId val="877674944"/>
      </c:barChart>
      <c:catAx>
        <c:axId val="877674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7674944"/>
        <c:crosses val="autoZero"/>
        <c:auto val="1"/>
        <c:lblAlgn val="ctr"/>
        <c:lblOffset val="100"/>
        <c:noMultiLvlLbl val="0"/>
      </c:catAx>
      <c:valAx>
        <c:axId val="877674944"/>
        <c:scaling>
          <c:orientation val="minMax"/>
        </c:scaling>
        <c:delete val="0"/>
        <c:axPos val="l"/>
        <c:majorGridlines>
          <c:spPr>
            <a:ln w="9525" cap="flat" cmpd="sng" algn="ctr">
              <a:solidFill>
                <a:schemeClr val="tx1">
                  <a:lumMod val="15000"/>
                  <a:lumOff val="85000"/>
                </a:schemeClr>
              </a:solidFill>
              <a:round/>
            </a:ln>
            <a:effectLst/>
          </c:spPr>
        </c:majorGridlines>
        <c:numFmt formatCode="_-* #\ ##0.00\ [$kr-41D]_-;\-* #\ ##0.00\ [$kr-41D]_-;_-* &quot;-&quot;??\ [$kr-41D]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76746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Time-dependent costs [sek/h]</a:t>
            </a:r>
          </a:p>
        </c:rich>
      </c:tx>
      <c:layout>
        <c:manualLayout>
          <c:xMode val="edge"/>
          <c:yMode val="edge"/>
          <c:x val="0.42448850015935202"/>
          <c:y val="2.387621199714635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tx>
            <c:strRef>
              <c:f>'DL-truck costs_base'!$I$73</c:f>
              <c:strCache>
                <c:ptCount val="1"/>
                <c:pt idx="0">
                  <c:v>Driver</c:v>
                </c:pt>
              </c:strCache>
            </c:strRef>
          </c:tx>
          <c:spPr>
            <a:solidFill>
              <a:schemeClr val="accent1"/>
            </a:solidFill>
            <a:ln>
              <a:noFill/>
            </a:ln>
            <a:effectLst/>
          </c:spPr>
          <c:invertIfNegative val="0"/>
          <c:cat>
            <c:strRef>
              <c:f>('DL-truck costs_base'!$C$24:$C$28,'DL-truck costs_base'!$C$74:$C$78)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costs_base'!$I$24:$I$28,'DL-truck costs_base'!$I$74:$I$78)</c:f>
              <c:numCache>
                <c:formatCode>_-* #\ ##0.00\ [$kr-41D]_-;\-* #\ ##0.00\ [$kr-41D]_-;_-* "-"??\ [$kr-41D]_-;_-@_-</c:formatCode>
                <c:ptCount val="10"/>
                <c:pt idx="0">
                  <c:v>254</c:v>
                </c:pt>
                <c:pt idx="1">
                  <c:v>254</c:v>
                </c:pt>
                <c:pt idx="2">
                  <c:v>245</c:v>
                </c:pt>
                <c:pt idx="3">
                  <c:v>245</c:v>
                </c:pt>
                <c:pt idx="4">
                  <c:v>254</c:v>
                </c:pt>
                <c:pt idx="5" formatCode="_(&quot;kr&quot;* #,##0.00_);_(&quot;kr&quot;* \(#,##0.00\);_(&quot;kr&quot;* &quot;-&quot;??_);_(@_)">
                  <c:v>0</c:v>
                </c:pt>
                <c:pt idx="6" formatCode="_(&quot;kr&quot;* #,##0.00_);_(&quot;kr&quot;* \(#,##0.00\);_(&quot;kr&quot;* &quot;-&quot;??_);_(@_)">
                  <c:v>0</c:v>
                </c:pt>
                <c:pt idx="7" formatCode="_(&quot;kr&quot;* #,##0.00_);_(&quot;kr&quot;* \(#,##0.00\);_(&quot;kr&quot;* &quot;-&quot;??_);_(@_)">
                  <c:v>0</c:v>
                </c:pt>
                <c:pt idx="8" formatCode="_(&quot;kr&quot;* #,##0.00_);_(&quot;kr&quot;* \(#,##0.00\);_(&quot;kr&quot;* &quot;-&quot;??_);_(@_)">
                  <c:v>0</c:v>
                </c:pt>
                <c:pt idx="9" formatCode="_(&quot;kr&quot;* #,##0.00_);_(&quot;kr&quot;* \(#,##0.00\);_(&quot;kr&quot;* &quot;-&quot;??_);_(@_)">
                  <c:v>0</c:v>
                </c:pt>
              </c:numCache>
            </c:numRef>
          </c:val>
          <c:extLst>
            <c:ext xmlns:c16="http://schemas.microsoft.com/office/drawing/2014/chart" uri="{C3380CC4-5D6E-409C-BE32-E72D297353CC}">
              <c16:uniqueId val="{00000000-70C6-4356-8B72-B98548274720}"/>
            </c:ext>
          </c:extLst>
        </c:ser>
        <c:ser>
          <c:idx val="6"/>
          <c:order val="1"/>
          <c:tx>
            <c:strRef>
              <c:f>'DL-truck costs_base'!$O$73</c:f>
              <c:strCache>
                <c:ptCount val="1"/>
                <c:pt idx="0">
                  <c:v>Remote ops</c:v>
                </c:pt>
              </c:strCache>
            </c:strRef>
          </c:tx>
          <c:spPr>
            <a:solidFill>
              <a:schemeClr val="accent1">
                <a:lumMod val="60000"/>
              </a:schemeClr>
            </a:solidFill>
            <a:ln>
              <a:noFill/>
            </a:ln>
            <a:effectLst/>
          </c:spPr>
          <c:invertIfNegative val="0"/>
          <c:cat>
            <c:strRef>
              <c:f>('DL-truck costs_base'!$C$24:$C$28,'DL-truck costs_base'!$C$74:$C$78)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costs_base'!$O$24:$O$28,'DL-truck costs_base'!$O$74:$O$78)</c:f>
              <c:numCache>
                <c:formatCode>_-* #\ ##0.00\ [$kr-41D]_-;\-* #\ ##0.00\ [$kr-41D]_-;_-* "-"??\ [$kr-41D]_-;_-@_-</c:formatCode>
                <c:ptCount val="10"/>
                <c:pt idx="5" formatCode="_(&quot;kr&quot;* #,##0.00_);_(&quot;kr&quot;* \(#,##0.00\);_(&quot;kr&quot;* &quot;-&quot;??_);_(@_)">
                  <c:v>25.400000000000002</c:v>
                </c:pt>
                <c:pt idx="6" formatCode="_(&quot;kr&quot;* #,##0.00_);_(&quot;kr&quot;* \(#,##0.00\);_(&quot;kr&quot;* &quot;-&quot;??_);_(@_)">
                  <c:v>25.400000000000002</c:v>
                </c:pt>
                <c:pt idx="7" formatCode="_(&quot;kr&quot;* #,##0.00_);_(&quot;kr&quot;* \(#,##0.00\);_(&quot;kr&quot;* &quot;-&quot;??_);_(@_)">
                  <c:v>24.5</c:v>
                </c:pt>
                <c:pt idx="8" formatCode="_(&quot;kr&quot;* #,##0.00_);_(&quot;kr&quot;* \(#,##0.00\);_(&quot;kr&quot;* &quot;-&quot;??_);_(@_)">
                  <c:v>24.5</c:v>
                </c:pt>
                <c:pt idx="9" formatCode="_(&quot;kr&quot;* #,##0.00_);_(&quot;kr&quot;* \(#,##0.00\);_(&quot;kr&quot;* &quot;-&quot;??_);_(@_)">
                  <c:v>25.400000000000002</c:v>
                </c:pt>
              </c:numCache>
            </c:numRef>
          </c:val>
          <c:extLst>
            <c:ext xmlns:c16="http://schemas.microsoft.com/office/drawing/2014/chart" uri="{C3380CC4-5D6E-409C-BE32-E72D297353CC}">
              <c16:uniqueId val="{00000001-70C6-4356-8B72-B98548274720}"/>
            </c:ext>
          </c:extLst>
        </c:ser>
        <c:ser>
          <c:idx val="1"/>
          <c:order val="2"/>
          <c:tx>
            <c:strRef>
              <c:f>'DL-truck costs_base'!$J$73</c:f>
              <c:strCache>
                <c:ptCount val="1"/>
                <c:pt idx="0">
                  <c:v>Capital </c:v>
                </c:pt>
              </c:strCache>
            </c:strRef>
          </c:tx>
          <c:spPr>
            <a:solidFill>
              <a:schemeClr val="accent2"/>
            </a:solidFill>
            <a:ln>
              <a:noFill/>
            </a:ln>
            <a:effectLst/>
          </c:spPr>
          <c:invertIfNegative val="0"/>
          <c:cat>
            <c:strRef>
              <c:f>('DL-truck costs_base'!$C$24:$C$28,'DL-truck costs_base'!$C$74:$C$78)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costs_base'!$J$24:$J$28,'DL-truck costs_base'!$J$74:$J$78)</c:f>
              <c:numCache>
                <c:formatCode>_-* #\ ##0.00\ [$kr-41D]_-;\-* #\ ##0.00\ [$kr-41D]_-;_-* "-"??\ [$kr-41D]_-;_-@_-</c:formatCode>
                <c:ptCount val="10"/>
                <c:pt idx="0">
                  <c:v>3.5416666666666665</c:v>
                </c:pt>
                <c:pt idx="1">
                  <c:v>12.0375</c:v>
                </c:pt>
                <c:pt idx="2">
                  <c:v>19.274999999999999</c:v>
                </c:pt>
                <c:pt idx="3">
                  <c:v>17.507142857142856</c:v>
                </c:pt>
                <c:pt idx="4">
                  <c:v>19.157142857142858</c:v>
                </c:pt>
                <c:pt idx="5" formatCode="_(&quot;kr&quot;* #,##0.00_);_(&quot;kr&quot;* \(#,##0.00\);_(&quot;kr&quot;* &quot;-&quot;??_);_(@_)">
                  <c:v>2.3611111111111112</c:v>
                </c:pt>
                <c:pt idx="6" formatCode="_(&quot;kr&quot;* #,##0.00_);_(&quot;kr&quot;* \(#,##0.00\);_(&quot;kr&quot;* &quot;-&quot;??_);_(@_)">
                  <c:v>8.0250000000000004</c:v>
                </c:pt>
                <c:pt idx="7" formatCode="_(&quot;kr&quot;* #,##0.00_);_(&quot;kr&quot;* \(#,##0.00\);_(&quot;kr&quot;* &quot;-&quot;??_);_(@_)">
                  <c:v>12.85</c:v>
                </c:pt>
                <c:pt idx="8" formatCode="_(&quot;kr&quot;* #,##0.00_);_(&quot;kr&quot;* \(#,##0.00\);_(&quot;kr&quot;* &quot;-&quot;??_);_(@_)">
                  <c:v>11.671428571428571</c:v>
                </c:pt>
                <c:pt idx="9" formatCode="_(&quot;kr&quot;* #,##0.00_);_(&quot;kr&quot;* \(#,##0.00\);_(&quot;kr&quot;* &quot;-&quot;??_);_(@_)">
                  <c:v>12.771428571428572</c:v>
                </c:pt>
              </c:numCache>
            </c:numRef>
          </c:val>
          <c:extLst>
            <c:ext xmlns:c16="http://schemas.microsoft.com/office/drawing/2014/chart" uri="{C3380CC4-5D6E-409C-BE32-E72D297353CC}">
              <c16:uniqueId val="{00000002-70C6-4356-8B72-B98548274720}"/>
            </c:ext>
          </c:extLst>
        </c:ser>
        <c:ser>
          <c:idx val="2"/>
          <c:order val="3"/>
          <c:tx>
            <c:strRef>
              <c:f>'DL-truck costs_base'!$K$73</c:f>
              <c:strCache>
                <c:ptCount val="1"/>
                <c:pt idx="0">
                  <c:v>Depreciation</c:v>
                </c:pt>
              </c:strCache>
            </c:strRef>
          </c:tx>
          <c:spPr>
            <a:solidFill>
              <a:schemeClr val="accent3"/>
            </a:solidFill>
            <a:ln>
              <a:noFill/>
            </a:ln>
            <a:effectLst/>
          </c:spPr>
          <c:invertIfNegative val="0"/>
          <c:cat>
            <c:strRef>
              <c:f>('DL-truck costs_base'!$C$24:$C$28,'DL-truck costs_base'!$C$74:$C$78)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costs_base'!$K$24:$K$28,'DL-truck costs_base'!$K$74:$K$78)</c:f>
              <c:numCache>
                <c:formatCode>_-* #\ ##0.00\ [$kr-41D]_-;\-* #\ ##0.00\ [$kr-41D]_-;_-* "-"??\ [$kr-41D]_-;_-@_-</c:formatCode>
                <c:ptCount val="10"/>
                <c:pt idx="0">
                  <c:v>11.458333333333332</c:v>
                </c:pt>
                <c:pt idx="1">
                  <c:v>16.293749999999999</c:v>
                </c:pt>
                <c:pt idx="2">
                  <c:v>26.568749999999998</c:v>
                </c:pt>
                <c:pt idx="3">
                  <c:v>27.330612244897956</c:v>
                </c:pt>
                <c:pt idx="4">
                  <c:v>29.902040816326526</c:v>
                </c:pt>
                <c:pt idx="5" formatCode="_(&quot;kr&quot;* #,##0.00_);_(&quot;kr&quot;* \(#,##0.00\);_(&quot;kr&quot;* &quot;-&quot;??_);_(@_)">
                  <c:v>11.458333333333334</c:v>
                </c:pt>
                <c:pt idx="6" formatCode="_(&quot;kr&quot;* #,##0.00_);_(&quot;kr&quot;* \(#,##0.00\);_(&quot;kr&quot;* &quot;-&quot;??_);_(@_)">
                  <c:v>16.293749999999999</c:v>
                </c:pt>
                <c:pt idx="7" formatCode="_(&quot;kr&quot;* #,##0.00_);_(&quot;kr&quot;* \(#,##0.00\);_(&quot;kr&quot;* &quot;-&quot;??_);_(@_)">
                  <c:v>26.568750000000001</c:v>
                </c:pt>
                <c:pt idx="8" formatCode="_(&quot;kr&quot;* #,##0.00_);_(&quot;kr&quot;* \(#,##0.00\);_(&quot;kr&quot;* &quot;-&quot;??_);_(@_)">
                  <c:v>27.330612244897953</c:v>
                </c:pt>
                <c:pt idx="9" formatCode="_(&quot;kr&quot;* #,##0.00_);_(&quot;kr&quot;* \(#,##0.00\);_(&quot;kr&quot;* &quot;-&quot;??_);_(@_)">
                  <c:v>29.902040816326526</c:v>
                </c:pt>
              </c:numCache>
            </c:numRef>
          </c:val>
          <c:extLst>
            <c:ext xmlns:c16="http://schemas.microsoft.com/office/drawing/2014/chart" uri="{C3380CC4-5D6E-409C-BE32-E72D297353CC}">
              <c16:uniqueId val="{00000003-70C6-4356-8B72-B98548274720}"/>
            </c:ext>
          </c:extLst>
        </c:ser>
        <c:ser>
          <c:idx val="3"/>
          <c:order val="4"/>
          <c:tx>
            <c:strRef>
              <c:f>'DL-truck costs_base'!$L$73</c:f>
              <c:strCache>
                <c:ptCount val="1"/>
                <c:pt idx="0">
                  <c:v>Taxes</c:v>
                </c:pt>
              </c:strCache>
            </c:strRef>
          </c:tx>
          <c:spPr>
            <a:solidFill>
              <a:schemeClr val="accent4"/>
            </a:solidFill>
            <a:ln>
              <a:noFill/>
            </a:ln>
            <a:effectLst/>
          </c:spPr>
          <c:invertIfNegative val="0"/>
          <c:cat>
            <c:strRef>
              <c:f>('DL-truck costs_base'!$C$24:$C$28,'DL-truck costs_base'!$C$74:$C$78)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costs_base'!$L$24:$L$28,'DL-truck costs_base'!$L$74:$L$78)</c:f>
              <c:numCache>
                <c:formatCode>_-* #\ ##0.00\ [$kr-41D]_-;\-* #\ ##0.00\ [$kr-41D]_-;_-* "-"??\ [$kr-41D]_-;_-@_-</c:formatCode>
                <c:ptCount val="10"/>
                <c:pt idx="0">
                  <c:v>1.9015625</c:v>
                </c:pt>
                <c:pt idx="1">
                  <c:v>5.2765000000000004</c:v>
                </c:pt>
                <c:pt idx="2">
                  <c:v>6.4489999999999998</c:v>
                </c:pt>
                <c:pt idx="3">
                  <c:v>7.9480000000000004</c:v>
                </c:pt>
                <c:pt idx="4">
                  <c:v>7.9480000000000004</c:v>
                </c:pt>
                <c:pt idx="5" formatCode="_(&quot;kr&quot;* #,##0.00_);_(&quot;kr&quot;* \(#,##0.00\);_(&quot;kr&quot;* &quot;-&quot;??_);_(@_)">
                  <c:v>1.2677083333333334</c:v>
                </c:pt>
                <c:pt idx="6" formatCode="_(&quot;kr&quot;* #,##0.00_);_(&quot;kr&quot;* \(#,##0.00\);_(&quot;kr&quot;* &quot;-&quot;??_);_(@_)">
                  <c:v>3.5176666666666665</c:v>
                </c:pt>
                <c:pt idx="7" formatCode="_(&quot;kr&quot;* #,##0.00_);_(&quot;kr&quot;* \(#,##0.00\);_(&quot;kr&quot;* &quot;-&quot;??_);_(@_)">
                  <c:v>4.2993333333333332</c:v>
                </c:pt>
                <c:pt idx="8" formatCode="_(&quot;kr&quot;* #,##0.00_);_(&quot;kr&quot;* \(#,##0.00\);_(&quot;kr&quot;* &quot;-&quot;??_);_(@_)">
                  <c:v>5.2986666666666666</c:v>
                </c:pt>
                <c:pt idx="9" formatCode="_(&quot;kr&quot;* #,##0.00_);_(&quot;kr&quot;* \(#,##0.00\);_(&quot;kr&quot;* &quot;-&quot;??_);_(@_)">
                  <c:v>5.2986666666666666</c:v>
                </c:pt>
              </c:numCache>
            </c:numRef>
          </c:val>
          <c:extLst>
            <c:ext xmlns:c16="http://schemas.microsoft.com/office/drawing/2014/chart" uri="{C3380CC4-5D6E-409C-BE32-E72D297353CC}">
              <c16:uniqueId val="{00000004-70C6-4356-8B72-B98548274720}"/>
            </c:ext>
          </c:extLst>
        </c:ser>
        <c:ser>
          <c:idx val="4"/>
          <c:order val="5"/>
          <c:tx>
            <c:strRef>
              <c:f>'DL-truck costs_base'!$M$73</c:f>
              <c:strCache>
                <c:ptCount val="1"/>
                <c:pt idx="0">
                  <c:v>Insurance</c:v>
                </c:pt>
              </c:strCache>
            </c:strRef>
          </c:tx>
          <c:spPr>
            <a:solidFill>
              <a:schemeClr val="accent5"/>
            </a:solidFill>
            <a:ln>
              <a:noFill/>
            </a:ln>
            <a:effectLst/>
          </c:spPr>
          <c:invertIfNegative val="0"/>
          <c:cat>
            <c:strRef>
              <c:f>('DL-truck costs_base'!$C$24:$C$28,'DL-truck costs_base'!$C$74:$C$78)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costs_base'!$M$24:$M$28,'DL-truck costs_base'!$M$74:$M$78)</c:f>
              <c:numCache>
                <c:formatCode>_-* #\ ##0.00\ [$kr-41D]_-;\-* #\ ##0.00\ [$kr-41D]_-;_-* "-"??\ [$kr-41D]_-;_-@_-</c:formatCode>
                <c:ptCount val="10"/>
                <c:pt idx="0">
                  <c:v>6.4766343606278731</c:v>
                </c:pt>
                <c:pt idx="1">
                  <c:v>18.406961073200989</c:v>
                </c:pt>
                <c:pt idx="2">
                  <c:v>20.419201572968248</c:v>
                </c:pt>
                <c:pt idx="3">
                  <c:v>17.961160701754384</c:v>
                </c:pt>
                <c:pt idx="4">
                  <c:v>18.970118429807052</c:v>
                </c:pt>
                <c:pt idx="5" formatCode="_(&quot;kr&quot;* #,##0.00_);_(&quot;kr&quot;* \(#,##0.00\);_(&quot;kr&quot;* &quot;-&quot;??_);_(@_)">
                  <c:v>3.8859806163767239</c:v>
                </c:pt>
                <c:pt idx="6" formatCode="_(&quot;kr&quot;* #,##0.00_);_(&quot;kr&quot;* \(#,##0.00\);_(&quot;kr&quot;* &quot;-&quot;??_);_(@_)">
                  <c:v>11.044176643920594</c:v>
                </c:pt>
                <c:pt idx="7" formatCode="_(&quot;kr&quot;* #,##0.00_);_(&quot;kr&quot;* \(#,##0.00\);_(&quot;kr&quot;* &quot;-&quot;??_);_(@_)">
                  <c:v>12.251520943780951</c:v>
                </c:pt>
                <c:pt idx="8" formatCode="_(&quot;kr&quot;* #,##0.00_);_(&quot;kr&quot;* \(#,##0.00\);_(&quot;kr&quot;* &quot;-&quot;??_);_(@_)">
                  <c:v>10.776696421052632</c:v>
                </c:pt>
                <c:pt idx="9" formatCode="_(&quot;kr&quot;* #,##0.00_);_(&quot;kr&quot;* \(#,##0.00\);_(&quot;kr&quot;* &quot;-&quot;??_);_(@_)">
                  <c:v>11.382071057884232</c:v>
                </c:pt>
              </c:numCache>
            </c:numRef>
          </c:val>
          <c:extLst>
            <c:ext xmlns:c16="http://schemas.microsoft.com/office/drawing/2014/chart" uri="{C3380CC4-5D6E-409C-BE32-E72D297353CC}">
              <c16:uniqueId val="{00000005-70C6-4356-8B72-B98548274720}"/>
            </c:ext>
          </c:extLst>
        </c:ser>
        <c:ser>
          <c:idx val="5"/>
          <c:order val="6"/>
          <c:tx>
            <c:strRef>
              <c:f>'DL-truck costs_base'!$N$73</c:f>
              <c:strCache>
                <c:ptCount val="1"/>
                <c:pt idx="0">
                  <c:v>Other</c:v>
                </c:pt>
              </c:strCache>
            </c:strRef>
          </c:tx>
          <c:spPr>
            <a:solidFill>
              <a:schemeClr val="accent6"/>
            </a:solidFill>
            <a:ln>
              <a:noFill/>
            </a:ln>
            <a:effectLst/>
          </c:spPr>
          <c:invertIfNegative val="0"/>
          <c:cat>
            <c:strRef>
              <c:f>('DL-truck costs_base'!$C$24:$C$28,'DL-truck costs_base'!$C$74:$C$78)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costs_base'!$N$24:$N$28,'DL-truck costs_base'!$N$74:$N$78)</c:f>
              <c:numCache>
                <c:formatCode>_-* #\ ##0.00\ [$kr-41D]_-;\-* #\ ##0.00\ [$kr-41D]_-;_-* "-"??\ [$kr-41D]_-;_-@_-</c:formatCode>
                <c:ptCount val="10"/>
                <c:pt idx="0">
                  <c:v>10.797844806038791</c:v>
                </c:pt>
                <c:pt idx="1">
                  <c:v>10.640538926799007</c:v>
                </c:pt>
                <c:pt idx="2">
                  <c:v>16.033798427031751</c:v>
                </c:pt>
                <c:pt idx="3">
                  <c:v>13.194839298245613</c:v>
                </c:pt>
                <c:pt idx="4">
                  <c:v>13.228738713050088</c:v>
                </c:pt>
                <c:pt idx="5" formatCode="_(&quot;kr&quot;* #,##0.00_);_(&quot;kr&quot;* \(#,##0.00\);_(&quot;kr&quot;* &quot;-&quot;??_);_(@_)">
                  <c:v>7.1985632040258603</c:v>
                </c:pt>
                <c:pt idx="6" formatCode="_(&quot;kr&quot;* #,##0.00_);_(&quot;kr&quot;* \(#,##0.00\);_(&quot;kr&quot;* &quot;-&quot;??_);_(@_)">
                  <c:v>7.0936926178660045</c:v>
                </c:pt>
                <c:pt idx="7" formatCode="_(&quot;kr&quot;* #,##0.00_);_(&quot;kr&quot;* \(#,##0.00\);_(&quot;kr&quot;* &quot;-&quot;??_);_(@_)">
                  <c:v>10.6891989513545</c:v>
                </c:pt>
                <c:pt idx="8" formatCode="_(&quot;kr&quot;* #,##0.00_);_(&quot;kr&quot;* \(#,##0.00\);_(&quot;kr&quot;* &quot;-&quot;??_);_(@_)">
                  <c:v>8.7965595321637426</c:v>
                </c:pt>
                <c:pt idx="9" formatCode="_(&quot;kr&quot;* #,##0.00_);_(&quot;kr&quot;* \(#,##0.00\);_(&quot;kr&quot;* &quot;-&quot;??_);_(@_)">
                  <c:v>8.8191591420333921</c:v>
                </c:pt>
              </c:numCache>
            </c:numRef>
          </c:val>
          <c:extLst>
            <c:ext xmlns:c16="http://schemas.microsoft.com/office/drawing/2014/chart" uri="{C3380CC4-5D6E-409C-BE32-E72D297353CC}">
              <c16:uniqueId val="{00000006-70C6-4356-8B72-B98548274720}"/>
            </c:ext>
          </c:extLst>
        </c:ser>
        <c:dLbls>
          <c:showLegendKey val="0"/>
          <c:showVal val="0"/>
          <c:showCatName val="0"/>
          <c:showSerName val="0"/>
          <c:showPercent val="0"/>
          <c:showBubbleSize val="0"/>
        </c:dLbls>
        <c:gapWidth val="150"/>
        <c:overlap val="100"/>
        <c:axId val="877674616"/>
        <c:axId val="877674944"/>
      </c:barChart>
      <c:catAx>
        <c:axId val="877674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7674944"/>
        <c:crosses val="autoZero"/>
        <c:auto val="1"/>
        <c:lblAlgn val="ctr"/>
        <c:lblOffset val="100"/>
        <c:noMultiLvlLbl val="0"/>
      </c:catAx>
      <c:valAx>
        <c:axId val="87767494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76746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Distance</a:t>
            </a:r>
            <a:r>
              <a:rPr lang="en-US" baseline="0"/>
              <a:t> dependent costs [sek/km]</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'DL-truck costs_pess'!$D$23</c:f>
              <c:strCache>
                <c:ptCount val="1"/>
                <c:pt idx="0">
                  <c:v>Fuel</c:v>
                </c:pt>
              </c:strCache>
            </c:strRef>
          </c:tx>
          <c:spPr>
            <a:solidFill>
              <a:schemeClr val="accent1"/>
            </a:solidFill>
            <a:ln>
              <a:noFill/>
            </a:ln>
            <a:effectLst/>
          </c:spPr>
          <c:invertIfNegative val="0"/>
          <c:cat>
            <c:strRef>
              <c:f>('DL-truck costs_pess'!$C$24:$C$28,'DL-truck costs_pess'!$C$74:$C$78)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costs_pess'!$D$24:$D$28,'DL-truck costs_pess'!$D$74:$D$78)</c:f>
              <c:numCache>
                <c:formatCode>_-* #\ ##0.00\ [$kr-41D]_-;\-* #\ ##0.00\ [$kr-41D]_-;_-* "-"??\ [$kr-41D]_-;_-@_-</c:formatCode>
                <c:ptCount val="10"/>
                <c:pt idx="0">
                  <c:v>0.69408000000000003</c:v>
                </c:pt>
                <c:pt idx="1">
                  <c:v>1.5809600000000001</c:v>
                </c:pt>
                <c:pt idx="2">
                  <c:v>2.1400800000000002</c:v>
                </c:pt>
                <c:pt idx="3">
                  <c:v>2.6124400000000003</c:v>
                </c:pt>
                <c:pt idx="4">
                  <c:v>3.3932799999999999</c:v>
                </c:pt>
                <c:pt idx="5" formatCode="_(&quot;kr&quot;* #,##0.00_);_(&quot;kr&quot;* \(#,##0.00\);_(&quot;kr&quot;* &quot;-&quot;??_);_(@_)">
                  <c:v>0.69408000000000003</c:v>
                </c:pt>
                <c:pt idx="6" formatCode="_(&quot;kr&quot;* #,##0.00_);_(&quot;kr&quot;* \(#,##0.00\);_(&quot;kr&quot;* &quot;-&quot;??_);_(@_)">
                  <c:v>1.5809600000000001</c:v>
                </c:pt>
                <c:pt idx="7" formatCode="_(&quot;kr&quot;* #,##0.00_);_(&quot;kr&quot;* \(#,##0.00\);_(&quot;kr&quot;* &quot;-&quot;??_);_(@_)">
                  <c:v>2.1400800000000002</c:v>
                </c:pt>
                <c:pt idx="8" formatCode="_(&quot;kr&quot;* #,##0.00_);_(&quot;kr&quot;* \(#,##0.00\);_(&quot;kr&quot;* &quot;-&quot;??_);_(@_)">
                  <c:v>2.6124400000000003</c:v>
                </c:pt>
                <c:pt idx="9" formatCode="_(&quot;kr&quot;* #,##0.00_);_(&quot;kr&quot;* \(#,##0.00\);_(&quot;kr&quot;* &quot;-&quot;??_);_(@_)">
                  <c:v>3.3932799999999999</c:v>
                </c:pt>
              </c:numCache>
            </c:numRef>
          </c:val>
          <c:extLst>
            <c:ext xmlns:c16="http://schemas.microsoft.com/office/drawing/2014/chart" uri="{C3380CC4-5D6E-409C-BE32-E72D297353CC}">
              <c16:uniqueId val="{00000000-6FE6-48B6-88D8-3177D0394177}"/>
            </c:ext>
          </c:extLst>
        </c:ser>
        <c:ser>
          <c:idx val="1"/>
          <c:order val="1"/>
          <c:tx>
            <c:strRef>
              <c:f>'DL-truck costs_pess'!$E$23</c:f>
              <c:strCache>
                <c:ptCount val="1"/>
                <c:pt idx="0">
                  <c:v>Maintenance</c:v>
                </c:pt>
              </c:strCache>
            </c:strRef>
          </c:tx>
          <c:spPr>
            <a:solidFill>
              <a:schemeClr val="accent2"/>
            </a:solidFill>
            <a:ln>
              <a:noFill/>
            </a:ln>
            <a:effectLst/>
          </c:spPr>
          <c:invertIfNegative val="0"/>
          <c:cat>
            <c:strRef>
              <c:f>('DL-truck costs_pess'!$C$24:$C$28,'DL-truck costs_pess'!$C$74:$C$78)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costs_pess'!$E$24:$E$28,'DL-truck costs_pess'!$E$74:$E$78)</c:f>
              <c:numCache>
                <c:formatCode>_-* #\ ##0.00\ [$kr-41D]_-;\-* #\ ##0.00\ [$kr-41D]_-;_-* "-"??\ [$kr-41D]_-;_-@_-</c:formatCode>
                <c:ptCount val="10"/>
                <c:pt idx="0">
                  <c:v>0.33</c:v>
                </c:pt>
                <c:pt idx="1">
                  <c:v>1.06</c:v>
                </c:pt>
                <c:pt idx="2">
                  <c:v>1.26</c:v>
                </c:pt>
                <c:pt idx="3">
                  <c:v>1.19</c:v>
                </c:pt>
                <c:pt idx="4">
                  <c:v>1.04</c:v>
                </c:pt>
                <c:pt idx="5" formatCode="_(&quot;kr&quot;* #,##0.00_);_(&quot;kr&quot;* \(#,##0.00\);_(&quot;kr&quot;* &quot;-&quot;??_);_(@_)">
                  <c:v>0.41250000000000003</c:v>
                </c:pt>
                <c:pt idx="6" formatCode="_(&quot;kr&quot;* #,##0.00_);_(&quot;kr&quot;* \(#,##0.00\);_(&quot;kr&quot;* &quot;-&quot;??_);_(@_)">
                  <c:v>1.3250000000000002</c:v>
                </c:pt>
                <c:pt idx="7" formatCode="_(&quot;kr&quot;* #,##0.00_);_(&quot;kr&quot;* \(#,##0.00\);_(&quot;kr&quot;* &quot;-&quot;??_);_(@_)">
                  <c:v>1.575</c:v>
                </c:pt>
                <c:pt idx="8" formatCode="_(&quot;kr&quot;* #,##0.00_);_(&quot;kr&quot;* \(#,##0.00\);_(&quot;kr&quot;* &quot;-&quot;??_);_(@_)">
                  <c:v>1.4874999999999998</c:v>
                </c:pt>
                <c:pt idx="9" formatCode="_(&quot;kr&quot;* #,##0.00_);_(&quot;kr&quot;* \(#,##0.00\);_(&quot;kr&quot;* &quot;-&quot;??_);_(@_)">
                  <c:v>1.3</c:v>
                </c:pt>
              </c:numCache>
            </c:numRef>
          </c:val>
          <c:extLst>
            <c:ext xmlns:c16="http://schemas.microsoft.com/office/drawing/2014/chart" uri="{C3380CC4-5D6E-409C-BE32-E72D297353CC}">
              <c16:uniqueId val="{00000001-6FE6-48B6-88D8-3177D0394177}"/>
            </c:ext>
          </c:extLst>
        </c:ser>
        <c:ser>
          <c:idx val="2"/>
          <c:order val="2"/>
          <c:tx>
            <c:strRef>
              <c:f>'DL-truck costs_pess'!$F$23</c:f>
              <c:strCache>
                <c:ptCount val="1"/>
                <c:pt idx="0">
                  <c:v>Tires</c:v>
                </c:pt>
              </c:strCache>
            </c:strRef>
          </c:tx>
          <c:spPr>
            <a:solidFill>
              <a:schemeClr val="accent3"/>
            </a:solidFill>
            <a:ln>
              <a:noFill/>
            </a:ln>
            <a:effectLst/>
          </c:spPr>
          <c:invertIfNegative val="0"/>
          <c:cat>
            <c:strRef>
              <c:f>('DL-truck costs_pess'!$C$24:$C$28,'DL-truck costs_pess'!$C$74:$C$78)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costs_pess'!$F$24:$F$28,'DL-truck costs_pess'!$F$74:$F$78)</c:f>
              <c:numCache>
                <c:formatCode>_-* #\ ##0.00\ [$kr-41D]_-;\-* #\ ##0.00\ [$kr-41D]_-;_-* "-"??\ [$kr-41D]_-;_-@_-</c:formatCode>
                <c:ptCount val="10"/>
                <c:pt idx="0">
                  <c:v>0.51</c:v>
                </c:pt>
                <c:pt idx="1">
                  <c:v>0.32</c:v>
                </c:pt>
                <c:pt idx="2">
                  <c:v>0.64</c:v>
                </c:pt>
                <c:pt idx="3">
                  <c:v>0.94</c:v>
                </c:pt>
                <c:pt idx="4">
                  <c:v>1.18</c:v>
                </c:pt>
                <c:pt idx="5" formatCode="_(&quot;kr&quot;* #,##0.00_);_(&quot;kr&quot;* \(#,##0.00\);_(&quot;kr&quot;* &quot;-&quot;??_);_(@_)">
                  <c:v>0.51</c:v>
                </c:pt>
                <c:pt idx="6" formatCode="_(&quot;kr&quot;* #,##0.00_);_(&quot;kr&quot;* \(#,##0.00\);_(&quot;kr&quot;* &quot;-&quot;??_);_(@_)">
                  <c:v>0.32</c:v>
                </c:pt>
                <c:pt idx="7" formatCode="_(&quot;kr&quot;* #,##0.00_);_(&quot;kr&quot;* \(#,##0.00\);_(&quot;kr&quot;* &quot;-&quot;??_);_(@_)">
                  <c:v>0.64</c:v>
                </c:pt>
                <c:pt idx="8" formatCode="_(&quot;kr&quot;* #,##0.00_);_(&quot;kr&quot;* \(#,##0.00\);_(&quot;kr&quot;* &quot;-&quot;??_);_(@_)">
                  <c:v>0.94</c:v>
                </c:pt>
                <c:pt idx="9" formatCode="_(&quot;kr&quot;* #,##0.00_);_(&quot;kr&quot;* \(#,##0.00\);_(&quot;kr&quot;* &quot;-&quot;??_);_(@_)">
                  <c:v>1.18</c:v>
                </c:pt>
              </c:numCache>
            </c:numRef>
          </c:val>
          <c:extLst>
            <c:ext xmlns:c16="http://schemas.microsoft.com/office/drawing/2014/chart" uri="{C3380CC4-5D6E-409C-BE32-E72D297353CC}">
              <c16:uniqueId val="{00000002-6FE6-48B6-88D8-3177D0394177}"/>
            </c:ext>
          </c:extLst>
        </c:ser>
        <c:ser>
          <c:idx val="3"/>
          <c:order val="3"/>
          <c:tx>
            <c:strRef>
              <c:f>'DL-truck costs_pess'!$G$23</c:f>
              <c:strCache>
                <c:ptCount val="1"/>
                <c:pt idx="0">
                  <c:v>Depreciation</c:v>
                </c:pt>
              </c:strCache>
            </c:strRef>
          </c:tx>
          <c:spPr>
            <a:solidFill>
              <a:schemeClr val="accent4"/>
            </a:solidFill>
            <a:ln>
              <a:noFill/>
            </a:ln>
            <a:effectLst/>
          </c:spPr>
          <c:invertIfNegative val="0"/>
          <c:cat>
            <c:strRef>
              <c:f>('DL-truck costs_pess'!$C$24:$C$28,'DL-truck costs_pess'!$C$74:$C$78)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costs_pess'!$G$24:$G$28,'DL-truck costs_pess'!$G$74:$G$78)</c:f>
              <c:numCache>
                <c:formatCode>_-* #\ ##0.00\ [$kr-41D]_-;\-* #\ ##0.00\ [$kr-41D]_-;_-* "-"??\ [$kr-41D]_-;_-@_-</c:formatCode>
                <c:ptCount val="10"/>
                <c:pt idx="0">
                  <c:v>1.0266666666666666</c:v>
                </c:pt>
                <c:pt idx="1">
                  <c:v>1.6897222222222221</c:v>
                </c:pt>
                <c:pt idx="2">
                  <c:v>2.0664583333333333</c:v>
                </c:pt>
                <c:pt idx="3">
                  <c:v>1.7855999999999999</c:v>
                </c:pt>
                <c:pt idx="4">
                  <c:v>1.9536</c:v>
                </c:pt>
                <c:pt idx="5" formatCode="_(&quot;kr&quot;* #,##0.00_);_(&quot;kr&quot;* \(#,##0.00\);_(&quot;kr&quot;* &quot;-&quot;??_);_(@_)">
                  <c:v>1.2833333333333334</c:v>
                </c:pt>
                <c:pt idx="6" formatCode="_(&quot;kr&quot;* #,##0.00_);_(&quot;kr&quot;* \(#,##0.00\);_(&quot;kr&quot;* &quot;-&quot;??_);_(@_)">
                  <c:v>2.1121527777777778</c:v>
                </c:pt>
                <c:pt idx="7" formatCode="_(&quot;kr&quot;* #,##0.00_);_(&quot;kr&quot;* \(#,##0.00\);_(&quot;kr&quot;* &quot;-&quot;??_);_(@_)">
                  <c:v>2.5830729166666666</c:v>
                </c:pt>
                <c:pt idx="8" formatCode="_(&quot;kr&quot;* #,##0.00_);_(&quot;kr&quot;* \(#,##0.00\);_(&quot;kr&quot;* &quot;-&quot;??_);_(@_)">
                  <c:v>2.2319999999999998</c:v>
                </c:pt>
                <c:pt idx="9" formatCode="_(&quot;kr&quot;* #,##0.00_);_(&quot;kr&quot;* \(#,##0.00\);_(&quot;kr&quot;* &quot;-&quot;??_);_(@_)">
                  <c:v>2.4419999999999997</c:v>
                </c:pt>
              </c:numCache>
            </c:numRef>
          </c:val>
          <c:extLst>
            <c:ext xmlns:c16="http://schemas.microsoft.com/office/drawing/2014/chart" uri="{C3380CC4-5D6E-409C-BE32-E72D297353CC}">
              <c16:uniqueId val="{00000003-6FE6-48B6-88D8-3177D0394177}"/>
            </c:ext>
          </c:extLst>
        </c:ser>
        <c:dLbls>
          <c:showLegendKey val="0"/>
          <c:showVal val="0"/>
          <c:showCatName val="0"/>
          <c:showSerName val="0"/>
          <c:showPercent val="0"/>
          <c:showBubbleSize val="0"/>
        </c:dLbls>
        <c:gapWidth val="219"/>
        <c:overlap val="100"/>
        <c:axId val="856156488"/>
        <c:axId val="856156816"/>
      </c:barChart>
      <c:catAx>
        <c:axId val="856156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6156816"/>
        <c:crosses val="autoZero"/>
        <c:auto val="1"/>
        <c:lblAlgn val="ctr"/>
        <c:lblOffset val="100"/>
        <c:noMultiLvlLbl val="0"/>
      </c:catAx>
      <c:valAx>
        <c:axId val="856156816"/>
        <c:scaling>
          <c:orientation val="minMax"/>
        </c:scaling>
        <c:delete val="0"/>
        <c:axPos val="l"/>
        <c:majorGridlines>
          <c:spPr>
            <a:ln w="9525" cap="flat" cmpd="sng" algn="ctr">
              <a:solidFill>
                <a:schemeClr val="tx1">
                  <a:lumMod val="15000"/>
                  <a:lumOff val="85000"/>
                </a:schemeClr>
              </a:solidFill>
              <a:round/>
            </a:ln>
            <a:effectLst/>
          </c:spPr>
        </c:majorGridlines>
        <c:numFmt formatCode="_-* #\ ##0.00\ [$kr-41D]_-;\-* #\ ##0.00\ [$kr-41D]_-;_-* &quot;-&quot;??\ [$kr-41D]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61564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Distance</a:t>
            </a:r>
            <a:r>
              <a:rPr lang="en-US" baseline="0"/>
              <a:t> dependent costs [sek/km]</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tx>
            <c:strRef>
              <c:f>'DL-truck costs_pess'!$D$23</c:f>
              <c:strCache>
                <c:ptCount val="1"/>
                <c:pt idx="0">
                  <c:v>Fuel</c:v>
                </c:pt>
              </c:strCache>
            </c:strRef>
          </c:tx>
          <c:spPr>
            <a:solidFill>
              <a:schemeClr val="accent1"/>
            </a:solidFill>
            <a:ln>
              <a:noFill/>
            </a:ln>
            <a:effectLst/>
          </c:spPr>
          <c:invertIfNegative val="0"/>
          <c:cat>
            <c:strRef>
              <c:f>('DL-truck costs_pess'!$C$24:$C$28,'DL-truck costs_pess'!$C$74:$C$78)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costs_pess'!$D$24:$D$28,'DL-truck costs_pess'!$D$74:$D$78)</c:f>
              <c:numCache>
                <c:formatCode>_-* #\ ##0.00\ [$kr-41D]_-;\-* #\ ##0.00\ [$kr-41D]_-;_-* "-"??\ [$kr-41D]_-;_-@_-</c:formatCode>
                <c:ptCount val="10"/>
                <c:pt idx="0">
                  <c:v>0.69408000000000003</c:v>
                </c:pt>
                <c:pt idx="1">
                  <c:v>1.5809600000000001</c:v>
                </c:pt>
                <c:pt idx="2">
                  <c:v>2.1400800000000002</c:v>
                </c:pt>
                <c:pt idx="3">
                  <c:v>2.6124400000000003</c:v>
                </c:pt>
                <c:pt idx="4">
                  <c:v>3.3932799999999999</c:v>
                </c:pt>
                <c:pt idx="5" formatCode="_(&quot;kr&quot;* #,##0.00_);_(&quot;kr&quot;* \(#,##0.00\);_(&quot;kr&quot;* &quot;-&quot;??_);_(@_)">
                  <c:v>0.69408000000000003</c:v>
                </c:pt>
                <c:pt idx="6" formatCode="_(&quot;kr&quot;* #,##0.00_);_(&quot;kr&quot;* \(#,##0.00\);_(&quot;kr&quot;* &quot;-&quot;??_);_(@_)">
                  <c:v>1.5809600000000001</c:v>
                </c:pt>
                <c:pt idx="7" formatCode="_(&quot;kr&quot;* #,##0.00_);_(&quot;kr&quot;* \(#,##0.00\);_(&quot;kr&quot;* &quot;-&quot;??_);_(@_)">
                  <c:v>2.1400800000000002</c:v>
                </c:pt>
                <c:pt idx="8" formatCode="_(&quot;kr&quot;* #,##0.00_);_(&quot;kr&quot;* \(#,##0.00\);_(&quot;kr&quot;* &quot;-&quot;??_);_(@_)">
                  <c:v>2.6124400000000003</c:v>
                </c:pt>
                <c:pt idx="9" formatCode="_(&quot;kr&quot;* #,##0.00_);_(&quot;kr&quot;* \(#,##0.00\);_(&quot;kr&quot;* &quot;-&quot;??_);_(@_)">
                  <c:v>3.3932799999999999</c:v>
                </c:pt>
              </c:numCache>
            </c:numRef>
          </c:val>
          <c:extLst>
            <c:ext xmlns:c16="http://schemas.microsoft.com/office/drawing/2014/chart" uri="{C3380CC4-5D6E-409C-BE32-E72D297353CC}">
              <c16:uniqueId val="{00000000-A913-4785-A53C-6B1A40748F43}"/>
            </c:ext>
          </c:extLst>
        </c:ser>
        <c:ser>
          <c:idx val="1"/>
          <c:order val="1"/>
          <c:tx>
            <c:strRef>
              <c:f>'DL-truck costs_pess'!$E$23</c:f>
              <c:strCache>
                <c:ptCount val="1"/>
                <c:pt idx="0">
                  <c:v>Maintenance</c:v>
                </c:pt>
              </c:strCache>
            </c:strRef>
          </c:tx>
          <c:spPr>
            <a:solidFill>
              <a:schemeClr val="accent2"/>
            </a:solidFill>
            <a:ln>
              <a:noFill/>
            </a:ln>
            <a:effectLst/>
          </c:spPr>
          <c:invertIfNegative val="0"/>
          <c:cat>
            <c:strRef>
              <c:f>('DL-truck costs_pess'!$C$24:$C$28,'DL-truck costs_pess'!$C$74:$C$78)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costs_pess'!$E$24:$E$28,'DL-truck costs_pess'!$E$74:$E$78)</c:f>
              <c:numCache>
                <c:formatCode>_-* #\ ##0.00\ [$kr-41D]_-;\-* #\ ##0.00\ [$kr-41D]_-;_-* "-"??\ [$kr-41D]_-;_-@_-</c:formatCode>
                <c:ptCount val="10"/>
                <c:pt idx="0">
                  <c:v>0.33</c:v>
                </c:pt>
                <c:pt idx="1">
                  <c:v>1.06</c:v>
                </c:pt>
                <c:pt idx="2">
                  <c:v>1.26</c:v>
                </c:pt>
                <c:pt idx="3">
                  <c:v>1.19</c:v>
                </c:pt>
                <c:pt idx="4">
                  <c:v>1.04</c:v>
                </c:pt>
                <c:pt idx="5" formatCode="_(&quot;kr&quot;* #,##0.00_);_(&quot;kr&quot;* \(#,##0.00\);_(&quot;kr&quot;* &quot;-&quot;??_);_(@_)">
                  <c:v>0.41250000000000003</c:v>
                </c:pt>
                <c:pt idx="6" formatCode="_(&quot;kr&quot;* #,##0.00_);_(&quot;kr&quot;* \(#,##0.00\);_(&quot;kr&quot;* &quot;-&quot;??_);_(@_)">
                  <c:v>1.3250000000000002</c:v>
                </c:pt>
                <c:pt idx="7" formatCode="_(&quot;kr&quot;* #,##0.00_);_(&quot;kr&quot;* \(#,##0.00\);_(&quot;kr&quot;* &quot;-&quot;??_);_(@_)">
                  <c:v>1.575</c:v>
                </c:pt>
                <c:pt idx="8" formatCode="_(&quot;kr&quot;* #,##0.00_);_(&quot;kr&quot;* \(#,##0.00\);_(&quot;kr&quot;* &quot;-&quot;??_);_(@_)">
                  <c:v>1.4874999999999998</c:v>
                </c:pt>
                <c:pt idx="9" formatCode="_(&quot;kr&quot;* #,##0.00_);_(&quot;kr&quot;* \(#,##0.00\);_(&quot;kr&quot;* &quot;-&quot;??_);_(@_)">
                  <c:v>1.3</c:v>
                </c:pt>
              </c:numCache>
            </c:numRef>
          </c:val>
          <c:extLst>
            <c:ext xmlns:c16="http://schemas.microsoft.com/office/drawing/2014/chart" uri="{C3380CC4-5D6E-409C-BE32-E72D297353CC}">
              <c16:uniqueId val="{00000001-A913-4785-A53C-6B1A40748F43}"/>
            </c:ext>
          </c:extLst>
        </c:ser>
        <c:ser>
          <c:idx val="2"/>
          <c:order val="2"/>
          <c:tx>
            <c:strRef>
              <c:f>'DL-truck costs_pess'!$F$23</c:f>
              <c:strCache>
                <c:ptCount val="1"/>
                <c:pt idx="0">
                  <c:v>Tires</c:v>
                </c:pt>
              </c:strCache>
            </c:strRef>
          </c:tx>
          <c:spPr>
            <a:solidFill>
              <a:schemeClr val="accent3"/>
            </a:solidFill>
            <a:ln>
              <a:noFill/>
            </a:ln>
            <a:effectLst/>
          </c:spPr>
          <c:invertIfNegative val="0"/>
          <c:cat>
            <c:strRef>
              <c:f>('DL-truck costs_pess'!$C$24:$C$28,'DL-truck costs_pess'!$C$74:$C$78)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costs_pess'!$F$24:$F$28,'DL-truck costs_pess'!$F$74:$F$78)</c:f>
              <c:numCache>
                <c:formatCode>_-* #\ ##0.00\ [$kr-41D]_-;\-* #\ ##0.00\ [$kr-41D]_-;_-* "-"??\ [$kr-41D]_-;_-@_-</c:formatCode>
                <c:ptCount val="10"/>
                <c:pt idx="0">
                  <c:v>0.51</c:v>
                </c:pt>
                <c:pt idx="1">
                  <c:v>0.32</c:v>
                </c:pt>
                <c:pt idx="2">
                  <c:v>0.64</c:v>
                </c:pt>
                <c:pt idx="3">
                  <c:v>0.94</c:v>
                </c:pt>
                <c:pt idx="4">
                  <c:v>1.18</c:v>
                </c:pt>
                <c:pt idx="5" formatCode="_(&quot;kr&quot;* #,##0.00_);_(&quot;kr&quot;* \(#,##0.00\);_(&quot;kr&quot;* &quot;-&quot;??_);_(@_)">
                  <c:v>0.51</c:v>
                </c:pt>
                <c:pt idx="6" formatCode="_(&quot;kr&quot;* #,##0.00_);_(&quot;kr&quot;* \(#,##0.00\);_(&quot;kr&quot;* &quot;-&quot;??_);_(@_)">
                  <c:v>0.32</c:v>
                </c:pt>
                <c:pt idx="7" formatCode="_(&quot;kr&quot;* #,##0.00_);_(&quot;kr&quot;* \(#,##0.00\);_(&quot;kr&quot;* &quot;-&quot;??_);_(@_)">
                  <c:v>0.64</c:v>
                </c:pt>
                <c:pt idx="8" formatCode="_(&quot;kr&quot;* #,##0.00_);_(&quot;kr&quot;* \(#,##0.00\);_(&quot;kr&quot;* &quot;-&quot;??_);_(@_)">
                  <c:v>0.94</c:v>
                </c:pt>
                <c:pt idx="9" formatCode="_(&quot;kr&quot;* #,##0.00_);_(&quot;kr&quot;* \(#,##0.00\);_(&quot;kr&quot;* &quot;-&quot;??_);_(@_)">
                  <c:v>1.18</c:v>
                </c:pt>
              </c:numCache>
            </c:numRef>
          </c:val>
          <c:extLst>
            <c:ext xmlns:c16="http://schemas.microsoft.com/office/drawing/2014/chart" uri="{C3380CC4-5D6E-409C-BE32-E72D297353CC}">
              <c16:uniqueId val="{00000002-A913-4785-A53C-6B1A40748F43}"/>
            </c:ext>
          </c:extLst>
        </c:ser>
        <c:ser>
          <c:idx val="3"/>
          <c:order val="3"/>
          <c:tx>
            <c:strRef>
              <c:f>'DL-truck costs_pess'!$G$23</c:f>
              <c:strCache>
                <c:ptCount val="1"/>
                <c:pt idx="0">
                  <c:v>Depreciation</c:v>
                </c:pt>
              </c:strCache>
            </c:strRef>
          </c:tx>
          <c:spPr>
            <a:solidFill>
              <a:schemeClr val="accent4"/>
            </a:solidFill>
            <a:ln>
              <a:noFill/>
            </a:ln>
            <a:effectLst/>
          </c:spPr>
          <c:invertIfNegative val="0"/>
          <c:cat>
            <c:strRef>
              <c:f>('DL-truck costs_pess'!$C$24:$C$28,'DL-truck costs_pess'!$C$74:$C$78)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costs_pess'!$G$24:$G$28,'DL-truck costs_pess'!$G$74:$G$78)</c:f>
              <c:numCache>
                <c:formatCode>_-* #\ ##0.00\ [$kr-41D]_-;\-* #\ ##0.00\ [$kr-41D]_-;_-* "-"??\ [$kr-41D]_-;_-@_-</c:formatCode>
                <c:ptCount val="10"/>
                <c:pt idx="0">
                  <c:v>1.0266666666666666</c:v>
                </c:pt>
                <c:pt idx="1">
                  <c:v>1.6897222222222221</c:v>
                </c:pt>
                <c:pt idx="2">
                  <c:v>2.0664583333333333</c:v>
                </c:pt>
                <c:pt idx="3">
                  <c:v>1.7855999999999999</c:v>
                </c:pt>
                <c:pt idx="4">
                  <c:v>1.9536</c:v>
                </c:pt>
                <c:pt idx="5" formatCode="_(&quot;kr&quot;* #,##0.00_);_(&quot;kr&quot;* \(#,##0.00\);_(&quot;kr&quot;* &quot;-&quot;??_);_(@_)">
                  <c:v>1.2833333333333334</c:v>
                </c:pt>
                <c:pt idx="6" formatCode="_(&quot;kr&quot;* #,##0.00_);_(&quot;kr&quot;* \(#,##0.00\);_(&quot;kr&quot;* &quot;-&quot;??_);_(@_)">
                  <c:v>2.1121527777777778</c:v>
                </c:pt>
                <c:pt idx="7" formatCode="_(&quot;kr&quot;* #,##0.00_);_(&quot;kr&quot;* \(#,##0.00\);_(&quot;kr&quot;* &quot;-&quot;??_);_(@_)">
                  <c:v>2.5830729166666666</c:v>
                </c:pt>
                <c:pt idx="8" formatCode="_(&quot;kr&quot;* #,##0.00_);_(&quot;kr&quot;* \(#,##0.00\);_(&quot;kr&quot;* &quot;-&quot;??_);_(@_)">
                  <c:v>2.2319999999999998</c:v>
                </c:pt>
                <c:pt idx="9" formatCode="_(&quot;kr&quot;* #,##0.00_);_(&quot;kr&quot;* \(#,##0.00\);_(&quot;kr&quot;* &quot;-&quot;??_);_(@_)">
                  <c:v>2.4419999999999997</c:v>
                </c:pt>
              </c:numCache>
            </c:numRef>
          </c:val>
          <c:extLst>
            <c:ext xmlns:c16="http://schemas.microsoft.com/office/drawing/2014/chart" uri="{C3380CC4-5D6E-409C-BE32-E72D297353CC}">
              <c16:uniqueId val="{00000003-A913-4785-A53C-6B1A40748F43}"/>
            </c:ext>
          </c:extLst>
        </c:ser>
        <c:dLbls>
          <c:showLegendKey val="0"/>
          <c:showVal val="0"/>
          <c:showCatName val="0"/>
          <c:showSerName val="0"/>
          <c:showPercent val="0"/>
          <c:showBubbleSize val="0"/>
        </c:dLbls>
        <c:gapWidth val="219"/>
        <c:overlap val="100"/>
        <c:axId val="856156488"/>
        <c:axId val="856156816"/>
      </c:barChart>
      <c:catAx>
        <c:axId val="856156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6156816"/>
        <c:crosses val="autoZero"/>
        <c:auto val="1"/>
        <c:lblAlgn val="ctr"/>
        <c:lblOffset val="100"/>
        <c:noMultiLvlLbl val="0"/>
      </c:catAx>
      <c:valAx>
        <c:axId val="85615681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61564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Time-dependent costs [sek/h]</a:t>
            </a:r>
          </a:p>
        </c:rich>
      </c:tx>
      <c:layout>
        <c:manualLayout>
          <c:xMode val="edge"/>
          <c:yMode val="edge"/>
          <c:x val="0.42448850015935202"/>
          <c:y val="2.387621199714635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'DL-truck costs_pess'!$I$73</c:f>
              <c:strCache>
                <c:ptCount val="1"/>
                <c:pt idx="0">
                  <c:v>Driver</c:v>
                </c:pt>
              </c:strCache>
            </c:strRef>
          </c:tx>
          <c:spPr>
            <a:solidFill>
              <a:schemeClr val="accent1"/>
            </a:solidFill>
            <a:ln>
              <a:noFill/>
            </a:ln>
            <a:effectLst/>
          </c:spPr>
          <c:invertIfNegative val="0"/>
          <c:cat>
            <c:strRef>
              <c:f>('DL-truck costs_pess'!$C$24:$C$28,'DL-truck costs_pess'!$C$74:$C$78)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costs_pess'!$I$24:$I$28,'DL-truck costs_pess'!$I$74:$I$78)</c:f>
              <c:numCache>
                <c:formatCode>_-* #\ ##0.00\ [$kr-41D]_-;\-* #\ ##0.00\ [$kr-41D]_-;_-* "-"??\ [$kr-41D]_-;_-@_-</c:formatCode>
                <c:ptCount val="10"/>
                <c:pt idx="0">
                  <c:v>254</c:v>
                </c:pt>
                <c:pt idx="1">
                  <c:v>254</c:v>
                </c:pt>
                <c:pt idx="2">
                  <c:v>245</c:v>
                </c:pt>
                <c:pt idx="3">
                  <c:v>245</c:v>
                </c:pt>
                <c:pt idx="4">
                  <c:v>254</c:v>
                </c:pt>
                <c:pt idx="5" formatCode="_(&quot;kr&quot;* #,##0.00_);_(&quot;kr&quot;* \(#,##0.00\);_(&quot;kr&quot;* &quot;-&quot;??_);_(@_)">
                  <c:v>0</c:v>
                </c:pt>
                <c:pt idx="6" formatCode="_(&quot;kr&quot;* #,##0.00_);_(&quot;kr&quot;* \(#,##0.00\);_(&quot;kr&quot;* &quot;-&quot;??_);_(@_)">
                  <c:v>0</c:v>
                </c:pt>
                <c:pt idx="7" formatCode="_(&quot;kr&quot;* #,##0.00_);_(&quot;kr&quot;* \(#,##0.00\);_(&quot;kr&quot;* &quot;-&quot;??_);_(@_)">
                  <c:v>0</c:v>
                </c:pt>
                <c:pt idx="8" formatCode="_(&quot;kr&quot;* #,##0.00_);_(&quot;kr&quot;* \(#,##0.00\);_(&quot;kr&quot;* &quot;-&quot;??_);_(@_)">
                  <c:v>0</c:v>
                </c:pt>
                <c:pt idx="9" formatCode="_(&quot;kr&quot;* #,##0.00_);_(&quot;kr&quot;* \(#,##0.00\);_(&quot;kr&quot;* &quot;-&quot;??_);_(@_)">
                  <c:v>0</c:v>
                </c:pt>
              </c:numCache>
            </c:numRef>
          </c:val>
          <c:extLst>
            <c:ext xmlns:c16="http://schemas.microsoft.com/office/drawing/2014/chart" uri="{C3380CC4-5D6E-409C-BE32-E72D297353CC}">
              <c16:uniqueId val="{00000000-6A70-4E09-9534-2F6380DEE3E0}"/>
            </c:ext>
          </c:extLst>
        </c:ser>
        <c:ser>
          <c:idx val="6"/>
          <c:order val="1"/>
          <c:tx>
            <c:strRef>
              <c:f>'DL-truck costs_pess'!$O$73</c:f>
              <c:strCache>
                <c:ptCount val="1"/>
                <c:pt idx="0">
                  <c:v>Remote ops</c:v>
                </c:pt>
              </c:strCache>
            </c:strRef>
          </c:tx>
          <c:spPr>
            <a:solidFill>
              <a:schemeClr val="accent1">
                <a:lumMod val="60000"/>
              </a:schemeClr>
            </a:solidFill>
            <a:ln>
              <a:noFill/>
            </a:ln>
            <a:effectLst/>
          </c:spPr>
          <c:invertIfNegative val="0"/>
          <c:cat>
            <c:strRef>
              <c:f>('DL-truck costs_pess'!$C$24:$C$28,'DL-truck costs_pess'!$C$74:$C$78)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costs_pess'!$O$24:$O$28,'DL-truck costs_pess'!$O$74:$O$78)</c:f>
              <c:numCache>
                <c:formatCode>_-* #\ ##0.00\ [$kr-41D]_-;\-* #\ ##0.00\ [$kr-41D]_-;_-* "-"??\ [$kr-41D]_-;_-@_-</c:formatCode>
                <c:ptCount val="10"/>
                <c:pt idx="5" formatCode="_(&quot;kr&quot;* #,##0.00_);_(&quot;kr&quot;* \(#,##0.00\);_(&quot;kr&quot;* &quot;-&quot;??_);_(@_)">
                  <c:v>101.60000000000001</c:v>
                </c:pt>
                <c:pt idx="6" formatCode="_(&quot;kr&quot;* #,##0.00_);_(&quot;kr&quot;* \(#,##0.00\);_(&quot;kr&quot;* &quot;-&quot;??_);_(@_)">
                  <c:v>101.60000000000001</c:v>
                </c:pt>
                <c:pt idx="7" formatCode="_(&quot;kr&quot;* #,##0.00_);_(&quot;kr&quot;* \(#,##0.00\);_(&quot;kr&quot;* &quot;-&quot;??_);_(@_)">
                  <c:v>98</c:v>
                </c:pt>
                <c:pt idx="8" formatCode="_(&quot;kr&quot;* #,##0.00_);_(&quot;kr&quot;* \(#,##0.00\);_(&quot;kr&quot;* &quot;-&quot;??_);_(@_)">
                  <c:v>98</c:v>
                </c:pt>
                <c:pt idx="9" formatCode="_(&quot;kr&quot;* #,##0.00_);_(&quot;kr&quot;* \(#,##0.00\);_(&quot;kr&quot;* &quot;-&quot;??_);_(@_)">
                  <c:v>101.60000000000001</c:v>
                </c:pt>
              </c:numCache>
            </c:numRef>
          </c:val>
          <c:extLst>
            <c:ext xmlns:c16="http://schemas.microsoft.com/office/drawing/2014/chart" uri="{C3380CC4-5D6E-409C-BE32-E72D297353CC}">
              <c16:uniqueId val="{00000001-6A70-4E09-9534-2F6380DEE3E0}"/>
            </c:ext>
          </c:extLst>
        </c:ser>
        <c:ser>
          <c:idx val="1"/>
          <c:order val="2"/>
          <c:tx>
            <c:strRef>
              <c:f>'DL-truck costs_pess'!$J$73</c:f>
              <c:strCache>
                <c:ptCount val="1"/>
                <c:pt idx="0">
                  <c:v>Capital </c:v>
                </c:pt>
              </c:strCache>
            </c:strRef>
          </c:tx>
          <c:spPr>
            <a:solidFill>
              <a:schemeClr val="accent2"/>
            </a:solidFill>
            <a:ln>
              <a:noFill/>
            </a:ln>
            <a:effectLst/>
          </c:spPr>
          <c:invertIfNegative val="0"/>
          <c:cat>
            <c:strRef>
              <c:f>('DL-truck costs_pess'!$C$24:$C$28,'DL-truck costs_pess'!$C$74:$C$78)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costs_pess'!$J$24:$J$28,'DL-truck costs_pess'!$J$74:$J$78)</c:f>
              <c:numCache>
                <c:formatCode>_-* #\ ##0.00\ [$kr-41D]_-;\-* #\ ##0.00\ [$kr-41D]_-;_-* "-"??\ [$kr-41D]_-;_-@_-</c:formatCode>
                <c:ptCount val="10"/>
                <c:pt idx="0">
                  <c:v>3.5416666666666665</c:v>
                </c:pt>
                <c:pt idx="1">
                  <c:v>12.0375</c:v>
                </c:pt>
                <c:pt idx="2">
                  <c:v>19.274999999999999</c:v>
                </c:pt>
                <c:pt idx="3">
                  <c:v>17.507142857142856</c:v>
                </c:pt>
                <c:pt idx="4">
                  <c:v>19.157142857142858</c:v>
                </c:pt>
                <c:pt idx="5" formatCode="_(&quot;kr&quot;* #,##0.00_);_(&quot;kr&quot;* \(#,##0.00\);_(&quot;kr&quot;* &quot;-&quot;??_);_(@_)">
                  <c:v>3.6892361111111112</c:v>
                </c:pt>
                <c:pt idx="6" formatCode="_(&quot;kr&quot;* #,##0.00_);_(&quot;kr&quot;* \(#,##0.00\);_(&quot;kr&quot;* &quot;-&quot;??_);_(@_)">
                  <c:v>12.5390625</c:v>
                </c:pt>
                <c:pt idx="7" formatCode="_(&quot;kr&quot;* #,##0.00_);_(&quot;kr&quot;* \(#,##0.00\);_(&quot;kr&quot;* &quot;-&quot;??_);_(@_)">
                  <c:v>20.078125</c:v>
                </c:pt>
                <c:pt idx="8" formatCode="_(&quot;kr&quot;* #,##0.00_);_(&quot;kr&quot;* \(#,##0.00\);_(&quot;kr&quot;* &quot;-&quot;??_);_(@_)">
                  <c:v>18.236607142857142</c:v>
                </c:pt>
                <c:pt idx="9" formatCode="_(&quot;kr&quot;* #,##0.00_);_(&quot;kr&quot;* \(#,##0.00\);_(&quot;kr&quot;* &quot;-&quot;??_);_(@_)">
                  <c:v>19.955357142857142</c:v>
                </c:pt>
              </c:numCache>
            </c:numRef>
          </c:val>
          <c:extLst>
            <c:ext xmlns:c16="http://schemas.microsoft.com/office/drawing/2014/chart" uri="{C3380CC4-5D6E-409C-BE32-E72D297353CC}">
              <c16:uniqueId val="{00000002-6A70-4E09-9534-2F6380DEE3E0}"/>
            </c:ext>
          </c:extLst>
        </c:ser>
        <c:ser>
          <c:idx val="2"/>
          <c:order val="3"/>
          <c:tx>
            <c:strRef>
              <c:f>'DL-truck costs_pess'!$K$73</c:f>
              <c:strCache>
                <c:ptCount val="1"/>
                <c:pt idx="0">
                  <c:v>Depreciation</c:v>
                </c:pt>
              </c:strCache>
            </c:strRef>
          </c:tx>
          <c:spPr>
            <a:solidFill>
              <a:schemeClr val="accent3"/>
            </a:solidFill>
            <a:ln>
              <a:noFill/>
            </a:ln>
            <a:effectLst/>
          </c:spPr>
          <c:invertIfNegative val="0"/>
          <c:cat>
            <c:strRef>
              <c:f>('DL-truck costs_pess'!$C$24:$C$28,'DL-truck costs_pess'!$C$74:$C$78)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costs_pess'!$K$24:$K$28,'DL-truck costs_pess'!$K$74:$K$78)</c:f>
              <c:numCache>
                <c:formatCode>_-* #\ ##0.00\ [$kr-41D]_-;\-* #\ ##0.00\ [$kr-41D]_-;_-* "-"??\ [$kr-41D]_-;_-@_-</c:formatCode>
                <c:ptCount val="10"/>
                <c:pt idx="0">
                  <c:v>11.458333333333332</c:v>
                </c:pt>
                <c:pt idx="1">
                  <c:v>16.293749999999999</c:v>
                </c:pt>
                <c:pt idx="2">
                  <c:v>26.568749999999998</c:v>
                </c:pt>
                <c:pt idx="3">
                  <c:v>27.330612244897956</c:v>
                </c:pt>
                <c:pt idx="4">
                  <c:v>29.902040816326526</c:v>
                </c:pt>
                <c:pt idx="5" formatCode="_(&quot;kr&quot;* #,##0.00_);_(&quot;kr&quot;* \(#,##0.00\);_(&quot;kr&quot;* &quot;-&quot;??_);_(@_)">
                  <c:v>14.322916666666666</c:v>
                </c:pt>
                <c:pt idx="6" formatCode="_(&quot;kr&quot;* #,##0.00_);_(&quot;kr&quot;* \(#,##0.00\);_(&quot;kr&quot;* &quot;-&quot;??_);_(@_)">
                  <c:v>20.3671875</c:v>
                </c:pt>
                <c:pt idx="7" formatCode="_(&quot;kr&quot;* #,##0.00_);_(&quot;kr&quot;* \(#,##0.00\);_(&quot;kr&quot;* &quot;-&quot;??_);_(@_)">
                  <c:v>33.2109375</c:v>
                </c:pt>
                <c:pt idx="8" formatCode="_(&quot;kr&quot;* #,##0.00_);_(&quot;kr&quot;* \(#,##0.00\);_(&quot;kr&quot;* &quot;-&quot;??_);_(@_)">
                  <c:v>34.16326530612244</c:v>
                </c:pt>
                <c:pt idx="9" formatCode="_(&quot;kr&quot;* #,##0.00_);_(&quot;kr&quot;* \(#,##0.00\);_(&quot;kr&quot;* &quot;-&quot;??_);_(@_)">
                  <c:v>37.377551020408156</c:v>
                </c:pt>
              </c:numCache>
            </c:numRef>
          </c:val>
          <c:extLst>
            <c:ext xmlns:c16="http://schemas.microsoft.com/office/drawing/2014/chart" uri="{C3380CC4-5D6E-409C-BE32-E72D297353CC}">
              <c16:uniqueId val="{00000003-6A70-4E09-9534-2F6380DEE3E0}"/>
            </c:ext>
          </c:extLst>
        </c:ser>
        <c:ser>
          <c:idx val="3"/>
          <c:order val="4"/>
          <c:tx>
            <c:strRef>
              <c:f>'DL-truck costs_pess'!$L$73</c:f>
              <c:strCache>
                <c:ptCount val="1"/>
                <c:pt idx="0">
                  <c:v>Taxes</c:v>
                </c:pt>
              </c:strCache>
            </c:strRef>
          </c:tx>
          <c:spPr>
            <a:solidFill>
              <a:schemeClr val="accent4"/>
            </a:solidFill>
            <a:ln>
              <a:noFill/>
            </a:ln>
            <a:effectLst/>
          </c:spPr>
          <c:invertIfNegative val="0"/>
          <c:cat>
            <c:strRef>
              <c:f>('DL-truck costs_pess'!$C$24:$C$28,'DL-truck costs_pess'!$C$74:$C$78)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costs_pess'!$L$24:$L$28,'DL-truck costs_pess'!$L$74:$L$78)</c:f>
              <c:numCache>
                <c:formatCode>_-* #\ ##0.00\ [$kr-41D]_-;\-* #\ ##0.00\ [$kr-41D]_-;_-* "-"??\ [$kr-41D]_-;_-@_-</c:formatCode>
                <c:ptCount val="10"/>
                <c:pt idx="0">
                  <c:v>1.9015625</c:v>
                </c:pt>
                <c:pt idx="1">
                  <c:v>5.2765000000000004</c:v>
                </c:pt>
                <c:pt idx="2">
                  <c:v>6.4489999999999998</c:v>
                </c:pt>
                <c:pt idx="3">
                  <c:v>7.9480000000000004</c:v>
                </c:pt>
                <c:pt idx="4">
                  <c:v>7.9480000000000004</c:v>
                </c:pt>
                <c:pt idx="5" formatCode="_(&quot;kr&quot;* #,##0.00_);_(&quot;kr&quot;* \(#,##0.00\);_(&quot;kr&quot;* &quot;-&quot;??_);_(@_)">
                  <c:v>1.5846354166666667</c:v>
                </c:pt>
                <c:pt idx="6" formatCode="_(&quot;kr&quot;* #,##0.00_);_(&quot;kr&quot;* \(#,##0.00\);_(&quot;kr&quot;* &quot;-&quot;??_);_(@_)">
                  <c:v>4.3970833333333337</c:v>
                </c:pt>
                <c:pt idx="7" formatCode="_(&quot;kr&quot;* #,##0.00_);_(&quot;kr&quot;* \(#,##0.00\);_(&quot;kr&quot;* &quot;-&quot;??_);_(@_)">
                  <c:v>5.3741666666666665</c:v>
                </c:pt>
                <c:pt idx="8" formatCode="_(&quot;kr&quot;* #,##0.00_);_(&quot;kr&quot;* \(#,##0.00\);_(&quot;kr&quot;* &quot;-&quot;??_);_(@_)">
                  <c:v>6.6233333333333331</c:v>
                </c:pt>
                <c:pt idx="9" formatCode="_(&quot;kr&quot;* #,##0.00_);_(&quot;kr&quot;* \(#,##0.00\);_(&quot;kr&quot;* &quot;-&quot;??_);_(@_)">
                  <c:v>6.6233333333333331</c:v>
                </c:pt>
              </c:numCache>
            </c:numRef>
          </c:val>
          <c:extLst>
            <c:ext xmlns:c16="http://schemas.microsoft.com/office/drawing/2014/chart" uri="{C3380CC4-5D6E-409C-BE32-E72D297353CC}">
              <c16:uniqueId val="{00000004-6A70-4E09-9534-2F6380DEE3E0}"/>
            </c:ext>
          </c:extLst>
        </c:ser>
        <c:ser>
          <c:idx val="4"/>
          <c:order val="5"/>
          <c:tx>
            <c:strRef>
              <c:f>'DL-truck costs_pess'!$M$73</c:f>
              <c:strCache>
                <c:ptCount val="1"/>
                <c:pt idx="0">
                  <c:v>Insurance</c:v>
                </c:pt>
              </c:strCache>
            </c:strRef>
          </c:tx>
          <c:spPr>
            <a:solidFill>
              <a:schemeClr val="accent5"/>
            </a:solidFill>
            <a:ln>
              <a:noFill/>
            </a:ln>
            <a:effectLst/>
          </c:spPr>
          <c:invertIfNegative val="0"/>
          <c:cat>
            <c:strRef>
              <c:f>('DL-truck costs_pess'!$C$24:$C$28,'DL-truck costs_pess'!$C$74:$C$78)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costs_pess'!$M$24:$M$28,'DL-truck costs_pess'!$M$74:$M$78)</c:f>
              <c:numCache>
                <c:formatCode>_-* #\ ##0.00\ [$kr-41D]_-;\-* #\ ##0.00\ [$kr-41D]_-;_-* "-"??\ [$kr-41D]_-;_-@_-</c:formatCode>
                <c:ptCount val="10"/>
                <c:pt idx="0">
                  <c:v>6.4766343606278731</c:v>
                </c:pt>
                <c:pt idx="1">
                  <c:v>18.406961073200989</c:v>
                </c:pt>
                <c:pt idx="2">
                  <c:v>20.419201572968248</c:v>
                </c:pt>
                <c:pt idx="3">
                  <c:v>17.961160701754384</c:v>
                </c:pt>
                <c:pt idx="4">
                  <c:v>18.970118429807052</c:v>
                </c:pt>
                <c:pt idx="5" formatCode="_(&quot;kr&quot;* #,##0.00_);_(&quot;kr&quot;* \(#,##0.00\);_(&quot;kr&quot;* &quot;-&quot;??_);_(@_)">
                  <c:v>6.4766343606278731</c:v>
                </c:pt>
                <c:pt idx="6" formatCode="_(&quot;kr&quot;* #,##0.00_);_(&quot;kr&quot;* \(#,##0.00\);_(&quot;kr&quot;* &quot;-&quot;??_);_(@_)">
                  <c:v>18.406961073200989</c:v>
                </c:pt>
                <c:pt idx="7" formatCode="_(&quot;kr&quot;* #,##0.00_);_(&quot;kr&quot;* \(#,##0.00\);_(&quot;kr&quot;* &quot;-&quot;??_);_(@_)">
                  <c:v>20.419201572968248</c:v>
                </c:pt>
                <c:pt idx="8" formatCode="_(&quot;kr&quot;* #,##0.00_);_(&quot;kr&quot;* \(#,##0.00\);_(&quot;kr&quot;* &quot;-&quot;??_);_(@_)">
                  <c:v>17.961160701754384</c:v>
                </c:pt>
                <c:pt idx="9" formatCode="_(&quot;kr&quot;* #,##0.00_);_(&quot;kr&quot;* \(#,##0.00\);_(&quot;kr&quot;* &quot;-&quot;??_);_(@_)">
                  <c:v>18.970118429807052</c:v>
                </c:pt>
              </c:numCache>
            </c:numRef>
          </c:val>
          <c:extLst>
            <c:ext xmlns:c16="http://schemas.microsoft.com/office/drawing/2014/chart" uri="{C3380CC4-5D6E-409C-BE32-E72D297353CC}">
              <c16:uniqueId val="{00000005-6A70-4E09-9534-2F6380DEE3E0}"/>
            </c:ext>
          </c:extLst>
        </c:ser>
        <c:ser>
          <c:idx val="5"/>
          <c:order val="6"/>
          <c:tx>
            <c:strRef>
              <c:f>'DL-truck costs_pess'!$N$73</c:f>
              <c:strCache>
                <c:ptCount val="1"/>
                <c:pt idx="0">
                  <c:v>Other</c:v>
                </c:pt>
              </c:strCache>
            </c:strRef>
          </c:tx>
          <c:spPr>
            <a:solidFill>
              <a:schemeClr val="accent6"/>
            </a:solidFill>
            <a:ln>
              <a:noFill/>
            </a:ln>
            <a:effectLst/>
          </c:spPr>
          <c:invertIfNegative val="0"/>
          <c:cat>
            <c:strRef>
              <c:f>('DL-truck costs_pess'!$C$24:$C$28,'DL-truck costs_pess'!$C$74:$C$78)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costs_pess'!$N$24:$N$28,'DL-truck costs_pess'!$N$74:$N$78)</c:f>
              <c:numCache>
                <c:formatCode>_-* #\ ##0.00\ [$kr-41D]_-;\-* #\ ##0.00\ [$kr-41D]_-;_-* "-"??\ [$kr-41D]_-;_-@_-</c:formatCode>
                <c:ptCount val="10"/>
                <c:pt idx="0">
                  <c:v>10.797844806038791</c:v>
                </c:pt>
                <c:pt idx="1">
                  <c:v>10.640538926799007</c:v>
                </c:pt>
                <c:pt idx="2">
                  <c:v>16.033798427031751</c:v>
                </c:pt>
                <c:pt idx="3">
                  <c:v>13.194839298245613</c:v>
                </c:pt>
                <c:pt idx="4">
                  <c:v>13.228738713050088</c:v>
                </c:pt>
                <c:pt idx="5" formatCode="_(&quot;kr&quot;* #,##0.00_);_(&quot;kr&quot;* \(#,##0.00\);_(&quot;kr&quot;* &quot;-&quot;??_);_(@_)">
                  <c:v>10.797844806038789</c:v>
                </c:pt>
                <c:pt idx="6" formatCode="_(&quot;kr&quot;* #,##0.00_);_(&quot;kr&quot;* \(#,##0.00\);_(&quot;kr&quot;* &quot;-&quot;??_);_(@_)">
                  <c:v>10.640538926799007</c:v>
                </c:pt>
                <c:pt idx="7" formatCode="_(&quot;kr&quot;* #,##0.00_);_(&quot;kr&quot;* \(#,##0.00\);_(&quot;kr&quot;* &quot;-&quot;??_);_(@_)">
                  <c:v>16.033798427031748</c:v>
                </c:pt>
                <c:pt idx="8" formatCode="_(&quot;kr&quot;* #,##0.00_);_(&quot;kr&quot;* \(#,##0.00\);_(&quot;kr&quot;* &quot;-&quot;??_);_(@_)">
                  <c:v>13.194839298245613</c:v>
                </c:pt>
                <c:pt idx="9" formatCode="_(&quot;kr&quot;* #,##0.00_);_(&quot;kr&quot;* \(#,##0.00\);_(&quot;kr&quot;* &quot;-&quot;??_);_(@_)">
                  <c:v>13.228738713050088</c:v>
                </c:pt>
              </c:numCache>
            </c:numRef>
          </c:val>
          <c:extLst>
            <c:ext xmlns:c16="http://schemas.microsoft.com/office/drawing/2014/chart" uri="{C3380CC4-5D6E-409C-BE32-E72D297353CC}">
              <c16:uniqueId val="{00000006-6A70-4E09-9534-2F6380DEE3E0}"/>
            </c:ext>
          </c:extLst>
        </c:ser>
        <c:dLbls>
          <c:showLegendKey val="0"/>
          <c:showVal val="0"/>
          <c:showCatName val="0"/>
          <c:showSerName val="0"/>
          <c:showPercent val="0"/>
          <c:showBubbleSize val="0"/>
        </c:dLbls>
        <c:gapWidth val="150"/>
        <c:overlap val="100"/>
        <c:axId val="877674616"/>
        <c:axId val="877674944"/>
      </c:barChart>
      <c:catAx>
        <c:axId val="877674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7674944"/>
        <c:crosses val="autoZero"/>
        <c:auto val="1"/>
        <c:lblAlgn val="ctr"/>
        <c:lblOffset val="100"/>
        <c:noMultiLvlLbl val="0"/>
      </c:catAx>
      <c:valAx>
        <c:axId val="877674944"/>
        <c:scaling>
          <c:orientation val="minMax"/>
        </c:scaling>
        <c:delete val="0"/>
        <c:axPos val="l"/>
        <c:majorGridlines>
          <c:spPr>
            <a:ln w="9525" cap="flat" cmpd="sng" algn="ctr">
              <a:solidFill>
                <a:schemeClr val="tx1">
                  <a:lumMod val="15000"/>
                  <a:lumOff val="85000"/>
                </a:schemeClr>
              </a:solidFill>
              <a:round/>
            </a:ln>
            <a:effectLst/>
          </c:spPr>
        </c:majorGridlines>
        <c:numFmt formatCode="_-* #\ ##0.00\ [$kr-41D]_-;\-* #\ ##0.00\ [$kr-41D]_-;_-* &quot;-&quot;??\ [$kr-41D]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76746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Time-dependent costs [sek/h]</a:t>
            </a:r>
          </a:p>
        </c:rich>
      </c:tx>
      <c:layout>
        <c:manualLayout>
          <c:xMode val="edge"/>
          <c:yMode val="edge"/>
          <c:x val="0.42448850015935202"/>
          <c:y val="2.387621199714635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tx>
            <c:strRef>
              <c:f>'DL-truck costs_pess'!$I$73</c:f>
              <c:strCache>
                <c:ptCount val="1"/>
                <c:pt idx="0">
                  <c:v>Driver</c:v>
                </c:pt>
              </c:strCache>
            </c:strRef>
          </c:tx>
          <c:spPr>
            <a:solidFill>
              <a:schemeClr val="accent1"/>
            </a:solidFill>
            <a:ln>
              <a:noFill/>
            </a:ln>
            <a:effectLst/>
          </c:spPr>
          <c:invertIfNegative val="0"/>
          <c:cat>
            <c:strRef>
              <c:f>('DL-truck costs_pess'!$C$24:$C$28,'DL-truck costs_pess'!$C$74:$C$78)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costs_pess'!$I$24:$I$28,'DL-truck costs_pess'!$I$74:$I$78)</c:f>
              <c:numCache>
                <c:formatCode>_-* #\ ##0.00\ [$kr-41D]_-;\-* #\ ##0.00\ [$kr-41D]_-;_-* "-"??\ [$kr-41D]_-;_-@_-</c:formatCode>
                <c:ptCount val="10"/>
                <c:pt idx="0">
                  <c:v>254</c:v>
                </c:pt>
                <c:pt idx="1">
                  <c:v>254</c:v>
                </c:pt>
                <c:pt idx="2">
                  <c:v>245</c:v>
                </c:pt>
                <c:pt idx="3">
                  <c:v>245</c:v>
                </c:pt>
                <c:pt idx="4">
                  <c:v>254</c:v>
                </c:pt>
                <c:pt idx="5" formatCode="_(&quot;kr&quot;* #,##0.00_);_(&quot;kr&quot;* \(#,##0.00\);_(&quot;kr&quot;* &quot;-&quot;??_);_(@_)">
                  <c:v>0</c:v>
                </c:pt>
                <c:pt idx="6" formatCode="_(&quot;kr&quot;* #,##0.00_);_(&quot;kr&quot;* \(#,##0.00\);_(&quot;kr&quot;* &quot;-&quot;??_);_(@_)">
                  <c:v>0</c:v>
                </c:pt>
                <c:pt idx="7" formatCode="_(&quot;kr&quot;* #,##0.00_);_(&quot;kr&quot;* \(#,##0.00\);_(&quot;kr&quot;* &quot;-&quot;??_);_(@_)">
                  <c:v>0</c:v>
                </c:pt>
                <c:pt idx="8" formatCode="_(&quot;kr&quot;* #,##0.00_);_(&quot;kr&quot;* \(#,##0.00\);_(&quot;kr&quot;* &quot;-&quot;??_);_(@_)">
                  <c:v>0</c:v>
                </c:pt>
                <c:pt idx="9" formatCode="_(&quot;kr&quot;* #,##0.00_);_(&quot;kr&quot;* \(#,##0.00\);_(&quot;kr&quot;* &quot;-&quot;??_);_(@_)">
                  <c:v>0</c:v>
                </c:pt>
              </c:numCache>
            </c:numRef>
          </c:val>
          <c:extLst>
            <c:ext xmlns:c16="http://schemas.microsoft.com/office/drawing/2014/chart" uri="{C3380CC4-5D6E-409C-BE32-E72D297353CC}">
              <c16:uniqueId val="{00000000-9361-4F30-BCA8-89FCE07AB977}"/>
            </c:ext>
          </c:extLst>
        </c:ser>
        <c:ser>
          <c:idx val="6"/>
          <c:order val="1"/>
          <c:tx>
            <c:strRef>
              <c:f>'DL-truck costs_pess'!$O$73</c:f>
              <c:strCache>
                <c:ptCount val="1"/>
                <c:pt idx="0">
                  <c:v>Remote ops</c:v>
                </c:pt>
              </c:strCache>
            </c:strRef>
          </c:tx>
          <c:spPr>
            <a:solidFill>
              <a:schemeClr val="accent1">
                <a:lumMod val="60000"/>
              </a:schemeClr>
            </a:solidFill>
            <a:ln>
              <a:noFill/>
            </a:ln>
            <a:effectLst/>
          </c:spPr>
          <c:invertIfNegative val="0"/>
          <c:cat>
            <c:strRef>
              <c:f>('DL-truck costs_pess'!$C$24:$C$28,'DL-truck costs_pess'!$C$74:$C$78)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costs_pess'!$O$24:$O$28,'DL-truck costs_pess'!$O$74:$O$78)</c:f>
              <c:numCache>
                <c:formatCode>_-* #\ ##0.00\ [$kr-41D]_-;\-* #\ ##0.00\ [$kr-41D]_-;_-* "-"??\ [$kr-41D]_-;_-@_-</c:formatCode>
                <c:ptCount val="10"/>
                <c:pt idx="5" formatCode="_(&quot;kr&quot;* #,##0.00_);_(&quot;kr&quot;* \(#,##0.00\);_(&quot;kr&quot;* &quot;-&quot;??_);_(@_)">
                  <c:v>101.60000000000001</c:v>
                </c:pt>
                <c:pt idx="6" formatCode="_(&quot;kr&quot;* #,##0.00_);_(&quot;kr&quot;* \(#,##0.00\);_(&quot;kr&quot;* &quot;-&quot;??_);_(@_)">
                  <c:v>101.60000000000001</c:v>
                </c:pt>
                <c:pt idx="7" formatCode="_(&quot;kr&quot;* #,##0.00_);_(&quot;kr&quot;* \(#,##0.00\);_(&quot;kr&quot;* &quot;-&quot;??_);_(@_)">
                  <c:v>98</c:v>
                </c:pt>
                <c:pt idx="8" formatCode="_(&quot;kr&quot;* #,##0.00_);_(&quot;kr&quot;* \(#,##0.00\);_(&quot;kr&quot;* &quot;-&quot;??_);_(@_)">
                  <c:v>98</c:v>
                </c:pt>
                <c:pt idx="9" formatCode="_(&quot;kr&quot;* #,##0.00_);_(&quot;kr&quot;* \(#,##0.00\);_(&quot;kr&quot;* &quot;-&quot;??_);_(@_)">
                  <c:v>101.60000000000001</c:v>
                </c:pt>
              </c:numCache>
            </c:numRef>
          </c:val>
          <c:extLst>
            <c:ext xmlns:c16="http://schemas.microsoft.com/office/drawing/2014/chart" uri="{C3380CC4-5D6E-409C-BE32-E72D297353CC}">
              <c16:uniqueId val="{00000001-9361-4F30-BCA8-89FCE07AB977}"/>
            </c:ext>
          </c:extLst>
        </c:ser>
        <c:ser>
          <c:idx val="1"/>
          <c:order val="2"/>
          <c:tx>
            <c:strRef>
              <c:f>'DL-truck costs_pess'!$J$73</c:f>
              <c:strCache>
                <c:ptCount val="1"/>
                <c:pt idx="0">
                  <c:v>Capital </c:v>
                </c:pt>
              </c:strCache>
            </c:strRef>
          </c:tx>
          <c:spPr>
            <a:solidFill>
              <a:schemeClr val="accent2"/>
            </a:solidFill>
            <a:ln>
              <a:noFill/>
            </a:ln>
            <a:effectLst/>
          </c:spPr>
          <c:invertIfNegative val="0"/>
          <c:cat>
            <c:strRef>
              <c:f>('DL-truck costs_pess'!$C$24:$C$28,'DL-truck costs_pess'!$C$74:$C$78)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costs_pess'!$J$24:$J$28,'DL-truck costs_pess'!$J$74:$J$78)</c:f>
              <c:numCache>
                <c:formatCode>_-* #\ ##0.00\ [$kr-41D]_-;\-* #\ ##0.00\ [$kr-41D]_-;_-* "-"??\ [$kr-41D]_-;_-@_-</c:formatCode>
                <c:ptCount val="10"/>
                <c:pt idx="0">
                  <c:v>3.5416666666666665</c:v>
                </c:pt>
                <c:pt idx="1">
                  <c:v>12.0375</c:v>
                </c:pt>
                <c:pt idx="2">
                  <c:v>19.274999999999999</c:v>
                </c:pt>
                <c:pt idx="3">
                  <c:v>17.507142857142856</c:v>
                </c:pt>
                <c:pt idx="4">
                  <c:v>19.157142857142858</c:v>
                </c:pt>
                <c:pt idx="5" formatCode="_(&quot;kr&quot;* #,##0.00_);_(&quot;kr&quot;* \(#,##0.00\);_(&quot;kr&quot;* &quot;-&quot;??_);_(@_)">
                  <c:v>3.6892361111111112</c:v>
                </c:pt>
                <c:pt idx="6" formatCode="_(&quot;kr&quot;* #,##0.00_);_(&quot;kr&quot;* \(#,##0.00\);_(&quot;kr&quot;* &quot;-&quot;??_);_(@_)">
                  <c:v>12.5390625</c:v>
                </c:pt>
                <c:pt idx="7" formatCode="_(&quot;kr&quot;* #,##0.00_);_(&quot;kr&quot;* \(#,##0.00\);_(&quot;kr&quot;* &quot;-&quot;??_);_(@_)">
                  <c:v>20.078125</c:v>
                </c:pt>
                <c:pt idx="8" formatCode="_(&quot;kr&quot;* #,##0.00_);_(&quot;kr&quot;* \(#,##0.00\);_(&quot;kr&quot;* &quot;-&quot;??_);_(@_)">
                  <c:v>18.236607142857142</c:v>
                </c:pt>
                <c:pt idx="9" formatCode="_(&quot;kr&quot;* #,##0.00_);_(&quot;kr&quot;* \(#,##0.00\);_(&quot;kr&quot;* &quot;-&quot;??_);_(@_)">
                  <c:v>19.955357142857142</c:v>
                </c:pt>
              </c:numCache>
            </c:numRef>
          </c:val>
          <c:extLst>
            <c:ext xmlns:c16="http://schemas.microsoft.com/office/drawing/2014/chart" uri="{C3380CC4-5D6E-409C-BE32-E72D297353CC}">
              <c16:uniqueId val="{00000002-9361-4F30-BCA8-89FCE07AB977}"/>
            </c:ext>
          </c:extLst>
        </c:ser>
        <c:ser>
          <c:idx val="2"/>
          <c:order val="3"/>
          <c:tx>
            <c:strRef>
              <c:f>'DL-truck costs_pess'!$K$73</c:f>
              <c:strCache>
                <c:ptCount val="1"/>
                <c:pt idx="0">
                  <c:v>Depreciation</c:v>
                </c:pt>
              </c:strCache>
            </c:strRef>
          </c:tx>
          <c:spPr>
            <a:solidFill>
              <a:schemeClr val="accent3"/>
            </a:solidFill>
            <a:ln>
              <a:noFill/>
            </a:ln>
            <a:effectLst/>
          </c:spPr>
          <c:invertIfNegative val="0"/>
          <c:cat>
            <c:strRef>
              <c:f>('DL-truck costs_pess'!$C$24:$C$28,'DL-truck costs_pess'!$C$74:$C$78)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costs_pess'!$K$24:$K$28,'DL-truck costs_pess'!$K$74:$K$78)</c:f>
              <c:numCache>
                <c:formatCode>_-* #\ ##0.00\ [$kr-41D]_-;\-* #\ ##0.00\ [$kr-41D]_-;_-* "-"??\ [$kr-41D]_-;_-@_-</c:formatCode>
                <c:ptCount val="10"/>
                <c:pt idx="0">
                  <c:v>11.458333333333332</c:v>
                </c:pt>
                <c:pt idx="1">
                  <c:v>16.293749999999999</c:v>
                </c:pt>
                <c:pt idx="2">
                  <c:v>26.568749999999998</c:v>
                </c:pt>
                <c:pt idx="3">
                  <c:v>27.330612244897956</c:v>
                </c:pt>
                <c:pt idx="4">
                  <c:v>29.902040816326526</c:v>
                </c:pt>
                <c:pt idx="5" formatCode="_(&quot;kr&quot;* #,##0.00_);_(&quot;kr&quot;* \(#,##0.00\);_(&quot;kr&quot;* &quot;-&quot;??_);_(@_)">
                  <c:v>14.322916666666666</c:v>
                </c:pt>
                <c:pt idx="6" formatCode="_(&quot;kr&quot;* #,##0.00_);_(&quot;kr&quot;* \(#,##0.00\);_(&quot;kr&quot;* &quot;-&quot;??_);_(@_)">
                  <c:v>20.3671875</c:v>
                </c:pt>
                <c:pt idx="7" formatCode="_(&quot;kr&quot;* #,##0.00_);_(&quot;kr&quot;* \(#,##0.00\);_(&quot;kr&quot;* &quot;-&quot;??_);_(@_)">
                  <c:v>33.2109375</c:v>
                </c:pt>
                <c:pt idx="8" formatCode="_(&quot;kr&quot;* #,##0.00_);_(&quot;kr&quot;* \(#,##0.00\);_(&quot;kr&quot;* &quot;-&quot;??_);_(@_)">
                  <c:v>34.16326530612244</c:v>
                </c:pt>
                <c:pt idx="9" formatCode="_(&quot;kr&quot;* #,##0.00_);_(&quot;kr&quot;* \(#,##0.00\);_(&quot;kr&quot;* &quot;-&quot;??_);_(@_)">
                  <c:v>37.377551020408156</c:v>
                </c:pt>
              </c:numCache>
            </c:numRef>
          </c:val>
          <c:extLst>
            <c:ext xmlns:c16="http://schemas.microsoft.com/office/drawing/2014/chart" uri="{C3380CC4-5D6E-409C-BE32-E72D297353CC}">
              <c16:uniqueId val="{00000003-9361-4F30-BCA8-89FCE07AB977}"/>
            </c:ext>
          </c:extLst>
        </c:ser>
        <c:ser>
          <c:idx val="3"/>
          <c:order val="4"/>
          <c:tx>
            <c:strRef>
              <c:f>'DL-truck costs_pess'!$L$73</c:f>
              <c:strCache>
                <c:ptCount val="1"/>
                <c:pt idx="0">
                  <c:v>Taxes</c:v>
                </c:pt>
              </c:strCache>
            </c:strRef>
          </c:tx>
          <c:spPr>
            <a:solidFill>
              <a:schemeClr val="accent4"/>
            </a:solidFill>
            <a:ln>
              <a:noFill/>
            </a:ln>
            <a:effectLst/>
          </c:spPr>
          <c:invertIfNegative val="0"/>
          <c:cat>
            <c:strRef>
              <c:f>('DL-truck costs_pess'!$C$24:$C$28,'DL-truck costs_pess'!$C$74:$C$78)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costs_pess'!$L$24:$L$28,'DL-truck costs_pess'!$L$74:$L$78)</c:f>
              <c:numCache>
                <c:formatCode>_-* #\ ##0.00\ [$kr-41D]_-;\-* #\ ##0.00\ [$kr-41D]_-;_-* "-"??\ [$kr-41D]_-;_-@_-</c:formatCode>
                <c:ptCount val="10"/>
                <c:pt idx="0">
                  <c:v>1.9015625</c:v>
                </c:pt>
                <c:pt idx="1">
                  <c:v>5.2765000000000004</c:v>
                </c:pt>
                <c:pt idx="2">
                  <c:v>6.4489999999999998</c:v>
                </c:pt>
                <c:pt idx="3">
                  <c:v>7.9480000000000004</c:v>
                </c:pt>
                <c:pt idx="4">
                  <c:v>7.9480000000000004</c:v>
                </c:pt>
                <c:pt idx="5" formatCode="_(&quot;kr&quot;* #,##0.00_);_(&quot;kr&quot;* \(#,##0.00\);_(&quot;kr&quot;* &quot;-&quot;??_);_(@_)">
                  <c:v>1.5846354166666667</c:v>
                </c:pt>
                <c:pt idx="6" formatCode="_(&quot;kr&quot;* #,##0.00_);_(&quot;kr&quot;* \(#,##0.00\);_(&quot;kr&quot;* &quot;-&quot;??_);_(@_)">
                  <c:v>4.3970833333333337</c:v>
                </c:pt>
                <c:pt idx="7" formatCode="_(&quot;kr&quot;* #,##0.00_);_(&quot;kr&quot;* \(#,##0.00\);_(&quot;kr&quot;* &quot;-&quot;??_);_(@_)">
                  <c:v>5.3741666666666665</c:v>
                </c:pt>
                <c:pt idx="8" formatCode="_(&quot;kr&quot;* #,##0.00_);_(&quot;kr&quot;* \(#,##0.00\);_(&quot;kr&quot;* &quot;-&quot;??_);_(@_)">
                  <c:v>6.6233333333333331</c:v>
                </c:pt>
                <c:pt idx="9" formatCode="_(&quot;kr&quot;* #,##0.00_);_(&quot;kr&quot;* \(#,##0.00\);_(&quot;kr&quot;* &quot;-&quot;??_);_(@_)">
                  <c:v>6.6233333333333331</c:v>
                </c:pt>
              </c:numCache>
            </c:numRef>
          </c:val>
          <c:extLst>
            <c:ext xmlns:c16="http://schemas.microsoft.com/office/drawing/2014/chart" uri="{C3380CC4-5D6E-409C-BE32-E72D297353CC}">
              <c16:uniqueId val="{00000004-9361-4F30-BCA8-89FCE07AB977}"/>
            </c:ext>
          </c:extLst>
        </c:ser>
        <c:ser>
          <c:idx val="4"/>
          <c:order val="5"/>
          <c:tx>
            <c:strRef>
              <c:f>'DL-truck costs_pess'!$M$73</c:f>
              <c:strCache>
                <c:ptCount val="1"/>
                <c:pt idx="0">
                  <c:v>Insurance</c:v>
                </c:pt>
              </c:strCache>
            </c:strRef>
          </c:tx>
          <c:spPr>
            <a:solidFill>
              <a:schemeClr val="accent5"/>
            </a:solidFill>
            <a:ln>
              <a:noFill/>
            </a:ln>
            <a:effectLst/>
          </c:spPr>
          <c:invertIfNegative val="0"/>
          <c:cat>
            <c:strRef>
              <c:f>('DL-truck costs_pess'!$C$24:$C$28,'DL-truck costs_pess'!$C$74:$C$78)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costs_pess'!$M$24:$M$28,'DL-truck costs_pess'!$M$74:$M$78)</c:f>
              <c:numCache>
                <c:formatCode>_-* #\ ##0.00\ [$kr-41D]_-;\-* #\ ##0.00\ [$kr-41D]_-;_-* "-"??\ [$kr-41D]_-;_-@_-</c:formatCode>
                <c:ptCount val="10"/>
                <c:pt idx="0">
                  <c:v>6.4766343606278731</c:v>
                </c:pt>
                <c:pt idx="1">
                  <c:v>18.406961073200989</c:v>
                </c:pt>
                <c:pt idx="2">
                  <c:v>20.419201572968248</c:v>
                </c:pt>
                <c:pt idx="3">
                  <c:v>17.961160701754384</c:v>
                </c:pt>
                <c:pt idx="4">
                  <c:v>18.970118429807052</c:v>
                </c:pt>
                <c:pt idx="5" formatCode="_(&quot;kr&quot;* #,##0.00_);_(&quot;kr&quot;* \(#,##0.00\);_(&quot;kr&quot;* &quot;-&quot;??_);_(@_)">
                  <c:v>6.4766343606278731</c:v>
                </c:pt>
                <c:pt idx="6" formatCode="_(&quot;kr&quot;* #,##0.00_);_(&quot;kr&quot;* \(#,##0.00\);_(&quot;kr&quot;* &quot;-&quot;??_);_(@_)">
                  <c:v>18.406961073200989</c:v>
                </c:pt>
                <c:pt idx="7" formatCode="_(&quot;kr&quot;* #,##0.00_);_(&quot;kr&quot;* \(#,##0.00\);_(&quot;kr&quot;* &quot;-&quot;??_);_(@_)">
                  <c:v>20.419201572968248</c:v>
                </c:pt>
                <c:pt idx="8" formatCode="_(&quot;kr&quot;* #,##0.00_);_(&quot;kr&quot;* \(#,##0.00\);_(&quot;kr&quot;* &quot;-&quot;??_);_(@_)">
                  <c:v>17.961160701754384</c:v>
                </c:pt>
                <c:pt idx="9" formatCode="_(&quot;kr&quot;* #,##0.00_);_(&quot;kr&quot;* \(#,##0.00\);_(&quot;kr&quot;* &quot;-&quot;??_);_(@_)">
                  <c:v>18.970118429807052</c:v>
                </c:pt>
              </c:numCache>
            </c:numRef>
          </c:val>
          <c:extLst>
            <c:ext xmlns:c16="http://schemas.microsoft.com/office/drawing/2014/chart" uri="{C3380CC4-5D6E-409C-BE32-E72D297353CC}">
              <c16:uniqueId val="{00000005-9361-4F30-BCA8-89FCE07AB977}"/>
            </c:ext>
          </c:extLst>
        </c:ser>
        <c:ser>
          <c:idx val="5"/>
          <c:order val="6"/>
          <c:tx>
            <c:strRef>
              <c:f>'DL-truck costs_pess'!$N$73</c:f>
              <c:strCache>
                <c:ptCount val="1"/>
                <c:pt idx="0">
                  <c:v>Other</c:v>
                </c:pt>
              </c:strCache>
            </c:strRef>
          </c:tx>
          <c:spPr>
            <a:solidFill>
              <a:schemeClr val="accent6"/>
            </a:solidFill>
            <a:ln>
              <a:noFill/>
            </a:ln>
            <a:effectLst/>
          </c:spPr>
          <c:invertIfNegative val="0"/>
          <c:cat>
            <c:strRef>
              <c:f>('DL-truck costs_pess'!$C$24:$C$28,'DL-truck costs_pess'!$C$74:$C$78)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costs_pess'!$N$24:$N$28,'DL-truck costs_pess'!$N$74:$N$78)</c:f>
              <c:numCache>
                <c:formatCode>_-* #\ ##0.00\ [$kr-41D]_-;\-* #\ ##0.00\ [$kr-41D]_-;_-* "-"??\ [$kr-41D]_-;_-@_-</c:formatCode>
                <c:ptCount val="10"/>
                <c:pt idx="0">
                  <c:v>10.797844806038791</c:v>
                </c:pt>
                <c:pt idx="1">
                  <c:v>10.640538926799007</c:v>
                </c:pt>
                <c:pt idx="2">
                  <c:v>16.033798427031751</c:v>
                </c:pt>
                <c:pt idx="3">
                  <c:v>13.194839298245613</c:v>
                </c:pt>
                <c:pt idx="4">
                  <c:v>13.228738713050088</c:v>
                </c:pt>
                <c:pt idx="5" formatCode="_(&quot;kr&quot;* #,##0.00_);_(&quot;kr&quot;* \(#,##0.00\);_(&quot;kr&quot;* &quot;-&quot;??_);_(@_)">
                  <c:v>10.797844806038789</c:v>
                </c:pt>
                <c:pt idx="6" formatCode="_(&quot;kr&quot;* #,##0.00_);_(&quot;kr&quot;* \(#,##0.00\);_(&quot;kr&quot;* &quot;-&quot;??_);_(@_)">
                  <c:v>10.640538926799007</c:v>
                </c:pt>
                <c:pt idx="7" formatCode="_(&quot;kr&quot;* #,##0.00_);_(&quot;kr&quot;* \(#,##0.00\);_(&quot;kr&quot;* &quot;-&quot;??_);_(@_)">
                  <c:v>16.033798427031748</c:v>
                </c:pt>
                <c:pt idx="8" formatCode="_(&quot;kr&quot;* #,##0.00_);_(&quot;kr&quot;* \(#,##0.00\);_(&quot;kr&quot;* &quot;-&quot;??_);_(@_)">
                  <c:v>13.194839298245613</c:v>
                </c:pt>
                <c:pt idx="9" formatCode="_(&quot;kr&quot;* #,##0.00_);_(&quot;kr&quot;* \(#,##0.00\);_(&quot;kr&quot;* &quot;-&quot;??_);_(@_)">
                  <c:v>13.228738713050088</c:v>
                </c:pt>
              </c:numCache>
            </c:numRef>
          </c:val>
          <c:extLst>
            <c:ext xmlns:c16="http://schemas.microsoft.com/office/drawing/2014/chart" uri="{C3380CC4-5D6E-409C-BE32-E72D297353CC}">
              <c16:uniqueId val="{00000006-9361-4F30-BCA8-89FCE07AB977}"/>
            </c:ext>
          </c:extLst>
        </c:ser>
        <c:dLbls>
          <c:showLegendKey val="0"/>
          <c:showVal val="0"/>
          <c:showCatName val="0"/>
          <c:showSerName val="0"/>
          <c:showPercent val="0"/>
          <c:showBubbleSize val="0"/>
        </c:dLbls>
        <c:gapWidth val="150"/>
        <c:overlap val="100"/>
        <c:axId val="877674616"/>
        <c:axId val="877674944"/>
      </c:barChart>
      <c:catAx>
        <c:axId val="877674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7674944"/>
        <c:crosses val="autoZero"/>
        <c:auto val="1"/>
        <c:lblAlgn val="ctr"/>
        <c:lblOffset val="100"/>
        <c:noMultiLvlLbl val="0"/>
      </c:catAx>
      <c:valAx>
        <c:axId val="87767494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76746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Distance</a:t>
            </a:r>
            <a:r>
              <a:rPr lang="en-US" baseline="0"/>
              <a:t> dependent costs [sek/km]</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'DL-truck costs_opt'!$D$23</c:f>
              <c:strCache>
                <c:ptCount val="1"/>
                <c:pt idx="0">
                  <c:v>Fuel</c:v>
                </c:pt>
              </c:strCache>
            </c:strRef>
          </c:tx>
          <c:spPr>
            <a:solidFill>
              <a:schemeClr val="accent1"/>
            </a:solidFill>
            <a:ln>
              <a:noFill/>
            </a:ln>
            <a:effectLst/>
          </c:spPr>
          <c:invertIfNegative val="0"/>
          <c:cat>
            <c:strRef>
              <c:f>('DL-truck costs_opt'!$C$24:$C$28,'DL-truck costs_opt'!$C$74:$C$78)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costs_opt'!$D$24:$D$28,'DL-truck costs_opt'!$D$74:$D$78)</c:f>
              <c:numCache>
                <c:formatCode>_-* #\ ##0.00\ [$kr-41D]_-;\-* #\ ##0.00\ [$kr-41D]_-;_-* "-"??\ [$kr-41D]_-;_-@_-</c:formatCode>
                <c:ptCount val="10"/>
                <c:pt idx="0">
                  <c:v>0.69408000000000003</c:v>
                </c:pt>
                <c:pt idx="1">
                  <c:v>1.5809600000000001</c:v>
                </c:pt>
                <c:pt idx="2">
                  <c:v>2.1400800000000002</c:v>
                </c:pt>
                <c:pt idx="3">
                  <c:v>2.6124400000000003</c:v>
                </c:pt>
                <c:pt idx="4">
                  <c:v>3.3932799999999999</c:v>
                </c:pt>
                <c:pt idx="5" formatCode="_(&quot;kr&quot;* #,##0.00_);_(&quot;kr&quot;* \(#,##0.00\);_(&quot;kr&quot;* &quot;-&quot;??_);_(@_)">
                  <c:v>0.55526399999999998</c:v>
                </c:pt>
                <c:pt idx="6" formatCode="_(&quot;kr&quot;* #,##0.00_);_(&quot;kr&quot;* \(#,##0.00\);_(&quot;kr&quot;* &quot;-&quot;??_);_(@_)">
                  <c:v>1.2647680000000001</c:v>
                </c:pt>
                <c:pt idx="7" formatCode="_(&quot;kr&quot;* #,##0.00_);_(&quot;kr&quot;* \(#,##0.00\);_(&quot;kr&quot;* &quot;-&quot;??_);_(@_)">
                  <c:v>1.7120640000000003</c:v>
                </c:pt>
                <c:pt idx="8" formatCode="_(&quot;kr&quot;* #,##0.00_);_(&quot;kr&quot;* \(#,##0.00\);_(&quot;kr&quot;* &quot;-&quot;??_);_(@_)">
                  <c:v>2.0899520000000003</c:v>
                </c:pt>
                <c:pt idx="9" formatCode="_(&quot;kr&quot;* #,##0.00_);_(&quot;kr&quot;* \(#,##0.00\);_(&quot;kr&quot;* &quot;-&quot;??_);_(@_)">
                  <c:v>2.7146240000000001</c:v>
                </c:pt>
              </c:numCache>
            </c:numRef>
          </c:val>
          <c:extLst>
            <c:ext xmlns:c16="http://schemas.microsoft.com/office/drawing/2014/chart" uri="{C3380CC4-5D6E-409C-BE32-E72D297353CC}">
              <c16:uniqueId val="{00000000-1A3A-4725-909A-E15466843B98}"/>
            </c:ext>
          </c:extLst>
        </c:ser>
        <c:ser>
          <c:idx val="1"/>
          <c:order val="1"/>
          <c:tx>
            <c:strRef>
              <c:f>'DL-truck costs_opt'!$E$23</c:f>
              <c:strCache>
                <c:ptCount val="1"/>
                <c:pt idx="0">
                  <c:v>Maintenance</c:v>
                </c:pt>
              </c:strCache>
            </c:strRef>
          </c:tx>
          <c:spPr>
            <a:solidFill>
              <a:schemeClr val="accent2"/>
            </a:solidFill>
            <a:ln>
              <a:noFill/>
            </a:ln>
            <a:effectLst/>
          </c:spPr>
          <c:invertIfNegative val="0"/>
          <c:cat>
            <c:strRef>
              <c:f>('DL-truck costs_opt'!$C$24:$C$28,'DL-truck costs_opt'!$C$74:$C$78)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costs_opt'!$E$24:$E$28,'DL-truck costs_opt'!$E$74:$E$78)</c:f>
              <c:numCache>
                <c:formatCode>_-* #\ ##0.00\ [$kr-41D]_-;\-* #\ ##0.00\ [$kr-41D]_-;_-* "-"??\ [$kr-41D]_-;_-@_-</c:formatCode>
                <c:ptCount val="10"/>
                <c:pt idx="0">
                  <c:v>0.33</c:v>
                </c:pt>
                <c:pt idx="1">
                  <c:v>1.06</c:v>
                </c:pt>
                <c:pt idx="2">
                  <c:v>1.26</c:v>
                </c:pt>
                <c:pt idx="3">
                  <c:v>1.19</c:v>
                </c:pt>
                <c:pt idx="4">
                  <c:v>1.04</c:v>
                </c:pt>
                <c:pt idx="5" formatCode="_(&quot;kr&quot;* #,##0.00_);_(&quot;kr&quot;* \(#,##0.00\);_(&quot;kr&quot;* &quot;-&quot;??_);_(@_)">
                  <c:v>0.2475</c:v>
                </c:pt>
                <c:pt idx="6" formatCode="_(&quot;kr&quot;* #,##0.00_);_(&quot;kr&quot;* \(#,##0.00\);_(&quot;kr&quot;* &quot;-&quot;??_);_(@_)">
                  <c:v>0.79500000000000004</c:v>
                </c:pt>
                <c:pt idx="7" formatCode="_(&quot;kr&quot;* #,##0.00_);_(&quot;kr&quot;* \(#,##0.00\);_(&quot;kr&quot;* &quot;-&quot;??_);_(@_)">
                  <c:v>0.94500000000000006</c:v>
                </c:pt>
                <c:pt idx="8" formatCode="_(&quot;kr&quot;* #,##0.00_);_(&quot;kr&quot;* \(#,##0.00\);_(&quot;kr&quot;* &quot;-&quot;??_);_(@_)">
                  <c:v>0.89249999999999996</c:v>
                </c:pt>
                <c:pt idx="9" formatCode="_(&quot;kr&quot;* #,##0.00_);_(&quot;kr&quot;* \(#,##0.00\);_(&quot;kr&quot;* &quot;-&quot;??_);_(@_)">
                  <c:v>0.78</c:v>
                </c:pt>
              </c:numCache>
            </c:numRef>
          </c:val>
          <c:extLst>
            <c:ext xmlns:c16="http://schemas.microsoft.com/office/drawing/2014/chart" uri="{C3380CC4-5D6E-409C-BE32-E72D297353CC}">
              <c16:uniqueId val="{00000001-1A3A-4725-909A-E15466843B98}"/>
            </c:ext>
          </c:extLst>
        </c:ser>
        <c:ser>
          <c:idx val="2"/>
          <c:order val="2"/>
          <c:tx>
            <c:strRef>
              <c:f>'DL-truck costs_opt'!$F$23</c:f>
              <c:strCache>
                <c:ptCount val="1"/>
                <c:pt idx="0">
                  <c:v>Tires</c:v>
                </c:pt>
              </c:strCache>
            </c:strRef>
          </c:tx>
          <c:spPr>
            <a:solidFill>
              <a:schemeClr val="accent3"/>
            </a:solidFill>
            <a:ln>
              <a:noFill/>
            </a:ln>
            <a:effectLst/>
          </c:spPr>
          <c:invertIfNegative val="0"/>
          <c:cat>
            <c:strRef>
              <c:f>('DL-truck costs_opt'!$C$24:$C$28,'DL-truck costs_opt'!$C$74:$C$78)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costs_opt'!$F$24:$F$28,'DL-truck costs_opt'!$F$74:$F$78)</c:f>
              <c:numCache>
                <c:formatCode>_-* #\ ##0.00\ [$kr-41D]_-;\-* #\ ##0.00\ [$kr-41D]_-;_-* "-"??\ [$kr-41D]_-;_-@_-</c:formatCode>
                <c:ptCount val="10"/>
                <c:pt idx="0">
                  <c:v>0.51</c:v>
                </c:pt>
                <c:pt idx="1">
                  <c:v>0.32</c:v>
                </c:pt>
                <c:pt idx="2">
                  <c:v>0.64</c:v>
                </c:pt>
                <c:pt idx="3">
                  <c:v>0.94</c:v>
                </c:pt>
                <c:pt idx="4">
                  <c:v>1.18</c:v>
                </c:pt>
                <c:pt idx="5" formatCode="_(&quot;kr&quot;* #,##0.00_);_(&quot;kr&quot;* \(#,##0.00\);_(&quot;kr&quot;* &quot;-&quot;??_);_(@_)">
                  <c:v>0.51</c:v>
                </c:pt>
                <c:pt idx="6" formatCode="_(&quot;kr&quot;* #,##0.00_);_(&quot;kr&quot;* \(#,##0.00\);_(&quot;kr&quot;* &quot;-&quot;??_);_(@_)">
                  <c:v>0.32</c:v>
                </c:pt>
                <c:pt idx="7" formatCode="_(&quot;kr&quot;* #,##0.00_);_(&quot;kr&quot;* \(#,##0.00\);_(&quot;kr&quot;* &quot;-&quot;??_);_(@_)">
                  <c:v>0.64</c:v>
                </c:pt>
                <c:pt idx="8" formatCode="_(&quot;kr&quot;* #,##0.00_);_(&quot;kr&quot;* \(#,##0.00\);_(&quot;kr&quot;* &quot;-&quot;??_);_(@_)">
                  <c:v>0.94</c:v>
                </c:pt>
                <c:pt idx="9" formatCode="_(&quot;kr&quot;* #,##0.00_);_(&quot;kr&quot;* \(#,##0.00\);_(&quot;kr&quot;* &quot;-&quot;??_);_(@_)">
                  <c:v>1.18</c:v>
                </c:pt>
              </c:numCache>
            </c:numRef>
          </c:val>
          <c:extLst>
            <c:ext xmlns:c16="http://schemas.microsoft.com/office/drawing/2014/chart" uri="{C3380CC4-5D6E-409C-BE32-E72D297353CC}">
              <c16:uniqueId val="{00000002-1A3A-4725-909A-E15466843B98}"/>
            </c:ext>
          </c:extLst>
        </c:ser>
        <c:ser>
          <c:idx val="3"/>
          <c:order val="3"/>
          <c:tx>
            <c:strRef>
              <c:f>'DL-truck costs_opt'!$G$23</c:f>
              <c:strCache>
                <c:ptCount val="1"/>
                <c:pt idx="0">
                  <c:v>Depreciation</c:v>
                </c:pt>
              </c:strCache>
            </c:strRef>
          </c:tx>
          <c:spPr>
            <a:solidFill>
              <a:schemeClr val="accent4"/>
            </a:solidFill>
            <a:ln>
              <a:noFill/>
            </a:ln>
            <a:effectLst/>
          </c:spPr>
          <c:invertIfNegative val="0"/>
          <c:cat>
            <c:strRef>
              <c:f>('DL-truck costs_opt'!$C$24:$C$28,'DL-truck costs_opt'!$C$74:$C$78)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costs_opt'!$G$24:$G$28,'DL-truck costs_opt'!$G$74:$G$78)</c:f>
              <c:numCache>
                <c:formatCode>_-* #\ ##0.00\ [$kr-41D]_-;\-* #\ ##0.00\ [$kr-41D]_-;_-* "-"??\ [$kr-41D]_-;_-@_-</c:formatCode>
                <c:ptCount val="10"/>
                <c:pt idx="0">
                  <c:v>1.0266666666666666</c:v>
                </c:pt>
                <c:pt idx="1">
                  <c:v>1.6897222222222221</c:v>
                </c:pt>
                <c:pt idx="2">
                  <c:v>2.0664583333333333</c:v>
                </c:pt>
                <c:pt idx="3">
                  <c:v>1.7855999999999999</c:v>
                </c:pt>
                <c:pt idx="4">
                  <c:v>1.9536</c:v>
                </c:pt>
                <c:pt idx="5" formatCode="_(&quot;kr&quot;* #,##0.00_);_(&quot;kr&quot;* \(#,##0.00\);_(&quot;kr&quot;* &quot;-&quot;??_);_(@_)">
                  <c:v>0.77</c:v>
                </c:pt>
                <c:pt idx="6" formatCode="_(&quot;kr&quot;* #,##0.00_);_(&quot;kr&quot;* \(#,##0.00\);_(&quot;kr&quot;* &quot;-&quot;??_);_(@_)">
                  <c:v>1.2672916666666667</c:v>
                </c:pt>
                <c:pt idx="7" formatCode="_(&quot;kr&quot;* #,##0.00_);_(&quot;kr&quot;* \(#,##0.00\);_(&quot;kr&quot;* &quot;-&quot;??_);_(@_)">
                  <c:v>1.54984375</c:v>
                </c:pt>
                <c:pt idx="8" formatCode="_(&quot;kr&quot;* #,##0.00_);_(&quot;kr&quot;* \(#,##0.00\);_(&quot;kr&quot;* &quot;-&quot;??_);_(@_)">
                  <c:v>1.3391999999999997</c:v>
                </c:pt>
                <c:pt idx="9" formatCode="_(&quot;kr&quot;* #,##0.00_);_(&quot;kr&quot;* \(#,##0.00\);_(&quot;kr&quot;* &quot;-&quot;??_);_(@_)">
                  <c:v>1.4651999999999998</c:v>
                </c:pt>
              </c:numCache>
            </c:numRef>
          </c:val>
          <c:extLst>
            <c:ext xmlns:c16="http://schemas.microsoft.com/office/drawing/2014/chart" uri="{C3380CC4-5D6E-409C-BE32-E72D297353CC}">
              <c16:uniqueId val="{00000003-1A3A-4725-909A-E15466843B98}"/>
            </c:ext>
          </c:extLst>
        </c:ser>
        <c:dLbls>
          <c:showLegendKey val="0"/>
          <c:showVal val="0"/>
          <c:showCatName val="0"/>
          <c:showSerName val="0"/>
          <c:showPercent val="0"/>
          <c:showBubbleSize val="0"/>
        </c:dLbls>
        <c:gapWidth val="219"/>
        <c:overlap val="100"/>
        <c:axId val="856156488"/>
        <c:axId val="856156816"/>
      </c:barChart>
      <c:catAx>
        <c:axId val="856156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6156816"/>
        <c:crosses val="autoZero"/>
        <c:auto val="1"/>
        <c:lblAlgn val="ctr"/>
        <c:lblOffset val="100"/>
        <c:noMultiLvlLbl val="0"/>
      </c:catAx>
      <c:valAx>
        <c:axId val="856156816"/>
        <c:scaling>
          <c:orientation val="minMax"/>
        </c:scaling>
        <c:delete val="0"/>
        <c:axPos val="l"/>
        <c:majorGridlines>
          <c:spPr>
            <a:ln w="9525" cap="flat" cmpd="sng" algn="ctr">
              <a:solidFill>
                <a:schemeClr val="tx1">
                  <a:lumMod val="15000"/>
                  <a:lumOff val="85000"/>
                </a:schemeClr>
              </a:solidFill>
              <a:round/>
            </a:ln>
            <a:effectLst/>
          </c:spPr>
        </c:majorGridlines>
        <c:numFmt formatCode="_-* #\ ##0.00\ [$kr-41D]_-;\-* #\ ##0.00\ [$kr-41D]_-;_-* &quot;-&quot;??\ [$kr-41D]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61564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Distance</a:t>
            </a:r>
            <a:r>
              <a:rPr lang="en-US" baseline="0"/>
              <a:t> dependent costs [sek/km]</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tx>
            <c:strRef>
              <c:f>'DL-truck costs_opt'!$D$23</c:f>
              <c:strCache>
                <c:ptCount val="1"/>
                <c:pt idx="0">
                  <c:v>Fuel</c:v>
                </c:pt>
              </c:strCache>
            </c:strRef>
          </c:tx>
          <c:spPr>
            <a:solidFill>
              <a:schemeClr val="accent1"/>
            </a:solidFill>
            <a:ln>
              <a:noFill/>
            </a:ln>
            <a:effectLst/>
          </c:spPr>
          <c:invertIfNegative val="0"/>
          <c:cat>
            <c:strRef>
              <c:f>('DL-truck costs_opt'!$C$24:$C$28,'DL-truck costs_opt'!$C$74:$C$78)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costs_opt'!$D$24:$D$28,'DL-truck costs_opt'!$D$74:$D$78)</c:f>
              <c:numCache>
                <c:formatCode>_-* #\ ##0.00\ [$kr-41D]_-;\-* #\ ##0.00\ [$kr-41D]_-;_-* "-"??\ [$kr-41D]_-;_-@_-</c:formatCode>
                <c:ptCount val="10"/>
                <c:pt idx="0">
                  <c:v>0.69408000000000003</c:v>
                </c:pt>
                <c:pt idx="1">
                  <c:v>1.5809600000000001</c:v>
                </c:pt>
                <c:pt idx="2">
                  <c:v>2.1400800000000002</c:v>
                </c:pt>
                <c:pt idx="3">
                  <c:v>2.6124400000000003</c:v>
                </c:pt>
                <c:pt idx="4">
                  <c:v>3.3932799999999999</c:v>
                </c:pt>
                <c:pt idx="5" formatCode="_(&quot;kr&quot;* #,##0.00_);_(&quot;kr&quot;* \(#,##0.00\);_(&quot;kr&quot;* &quot;-&quot;??_);_(@_)">
                  <c:v>0.55526399999999998</c:v>
                </c:pt>
                <c:pt idx="6" formatCode="_(&quot;kr&quot;* #,##0.00_);_(&quot;kr&quot;* \(#,##0.00\);_(&quot;kr&quot;* &quot;-&quot;??_);_(@_)">
                  <c:v>1.2647680000000001</c:v>
                </c:pt>
                <c:pt idx="7" formatCode="_(&quot;kr&quot;* #,##0.00_);_(&quot;kr&quot;* \(#,##0.00\);_(&quot;kr&quot;* &quot;-&quot;??_);_(@_)">
                  <c:v>1.7120640000000003</c:v>
                </c:pt>
                <c:pt idx="8" formatCode="_(&quot;kr&quot;* #,##0.00_);_(&quot;kr&quot;* \(#,##0.00\);_(&quot;kr&quot;* &quot;-&quot;??_);_(@_)">
                  <c:v>2.0899520000000003</c:v>
                </c:pt>
                <c:pt idx="9" formatCode="_(&quot;kr&quot;* #,##0.00_);_(&quot;kr&quot;* \(#,##0.00\);_(&quot;kr&quot;* &quot;-&quot;??_);_(@_)">
                  <c:v>2.7146240000000001</c:v>
                </c:pt>
              </c:numCache>
            </c:numRef>
          </c:val>
          <c:extLst>
            <c:ext xmlns:c16="http://schemas.microsoft.com/office/drawing/2014/chart" uri="{C3380CC4-5D6E-409C-BE32-E72D297353CC}">
              <c16:uniqueId val="{00000000-BAAE-40B0-B590-093408FE848A}"/>
            </c:ext>
          </c:extLst>
        </c:ser>
        <c:ser>
          <c:idx val="1"/>
          <c:order val="1"/>
          <c:tx>
            <c:strRef>
              <c:f>'DL-truck costs_opt'!$E$23</c:f>
              <c:strCache>
                <c:ptCount val="1"/>
                <c:pt idx="0">
                  <c:v>Maintenance</c:v>
                </c:pt>
              </c:strCache>
            </c:strRef>
          </c:tx>
          <c:spPr>
            <a:solidFill>
              <a:schemeClr val="accent2"/>
            </a:solidFill>
            <a:ln>
              <a:noFill/>
            </a:ln>
            <a:effectLst/>
          </c:spPr>
          <c:invertIfNegative val="0"/>
          <c:cat>
            <c:strRef>
              <c:f>('DL-truck costs_opt'!$C$24:$C$28,'DL-truck costs_opt'!$C$74:$C$78)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costs_opt'!$E$24:$E$28,'DL-truck costs_opt'!$E$74:$E$78)</c:f>
              <c:numCache>
                <c:formatCode>_-* #\ ##0.00\ [$kr-41D]_-;\-* #\ ##0.00\ [$kr-41D]_-;_-* "-"??\ [$kr-41D]_-;_-@_-</c:formatCode>
                <c:ptCount val="10"/>
                <c:pt idx="0">
                  <c:v>0.33</c:v>
                </c:pt>
                <c:pt idx="1">
                  <c:v>1.06</c:v>
                </c:pt>
                <c:pt idx="2">
                  <c:v>1.26</c:v>
                </c:pt>
                <c:pt idx="3">
                  <c:v>1.19</c:v>
                </c:pt>
                <c:pt idx="4">
                  <c:v>1.04</c:v>
                </c:pt>
                <c:pt idx="5" formatCode="_(&quot;kr&quot;* #,##0.00_);_(&quot;kr&quot;* \(#,##0.00\);_(&quot;kr&quot;* &quot;-&quot;??_);_(@_)">
                  <c:v>0.2475</c:v>
                </c:pt>
                <c:pt idx="6" formatCode="_(&quot;kr&quot;* #,##0.00_);_(&quot;kr&quot;* \(#,##0.00\);_(&quot;kr&quot;* &quot;-&quot;??_);_(@_)">
                  <c:v>0.79500000000000004</c:v>
                </c:pt>
                <c:pt idx="7" formatCode="_(&quot;kr&quot;* #,##0.00_);_(&quot;kr&quot;* \(#,##0.00\);_(&quot;kr&quot;* &quot;-&quot;??_);_(@_)">
                  <c:v>0.94500000000000006</c:v>
                </c:pt>
                <c:pt idx="8" formatCode="_(&quot;kr&quot;* #,##0.00_);_(&quot;kr&quot;* \(#,##0.00\);_(&quot;kr&quot;* &quot;-&quot;??_);_(@_)">
                  <c:v>0.89249999999999996</c:v>
                </c:pt>
                <c:pt idx="9" formatCode="_(&quot;kr&quot;* #,##0.00_);_(&quot;kr&quot;* \(#,##0.00\);_(&quot;kr&quot;* &quot;-&quot;??_);_(@_)">
                  <c:v>0.78</c:v>
                </c:pt>
              </c:numCache>
            </c:numRef>
          </c:val>
          <c:extLst>
            <c:ext xmlns:c16="http://schemas.microsoft.com/office/drawing/2014/chart" uri="{C3380CC4-5D6E-409C-BE32-E72D297353CC}">
              <c16:uniqueId val="{00000001-BAAE-40B0-B590-093408FE848A}"/>
            </c:ext>
          </c:extLst>
        </c:ser>
        <c:ser>
          <c:idx val="2"/>
          <c:order val="2"/>
          <c:tx>
            <c:strRef>
              <c:f>'DL-truck costs_opt'!$F$23</c:f>
              <c:strCache>
                <c:ptCount val="1"/>
                <c:pt idx="0">
                  <c:v>Tires</c:v>
                </c:pt>
              </c:strCache>
            </c:strRef>
          </c:tx>
          <c:spPr>
            <a:solidFill>
              <a:schemeClr val="accent3"/>
            </a:solidFill>
            <a:ln>
              <a:noFill/>
            </a:ln>
            <a:effectLst/>
          </c:spPr>
          <c:invertIfNegative val="0"/>
          <c:cat>
            <c:strRef>
              <c:f>('DL-truck costs_opt'!$C$24:$C$28,'DL-truck costs_opt'!$C$74:$C$78)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costs_opt'!$F$24:$F$28,'DL-truck costs_opt'!$F$74:$F$78)</c:f>
              <c:numCache>
                <c:formatCode>_-* #\ ##0.00\ [$kr-41D]_-;\-* #\ ##0.00\ [$kr-41D]_-;_-* "-"??\ [$kr-41D]_-;_-@_-</c:formatCode>
                <c:ptCount val="10"/>
                <c:pt idx="0">
                  <c:v>0.51</c:v>
                </c:pt>
                <c:pt idx="1">
                  <c:v>0.32</c:v>
                </c:pt>
                <c:pt idx="2">
                  <c:v>0.64</c:v>
                </c:pt>
                <c:pt idx="3">
                  <c:v>0.94</c:v>
                </c:pt>
                <c:pt idx="4">
                  <c:v>1.18</c:v>
                </c:pt>
                <c:pt idx="5" formatCode="_(&quot;kr&quot;* #,##0.00_);_(&quot;kr&quot;* \(#,##0.00\);_(&quot;kr&quot;* &quot;-&quot;??_);_(@_)">
                  <c:v>0.51</c:v>
                </c:pt>
                <c:pt idx="6" formatCode="_(&quot;kr&quot;* #,##0.00_);_(&quot;kr&quot;* \(#,##0.00\);_(&quot;kr&quot;* &quot;-&quot;??_);_(@_)">
                  <c:v>0.32</c:v>
                </c:pt>
                <c:pt idx="7" formatCode="_(&quot;kr&quot;* #,##0.00_);_(&quot;kr&quot;* \(#,##0.00\);_(&quot;kr&quot;* &quot;-&quot;??_);_(@_)">
                  <c:v>0.64</c:v>
                </c:pt>
                <c:pt idx="8" formatCode="_(&quot;kr&quot;* #,##0.00_);_(&quot;kr&quot;* \(#,##0.00\);_(&quot;kr&quot;* &quot;-&quot;??_);_(@_)">
                  <c:v>0.94</c:v>
                </c:pt>
                <c:pt idx="9" formatCode="_(&quot;kr&quot;* #,##0.00_);_(&quot;kr&quot;* \(#,##0.00\);_(&quot;kr&quot;* &quot;-&quot;??_);_(@_)">
                  <c:v>1.18</c:v>
                </c:pt>
              </c:numCache>
            </c:numRef>
          </c:val>
          <c:extLst>
            <c:ext xmlns:c16="http://schemas.microsoft.com/office/drawing/2014/chart" uri="{C3380CC4-5D6E-409C-BE32-E72D297353CC}">
              <c16:uniqueId val="{00000002-BAAE-40B0-B590-093408FE848A}"/>
            </c:ext>
          </c:extLst>
        </c:ser>
        <c:ser>
          <c:idx val="3"/>
          <c:order val="3"/>
          <c:tx>
            <c:strRef>
              <c:f>'DL-truck costs_opt'!$G$23</c:f>
              <c:strCache>
                <c:ptCount val="1"/>
                <c:pt idx="0">
                  <c:v>Depreciation</c:v>
                </c:pt>
              </c:strCache>
            </c:strRef>
          </c:tx>
          <c:spPr>
            <a:solidFill>
              <a:schemeClr val="accent4"/>
            </a:solidFill>
            <a:ln>
              <a:noFill/>
            </a:ln>
            <a:effectLst/>
          </c:spPr>
          <c:invertIfNegative val="0"/>
          <c:cat>
            <c:strRef>
              <c:f>('DL-truck costs_opt'!$C$24:$C$28,'DL-truck costs_opt'!$C$74:$C$78)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costs_opt'!$G$24:$G$28,'DL-truck costs_opt'!$G$74:$G$78)</c:f>
              <c:numCache>
                <c:formatCode>_-* #\ ##0.00\ [$kr-41D]_-;\-* #\ ##0.00\ [$kr-41D]_-;_-* "-"??\ [$kr-41D]_-;_-@_-</c:formatCode>
                <c:ptCount val="10"/>
                <c:pt idx="0">
                  <c:v>1.0266666666666666</c:v>
                </c:pt>
                <c:pt idx="1">
                  <c:v>1.6897222222222221</c:v>
                </c:pt>
                <c:pt idx="2">
                  <c:v>2.0664583333333333</c:v>
                </c:pt>
                <c:pt idx="3">
                  <c:v>1.7855999999999999</c:v>
                </c:pt>
                <c:pt idx="4">
                  <c:v>1.9536</c:v>
                </c:pt>
                <c:pt idx="5" formatCode="_(&quot;kr&quot;* #,##0.00_);_(&quot;kr&quot;* \(#,##0.00\);_(&quot;kr&quot;* &quot;-&quot;??_);_(@_)">
                  <c:v>0.77</c:v>
                </c:pt>
                <c:pt idx="6" formatCode="_(&quot;kr&quot;* #,##0.00_);_(&quot;kr&quot;* \(#,##0.00\);_(&quot;kr&quot;* &quot;-&quot;??_);_(@_)">
                  <c:v>1.2672916666666667</c:v>
                </c:pt>
                <c:pt idx="7" formatCode="_(&quot;kr&quot;* #,##0.00_);_(&quot;kr&quot;* \(#,##0.00\);_(&quot;kr&quot;* &quot;-&quot;??_);_(@_)">
                  <c:v>1.54984375</c:v>
                </c:pt>
                <c:pt idx="8" formatCode="_(&quot;kr&quot;* #,##0.00_);_(&quot;kr&quot;* \(#,##0.00\);_(&quot;kr&quot;* &quot;-&quot;??_);_(@_)">
                  <c:v>1.3391999999999997</c:v>
                </c:pt>
                <c:pt idx="9" formatCode="_(&quot;kr&quot;* #,##0.00_);_(&quot;kr&quot;* \(#,##0.00\);_(&quot;kr&quot;* &quot;-&quot;??_);_(@_)">
                  <c:v>1.4651999999999998</c:v>
                </c:pt>
              </c:numCache>
            </c:numRef>
          </c:val>
          <c:extLst>
            <c:ext xmlns:c16="http://schemas.microsoft.com/office/drawing/2014/chart" uri="{C3380CC4-5D6E-409C-BE32-E72D297353CC}">
              <c16:uniqueId val="{00000003-BAAE-40B0-B590-093408FE848A}"/>
            </c:ext>
          </c:extLst>
        </c:ser>
        <c:dLbls>
          <c:showLegendKey val="0"/>
          <c:showVal val="0"/>
          <c:showCatName val="0"/>
          <c:showSerName val="0"/>
          <c:showPercent val="0"/>
          <c:showBubbleSize val="0"/>
        </c:dLbls>
        <c:gapWidth val="219"/>
        <c:overlap val="100"/>
        <c:axId val="856156488"/>
        <c:axId val="856156816"/>
      </c:barChart>
      <c:catAx>
        <c:axId val="856156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6156816"/>
        <c:crosses val="autoZero"/>
        <c:auto val="1"/>
        <c:lblAlgn val="ctr"/>
        <c:lblOffset val="100"/>
        <c:noMultiLvlLbl val="0"/>
      </c:catAx>
      <c:valAx>
        <c:axId val="85615681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61564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Time-dependent costs [sek/h]</a:t>
            </a:r>
          </a:p>
        </c:rich>
      </c:tx>
      <c:layout>
        <c:manualLayout>
          <c:xMode val="edge"/>
          <c:yMode val="edge"/>
          <c:x val="0.42448850015935202"/>
          <c:y val="2.387621199714635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'DL-truck costs_opt'!$I$73</c:f>
              <c:strCache>
                <c:ptCount val="1"/>
                <c:pt idx="0">
                  <c:v>Driver</c:v>
                </c:pt>
              </c:strCache>
            </c:strRef>
          </c:tx>
          <c:spPr>
            <a:solidFill>
              <a:schemeClr val="accent1"/>
            </a:solidFill>
            <a:ln>
              <a:noFill/>
            </a:ln>
            <a:effectLst/>
          </c:spPr>
          <c:invertIfNegative val="0"/>
          <c:cat>
            <c:strRef>
              <c:f>('DL-truck costs_opt'!$C$24:$C$28,'DL-truck costs_opt'!$C$74:$C$78)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costs_opt'!$I$24:$I$28,'DL-truck costs_opt'!$I$74:$I$78)</c:f>
              <c:numCache>
                <c:formatCode>_-* #\ ##0.00\ [$kr-41D]_-;\-* #\ ##0.00\ [$kr-41D]_-;_-* "-"??\ [$kr-41D]_-;_-@_-</c:formatCode>
                <c:ptCount val="10"/>
                <c:pt idx="0">
                  <c:v>254</c:v>
                </c:pt>
                <c:pt idx="1">
                  <c:v>254</c:v>
                </c:pt>
                <c:pt idx="2">
                  <c:v>245</c:v>
                </c:pt>
                <c:pt idx="3">
                  <c:v>245</c:v>
                </c:pt>
                <c:pt idx="4">
                  <c:v>254</c:v>
                </c:pt>
                <c:pt idx="5" formatCode="_(&quot;kr&quot;* #,##0.00_);_(&quot;kr&quot;* \(#,##0.00\);_(&quot;kr&quot;* &quot;-&quot;??_);_(@_)">
                  <c:v>0</c:v>
                </c:pt>
                <c:pt idx="6" formatCode="_(&quot;kr&quot;* #,##0.00_);_(&quot;kr&quot;* \(#,##0.00\);_(&quot;kr&quot;* &quot;-&quot;??_);_(@_)">
                  <c:v>0</c:v>
                </c:pt>
                <c:pt idx="7" formatCode="_(&quot;kr&quot;* #,##0.00_);_(&quot;kr&quot;* \(#,##0.00\);_(&quot;kr&quot;* &quot;-&quot;??_);_(@_)">
                  <c:v>0</c:v>
                </c:pt>
                <c:pt idx="8" formatCode="_(&quot;kr&quot;* #,##0.00_);_(&quot;kr&quot;* \(#,##0.00\);_(&quot;kr&quot;* &quot;-&quot;??_);_(@_)">
                  <c:v>0</c:v>
                </c:pt>
                <c:pt idx="9" formatCode="_(&quot;kr&quot;* #,##0.00_);_(&quot;kr&quot;* \(#,##0.00\);_(&quot;kr&quot;* &quot;-&quot;??_);_(@_)">
                  <c:v>0</c:v>
                </c:pt>
              </c:numCache>
            </c:numRef>
          </c:val>
          <c:extLst>
            <c:ext xmlns:c16="http://schemas.microsoft.com/office/drawing/2014/chart" uri="{C3380CC4-5D6E-409C-BE32-E72D297353CC}">
              <c16:uniqueId val="{00000000-AD61-4DBE-B40E-16E9BB10B802}"/>
            </c:ext>
          </c:extLst>
        </c:ser>
        <c:ser>
          <c:idx val="6"/>
          <c:order val="1"/>
          <c:tx>
            <c:strRef>
              <c:f>'DL-truck costs_opt'!$O$73</c:f>
              <c:strCache>
                <c:ptCount val="1"/>
                <c:pt idx="0">
                  <c:v>Remote ops</c:v>
                </c:pt>
              </c:strCache>
            </c:strRef>
          </c:tx>
          <c:spPr>
            <a:solidFill>
              <a:schemeClr val="accent1">
                <a:lumMod val="60000"/>
              </a:schemeClr>
            </a:solidFill>
            <a:ln>
              <a:noFill/>
            </a:ln>
            <a:effectLst/>
          </c:spPr>
          <c:invertIfNegative val="0"/>
          <c:cat>
            <c:strRef>
              <c:f>('DL-truck costs_opt'!$C$24:$C$28,'DL-truck costs_opt'!$C$74:$C$78)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costs_opt'!$O$24:$O$28,'DL-truck costs_opt'!$O$74:$O$78)</c:f>
              <c:numCache>
                <c:formatCode>_-* #\ ##0.00\ [$kr-41D]_-;\-* #\ ##0.00\ [$kr-41D]_-;_-* "-"??\ [$kr-41D]_-;_-@_-</c:formatCode>
                <c:ptCount val="10"/>
                <c:pt idx="5" formatCode="_(&quot;kr&quot;* #,##0.00_);_(&quot;kr&quot;* \(#,##0.00\);_(&quot;kr&quot;* &quot;-&quot;??_);_(@_)">
                  <c:v>12.700000000000001</c:v>
                </c:pt>
                <c:pt idx="6" formatCode="_(&quot;kr&quot;* #,##0.00_);_(&quot;kr&quot;* \(#,##0.00\);_(&quot;kr&quot;* &quot;-&quot;??_);_(@_)">
                  <c:v>12.700000000000001</c:v>
                </c:pt>
                <c:pt idx="7" formatCode="_(&quot;kr&quot;* #,##0.00_);_(&quot;kr&quot;* \(#,##0.00\);_(&quot;kr&quot;* &quot;-&quot;??_);_(@_)">
                  <c:v>12.25</c:v>
                </c:pt>
                <c:pt idx="8" formatCode="_(&quot;kr&quot;* #,##0.00_);_(&quot;kr&quot;* \(#,##0.00\);_(&quot;kr&quot;* &quot;-&quot;??_);_(@_)">
                  <c:v>12.25</c:v>
                </c:pt>
                <c:pt idx="9" formatCode="_(&quot;kr&quot;* #,##0.00_);_(&quot;kr&quot;* \(#,##0.00\);_(&quot;kr&quot;* &quot;-&quot;??_);_(@_)">
                  <c:v>12.700000000000001</c:v>
                </c:pt>
              </c:numCache>
            </c:numRef>
          </c:val>
          <c:extLst>
            <c:ext xmlns:c16="http://schemas.microsoft.com/office/drawing/2014/chart" uri="{C3380CC4-5D6E-409C-BE32-E72D297353CC}">
              <c16:uniqueId val="{00000001-AD61-4DBE-B40E-16E9BB10B802}"/>
            </c:ext>
          </c:extLst>
        </c:ser>
        <c:ser>
          <c:idx val="1"/>
          <c:order val="2"/>
          <c:tx>
            <c:strRef>
              <c:f>'DL-truck costs_opt'!$J$73</c:f>
              <c:strCache>
                <c:ptCount val="1"/>
                <c:pt idx="0">
                  <c:v>Capital </c:v>
                </c:pt>
              </c:strCache>
            </c:strRef>
          </c:tx>
          <c:spPr>
            <a:solidFill>
              <a:schemeClr val="accent2"/>
            </a:solidFill>
            <a:ln>
              <a:noFill/>
            </a:ln>
            <a:effectLst/>
          </c:spPr>
          <c:invertIfNegative val="0"/>
          <c:cat>
            <c:strRef>
              <c:f>('DL-truck costs_opt'!$C$24:$C$28,'DL-truck costs_opt'!$C$74:$C$78)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costs_opt'!$J$24:$J$28,'DL-truck costs_opt'!$J$74:$J$78)</c:f>
              <c:numCache>
                <c:formatCode>_-* #\ ##0.00\ [$kr-41D]_-;\-* #\ ##0.00\ [$kr-41D]_-;_-* "-"??\ [$kr-41D]_-;_-@_-</c:formatCode>
                <c:ptCount val="10"/>
                <c:pt idx="0">
                  <c:v>3.5416666666666665</c:v>
                </c:pt>
                <c:pt idx="1">
                  <c:v>12.0375</c:v>
                </c:pt>
                <c:pt idx="2">
                  <c:v>19.274999999999999</c:v>
                </c:pt>
                <c:pt idx="3">
                  <c:v>17.507142857142856</c:v>
                </c:pt>
                <c:pt idx="4">
                  <c:v>19.157142857142858</c:v>
                </c:pt>
                <c:pt idx="5" formatCode="_(&quot;kr&quot;* #,##0.00_);_(&quot;kr&quot;* \(#,##0.00\);_(&quot;kr&quot;* &quot;-&quot;??_);_(@_)">
                  <c:v>1.328125</c:v>
                </c:pt>
                <c:pt idx="6" formatCode="_(&quot;kr&quot;* #,##0.00_);_(&quot;kr&quot;* \(#,##0.00\);_(&quot;kr&quot;* &quot;-&quot;??_);_(@_)">
                  <c:v>4.5140624999999996</c:v>
                </c:pt>
                <c:pt idx="7" formatCode="_(&quot;kr&quot;* #,##0.00_);_(&quot;kr&quot;* \(#,##0.00\);_(&quot;kr&quot;* &quot;-&quot;??_);_(@_)">
                  <c:v>7.2281250000000004</c:v>
                </c:pt>
                <c:pt idx="8" formatCode="_(&quot;kr&quot;* #,##0.00_);_(&quot;kr&quot;* \(#,##0.00\);_(&quot;kr&quot;* &quot;-&quot;??_);_(@_)">
                  <c:v>6.5651785714285715</c:v>
                </c:pt>
                <c:pt idx="9" formatCode="_(&quot;kr&quot;* #,##0.00_);_(&quot;kr&quot;* \(#,##0.00\);_(&quot;kr&quot;* &quot;-&quot;??_);_(@_)">
                  <c:v>7.183928571428571</c:v>
                </c:pt>
              </c:numCache>
            </c:numRef>
          </c:val>
          <c:extLst>
            <c:ext xmlns:c16="http://schemas.microsoft.com/office/drawing/2014/chart" uri="{C3380CC4-5D6E-409C-BE32-E72D297353CC}">
              <c16:uniqueId val="{00000002-AD61-4DBE-B40E-16E9BB10B802}"/>
            </c:ext>
          </c:extLst>
        </c:ser>
        <c:ser>
          <c:idx val="2"/>
          <c:order val="3"/>
          <c:tx>
            <c:strRef>
              <c:f>'DL-truck costs_opt'!$K$73</c:f>
              <c:strCache>
                <c:ptCount val="1"/>
                <c:pt idx="0">
                  <c:v>Depreciation</c:v>
                </c:pt>
              </c:strCache>
            </c:strRef>
          </c:tx>
          <c:spPr>
            <a:solidFill>
              <a:schemeClr val="accent3"/>
            </a:solidFill>
            <a:ln>
              <a:noFill/>
            </a:ln>
            <a:effectLst/>
          </c:spPr>
          <c:invertIfNegative val="0"/>
          <c:cat>
            <c:strRef>
              <c:f>('DL-truck costs_opt'!$C$24:$C$28,'DL-truck costs_opt'!$C$74:$C$78)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costs_opt'!$K$24:$K$28,'DL-truck costs_opt'!$K$74:$K$78)</c:f>
              <c:numCache>
                <c:formatCode>_-* #\ ##0.00\ [$kr-41D]_-;\-* #\ ##0.00\ [$kr-41D]_-;_-* "-"??\ [$kr-41D]_-;_-@_-</c:formatCode>
                <c:ptCount val="10"/>
                <c:pt idx="0">
                  <c:v>11.458333333333332</c:v>
                </c:pt>
                <c:pt idx="1">
                  <c:v>16.293749999999999</c:v>
                </c:pt>
                <c:pt idx="2">
                  <c:v>26.568749999999998</c:v>
                </c:pt>
                <c:pt idx="3">
                  <c:v>27.330612244897956</c:v>
                </c:pt>
                <c:pt idx="4">
                  <c:v>29.902040816326526</c:v>
                </c:pt>
                <c:pt idx="5" formatCode="_(&quot;kr&quot;* #,##0.00_);_(&quot;kr&quot;* \(#,##0.00\);_(&quot;kr&quot;* &quot;-&quot;??_);_(@_)">
                  <c:v>8.59375</c:v>
                </c:pt>
                <c:pt idx="6" formatCode="_(&quot;kr&quot;* #,##0.00_);_(&quot;kr&quot;* \(#,##0.00\);_(&quot;kr&quot;* &quot;-&quot;??_);_(@_)">
                  <c:v>12.2203125</c:v>
                </c:pt>
                <c:pt idx="7" formatCode="_(&quot;kr&quot;* #,##0.00_);_(&quot;kr&quot;* \(#,##0.00\);_(&quot;kr&quot;* &quot;-&quot;??_);_(@_)">
                  <c:v>19.926562499999999</c:v>
                </c:pt>
                <c:pt idx="8" formatCode="_(&quot;kr&quot;* #,##0.00_);_(&quot;kr&quot;* \(#,##0.00\);_(&quot;kr&quot;* &quot;-&quot;??_);_(@_)">
                  <c:v>20.497959183673466</c:v>
                </c:pt>
                <c:pt idx="9" formatCode="_(&quot;kr&quot;* #,##0.00_);_(&quot;kr&quot;* \(#,##0.00\);_(&quot;kr&quot;* &quot;-&quot;??_);_(@_)">
                  <c:v>22.426530612244893</c:v>
                </c:pt>
              </c:numCache>
            </c:numRef>
          </c:val>
          <c:extLst>
            <c:ext xmlns:c16="http://schemas.microsoft.com/office/drawing/2014/chart" uri="{C3380CC4-5D6E-409C-BE32-E72D297353CC}">
              <c16:uniqueId val="{00000003-AD61-4DBE-B40E-16E9BB10B802}"/>
            </c:ext>
          </c:extLst>
        </c:ser>
        <c:ser>
          <c:idx val="3"/>
          <c:order val="4"/>
          <c:tx>
            <c:strRef>
              <c:f>'DL-truck costs_opt'!$L$73</c:f>
              <c:strCache>
                <c:ptCount val="1"/>
                <c:pt idx="0">
                  <c:v>Taxes</c:v>
                </c:pt>
              </c:strCache>
            </c:strRef>
          </c:tx>
          <c:spPr>
            <a:solidFill>
              <a:schemeClr val="accent4"/>
            </a:solidFill>
            <a:ln>
              <a:noFill/>
            </a:ln>
            <a:effectLst/>
          </c:spPr>
          <c:invertIfNegative val="0"/>
          <c:cat>
            <c:strRef>
              <c:f>('DL-truck costs_opt'!$C$24:$C$28,'DL-truck costs_opt'!$C$74:$C$78)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costs_opt'!$L$24:$L$28,'DL-truck costs_opt'!$L$74:$L$78)</c:f>
              <c:numCache>
                <c:formatCode>_-* #\ ##0.00\ [$kr-41D]_-;\-* #\ ##0.00\ [$kr-41D]_-;_-* "-"??\ [$kr-41D]_-;_-@_-</c:formatCode>
                <c:ptCount val="10"/>
                <c:pt idx="0">
                  <c:v>1.9015625</c:v>
                </c:pt>
                <c:pt idx="1">
                  <c:v>5.2765000000000004</c:v>
                </c:pt>
                <c:pt idx="2">
                  <c:v>6.4489999999999998</c:v>
                </c:pt>
                <c:pt idx="3">
                  <c:v>7.9480000000000004</c:v>
                </c:pt>
                <c:pt idx="4">
                  <c:v>7.9480000000000004</c:v>
                </c:pt>
                <c:pt idx="5" formatCode="_(&quot;kr&quot;* #,##0.00_);_(&quot;kr&quot;* \(#,##0.00\);_(&quot;kr&quot;* &quot;-&quot;??_);_(@_)">
                  <c:v>0.95078125000000002</c:v>
                </c:pt>
                <c:pt idx="6" formatCode="_(&quot;kr&quot;* #,##0.00_);_(&quot;kr&quot;* \(#,##0.00\);_(&quot;kr&quot;* &quot;-&quot;??_);_(@_)">
                  <c:v>2.6382500000000002</c:v>
                </c:pt>
                <c:pt idx="7" formatCode="_(&quot;kr&quot;* #,##0.00_);_(&quot;kr&quot;* \(#,##0.00\);_(&quot;kr&quot;* &quot;-&quot;??_);_(@_)">
                  <c:v>3.2244999999999999</c:v>
                </c:pt>
                <c:pt idx="8" formatCode="_(&quot;kr&quot;* #,##0.00_);_(&quot;kr&quot;* \(#,##0.00\);_(&quot;kr&quot;* &quot;-&quot;??_);_(@_)">
                  <c:v>3.9740000000000002</c:v>
                </c:pt>
                <c:pt idx="9" formatCode="_(&quot;kr&quot;* #,##0.00_);_(&quot;kr&quot;* \(#,##0.00\);_(&quot;kr&quot;* &quot;-&quot;??_);_(@_)">
                  <c:v>3.9740000000000002</c:v>
                </c:pt>
              </c:numCache>
            </c:numRef>
          </c:val>
          <c:extLst>
            <c:ext xmlns:c16="http://schemas.microsoft.com/office/drawing/2014/chart" uri="{C3380CC4-5D6E-409C-BE32-E72D297353CC}">
              <c16:uniqueId val="{00000004-AD61-4DBE-B40E-16E9BB10B802}"/>
            </c:ext>
          </c:extLst>
        </c:ser>
        <c:ser>
          <c:idx val="4"/>
          <c:order val="5"/>
          <c:tx>
            <c:strRef>
              <c:f>'DL-truck costs_opt'!$M$73</c:f>
              <c:strCache>
                <c:ptCount val="1"/>
                <c:pt idx="0">
                  <c:v>Insurance</c:v>
                </c:pt>
              </c:strCache>
            </c:strRef>
          </c:tx>
          <c:spPr>
            <a:solidFill>
              <a:schemeClr val="accent5"/>
            </a:solidFill>
            <a:ln>
              <a:noFill/>
            </a:ln>
            <a:effectLst/>
          </c:spPr>
          <c:invertIfNegative val="0"/>
          <c:cat>
            <c:strRef>
              <c:f>('DL-truck costs_opt'!$C$24:$C$28,'DL-truck costs_opt'!$C$74:$C$78)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costs_opt'!$M$24:$M$28,'DL-truck costs_opt'!$M$74:$M$78)</c:f>
              <c:numCache>
                <c:formatCode>_-* #\ ##0.00\ [$kr-41D]_-;\-* #\ ##0.00\ [$kr-41D]_-;_-* "-"??\ [$kr-41D]_-;_-@_-</c:formatCode>
                <c:ptCount val="10"/>
                <c:pt idx="0">
                  <c:v>6.4766343606278731</c:v>
                </c:pt>
                <c:pt idx="1">
                  <c:v>18.406961073200989</c:v>
                </c:pt>
                <c:pt idx="2">
                  <c:v>20.419201572968248</c:v>
                </c:pt>
                <c:pt idx="3">
                  <c:v>17.961160701754384</c:v>
                </c:pt>
                <c:pt idx="4">
                  <c:v>18.970118429807052</c:v>
                </c:pt>
                <c:pt idx="5" formatCode="_(&quot;kr&quot;* #,##0.00_);_(&quot;kr&quot;* \(#,##0.00\);_(&quot;kr&quot;* &quot;-&quot;??_);_(@_)">
                  <c:v>2.5906537442511497</c:v>
                </c:pt>
                <c:pt idx="6" formatCode="_(&quot;kr&quot;* #,##0.00_);_(&quot;kr&quot;* \(#,##0.00\);_(&quot;kr&quot;* &quot;-&quot;??_);_(@_)">
                  <c:v>7.3627844292803966</c:v>
                </c:pt>
                <c:pt idx="7" formatCode="_(&quot;kr&quot;* #,##0.00_);_(&quot;kr&quot;* \(#,##0.00\);_(&quot;kr&quot;* &quot;-&quot;??_);_(@_)">
                  <c:v>8.1676806291873003</c:v>
                </c:pt>
                <c:pt idx="8" formatCode="_(&quot;kr&quot;* #,##0.00_);_(&quot;kr&quot;* \(#,##0.00\);_(&quot;kr&quot;* &quot;-&quot;??_);_(@_)">
                  <c:v>7.1844642807017536</c:v>
                </c:pt>
                <c:pt idx="9" formatCode="_(&quot;kr&quot;* #,##0.00_);_(&quot;kr&quot;* \(#,##0.00\);_(&quot;kr&quot;* &quot;-&quot;??_);_(@_)">
                  <c:v>7.5880473719228219</c:v>
                </c:pt>
              </c:numCache>
            </c:numRef>
          </c:val>
          <c:extLst>
            <c:ext xmlns:c16="http://schemas.microsoft.com/office/drawing/2014/chart" uri="{C3380CC4-5D6E-409C-BE32-E72D297353CC}">
              <c16:uniqueId val="{00000005-AD61-4DBE-B40E-16E9BB10B802}"/>
            </c:ext>
          </c:extLst>
        </c:ser>
        <c:ser>
          <c:idx val="5"/>
          <c:order val="6"/>
          <c:tx>
            <c:strRef>
              <c:f>'DL-truck costs_opt'!$N$73</c:f>
              <c:strCache>
                <c:ptCount val="1"/>
                <c:pt idx="0">
                  <c:v>Other</c:v>
                </c:pt>
              </c:strCache>
            </c:strRef>
          </c:tx>
          <c:spPr>
            <a:solidFill>
              <a:schemeClr val="accent6"/>
            </a:solidFill>
            <a:ln>
              <a:noFill/>
            </a:ln>
            <a:effectLst/>
          </c:spPr>
          <c:invertIfNegative val="0"/>
          <c:cat>
            <c:strRef>
              <c:f>('DL-truck costs_opt'!$C$24:$C$28,'DL-truck costs_opt'!$C$74:$C$78)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costs_opt'!$N$24:$N$28,'DL-truck costs_opt'!$N$74:$N$78)</c:f>
              <c:numCache>
                <c:formatCode>_-* #\ ##0.00\ [$kr-41D]_-;\-* #\ ##0.00\ [$kr-41D]_-;_-* "-"??\ [$kr-41D]_-;_-@_-</c:formatCode>
                <c:ptCount val="10"/>
                <c:pt idx="0">
                  <c:v>10.797844806038791</c:v>
                </c:pt>
                <c:pt idx="1">
                  <c:v>10.640538926799007</c:v>
                </c:pt>
                <c:pt idx="2">
                  <c:v>16.033798427031751</c:v>
                </c:pt>
                <c:pt idx="3">
                  <c:v>13.194839298245613</c:v>
                </c:pt>
                <c:pt idx="4">
                  <c:v>13.228738713050088</c:v>
                </c:pt>
                <c:pt idx="5" formatCode="_(&quot;kr&quot;* #,##0.00_);_(&quot;kr&quot;* \(#,##0.00\);_(&quot;kr&quot;* &quot;-&quot;??_);_(@_)">
                  <c:v>4.3191379224155169</c:v>
                </c:pt>
                <c:pt idx="6" formatCode="_(&quot;kr&quot;* #,##0.00_);_(&quot;kr&quot;* \(#,##0.00\);_(&quot;kr&quot;* &quot;-&quot;??_);_(@_)">
                  <c:v>4.2562155707196023</c:v>
                </c:pt>
                <c:pt idx="7" formatCode="_(&quot;kr&quot;* #,##0.00_);_(&quot;kr&quot;* \(#,##0.00\);_(&quot;kr&quot;* &quot;-&quot;??_);_(@_)">
                  <c:v>6.4135193708127005</c:v>
                </c:pt>
                <c:pt idx="8" formatCode="_(&quot;kr&quot;* #,##0.00_);_(&quot;kr&quot;* \(#,##0.00\);_(&quot;kr&quot;* &quot;-&quot;??_);_(@_)">
                  <c:v>5.2779357192982452</c:v>
                </c:pt>
                <c:pt idx="9" formatCode="_(&quot;kr&quot;* #,##0.00_);_(&quot;kr&quot;* \(#,##0.00\);_(&quot;kr&quot;* &quot;-&quot;??_);_(@_)">
                  <c:v>5.291495485220036</c:v>
                </c:pt>
              </c:numCache>
            </c:numRef>
          </c:val>
          <c:extLst>
            <c:ext xmlns:c16="http://schemas.microsoft.com/office/drawing/2014/chart" uri="{C3380CC4-5D6E-409C-BE32-E72D297353CC}">
              <c16:uniqueId val="{00000006-AD61-4DBE-B40E-16E9BB10B802}"/>
            </c:ext>
          </c:extLst>
        </c:ser>
        <c:dLbls>
          <c:showLegendKey val="0"/>
          <c:showVal val="0"/>
          <c:showCatName val="0"/>
          <c:showSerName val="0"/>
          <c:showPercent val="0"/>
          <c:showBubbleSize val="0"/>
        </c:dLbls>
        <c:gapWidth val="150"/>
        <c:overlap val="100"/>
        <c:axId val="877674616"/>
        <c:axId val="877674944"/>
      </c:barChart>
      <c:catAx>
        <c:axId val="877674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7674944"/>
        <c:crosses val="autoZero"/>
        <c:auto val="1"/>
        <c:lblAlgn val="ctr"/>
        <c:lblOffset val="100"/>
        <c:noMultiLvlLbl val="0"/>
      </c:catAx>
      <c:valAx>
        <c:axId val="877674944"/>
        <c:scaling>
          <c:orientation val="minMax"/>
        </c:scaling>
        <c:delete val="0"/>
        <c:axPos val="l"/>
        <c:majorGridlines>
          <c:spPr>
            <a:ln w="9525" cap="flat" cmpd="sng" algn="ctr">
              <a:solidFill>
                <a:schemeClr val="tx1">
                  <a:lumMod val="15000"/>
                  <a:lumOff val="85000"/>
                </a:schemeClr>
              </a:solidFill>
              <a:round/>
            </a:ln>
            <a:effectLst/>
          </c:spPr>
        </c:majorGridlines>
        <c:numFmt formatCode="_-* #\ ##0.00\ [$kr-41D]_-;\-* #\ ##0.00\ [$kr-41D]_-;_-* &quot;-&quot;??\ [$kr-41D]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76746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Time-dependent costs [sek/h]</a:t>
            </a:r>
          </a:p>
        </c:rich>
      </c:tx>
      <c:layout>
        <c:manualLayout>
          <c:xMode val="edge"/>
          <c:yMode val="edge"/>
          <c:x val="0.42448850015935202"/>
          <c:y val="2.387621199714635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tx>
            <c:strRef>
              <c:f>'DL-truck costs_opt'!$I$73</c:f>
              <c:strCache>
                <c:ptCount val="1"/>
                <c:pt idx="0">
                  <c:v>Driver</c:v>
                </c:pt>
              </c:strCache>
            </c:strRef>
          </c:tx>
          <c:spPr>
            <a:solidFill>
              <a:schemeClr val="accent1"/>
            </a:solidFill>
            <a:ln>
              <a:noFill/>
            </a:ln>
            <a:effectLst/>
          </c:spPr>
          <c:invertIfNegative val="0"/>
          <c:cat>
            <c:strRef>
              <c:f>('DL-truck costs_opt'!$C$24:$C$28,'DL-truck costs_opt'!$C$74:$C$78)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costs_opt'!$I$24:$I$28,'DL-truck costs_opt'!$I$74:$I$78)</c:f>
              <c:numCache>
                <c:formatCode>_-* #\ ##0.00\ [$kr-41D]_-;\-* #\ ##0.00\ [$kr-41D]_-;_-* "-"??\ [$kr-41D]_-;_-@_-</c:formatCode>
                <c:ptCount val="10"/>
                <c:pt idx="0">
                  <c:v>254</c:v>
                </c:pt>
                <c:pt idx="1">
                  <c:v>254</c:v>
                </c:pt>
                <c:pt idx="2">
                  <c:v>245</c:v>
                </c:pt>
                <c:pt idx="3">
                  <c:v>245</c:v>
                </c:pt>
                <c:pt idx="4">
                  <c:v>254</c:v>
                </c:pt>
                <c:pt idx="5" formatCode="_(&quot;kr&quot;* #,##0.00_);_(&quot;kr&quot;* \(#,##0.00\);_(&quot;kr&quot;* &quot;-&quot;??_);_(@_)">
                  <c:v>0</c:v>
                </c:pt>
                <c:pt idx="6" formatCode="_(&quot;kr&quot;* #,##0.00_);_(&quot;kr&quot;* \(#,##0.00\);_(&quot;kr&quot;* &quot;-&quot;??_);_(@_)">
                  <c:v>0</c:v>
                </c:pt>
                <c:pt idx="7" formatCode="_(&quot;kr&quot;* #,##0.00_);_(&quot;kr&quot;* \(#,##0.00\);_(&quot;kr&quot;* &quot;-&quot;??_);_(@_)">
                  <c:v>0</c:v>
                </c:pt>
                <c:pt idx="8" formatCode="_(&quot;kr&quot;* #,##0.00_);_(&quot;kr&quot;* \(#,##0.00\);_(&quot;kr&quot;* &quot;-&quot;??_);_(@_)">
                  <c:v>0</c:v>
                </c:pt>
                <c:pt idx="9" formatCode="_(&quot;kr&quot;* #,##0.00_);_(&quot;kr&quot;* \(#,##0.00\);_(&quot;kr&quot;* &quot;-&quot;??_);_(@_)">
                  <c:v>0</c:v>
                </c:pt>
              </c:numCache>
            </c:numRef>
          </c:val>
          <c:extLst>
            <c:ext xmlns:c16="http://schemas.microsoft.com/office/drawing/2014/chart" uri="{C3380CC4-5D6E-409C-BE32-E72D297353CC}">
              <c16:uniqueId val="{00000000-31FD-43A2-95EF-C0F517296834}"/>
            </c:ext>
          </c:extLst>
        </c:ser>
        <c:ser>
          <c:idx val="6"/>
          <c:order val="1"/>
          <c:tx>
            <c:strRef>
              <c:f>'DL-truck costs_opt'!$O$73</c:f>
              <c:strCache>
                <c:ptCount val="1"/>
                <c:pt idx="0">
                  <c:v>Remote ops</c:v>
                </c:pt>
              </c:strCache>
            </c:strRef>
          </c:tx>
          <c:spPr>
            <a:solidFill>
              <a:schemeClr val="accent1">
                <a:lumMod val="60000"/>
              </a:schemeClr>
            </a:solidFill>
            <a:ln>
              <a:noFill/>
            </a:ln>
            <a:effectLst/>
          </c:spPr>
          <c:invertIfNegative val="0"/>
          <c:cat>
            <c:strRef>
              <c:f>('DL-truck costs_opt'!$C$24:$C$28,'DL-truck costs_opt'!$C$74:$C$78)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costs_opt'!$O$24:$O$28,'DL-truck costs_opt'!$O$74:$O$78)</c:f>
              <c:numCache>
                <c:formatCode>_-* #\ ##0.00\ [$kr-41D]_-;\-* #\ ##0.00\ [$kr-41D]_-;_-* "-"??\ [$kr-41D]_-;_-@_-</c:formatCode>
                <c:ptCount val="10"/>
                <c:pt idx="5" formatCode="_(&quot;kr&quot;* #,##0.00_);_(&quot;kr&quot;* \(#,##0.00\);_(&quot;kr&quot;* &quot;-&quot;??_);_(@_)">
                  <c:v>12.700000000000001</c:v>
                </c:pt>
                <c:pt idx="6" formatCode="_(&quot;kr&quot;* #,##0.00_);_(&quot;kr&quot;* \(#,##0.00\);_(&quot;kr&quot;* &quot;-&quot;??_);_(@_)">
                  <c:v>12.700000000000001</c:v>
                </c:pt>
                <c:pt idx="7" formatCode="_(&quot;kr&quot;* #,##0.00_);_(&quot;kr&quot;* \(#,##0.00\);_(&quot;kr&quot;* &quot;-&quot;??_);_(@_)">
                  <c:v>12.25</c:v>
                </c:pt>
                <c:pt idx="8" formatCode="_(&quot;kr&quot;* #,##0.00_);_(&quot;kr&quot;* \(#,##0.00\);_(&quot;kr&quot;* &quot;-&quot;??_);_(@_)">
                  <c:v>12.25</c:v>
                </c:pt>
                <c:pt idx="9" formatCode="_(&quot;kr&quot;* #,##0.00_);_(&quot;kr&quot;* \(#,##0.00\);_(&quot;kr&quot;* &quot;-&quot;??_);_(@_)">
                  <c:v>12.700000000000001</c:v>
                </c:pt>
              </c:numCache>
            </c:numRef>
          </c:val>
          <c:extLst>
            <c:ext xmlns:c16="http://schemas.microsoft.com/office/drawing/2014/chart" uri="{C3380CC4-5D6E-409C-BE32-E72D297353CC}">
              <c16:uniqueId val="{00000001-31FD-43A2-95EF-C0F517296834}"/>
            </c:ext>
          </c:extLst>
        </c:ser>
        <c:ser>
          <c:idx val="1"/>
          <c:order val="2"/>
          <c:tx>
            <c:strRef>
              <c:f>'DL-truck costs_opt'!$J$73</c:f>
              <c:strCache>
                <c:ptCount val="1"/>
                <c:pt idx="0">
                  <c:v>Capital </c:v>
                </c:pt>
              </c:strCache>
            </c:strRef>
          </c:tx>
          <c:spPr>
            <a:solidFill>
              <a:schemeClr val="accent2"/>
            </a:solidFill>
            <a:ln>
              <a:noFill/>
            </a:ln>
            <a:effectLst/>
          </c:spPr>
          <c:invertIfNegative val="0"/>
          <c:cat>
            <c:strRef>
              <c:f>('DL-truck costs_opt'!$C$24:$C$28,'DL-truck costs_opt'!$C$74:$C$78)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costs_opt'!$J$24:$J$28,'DL-truck costs_opt'!$J$74:$J$78)</c:f>
              <c:numCache>
                <c:formatCode>_-* #\ ##0.00\ [$kr-41D]_-;\-* #\ ##0.00\ [$kr-41D]_-;_-* "-"??\ [$kr-41D]_-;_-@_-</c:formatCode>
                <c:ptCount val="10"/>
                <c:pt idx="0">
                  <c:v>3.5416666666666665</c:v>
                </c:pt>
                <c:pt idx="1">
                  <c:v>12.0375</c:v>
                </c:pt>
                <c:pt idx="2">
                  <c:v>19.274999999999999</c:v>
                </c:pt>
                <c:pt idx="3">
                  <c:v>17.507142857142856</c:v>
                </c:pt>
                <c:pt idx="4">
                  <c:v>19.157142857142858</c:v>
                </c:pt>
                <c:pt idx="5" formatCode="_(&quot;kr&quot;* #,##0.00_);_(&quot;kr&quot;* \(#,##0.00\);_(&quot;kr&quot;* &quot;-&quot;??_);_(@_)">
                  <c:v>1.328125</c:v>
                </c:pt>
                <c:pt idx="6" formatCode="_(&quot;kr&quot;* #,##0.00_);_(&quot;kr&quot;* \(#,##0.00\);_(&quot;kr&quot;* &quot;-&quot;??_);_(@_)">
                  <c:v>4.5140624999999996</c:v>
                </c:pt>
                <c:pt idx="7" formatCode="_(&quot;kr&quot;* #,##0.00_);_(&quot;kr&quot;* \(#,##0.00\);_(&quot;kr&quot;* &quot;-&quot;??_);_(@_)">
                  <c:v>7.2281250000000004</c:v>
                </c:pt>
                <c:pt idx="8" formatCode="_(&quot;kr&quot;* #,##0.00_);_(&quot;kr&quot;* \(#,##0.00\);_(&quot;kr&quot;* &quot;-&quot;??_);_(@_)">
                  <c:v>6.5651785714285715</c:v>
                </c:pt>
                <c:pt idx="9" formatCode="_(&quot;kr&quot;* #,##0.00_);_(&quot;kr&quot;* \(#,##0.00\);_(&quot;kr&quot;* &quot;-&quot;??_);_(@_)">
                  <c:v>7.183928571428571</c:v>
                </c:pt>
              </c:numCache>
            </c:numRef>
          </c:val>
          <c:extLst>
            <c:ext xmlns:c16="http://schemas.microsoft.com/office/drawing/2014/chart" uri="{C3380CC4-5D6E-409C-BE32-E72D297353CC}">
              <c16:uniqueId val="{00000002-31FD-43A2-95EF-C0F517296834}"/>
            </c:ext>
          </c:extLst>
        </c:ser>
        <c:ser>
          <c:idx val="2"/>
          <c:order val="3"/>
          <c:tx>
            <c:strRef>
              <c:f>'DL-truck costs_opt'!$K$73</c:f>
              <c:strCache>
                <c:ptCount val="1"/>
                <c:pt idx="0">
                  <c:v>Depreciation</c:v>
                </c:pt>
              </c:strCache>
            </c:strRef>
          </c:tx>
          <c:spPr>
            <a:solidFill>
              <a:schemeClr val="accent3"/>
            </a:solidFill>
            <a:ln>
              <a:noFill/>
            </a:ln>
            <a:effectLst/>
          </c:spPr>
          <c:invertIfNegative val="0"/>
          <c:cat>
            <c:strRef>
              <c:f>('DL-truck costs_opt'!$C$24:$C$28,'DL-truck costs_opt'!$C$74:$C$78)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costs_opt'!$K$24:$K$28,'DL-truck costs_opt'!$K$74:$K$78)</c:f>
              <c:numCache>
                <c:formatCode>_-* #\ ##0.00\ [$kr-41D]_-;\-* #\ ##0.00\ [$kr-41D]_-;_-* "-"??\ [$kr-41D]_-;_-@_-</c:formatCode>
                <c:ptCount val="10"/>
                <c:pt idx="0">
                  <c:v>11.458333333333332</c:v>
                </c:pt>
                <c:pt idx="1">
                  <c:v>16.293749999999999</c:v>
                </c:pt>
                <c:pt idx="2">
                  <c:v>26.568749999999998</c:v>
                </c:pt>
                <c:pt idx="3">
                  <c:v>27.330612244897956</c:v>
                </c:pt>
                <c:pt idx="4">
                  <c:v>29.902040816326526</c:v>
                </c:pt>
                <c:pt idx="5" formatCode="_(&quot;kr&quot;* #,##0.00_);_(&quot;kr&quot;* \(#,##0.00\);_(&quot;kr&quot;* &quot;-&quot;??_);_(@_)">
                  <c:v>8.59375</c:v>
                </c:pt>
                <c:pt idx="6" formatCode="_(&quot;kr&quot;* #,##0.00_);_(&quot;kr&quot;* \(#,##0.00\);_(&quot;kr&quot;* &quot;-&quot;??_);_(@_)">
                  <c:v>12.2203125</c:v>
                </c:pt>
                <c:pt idx="7" formatCode="_(&quot;kr&quot;* #,##0.00_);_(&quot;kr&quot;* \(#,##0.00\);_(&quot;kr&quot;* &quot;-&quot;??_);_(@_)">
                  <c:v>19.926562499999999</c:v>
                </c:pt>
                <c:pt idx="8" formatCode="_(&quot;kr&quot;* #,##0.00_);_(&quot;kr&quot;* \(#,##0.00\);_(&quot;kr&quot;* &quot;-&quot;??_);_(@_)">
                  <c:v>20.497959183673466</c:v>
                </c:pt>
                <c:pt idx="9" formatCode="_(&quot;kr&quot;* #,##0.00_);_(&quot;kr&quot;* \(#,##0.00\);_(&quot;kr&quot;* &quot;-&quot;??_);_(@_)">
                  <c:v>22.426530612244893</c:v>
                </c:pt>
              </c:numCache>
            </c:numRef>
          </c:val>
          <c:extLst>
            <c:ext xmlns:c16="http://schemas.microsoft.com/office/drawing/2014/chart" uri="{C3380CC4-5D6E-409C-BE32-E72D297353CC}">
              <c16:uniqueId val="{00000003-31FD-43A2-95EF-C0F517296834}"/>
            </c:ext>
          </c:extLst>
        </c:ser>
        <c:ser>
          <c:idx val="3"/>
          <c:order val="4"/>
          <c:tx>
            <c:strRef>
              <c:f>'DL-truck costs_opt'!$L$73</c:f>
              <c:strCache>
                <c:ptCount val="1"/>
                <c:pt idx="0">
                  <c:v>Taxes</c:v>
                </c:pt>
              </c:strCache>
            </c:strRef>
          </c:tx>
          <c:spPr>
            <a:solidFill>
              <a:schemeClr val="accent4"/>
            </a:solidFill>
            <a:ln>
              <a:noFill/>
            </a:ln>
            <a:effectLst/>
          </c:spPr>
          <c:invertIfNegative val="0"/>
          <c:cat>
            <c:strRef>
              <c:f>('DL-truck costs_opt'!$C$24:$C$28,'DL-truck costs_opt'!$C$74:$C$78)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costs_opt'!$L$24:$L$28,'DL-truck costs_opt'!$L$74:$L$78)</c:f>
              <c:numCache>
                <c:formatCode>_-* #\ ##0.00\ [$kr-41D]_-;\-* #\ ##0.00\ [$kr-41D]_-;_-* "-"??\ [$kr-41D]_-;_-@_-</c:formatCode>
                <c:ptCount val="10"/>
                <c:pt idx="0">
                  <c:v>1.9015625</c:v>
                </c:pt>
                <c:pt idx="1">
                  <c:v>5.2765000000000004</c:v>
                </c:pt>
                <c:pt idx="2">
                  <c:v>6.4489999999999998</c:v>
                </c:pt>
                <c:pt idx="3">
                  <c:v>7.9480000000000004</c:v>
                </c:pt>
                <c:pt idx="4">
                  <c:v>7.9480000000000004</c:v>
                </c:pt>
                <c:pt idx="5" formatCode="_(&quot;kr&quot;* #,##0.00_);_(&quot;kr&quot;* \(#,##0.00\);_(&quot;kr&quot;* &quot;-&quot;??_);_(@_)">
                  <c:v>0.95078125000000002</c:v>
                </c:pt>
                <c:pt idx="6" formatCode="_(&quot;kr&quot;* #,##0.00_);_(&quot;kr&quot;* \(#,##0.00\);_(&quot;kr&quot;* &quot;-&quot;??_);_(@_)">
                  <c:v>2.6382500000000002</c:v>
                </c:pt>
                <c:pt idx="7" formatCode="_(&quot;kr&quot;* #,##0.00_);_(&quot;kr&quot;* \(#,##0.00\);_(&quot;kr&quot;* &quot;-&quot;??_);_(@_)">
                  <c:v>3.2244999999999999</c:v>
                </c:pt>
                <c:pt idx="8" formatCode="_(&quot;kr&quot;* #,##0.00_);_(&quot;kr&quot;* \(#,##0.00\);_(&quot;kr&quot;* &quot;-&quot;??_);_(@_)">
                  <c:v>3.9740000000000002</c:v>
                </c:pt>
                <c:pt idx="9" formatCode="_(&quot;kr&quot;* #,##0.00_);_(&quot;kr&quot;* \(#,##0.00\);_(&quot;kr&quot;* &quot;-&quot;??_);_(@_)">
                  <c:v>3.9740000000000002</c:v>
                </c:pt>
              </c:numCache>
            </c:numRef>
          </c:val>
          <c:extLst>
            <c:ext xmlns:c16="http://schemas.microsoft.com/office/drawing/2014/chart" uri="{C3380CC4-5D6E-409C-BE32-E72D297353CC}">
              <c16:uniqueId val="{00000004-31FD-43A2-95EF-C0F517296834}"/>
            </c:ext>
          </c:extLst>
        </c:ser>
        <c:ser>
          <c:idx val="4"/>
          <c:order val="5"/>
          <c:tx>
            <c:strRef>
              <c:f>'DL-truck costs_opt'!$M$73</c:f>
              <c:strCache>
                <c:ptCount val="1"/>
                <c:pt idx="0">
                  <c:v>Insurance</c:v>
                </c:pt>
              </c:strCache>
            </c:strRef>
          </c:tx>
          <c:spPr>
            <a:solidFill>
              <a:schemeClr val="accent5"/>
            </a:solidFill>
            <a:ln>
              <a:noFill/>
            </a:ln>
            <a:effectLst/>
          </c:spPr>
          <c:invertIfNegative val="0"/>
          <c:cat>
            <c:strRef>
              <c:f>('DL-truck costs_opt'!$C$24:$C$28,'DL-truck costs_opt'!$C$74:$C$78)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costs_opt'!$M$24:$M$28,'DL-truck costs_opt'!$M$74:$M$78)</c:f>
              <c:numCache>
                <c:formatCode>_-* #\ ##0.00\ [$kr-41D]_-;\-* #\ ##0.00\ [$kr-41D]_-;_-* "-"??\ [$kr-41D]_-;_-@_-</c:formatCode>
                <c:ptCount val="10"/>
                <c:pt idx="0">
                  <c:v>6.4766343606278731</c:v>
                </c:pt>
                <c:pt idx="1">
                  <c:v>18.406961073200989</c:v>
                </c:pt>
                <c:pt idx="2">
                  <c:v>20.419201572968248</c:v>
                </c:pt>
                <c:pt idx="3">
                  <c:v>17.961160701754384</c:v>
                </c:pt>
                <c:pt idx="4">
                  <c:v>18.970118429807052</c:v>
                </c:pt>
                <c:pt idx="5" formatCode="_(&quot;kr&quot;* #,##0.00_);_(&quot;kr&quot;* \(#,##0.00\);_(&quot;kr&quot;* &quot;-&quot;??_);_(@_)">
                  <c:v>2.5906537442511497</c:v>
                </c:pt>
                <c:pt idx="6" formatCode="_(&quot;kr&quot;* #,##0.00_);_(&quot;kr&quot;* \(#,##0.00\);_(&quot;kr&quot;* &quot;-&quot;??_);_(@_)">
                  <c:v>7.3627844292803966</c:v>
                </c:pt>
                <c:pt idx="7" formatCode="_(&quot;kr&quot;* #,##0.00_);_(&quot;kr&quot;* \(#,##0.00\);_(&quot;kr&quot;* &quot;-&quot;??_);_(@_)">
                  <c:v>8.1676806291873003</c:v>
                </c:pt>
                <c:pt idx="8" formatCode="_(&quot;kr&quot;* #,##0.00_);_(&quot;kr&quot;* \(#,##0.00\);_(&quot;kr&quot;* &quot;-&quot;??_);_(@_)">
                  <c:v>7.1844642807017536</c:v>
                </c:pt>
                <c:pt idx="9" formatCode="_(&quot;kr&quot;* #,##0.00_);_(&quot;kr&quot;* \(#,##0.00\);_(&quot;kr&quot;* &quot;-&quot;??_);_(@_)">
                  <c:v>7.5880473719228219</c:v>
                </c:pt>
              </c:numCache>
            </c:numRef>
          </c:val>
          <c:extLst>
            <c:ext xmlns:c16="http://schemas.microsoft.com/office/drawing/2014/chart" uri="{C3380CC4-5D6E-409C-BE32-E72D297353CC}">
              <c16:uniqueId val="{00000005-31FD-43A2-95EF-C0F517296834}"/>
            </c:ext>
          </c:extLst>
        </c:ser>
        <c:ser>
          <c:idx val="5"/>
          <c:order val="6"/>
          <c:tx>
            <c:strRef>
              <c:f>'DL-truck costs_opt'!$N$73</c:f>
              <c:strCache>
                <c:ptCount val="1"/>
                <c:pt idx="0">
                  <c:v>Other</c:v>
                </c:pt>
              </c:strCache>
            </c:strRef>
          </c:tx>
          <c:spPr>
            <a:solidFill>
              <a:schemeClr val="accent6"/>
            </a:solidFill>
            <a:ln>
              <a:noFill/>
            </a:ln>
            <a:effectLst/>
          </c:spPr>
          <c:invertIfNegative val="0"/>
          <c:cat>
            <c:strRef>
              <c:f>('DL-truck costs_opt'!$C$24:$C$28,'DL-truck costs_opt'!$C$74:$C$78)</c:f>
              <c:strCache>
                <c:ptCount val="10"/>
                <c:pt idx="0">
                  <c:v>3,5MD-truck </c:v>
                </c:pt>
                <c:pt idx="1">
                  <c:v>16MD-truck</c:v>
                </c:pt>
                <c:pt idx="2">
                  <c:v>24MD-truck</c:v>
                </c:pt>
                <c:pt idx="3">
                  <c:v>40 MD-truck</c:v>
                </c:pt>
                <c:pt idx="4">
                  <c:v>60MD-truck</c:v>
                </c:pt>
                <c:pt idx="5">
                  <c:v>3,5DL-truck </c:v>
                </c:pt>
                <c:pt idx="6">
                  <c:v>16DL-truck</c:v>
                </c:pt>
                <c:pt idx="7">
                  <c:v>24DL-truck</c:v>
                </c:pt>
                <c:pt idx="8">
                  <c:v>40DL-truck</c:v>
                </c:pt>
                <c:pt idx="9">
                  <c:v>60DL-truck</c:v>
                </c:pt>
              </c:strCache>
            </c:strRef>
          </c:cat>
          <c:val>
            <c:numRef>
              <c:f>('DL-truck costs_opt'!$N$24:$N$28,'DL-truck costs_opt'!$N$74:$N$78)</c:f>
              <c:numCache>
                <c:formatCode>_-* #\ ##0.00\ [$kr-41D]_-;\-* #\ ##0.00\ [$kr-41D]_-;_-* "-"??\ [$kr-41D]_-;_-@_-</c:formatCode>
                <c:ptCount val="10"/>
                <c:pt idx="0">
                  <c:v>10.797844806038791</c:v>
                </c:pt>
                <c:pt idx="1">
                  <c:v>10.640538926799007</c:v>
                </c:pt>
                <c:pt idx="2">
                  <c:v>16.033798427031751</c:v>
                </c:pt>
                <c:pt idx="3">
                  <c:v>13.194839298245613</c:v>
                </c:pt>
                <c:pt idx="4">
                  <c:v>13.228738713050088</c:v>
                </c:pt>
                <c:pt idx="5" formatCode="_(&quot;kr&quot;* #,##0.00_);_(&quot;kr&quot;* \(#,##0.00\);_(&quot;kr&quot;* &quot;-&quot;??_);_(@_)">
                  <c:v>4.3191379224155169</c:v>
                </c:pt>
                <c:pt idx="6" formatCode="_(&quot;kr&quot;* #,##0.00_);_(&quot;kr&quot;* \(#,##0.00\);_(&quot;kr&quot;* &quot;-&quot;??_);_(@_)">
                  <c:v>4.2562155707196023</c:v>
                </c:pt>
                <c:pt idx="7" formatCode="_(&quot;kr&quot;* #,##0.00_);_(&quot;kr&quot;* \(#,##0.00\);_(&quot;kr&quot;* &quot;-&quot;??_);_(@_)">
                  <c:v>6.4135193708127005</c:v>
                </c:pt>
                <c:pt idx="8" formatCode="_(&quot;kr&quot;* #,##0.00_);_(&quot;kr&quot;* \(#,##0.00\);_(&quot;kr&quot;* &quot;-&quot;??_);_(@_)">
                  <c:v>5.2779357192982452</c:v>
                </c:pt>
                <c:pt idx="9" formatCode="_(&quot;kr&quot;* #,##0.00_);_(&quot;kr&quot;* \(#,##0.00\);_(&quot;kr&quot;* &quot;-&quot;??_);_(@_)">
                  <c:v>5.291495485220036</c:v>
                </c:pt>
              </c:numCache>
            </c:numRef>
          </c:val>
          <c:extLst>
            <c:ext xmlns:c16="http://schemas.microsoft.com/office/drawing/2014/chart" uri="{C3380CC4-5D6E-409C-BE32-E72D297353CC}">
              <c16:uniqueId val="{00000006-31FD-43A2-95EF-C0F517296834}"/>
            </c:ext>
          </c:extLst>
        </c:ser>
        <c:dLbls>
          <c:showLegendKey val="0"/>
          <c:showVal val="0"/>
          <c:showCatName val="0"/>
          <c:showSerName val="0"/>
          <c:showPercent val="0"/>
          <c:showBubbleSize val="0"/>
        </c:dLbls>
        <c:gapWidth val="150"/>
        <c:overlap val="100"/>
        <c:axId val="877674616"/>
        <c:axId val="877674944"/>
      </c:barChart>
      <c:catAx>
        <c:axId val="877674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7674944"/>
        <c:crosses val="autoZero"/>
        <c:auto val="1"/>
        <c:lblAlgn val="ctr"/>
        <c:lblOffset val="100"/>
        <c:noMultiLvlLbl val="0"/>
      </c:catAx>
      <c:valAx>
        <c:axId val="87767494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76746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4" Type="http://schemas.openxmlformats.org/officeDocument/2006/relationships/chart" Target="../charts/chart9.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chart" Target="../charts/chart10.xml"/><Relationship Id="rId4" Type="http://schemas.openxmlformats.org/officeDocument/2006/relationships/chart" Target="../charts/chart13.xml"/></Relationships>
</file>

<file path=xl/drawings/_rels/drawing6.xml.rels><?xml version="1.0" encoding="UTF-8" standalone="yes"?>
<Relationships xmlns="http://schemas.openxmlformats.org/package/2006/relationships"><Relationship Id="rId3" Type="http://schemas.openxmlformats.org/officeDocument/2006/relationships/chart" Target="../charts/chart16.xml"/><Relationship Id="rId2" Type="http://schemas.openxmlformats.org/officeDocument/2006/relationships/chart" Target="../charts/chart15.xml"/><Relationship Id="rId1" Type="http://schemas.openxmlformats.org/officeDocument/2006/relationships/chart" Target="../charts/chart14.xml"/><Relationship Id="rId4" Type="http://schemas.openxmlformats.org/officeDocument/2006/relationships/chart" Target="../charts/chart17.xml"/></Relationships>
</file>

<file path=xl/drawings/drawing1.xml><?xml version="1.0" encoding="utf-8"?>
<xdr:wsDr xmlns:xdr="http://schemas.openxmlformats.org/drawingml/2006/spreadsheetDrawing" xmlns:a="http://schemas.openxmlformats.org/drawingml/2006/main">
  <xdr:twoCellAnchor>
    <xdr:from>
      <xdr:col>7</xdr:col>
      <xdr:colOff>63362</xdr:colOff>
      <xdr:row>13</xdr:row>
      <xdr:rowOff>180975</xdr:rowOff>
    </xdr:from>
    <xdr:to>
      <xdr:col>14</xdr:col>
      <xdr:colOff>28576</xdr:colOff>
      <xdr:row>27</xdr:row>
      <xdr:rowOff>85725</xdr:rowOff>
    </xdr:to>
    <xdr:graphicFrame macro="">
      <xdr:nvGraphicFramePr>
        <xdr:cNvPr id="4" name="Diagram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73715</xdr:colOff>
      <xdr:row>0</xdr:row>
      <xdr:rowOff>28162</xdr:rowOff>
    </xdr:from>
    <xdr:to>
      <xdr:col>14</xdr:col>
      <xdr:colOff>47625</xdr:colOff>
      <xdr:row>13</xdr:row>
      <xdr:rowOff>95250</xdr:rowOff>
    </xdr:to>
    <xdr:graphicFrame macro="">
      <xdr:nvGraphicFramePr>
        <xdr:cNvPr id="5" name="Diagram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19050</xdr:colOff>
      <xdr:row>14</xdr:row>
      <xdr:rowOff>9525</xdr:rowOff>
    </xdr:from>
    <xdr:to>
      <xdr:col>7</xdr:col>
      <xdr:colOff>28575</xdr:colOff>
      <xdr:row>27</xdr:row>
      <xdr:rowOff>161925</xdr:rowOff>
    </xdr:to>
    <xdr:graphicFrame macro="">
      <xdr:nvGraphicFramePr>
        <xdr:cNvPr id="6" name="Diagram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66675</xdr:colOff>
      <xdr:row>0</xdr:row>
      <xdr:rowOff>38100</xdr:rowOff>
    </xdr:from>
    <xdr:to>
      <xdr:col>7</xdr:col>
      <xdr:colOff>40585</xdr:colOff>
      <xdr:row>13</xdr:row>
      <xdr:rowOff>105188</xdr:rowOff>
    </xdr:to>
    <xdr:graphicFrame macro="">
      <xdr:nvGraphicFramePr>
        <xdr:cNvPr id="7" name="Diagram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363683</xdr:colOff>
      <xdr:row>13</xdr:row>
      <xdr:rowOff>34636</xdr:rowOff>
    </xdr:from>
    <xdr:to>
      <xdr:col>18</xdr:col>
      <xdr:colOff>349999</xdr:colOff>
      <xdr:row>29</xdr:row>
      <xdr:rowOff>21363</xdr:rowOff>
    </xdr:to>
    <xdr:pic>
      <xdr:nvPicPr>
        <xdr:cNvPr id="3" name="Picture 2"/>
        <xdr:cNvPicPr>
          <a:picLocks noChangeAspect="1"/>
        </xdr:cNvPicPr>
      </xdr:nvPicPr>
      <xdr:blipFill>
        <a:blip xmlns:r="http://schemas.openxmlformats.org/officeDocument/2006/relationships" r:embed="rId1"/>
        <a:stretch>
          <a:fillRect/>
        </a:stretch>
      </xdr:blipFill>
      <xdr:spPr>
        <a:xfrm>
          <a:off x="11152910" y="2978727"/>
          <a:ext cx="4835407" cy="320790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12</xdr:col>
      <xdr:colOff>47625</xdr:colOff>
      <xdr:row>10</xdr:row>
      <xdr:rowOff>114300</xdr:rowOff>
    </xdr:from>
    <xdr:to>
      <xdr:col>19</xdr:col>
      <xdr:colOff>352425</xdr:colOff>
      <xdr:row>25</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285750</xdr:colOff>
      <xdr:row>12</xdr:row>
      <xdr:rowOff>114300</xdr:rowOff>
    </xdr:from>
    <xdr:to>
      <xdr:col>7</xdr:col>
      <xdr:colOff>523388</xdr:colOff>
      <xdr:row>27</xdr:row>
      <xdr:rowOff>180609</xdr:rowOff>
    </xdr:to>
    <xdr:pic>
      <xdr:nvPicPr>
        <xdr:cNvPr id="3" name="Picture 2"/>
        <xdr:cNvPicPr>
          <a:picLocks noChangeAspect="1"/>
        </xdr:cNvPicPr>
      </xdr:nvPicPr>
      <xdr:blipFill>
        <a:blip xmlns:r="http://schemas.openxmlformats.org/officeDocument/2006/relationships" r:embed="rId2"/>
        <a:stretch>
          <a:fillRect/>
        </a:stretch>
      </xdr:blipFill>
      <xdr:spPr>
        <a:xfrm>
          <a:off x="1047750" y="2400300"/>
          <a:ext cx="3895238" cy="292380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23</xdr:col>
      <xdr:colOff>164165</xdr:colOff>
      <xdr:row>48</xdr:row>
      <xdr:rowOff>127186</xdr:rowOff>
    </xdr:from>
    <xdr:to>
      <xdr:col>33</xdr:col>
      <xdr:colOff>550208</xdr:colOff>
      <xdr:row>70</xdr:row>
      <xdr:rowOff>22270</xdr:rowOff>
    </xdr:to>
    <xdr:graphicFrame macro="">
      <xdr:nvGraphicFramePr>
        <xdr:cNvPr id="2" name="Diagram 4">
          <a:extLst>
            <a:ext uri="{FF2B5EF4-FFF2-40B4-BE49-F238E27FC236}">
              <a16:creationId xmlns:a16="http://schemas.microsoft.com/office/drawing/2014/main" id="{78772848-4CC4-4873-A590-9C53318BA3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35</xdr:col>
      <xdr:colOff>422910</xdr:colOff>
      <xdr:row>54</xdr:row>
      <xdr:rowOff>76200</xdr:rowOff>
    </xdr:from>
    <xdr:to>
      <xdr:col>46</xdr:col>
      <xdr:colOff>51436</xdr:colOff>
      <xdr:row>75</xdr:row>
      <xdr:rowOff>128166</xdr:rowOff>
    </xdr:to>
    <xdr:graphicFrame macro="">
      <xdr:nvGraphicFramePr>
        <xdr:cNvPr id="3" name="Diagram 10">
          <a:extLst>
            <a:ext uri="{FF2B5EF4-FFF2-40B4-BE49-F238E27FC236}">
              <a16:creationId xmlns:a16="http://schemas.microsoft.com/office/drawing/2014/main" id="{F2691BA9-96DD-4B74-887E-145CD15C8B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24</xdr:col>
      <xdr:colOff>666138</xdr:colOff>
      <xdr:row>87</xdr:row>
      <xdr:rowOff>176441</xdr:rowOff>
    </xdr:from>
    <xdr:to>
      <xdr:col>36</xdr:col>
      <xdr:colOff>338111</xdr:colOff>
      <xdr:row>117</xdr:row>
      <xdr:rowOff>39321</xdr:rowOff>
    </xdr:to>
    <xdr:graphicFrame macro="">
      <xdr:nvGraphicFramePr>
        <xdr:cNvPr id="4" name="Diagram 5">
          <a:extLst>
            <a:ext uri="{FF2B5EF4-FFF2-40B4-BE49-F238E27FC236}">
              <a16:creationId xmlns:a16="http://schemas.microsoft.com/office/drawing/2014/main" id="{77ACC1A4-CBA0-4688-A630-820281DDE0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35</xdr:col>
      <xdr:colOff>361950</xdr:colOff>
      <xdr:row>76</xdr:row>
      <xdr:rowOff>117763</xdr:rowOff>
    </xdr:from>
    <xdr:to>
      <xdr:col>46</xdr:col>
      <xdr:colOff>91787</xdr:colOff>
      <xdr:row>105</xdr:row>
      <xdr:rowOff>294408</xdr:rowOff>
    </xdr:to>
    <xdr:graphicFrame macro="">
      <xdr:nvGraphicFramePr>
        <xdr:cNvPr id="5" name="Diagram 12">
          <a:extLst>
            <a:ext uri="{FF2B5EF4-FFF2-40B4-BE49-F238E27FC236}">
              <a16:creationId xmlns:a16="http://schemas.microsoft.com/office/drawing/2014/main" id="{91E04E61-9089-4FA0-9093-333BE69467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23</xdr:col>
      <xdr:colOff>591456</xdr:colOff>
      <xdr:row>45</xdr:row>
      <xdr:rowOff>48078</xdr:rowOff>
    </xdr:from>
    <xdr:to>
      <xdr:col>34</xdr:col>
      <xdr:colOff>372382</xdr:colOff>
      <xdr:row>66</xdr:row>
      <xdr:rowOff>43347</xdr:rowOff>
    </xdr:to>
    <xdr:graphicFrame macro="">
      <xdr:nvGraphicFramePr>
        <xdr:cNvPr id="2" name="Diagram 4">
          <a:extLst>
            <a:ext uri="{FF2B5EF4-FFF2-40B4-BE49-F238E27FC236}">
              <a16:creationId xmlns:a16="http://schemas.microsoft.com/office/drawing/2014/main" id="{78772848-4CC4-4873-A590-9C53318BA3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35</xdr:col>
      <xdr:colOff>422910</xdr:colOff>
      <xdr:row>54</xdr:row>
      <xdr:rowOff>76200</xdr:rowOff>
    </xdr:from>
    <xdr:to>
      <xdr:col>46</xdr:col>
      <xdr:colOff>51436</xdr:colOff>
      <xdr:row>75</xdr:row>
      <xdr:rowOff>128166</xdr:rowOff>
    </xdr:to>
    <xdr:graphicFrame macro="">
      <xdr:nvGraphicFramePr>
        <xdr:cNvPr id="3" name="Diagram 10">
          <a:extLst>
            <a:ext uri="{FF2B5EF4-FFF2-40B4-BE49-F238E27FC236}">
              <a16:creationId xmlns:a16="http://schemas.microsoft.com/office/drawing/2014/main" id="{F2691BA9-96DD-4B74-887E-145CD15C8B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23</xdr:col>
      <xdr:colOff>295810</xdr:colOff>
      <xdr:row>79</xdr:row>
      <xdr:rowOff>176975</xdr:rowOff>
    </xdr:from>
    <xdr:to>
      <xdr:col>34</xdr:col>
      <xdr:colOff>191901</xdr:colOff>
      <xdr:row>108</xdr:row>
      <xdr:rowOff>183531</xdr:rowOff>
    </xdr:to>
    <xdr:graphicFrame macro="">
      <xdr:nvGraphicFramePr>
        <xdr:cNvPr id="4" name="Diagram 5">
          <a:extLst>
            <a:ext uri="{FF2B5EF4-FFF2-40B4-BE49-F238E27FC236}">
              <a16:creationId xmlns:a16="http://schemas.microsoft.com/office/drawing/2014/main" id="{77ACC1A4-CBA0-4688-A630-820281DDE0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35</xdr:col>
      <xdr:colOff>361950</xdr:colOff>
      <xdr:row>76</xdr:row>
      <xdr:rowOff>117763</xdr:rowOff>
    </xdr:from>
    <xdr:to>
      <xdr:col>46</xdr:col>
      <xdr:colOff>91787</xdr:colOff>
      <xdr:row>105</xdr:row>
      <xdr:rowOff>294408</xdr:rowOff>
    </xdr:to>
    <xdr:graphicFrame macro="">
      <xdr:nvGraphicFramePr>
        <xdr:cNvPr id="5" name="Diagram 12">
          <a:extLst>
            <a:ext uri="{FF2B5EF4-FFF2-40B4-BE49-F238E27FC236}">
              <a16:creationId xmlns:a16="http://schemas.microsoft.com/office/drawing/2014/main" id="{91E04E61-9089-4FA0-9093-333BE69467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23</xdr:col>
      <xdr:colOff>354665</xdr:colOff>
      <xdr:row>49</xdr:row>
      <xdr:rowOff>104774</xdr:rowOff>
    </xdr:from>
    <xdr:to>
      <xdr:col>34</xdr:col>
      <xdr:colOff>135591</xdr:colOff>
      <xdr:row>70</xdr:row>
      <xdr:rowOff>167945</xdr:rowOff>
    </xdr:to>
    <xdr:graphicFrame macro="">
      <xdr:nvGraphicFramePr>
        <xdr:cNvPr id="2" name="Diagram 4">
          <a:extLst>
            <a:ext uri="{FF2B5EF4-FFF2-40B4-BE49-F238E27FC236}">
              <a16:creationId xmlns:a16="http://schemas.microsoft.com/office/drawing/2014/main" id="{78772848-4CC4-4873-A590-9C53318BA3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35</xdr:col>
      <xdr:colOff>422910</xdr:colOff>
      <xdr:row>54</xdr:row>
      <xdr:rowOff>76200</xdr:rowOff>
    </xdr:from>
    <xdr:to>
      <xdr:col>46</xdr:col>
      <xdr:colOff>51436</xdr:colOff>
      <xdr:row>75</xdr:row>
      <xdr:rowOff>128166</xdr:rowOff>
    </xdr:to>
    <xdr:graphicFrame macro="">
      <xdr:nvGraphicFramePr>
        <xdr:cNvPr id="3" name="Diagram 10">
          <a:extLst>
            <a:ext uri="{FF2B5EF4-FFF2-40B4-BE49-F238E27FC236}">
              <a16:creationId xmlns:a16="http://schemas.microsoft.com/office/drawing/2014/main" id="{F2691BA9-96DD-4B74-887E-145CD15C8B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23</xdr:col>
      <xdr:colOff>229108</xdr:colOff>
      <xdr:row>80</xdr:row>
      <xdr:rowOff>8352</xdr:rowOff>
    </xdr:from>
    <xdr:to>
      <xdr:col>34</xdr:col>
      <xdr:colOff>125199</xdr:colOff>
      <xdr:row>109</xdr:row>
      <xdr:rowOff>16909</xdr:rowOff>
    </xdr:to>
    <xdr:graphicFrame macro="">
      <xdr:nvGraphicFramePr>
        <xdr:cNvPr id="4" name="Diagram 5">
          <a:extLst>
            <a:ext uri="{FF2B5EF4-FFF2-40B4-BE49-F238E27FC236}">
              <a16:creationId xmlns:a16="http://schemas.microsoft.com/office/drawing/2014/main" id="{77ACC1A4-CBA0-4688-A630-820281DDE0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35</xdr:col>
      <xdr:colOff>361950</xdr:colOff>
      <xdr:row>76</xdr:row>
      <xdr:rowOff>117763</xdr:rowOff>
    </xdr:from>
    <xdr:to>
      <xdr:col>46</xdr:col>
      <xdr:colOff>91787</xdr:colOff>
      <xdr:row>105</xdr:row>
      <xdr:rowOff>294408</xdr:rowOff>
    </xdr:to>
    <xdr:graphicFrame macro="">
      <xdr:nvGraphicFramePr>
        <xdr:cNvPr id="5" name="Diagram 12">
          <a:extLst>
            <a:ext uri="{FF2B5EF4-FFF2-40B4-BE49-F238E27FC236}">
              <a16:creationId xmlns:a16="http://schemas.microsoft.com/office/drawing/2014/main" id="{91E04E61-9089-4FA0-9093-333BE69467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insidan.energimyndigheten.se/samarbetsytor/samarbetsytor/L&#229;ngsiktiga%20scenarier/Delade%20dokument/Scenarier%20fossila%20priser%20LS2018%20till%20205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orp.pbwan.net\SE\webbplatser\ws42\intkle\Kunskapsunderlag_klimat%20och%20energi\2018\Scenarier\K&#246;rkostnad%20l&#229;ng%20version.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kth-my.sharepoint.com/Users/aengholm/OneDrive%20-%20KTH/A%20-%20Arbete/Albins%20arbetsmapp/Freight%20project/Cost%20parmaters%20S&#197;Calc/ASEK7%20Samgods%201.2/ASEK7%20parameter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Ändringar"/>
      <sheetName val="Indata vid prognos"/>
      <sheetName val="Basår"/>
      <sheetName val="Transportkostnad"/>
      <sheetName val="Skattesatser"/>
      <sheetName val="Scenario - Referens, med skatt"/>
      <sheetName val="Scenario - Referens, utan skatt"/>
      <sheetName val="Koefficienter &amp; omvandlingstal"/>
      <sheetName val="Prisförutsättningar EU"/>
      <sheetName val="Egna beräkningar"/>
      <sheetName val="MMR template"/>
      <sheetName val="Blad1"/>
    </sheetNames>
    <sheetDataSet>
      <sheetData sheetId="0"/>
      <sheetData sheetId="1"/>
      <sheetData sheetId="2"/>
      <sheetData sheetId="3"/>
      <sheetData sheetId="4"/>
      <sheetData sheetId="5"/>
      <sheetData sheetId="6"/>
      <sheetData sheetId="7">
        <row r="8">
          <cell r="I8">
            <v>9107.2799999999988</v>
          </cell>
        </row>
        <row r="11">
          <cell r="I11">
            <v>9957.9600000000009</v>
          </cell>
        </row>
        <row r="12">
          <cell r="I12">
            <v>10185.92</v>
          </cell>
        </row>
        <row r="15">
          <cell r="I15">
            <v>10989.34</v>
          </cell>
        </row>
        <row r="20">
          <cell r="A20">
            <v>100</v>
          </cell>
        </row>
        <row r="21">
          <cell r="A21">
            <v>1000</v>
          </cell>
        </row>
      </sheetData>
      <sheetData sheetId="8"/>
      <sheetData sheetId="9"/>
      <sheetData sheetId="10"/>
      <sheetData sheetId="1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ramsida "/>
      <sheetName val="Framsida"/>
      <sheetName val="Innehållsförteckning"/>
      <sheetName val="Läsanvisning"/>
      <sheetName val="Introduktion"/>
      <sheetName val="0.1 Samgods"/>
      <sheetName val="0.2 Sampers"/>
      <sheetName val="0.3 Samkalk"/>
      <sheetName val="0.4 Bansek"/>
      <sheetName val="0.5 EVA"/>
      <sheetName val="0.6 BEVA"/>
      <sheetName val="0.7 VägBuse"/>
      <sheetName val="0.8 JärnvägsBuse"/>
      <sheetName val="0.9 Klimatkalkyl"/>
      <sheetName val="0.10 EBBA"/>
      <sheetName val="0.11 GC-Kalk"/>
      <sheetName val="0.12 Lönkalk"/>
      <sheetName val="0.13 TS-EVA"/>
      <sheetName val="0.14 Trafikalstring"/>
      <sheetName val="0.15 Vintermod"/>
      <sheetName val="0.16 Capcal"/>
      <sheetName val="0.17 Fel&amp;förseningsmodell"/>
      <sheetName val="0.18 Lågtrafikerade banor"/>
      <sheetName val="0.19 Plankorsningsmodell"/>
      <sheetName val="0.20 Excelark Meso-Mikro"/>
      <sheetName val="1."/>
      <sheetName val="2."/>
      <sheetName val="3."/>
      <sheetName val="4."/>
      <sheetName val="4a."/>
      <sheetName val="5."/>
      <sheetName val="6."/>
      <sheetName val="7."/>
      <sheetName val="7a. "/>
      <sheetName val="7b."/>
      <sheetName val="8."/>
      <sheetName val="8a."/>
      <sheetName val="8b."/>
      <sheetName val="9."/>
      <sheetName val="10."/>
      <sheetName val="11."/>
      <sheetName val="12."/>
      <sheetName val="13."/>
      <sheetName val="14."/>
      <sheetName val="15."/>
      <sheetName val="15a."/>
      <sheetName val="15b."/>
      <sheetName val="16."/>
      <sheetName val="17."/>
      <sheetName val="18."/>
      <sheetName val="19."/>
      <sheetName val="20."/>
      <sheetName val="21."/>
      <sheetName val="22."/>
      <sheetName val="23."/>
      <sheetName val="24."/>
      <sheetName val="25."/>
      <sheetName val="26."/>
      <sheetName val="27."/>
      <sheetName val="28."/>
      <sheetName val="29."/>
      <sheetName val="30."/>
      <sheetName val="31."/>
      <sheetName val="32."/>
      <sheetName val="33."/>
      <sheetName val="34."/>
      <sheetName val="50."/>
      <sheetName val="50a."/>
      <sheetName val="51a."/>
      <sheetName val="51b."/>
      <sheetName val="51c."/>
      <sheetName val="51d."/>
      <sheetName val="51e"/>
      <sheetName val="52."/>
      <sheetName val="53."/>
      <sheetName val="54."/>
      <sheetName val="55."/>
      <sheetName val="56."/>
      <sheetName val="56a."/>
      <sheetName val="57."/>
      <sheetName val="59a."/>
      <sheetName val="59b."/>
      <sheetName val="61"/>
      <sheetName val="62."/>
      <sheetName val="Baksid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row r="63">
          <cell r="BJ63">
            <v>0.05</v>
          </cell>
        </row>
      </sheetData>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row r="26">
          <cell r="I26">
            <v>13.6875</v>
          </cell>
        </row>
      </sheetData>
      <sheetData sheetId="69">
        <row r="23">
          <cell r="I23">
            <v>14.421875000000002</v>
          </cell>
        </row>
      </sheetData>
      <sheetData sheetId="70"/>
      <sheetData sheetId="71">
        <row r="23">
          <cell r="I23">
            <v>9.5399999999999991</v>
          </cell>
        </row>
      </sheetData>
      <sheetData sheetId="72">
        <row r="9">
          <cell r="B9">
            <v>949.7</v>
          </cell>
        </row>
      </sheetData>
      <sheetData sheetId="73"/>
      <sheetData sheetId="74"/>
      <sheetData sheetId="75"/>
      <sheetData sheetId="76"/>
      <sheetData sheetId="77"/>
      <sheetData sheetId="78"/>
      <sheetData sheetId="79"/>
      <sheetData sheetId="80"/>
      <sheetData sheetId="81"/>
      <sheetData sheetId="82"/>
      <sheetData sheetId="83"/>
      <sheetData sheetId="8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EK adjustment"/>
      <sheetName val="DL-truck costs_base"/>
      <sheetName val="DL-truck costs_pess"/>
      <sheetName val="DL-truck costs_opt"/>
      <sheetName val="Assujmptions DL"/>
      <sheetName val="Cost analysis"/>
      <sheetName val="ROI calculations"/>
      <sheetName val="Database_obsolete"/>
      <sheetName val="Results plots examples"/>
      <sheetName val="Samgods parameter values 2017"/>
      <sheetName val="Samgods cost input tables"/>
      <sheetName val="DL-truck costs_pessold"/>
      <sheetName val="DL-truck costs_optold"/>
    </sheetNames>
    <sheetDataSet>
      <sheetData sheetId="0">
        <row r="29">
          <cell r="B29">
            <v>1.0085292761641309</v>
          </cell>
          <cell r="C29">
            <v>1</v>
          </cell>
          <cell r="D29">
            <v>1</v>
          </cell>
          <cell r="E29">
            <v>1.051948051948052</v>
          </cell>
          <cell r="G29">
            <v>1</v>
          </cell>
          <cell r="H29">
            <v>1.2338823529411767</v>
          </cell>
          <cell r="I29">
            <v>1.0525090909090911</v>
          </cell>
          <cell r="J29">
            <v>0.9991783073130649</v>
          </cell>
          <cell r="K29">
            <v>0.99974070612355659</v>
          </cell>
          <cell r="L29">
            <v>0.99974070612355659</v>
          </cell>
          <cell r="N29"/>
        </row>
        <row r="30">
          <cell r="B30">
            <v>0.99939277401072757</v>
          </cell>
          <cell r="C30">
            <v>1</v>
          </cell>
          <cell r="D30">
            <v>1</v>
          </cell>
          <cell r="E30">
            <v>1.0001643925694559</v>
          </cell>
          <cell r="G30">
            <v>1</v>
          </cell>
          <cell r="H30">
            <v>1.097403946002077</v>
          </cell>
          <cell r="I30">
            <v>1.0003835826620637</v>
          </cell>
          <cell r="J30">
            <v>1.0006633184876339</v>
          </cell>
          <cell r="K30">
            <v>1.0000860659264998</v>
          </cell>
          <cell r="L30">
            <v>1.0000860659264998</v>
          </cell>
          <cell r="N30"/>
        </row>
        <row r="31">
          <cell r="B31">
            <v>0.99996261821987964</v>
          </cell>
          <cell r="C31">
            <v>1</v>
          </cell>
          <cell r="D31">
            <v>1</v>
          </cell>
          <cell r="E31">
            <v>1.0017138824478273</v>
          </cell>
          <cell r="G31">
            <v>1</v>
          </cell>
          <cell r="H31">
            <v>1.0811932555123218</v>
          </cell>
          <cell r="I31">
            <v>1.000423429781228</v>
          </cell>
          <cell r="J31">
            <v>1.0001550628004343</v>
          </cell>
          <cell r="K31">
            <v>0.99991770224672871</v>
          </cell>
          <cell r="L31">
            <v>0.99991770224672871</v>
          </cell>
          <cell r="N31"/>
        </row>
        <row r="32">
          <cell r="B32">
            <v>1.0028938463658494</v>
          </cell>
          <cell r="C32">
            <v>1</v>
          </cell>
          <cell r="D32">
            <v>0.99686379928315427</v>
          </cell>
          <cell r="E32">
            <v>0.99686379928315427</v>
          </cell>
          <cell r="G32">
            <v>1</v>
          </cell>
          <cell r="H32">
            <v>1.0892696858425133</v>
          </cell>
          <cell r="I32">
            <v>0.9999775985663083</v>
          </cell>
          <cell r="J32">
            <v>0.9999775985663083</v>
          </cell>
          <cell r="K32">
            <v>1.0001283861856465</v>
          </cell>
          <cell r="L32">
            <v>1.0001283861856465</v>
          </cell>
          <cell r="N32"/>
        </row>
        <row r="33">
          <cell r="B33">
            <v>0.99903338362881944</v>
          </cell>
          <cell r="C33">
            <v>1</v>
          </cell>
          <cell r="D33">
            <v>1</v>
          </cell>
          <cell r="E33">
            <v>0.99815724815724816</v>
          </cell>
          <cell r="G33">
            <v>1</v>
          </cell>
          <cell r="H33">
            <v>1.0894108873974646</v>
          </cell>
          <cell r="I33">
            <v>1.0002661752661755</v>
          </cell>
          <cell r="J33">
            <v>1.0002661752661755</v>
          </cell>
          <cell r="K33">
            <v>1.0000354937176124</v>
          </cell>
          <cell r="L33">
            <v>1.0000354937176124</v>
          </cell>
          <cell r="N33"/>
        </row>
      </sheetData>
      <sheetData sheetId="1"/>
      <sheetData sheetId="2"/>
      <sheetData sheetId="3"/>
      <sheetData sheetId="4"/>
      <sheetData sheetId="5"/>
      <sheetData sheetId="6"/>
      <sheetData sheetId="7">
        <row r="6">
          <cell r="L6">
            <v>6.25</v>
          </cell>
          <cell r="M6">
            <v>10.42</v>
          </cell>
        </row>
        <row r="7">
          <cell r="L7">
            <v>20.43</v>
          </cell>
          <cell r="M7">
            <v>11.81</v>
          </cell>
        </row>
        <row r="8">
          <cell r="L8">
            <v>19.23</v>
          </cell>
          <cell r="M8">
            <v>15.1</v>
          </cell>
        </row>
        <row r="9">
          <cell r="L9">
            <v>16.43</v>
          </cell>
          <cell r="M9">
            <v>12.07</v>
          </cell>
        </row>
        <row r="10">
          <cell r="L10">
            <v>17.71</v>
          </cell>
          <cell r="M10">
            <v>12.35</v>
          </cell>
        </row>
        <row r="20">
          <cell r="C20" t="str">
            <v>Distance costs</v>
          </cell>
          <cell r="H20" t="str">
            <v>Time costs</v>
          </cell>
        </row>
        <row r="21">
          <cell r="B21" t="str">
            <v>Truck type</v>
          </cell>
          <cell r="C21" t="str">
            <v>Fuel</v>
          </cell>
          <cell r="D21" t="str">
            <v>Maintenance</v>
          </cell>
          <cell r="E21" t="str">
            <v>Tires</v>
          </cell>
          <cell r="F21" t="str">
            <v>Depreciation</v>
          </cell>
          <cell r="G21" t="str">
            <v>Total distance</v>
          </cell>
          <cell r="H21" t="str">
            <v>Driver</v>
          </cell>
          <cell r="I21" t="str">
            <v xml:space="preserve">Capital </v>
          </cell>
          <cell r="J21" t="str">
            <v>Depreciation</v>
          </cell>
          <cell r="K21" t="str">
            <v>Taxes</v>
          </cell>
          <cell r="L21" t="str">
            <v>Insurance</v>
          </cell>
          <cell r="M21" t="str">
            <v>Other</v>
          </cell>
          <cell r="O21" t="str">
            <v>Total time</v>
          </cell>
        </row>
      </sheetData>
      <sheetData sheetId="8"/>
      <sheetData sheetId="9"/>
      <sheetData sheetId="10"/>
      <sheetData sheetId="11"/>
      <sheetData sheetId="1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D70000"/>
  </sheetPr>
  <dimension ref="A1:J26"/>
  <sheetViews>
    <sheetView zoomScale="70" zoomScaleNormal="70" workbookViewId="0">
      <selection activeCell="A3" sqref="A3:I3"/>
    </sheetView>
  </sheetViews>
  <sheetFormatPr defaultColWidth="8.85546875" defaultRowHeight="15" x14ac:dyDescent="0.25"/>
  <cols>
    <col min="1" max="1" width="25" style="26" customWidth="1"/>
    <col min="2" max="2" width="54.5703125" style="26" customWidth="1"/>
    <col min="3" max="16384" width="8.85546875" style="26"/>
  </cols>
  <sheetData>
    <row r="1" spans="1:10" ht="18" x14ac:dyDescent="0.25">
      <c r="A1" s="121" t="s">
        <v>383</v>
      </c>
    </row>
    <row r="2" spans="1:10" ht="16.5" customHeight="1" x14ac:dyDescent="0.25"/>
    <row r="3" spans="1:10" ht="308.25" customHeight="1" x14ac:dyDescent="0.25">
      <c r="A3" s="1082" t="s">
        <v>381</v>
      </c>
      <c r="B3" s="1082"/>
      <c r="C3" s="1082"/>
      <c r="D3" s="1082"/>
      <c r="E3" s="1082"/>
      <c r="F3" s="1082"/>
      <c r="G3" s="1082"/>
      <c r="H3" s="1082"/>
      <c r="I3" s="1082"/>
      <c r="J3" s="36"/>
    </row>
    <row r="4" spans="1:10" ht="15.75" customHeight="1" thickBot="1" x14ac:dyDescent="0.3"/>
    <row r="5" spans="1:10" ht="15.75" thickBot="1" x14ac:dyDescent="0.3">
      <c r="A5" s="109" t="s">
        <v>249</v>
      </c>
      <c r="B5" s="151" t="s">
        <v>67</v>
      </c>
      <c r="C5" s="40"/>
    </row>
    <row r="6" spans="1:10" x14ac:dyDescent="0.25">
      <c r="A6" s="290" t="s">
        <v>181</v>
      </c>
      <c r="B6" s="291" t="s">
        <v>282</v>
      </c>
      <c r="C6" s="40"/>
    </row>
    <row r="7" spans="1:10" x14ac:dyDescent="0.25">
      <c r="A7" s="292" t="s">
        <v>344</v>
      </c>
      <c r="B7" s="293" t="s">
        <v>345</v>
      </c>
      <c r="C7" s="40"/>
    </row>
    <row r="8" spans="1:10" x14ac:dyDescent="0.25">
      <c r="A8" s="292" t="s">
        <v>283</v>
      </c>
      <c r="B8" s="293" t="s">
        <v>281</v>
      </c>
      <c r="C8" s="40"/>
    </row>
    <row r="9" spans="1:10" x14ac:dyDescent="0.25">
      <c r="A9" s="292" t="s">
        <v>372</v>
      </c>
      <c r="B9" s="293" t="s">
        <v>373</v>
      </c>
      <c r="C9" s="40"/>
    </row>
    <row r="10" spans="1:10" x14ac:dyDescent="0.25">
      <c r="A10" s="292" t="s">
        <v>246</v>
      </c>
      <c r="B10" s="293" t="s">
        <v>212</v>
      </c>
      <c r="C10" s="40"/>
    </row>
    <row r="11" spans="1:10" x14ac:dyDescent="0.25">
      <c r="A11" s="292" t="s">
        <v>247</v>
      </c>
      <c r="B11" s="293" t="s">
        <v>250</v>
      </c>
      <c r="C11" s="40"/>
    </row>
    <row r="12" spans="1:10" x14ac:dyDescent="0.25">
      <c r="A12" s="292" t="s">
        <v>248</v>
      </c>
      <c r="B12" s="293" t="s">
        <v>251</v>
      </c>
      <c r="C12" s="40"/>
    </row>
    <row r="13" spans="1:10" ht="15.75" thickBot="1" x14ac:dyDescent="0.3">
      <c r="A13" s="294" t="s">
        <v>180</v>
      </c>
      <c r="B13" s="295" t="s">
        <v>252</v>
      </c>
      <c r="C13" s="40"/>
    </row>
    <row r="15" spans="1:10" x14ac:dyDescent="0.25">
      <c r="A15" s="373" t="s">
        <v>346</v>
      </c>
      <c r="B15" s="210"/>
    </row>
    <row r="16" spans="1:10" x14ac:dyDescent="0.25">
      <c r="A16" s="210" t="s">
        <v>347</v>
      </c>
      <c r="B16" s="210"/>
    </row>
    <row r="17" spans="1:2" x14ac:dyDescent="0.25">
      <c r="A17" s="210" t="s">
        <v>348</v>
      </c>
      <c r="B17" s="210"/>
    </row>
    <row r="18" spans="1:2" x14ac:dyDescent="0.25">
      <c r="A18" s="210" t="s">
        <v>349</v>
      </c>
      <c r="B18" s="210"/>
    </row>
    <row r="19" spans="1:2" x14ac:dyDescent="0.25">
      <c r="A19" s="210" t="s">
        <v>350</v>
      </c>
      <c r="B19" s="210"/>
    </row>
    <row r="20" spans="1:2" x14ac:dyDescent="0.25">
      <c r="A20" s="210" t="s">
        <v>351</v>
      </c>
      <c r="B20" s="210"/>
    </row>
    <row r="21" spans="1:2" x14ac:dyDescent="0.25">
      <c r="A21" s="210"/>
      <c r="B21" s="210"/>
    </row>
    <row r="22" spans="1:2" x14ac:dyDescent="0.25">
      <c r="A22" s="210"/>
      <c r="B22" s="210"/>
    </row>
    <row r="23" spans="1:2" x14ac:dyDescent="0.25">
      <c r="A23" s="210"/>
      <c r="B23" s="210"/>
    </row>
    <row r="24" spans="1:2" x14ac:dyDescent="0.25">
      <c r="A24" s="210"/>
      <c r="B24" s="210"/>
    </row>
    <row r="25" spans="1:2" x14ac:dyDescent="0.25">
      <c r="A25" s="210"/>
      <c r="B25" s="210"/>
    </row>
    <row r="26" spans="1:2" x14ac:dyDescent="0.25">
      <c r="A26" s="210"/>
      <c r="B26" s="210"/>
    </row>
  </sheetData>
  <mergeCells count="1">
    <mergeCell ref="A3:I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sheetPr>
  <dimension ref="A1:S90"/>
  <sheetViews>
    <sheetView zoomScaleNormal="100" workbookViewId="0">
      <pane xSplit="3" ySplit="7" topLeftCell="F63" activePane="bottomRight" state="frozen"/>
      <selection pane="topRight" activeCell="D1" sqref="D1"/>
      <selection pane="bottomLeft" activeCell="A8" sqref="A8"/>
      <selection pane="bottomRight" activeCell="G70" sqref="G70"/>
    </sheetView>
  </sheetViews>
  <sheetFormatPr defaultColWidth="8.85546875" defaultRowHeight="15" x14ac:dyDescent="0.25"/>
  <cols>
    <col min="1" max="1" width="38.140625" style="40" customWidth="1"/>
    <col min="2" max="2" width="22.42578125" style="40" bestFit="1" customWidth="1"/>
    <col min="3" max="6" width="40.140625" style="40" customWidth="1"/>
    <col min="7" max="9" width="21.7109375" style="40" customWidth="1"/>
    <col min="10" max="10" width="108.140625" style="40" bestFit="1" customWidth="1"/>
    <col min="11" max="19" width="8.85546875" style="40"/>
    <col min="20" max="16384" width="8.85546875" style="26"/>
  </cols>
  <sheetData>
    <row r="1" spans="1:19" ht="18" x14ac:dyDescent="0.25">
      <c r="A1" s="121" t="s">
        <v>57</v>
      </c>
      <c r="F1" s="417"/>
      <c r="G1" s="417"/>
      <c r="H1" s="417"/>
      <c r="I1" s="417"/>
    </row>
    <row r="2" spans="1:19" x14ac:dyDescent="0.25">
      <c r="A2" s="141" t="s">
        <v>60</v>
      </c>
      <c r="D2" s="416"/>
      <c r="E2" s="416"/>
      <c r="F2" s="416"/>
      <c r="G2" s="416"/>
      <c r="H2" s="416"/>
      <c r="I2" s="416"/>
    </row>
    <row r="3" spans="1:19" x14ac:dyDescent="0.25">
      <c r="A3" s="142" t="s">
        <v>206</v>
      </c>
      <c r="D3" s="415"/>
      <c r="E3" s="415"/>
      <c r="F3" s="415"/>
      <c r="G3" s="415"/>
      <c r="H3" s="415"/>
      <c r="I3" s="415"/>
    </row>
    <row r="4" spans="1:19" ht="15.75" thickBot="1" x14ac:dyDescent="0.3"/>
    <row r="5" spans="1:19" s="123" customFormat="1" ht="16.5" thickBot="1" x14ac:dyDescent="0.3">
      <c r="A5" s="124"/>
      <c r="B5" s="125"/>
      <c r="C5" s="125"/>
      <c r="D5" s="1091" t="s">
        <v>495</v>
      </c>
      <c r="E5" s="1092"/>
      <c r="F5" s="1091" t="s">
        <v>493</v>
      </c>
      <c r="G5" s="1092"/>
      <c r="H5" s="1091" t="s">
        <v>494</v>
      </c>
      <c r="I5" s="1092"/>
      <c r="J5" s="1083" t="s">
        <v>15</v>
      </c>
      <c r="K5" s="1084"/>
      <c r="L5" s="122"/>
      <c r="M5" s="122"/>
      <c r="N5" s="122"/>
      <c r="O5" s="122"/>
      <c r="P5" s="122"/>
      <c r="Q5" s="122"/>
      <c r="R5" s="122"/>
      <c r="S5" s="122"/>
    </row>
    <row r="6" spans="1:19" s="67" customFormat="1" ht="61.5" customHeight="1" thickBot="1" x14ac:dyDescent="0.3">
      <c r="A6" s="75" t="s">
        <v>207</v>
      </c>
      <c r="B6" s="131"/>
      <c r="C6" s="132"/>
      <c r="D6" s="1095" t="s">
        <v>496</v>
      </c>
      <c r="E6" s="1096"/>
      <c r="F6" s="1097" t="s">
        <v>479</v>
      </c>
      <c r="G6" s="1098"/>
      <c r="H6" s="1097" t="s">
        <v>490</v>
      </c>
      <c r="I6" s="1098"/>
      <c r="J6" s="65"/>
      <c r="K6" s="66"/>
      <c r="L6" s="66"/>
      <c r="M6" s="66"/>
      <c r="N6" s="66"/>
      <c r="O6" s="66"/>
      <c r="P6" s="66"/>
      <c r="Q6" s="66"/>
      <c r="R6" s="66"/>
      <c r="S6" s="66"/>
    </row>
    <row r="7" spans="1:19" s="123" customFormat="1" ht="16.5" thickBot="1" x14ac:dyDescent="0.3">
      <c r="A7" s="124" t="s">
        <v>181</v>
      </c>
      <c r="B7" s="125" t="s">
        <v>18</v>
      </c>
      <c r="C7" s="125" t="s">
        <v>14</v>
      </c>
      <c r="D7" s="126">
        <v>2030</v>
      </c>
      <c r="E7" s="127">
        <v>2040</v>
      </c>
      <c r="F7" s="126">
        <v>2030</v>
      </c>
      <c r="G7" s="127">
        <v>2040</v>
      </c>
      <c r="H7" s="126">
        <v>2030</v>
      </c>
      <c r="I7" s="127">
        <v>2040</v>
      </c>
      <c r="J7" s="1083" t="s">
        <v>15</v>
      </c>
      <c r="K7" s="1084"/>
      <c r="L7" s="122"/>
      <c r="M7" s="122"/>
      <c r="N7" s="122"/>
      <c r="O7" s="122"/>
      <c r="P7" s="122"/>
      <c r="Q7" s="122"/>
      <c r="R7" s="122"/>
      <c r="S7" s="122"/>
    </row>
    <row r="8" spans="1:19" s="123" customFormat="1" ht="16.5" thickBot="1" x14ac:dyDescent="0.3">
      <c r="A8" s="124" t="s">
        <v>26</v>
      </c>
      <c r="B8" s="125" t="s">
        <v>18</v>
      </c>
      <c r="C8" s="125" t="s">
        <v>14</v>
      </c>
      <c r="D8" s="126">
        <v>2030</v>
      </c>
      <c r="E8" s="127">
        <v>2040</v>
      </c>
      <c r="F8" s="126">
        <v>2030</v>
      </c>
      <c r="G8" s="127">
        <v>2040</v>
      </c>
      <c r="H8" s="595">
        <v>2030</v>
      </c>
      <c r="I8" s="596">
        <v>2040</v>
      </c>
      <c r="J8" s="1083" t="s">
        <v>15</v>
      </c>
      <c r="K8" s="1084"/>
      <c r="L8" s="122"/>
      <c r="M8" s="122"/>
      <c r="N8" s="122"/>
      <c r="O8" s="122"/>
      <c r="P8" s="122"/>
      <c r="Q8" s="122"/>
      <c r="R8" s="122"/>
      <c r="S8" s="122"/>
    </row>
    <row r="9" spans="1:19" ht="15.75" thickBot="1" x14ac:dyDescent="0.3">
      <c r="A9" s="1093" t="s">
        <v>1</v>
      </c>
      <c r="B9" s="106" t="s">
        <v>11</v>
      </c>
      <c r="C9" s="106" t="s">
        <v>10</v>
      </c>
      <c r="D9" s="45">
        <v>7.4999999999999997E-2</v>
      </c>
      <c r="E9" s="46">
        <v>7.4999999999999997E-2</v>
      </c>
      <c r="F9" s="112">
        <f>EMA!B67</f>
        <v>7.4999999999999997E-2</v>
      </c>
      <c r="G9" s="113">
        <f>EMA!C67</f>
        <v>7.4999999999999997E-2</v>
      </c>
      <c r="H9" s="45">
        <f>D9</f>
        <v>7.4999999999999997E-2</v>
      </c>
      <c r="I9" s="46">
        <f>E9</f>
        <v>7.4999999999999997E-2</v>
      </c>
      <c r="J9" s="40" t="s">
        <v>362</v>
      </c>
    </row>
    <row r="10" spans="1:19" ht="15.75" thickBot="1" x14ac:dyDescent="0.3">
      <c r="A10" s="1094"/>
      <c r="B10" s="43" t="s">
        <v>12</v>
      </c>
      <c r="C10" s="43" t="s">
        <v>10</v>
      </c>
      <c r="D10" s="48">
        <v>0</v>
      </c>
      <c r="E10" s="49">
        <v>0</v>
      </c>
      <c r="F10" s="114">
        <f>EMA!B66</f>
        <v>0</v>
      </c>
      <c r="G10" s="115">
        <f>EMA!C66</f>
        <v>0</v>
      </c>
      <c r="H10" s="45">
        <f t="shared" ref="H10:H23" si="0">D10</f>
        <v>0</v>
      </c>
      <c r="I10" s="46">
        <f t="shared" ref="I10:I23" si="1">E10</f>
        <v>0</v>
      </c>
      <c r="J10" s="40" t="s">
        <v>362</v>
      </c>
    </row>
    <row r="11" spans="1:19" ht="15.75" thickBot="1" x14ac:dyDescent="0.3">
      <c r="A11" s="1094"/>
      <c r="B11" s="43" t="s">
        <v>13</v>
      </c>
      <c r="C11" s="43" t="s">
        <v>10</v>
      </c>
      <c r="D11" s="48">
        <v>7.0000000000000007E-2</v>
      </c>
      <c r="E11" s="49">
        <v>7.0000000000000007E-2</v>
      </c>
      <c r="F11" s="114">
        <v>7.0000000000000007E-2</v>
      </c>
      <c r="G11" s="115">
        <v>7.0000000000000007E-2</v>
      </c>
      <c r="H11" s="45">
        <f t="shared" si="0"/>
        <v>7.0000000000000007E-2</v>
      </c>
      <c r="I11" s="46">
        <f t="shared" si="1"/>
        <v>7.0000000000000007E-2</v>
      </c>
      <c r="J11" s="40" t="s">
        <v>362</v>
      </c>
    </row>
    <row r="12" spans="1:19" ht="15.75" thickBot="1" x14ac:dyDescent="0.3">
      <c r="A12" s="1094"/>
      <c r="B12" s="43" t="s">
        <v>37</v>
      </c>
      <c r="C12" s="43" t="s">
        <v>10</v>
      </c>
      <c r="D12" s="68">
        <v>0.25</v>
      </c>
      <c r="E12" s="69">
        <v>0.25</v>
      </c>
      <c r="F12" s="116">
        <f>EMA!B64</f>
        <v>0.25</v>
      </c>
      <c r="G12" s="117">
        <f>EMA!C64</f>
        <v>0.25</v>
      </c>
      <c r="H12" s="45">
        <f t="shared" si="0"/>
        <v>0.25</v>
      </c>
      <c r="I12" s="46">
        <f t="shared" si="1"/>
        <v>0.25</v>
      </c>
      <c r="J12" s="40" t="s">
        <v>362</v>
      </c>
    </row>
    <row r="13" spans="1:19" ht="15.75" thickBot="1" x14ac:dyDescent="0.3">
      <c r="A13" s="1093" t="s">
        <v>41</v>
      </c>
      <c r="B13" s="106" t="s">
        <v>8</v>
      </c>
      <c r="C13" s="106" t="s">
        <v>42</v>
      </c>
      <c r="D13" s="45">
        <v>0.02</v>
      </c>
      <c r="E13" s="46">
        <v>0.02</v>
      </c>
      <c r="F13" s="112">
        <f>EMA!B70</f>
        <v>0.02</v>
      </c>
      <c r="G13" s="112">
        <f>EMA!C70</f>
        <v>0.02</v>
      </c>
      <c r="H13" s="45">
        <f t="shared" si="0"/>
        <v>0.02</v>
      </c>
      <c r="I13" s="46">
        <f t="shared" si="1"/>
        <v>0.02</v>
      </c>
      <c r="J13" s="40" t="s">
        <v>314</v>
      </c>
    </row>
    <row r="14" spans="1:19" ht="15.75" thickBot="1" x14ac:dyDescent="0.3">
      <c r="A14" s="1099"/>
      <c r="B14" s="107" t="s">
        <v>9</v>
      </c>
      <c r="C14" s="107" t="s">
        <v>43</v>
      </c>
      <c r="D14" s="51">
        <v>0.02</v>
      </c>
      <c r="E14" s="52">
        <v>0.02</v>
      </c>
      <c r="F14" s="112">
        <f>EMA!B71</f>
        <v>0.02</v>
      </c>
      <c r="G14" s="112">
        <f>EMA!C71</f>
        <v>0.02</v>
      </c>
      <c r="H14" s="45">
        <f t="shared" si="0"/>
        <v>0.02</v>
      </c>
      <c r="I14" s="46">
        <f t="shared" si="1"/>
        <v>0.02</v>
      </c>
      <c r="J14" s="40" t="s">
        <v>314</v>
      </c>
    </row>
    <row r="15" spans="1:19" ht="15.75" thickBot="1" x14ac:dyDescent="0.3">
      <c r="A15" s="1093" t="s">
        <v>21</v>
      </c>
      <c r="B15" s="106" t="s">
        <v>187</v>
      </c>
      <c r="C15" s="106" t="s">
        <v>24</v>
      </c>
      <c r="D15" s="54">
        <v>0</v>
      </c>
      <c r="E15" s="55">
        <v>0</v>
      </c>
      <c r="F15" s="118">
        <f>EMA!B68</f>
        <v>0</v>
      </c>
      <c r="G15" s="118">
        <f>EMA!C68</f>
        <v>0</v>
      </c>
      <c r="H15" s="45">
        <f t="shared" si="0"/>
        <v>0</v>
      </c>
      <c r="I15" s="46">
        <f t="shared" si="1"/>
        <v>0</v>
      </c>
      <c r="J15" s="40" t="s">
        <v>58</v>
      </c>
    </row>
    <row r="16" spans="1:19" ht="15.75" thickBot="1" x14ac:dyDescent="0.3">
      <c r="A16" s="1099"/>
      <c r="B16" s="107" t="s">
        <v>324</v>
      </c>
      <c r="C16" s="107" t="s">
        <v>24</v>
      </c>
      <c r="D16" s="58">
        <v>0</v>
      </c>
      <c r="E16" s="59">
        <v>0</v>
      </c>
      <c r="F16" s="118">
        <f>EMA!B69</f>
        <v>0</v>
      </c>
      <c r="G16" s="118">
        <f>EMA!C69</f>
        <v>0</v>
      </c>
      <c r="H16" s="45">
        <f t="shared" si="0"/>
        <v>0</v>
      </c>
      <c r="I16" s="46">
        <f t="shared" si="1"/>
        <v>0</v>
      </c>
      <c r="J16" s="40" t="s">
        <v>58</v>
      </c>
    </row>
    <row r="17" spans="1:19" ht="15.75" thickBot="1" x14ac:dyDescent="0.3">
      <c r="A17" s="133" t="s">
        <v>53</v>
      </c>
      <c r="B17" s="108" t="s">
        <v>378</v>
      </c>
      <c r="C17" s="108" t="s">
        <v>73</v>
      </c>
      <c r="D17" s="70" t="s">
        <v>61</v>
      </c>
      <c r="E17" s="71" t="s">
        <v>61</v>
      </c>
      <c r="F17" s="119" t="str">
        <f>EMA!B62</f>
        <v>1. Beslutad politik</v>
      </c>
      <c r="G17" s="119" t="str">
        <f>EMA!C62</f>
        <v>1. Beslutad politik</v>
      </c>
      <c r="H17" s="45" t="str">
        <f t="shared" si="0"/>
        <v>1. Beslutad politik</v>
      </c>
      <c r="I17" s="46" t="str">
        <f t="shared" si="1"/>
        <v>1. Beslutad politik</v>
      </c>
      <c r="J17" s="394" t="s">
        <v>332</v>
      </c>
    </row>
    <row r="18" spans="1:19" s="123" customFormat="1" ht="16.5" thickBot="1" x14ac:dyDescent="0.3">
      <c r="A18" s="124" t="s">
        <v>59</v>
      </c>
      <c r="B18" s="125" t="s">
        <v>18</v>
      </c>
      <c r="C18" s="125" t="s">
        <v>14</v>
      </c>
      <c r="D18" s="126">
        <v>2030</v>
      </c>
      <c r="E18" s="127">
        <v>2040</v>
      </c>
      <c r="F18" s="126">
        <v>2030</v>
      </c>
      <c r="G18" s="127">
        <v>2040</v>
      </c>
      <c r="H18" s="45">
        <f t="shared" si="0"/>
        <v>2030</v>
      </c>
      <c r="I18" s="46">
        <f t="shared" si="1"/>
        <v>2040</v>
      </c>
      <c r="J18" s="1083" t="s">
        <v>15</v>
      </c>
      <c r="K18" s="1084"/>
      <c r="L18" s="122"/>
      <c r="M18" s="122"/>
      <c r="N18" s="122"/>
      <c r="O18" s="122"/>
      <c r="P18" s="122"/>
      <c r="Q18" s="122"/>
      <c r="R18" s="122"/>
      <c r="S18" s="122"/>
    </row>
    <row r="19" spans="1:19" ht="15.75" thickBot="1" x14ac:dyDescent="0.3">
      <c r="A19" s="1093" t="s">
        <v>22</v>
      </c>
      <c r="B19" s="106" t="s">
        <v>187</v>
      </c>
      <c r="C19" s="134" t="s">
        <v>25</v>
      </c>
      <c r="D19" s="47">
        <v>0</v>
      </c>
      <c r="E19" s="92">
        <v>0</v>
      </c>
      <c r="F19" s="112">
        <f>EMA!B72</f>
        <v>0</v>
      </c>
      <c r="G19" s="112">
        <f>EMA!C72</f>
        <v>0</v>
      </c>
      <c r="H19" s="45">
        <f t="shared" si="0"/>
        <v>0</v>
      </c>
      <c r="I19" s="46">
        <f t="shared" si="1"/>
        <v>0</v>
      </c>
      <c r="J19" s="78" t="s">
        <v>256</v>
      </c>
    </row>
    <row r="20" spans="1:19" ht="15.75" thickBot="1" x14ac:dyDescent="0.3">
      <c r="A20" s="1099"/>
      <c r="B20" s="107" t="s">
        <v>324</v>
      </c>
      <c r="C20" s="135" t="s">
        <v>25</v>
      </c>
      <c r="D20" s="53">
        <v>0</v>
      </c>
      <c r="E20" s="93">
        <v>0</v>
      </c>
      <c r="F20" s="112">
        <f>EMA!B73</f>
        <v>0</v>
      </c>
      <c r="G20" s="112">
        <f>EMA!C73</f>
        <v>0</v>
      </c>
      <c r="H20" s="45">
        <f t="shared" si="0"/>
        <v>0</v>
      </c>
      <c r="I20" s="46">
        <f t="shared" si="1"/>
        <v>0</v>
      </c>
      <c r="J20" s="78" t="s">
        <v>256</v>
      </c>
    </row>
    <row r="21" spans="1:19" ht="15.75" thickBot="1" x14ac:dyDescent="0.3">
      <c r="A21" s="1094" t="s">
        <v>23</v>
      </c>
      <c r="B21" s="106" t="s">
        <v>187</v>
      </c>
      <c r="C21" s="136" t="s">
        <v>25</v>
      </c>
      <c r="D21" s="94">
        <v>0</v>
      </c>
      <c r="E21" s="95">
        <v>0</v>
      </c>
      <c r="F21" s="112">
        <f>EMA!B74</f>
        <v>0</v>
      </c>
      <c r="G21" s="112">
        <f>EMA!C74</f>
        <v>0</v>
      </c>
      <c r="H21" s="45">
        <f t="shared" si="0"/>
        <v>0</v>
      </c>
      <c r="I21" s="46">
        <f t="shared" si="1"/>
        <v>0</v>
      </c>
      <c r="J21" s="78" t="s">
        <v>255</v>
      </c>
    </row>
    <row r="22" spans="1:19" ht="15.75" thickBot="1" x14ac:dyDescent="0.3">
      <c r="A22" s="1099"/>
      <c r="B22" s="107" t="s">
        <v>324</v>
      </c>
      <c r="C22" s="137" t="s">
        <v>25</v>
      </c>
      <c r="D22" s="53">
        <v>0</v>
      </c>
      <c r="E22" s="93">
        <v>0</v>
      </c>
      <c r="F22" s="112">
        <f>EMA!B75</f>
        <v>0</v>
      </c>
      <c r="G22" s="112">
        <f>EMA!C75</f>
        <v>0</v>
      </c>
      <c r="H22" s="45">
        <f t="shared" si="0"/>
        <v>0</v>
      </c>
      <c r="I22" s="46">
        <f t="shared" si="1"/>
        <v>0</v>
      </c>
      <c r="J22" s="78" t="s">
        <v>255</v>
      </c>
    </row>
    <row r="23" spans="1:19" ht="15.75" thickBot="1" x14ac:dyDescent="0.3">
      <c r="A23" s="356" t="s">
        <v>303</v>
      </c>
      <c r="B23" s="107" t="s">
        <v>304</v>
      </c>
      <c r="C23" s="107" t="s">
        <v>313</v>
      </c>
      <c r="D23" s="70" t="s">
        <v>336</v>
      </c>
      <c r="E23" s="71" t="s">
        <v>336</v>
      </c>
      <c r="F23" s="119" t="str">
        <f>EMA!B63</f>
        <v>Beslutad politik</v>
      </c>
      <c r="G23" s="120" t="str">
        <f>EMA!C63</f>
        <v>Level 1</v>
      </c>
      <c r="H23" s="45" t="str">
        <f t="shared" si="0"/>
        <v>Beslutad politik</v>
      </c>
      <c r="I23" s="46" t="str">
        <f t="shared" si="1"/>
        <v>Beslutad politik</v>
      </c>
      <c r="J23" s="394" t="s">
        <v>333</v>
      </c>
    </row>
    <row r="24" spans="1:19" s="123" customFormat="1" ht="16.5" thickBot="1" x14ac:dyDescent="0.3">
      <c r="A24" s="124" t="s">
        <v>111</v>
      </c>
      <c r="B24" s="125" t="s">
        <v>18</v>
      </c>
      <c r="C24" s="125" t="s">
        <v>14</v>
      </c>
      <c r="D24" s="126">
        <v>2030</v>
      </c>
      <c r="E24" s="127">
        <v>2040</v>
      </c>
      <c r="F24" s="126">
        <v>2030</v>
      </c>
      <c r="G24" s="127">
        <v>2040</v>
      </c>
      <c r="H24" s="126">
        <v>2030</v>
      </c>
      <c r="I24" s="596">
        <v>2040</v>
      </c>
      <c r="J24" s="1083" t="s">
        <v>15</v>
      </c>
      <c r="K24" s="1084"/>
      <c r="L24" s="122"/>
      <c r="M24" s="122"/>
      <c r="N24" s="122"/>
      <c r="O24" s="122"/>
      <c r="P24" s="122"/>
      <c r="Q24" s="122"/>
      <c r="R24" s="122"/>
      <c r="S24" s="122"/>
    </row>
    <row r="25" spans="1:19" ht="14.45" customHeight="1" x14ac:dyDescent="0.25">
      <c r="A25" s="1093" t="s">
        <v>150</v>
      </c>
      <c r="B25" s="106" t="s">
        <v>8</v>
      </c>
      <c r="C25" s="106" t="s">
        <v>19</v>
      </c>
      <c r="D25" s="45">
        <f>IF(D$17='Indata - Fordon och Trafik'!$A$3,'Indata - Fordon och Trafik'!C7,'Indata - Fordon och Trafik'!H7)</f>
        <v>0.39627461007293346</v>
      </c>
      <c r="E25" s="46">
        <f>IF(E$17='Indata - Fordon och Trafik'!$A$3,'Indata - Fordon och Trafik'!D7,'Indata - Fordon och Trafik'!I7)</f>
        <v>0.30878176598734658</v>
      </c>
      <c r="F25" s="45">
        <f>IF(F$17='Indata - Fordon och Trafik'!$A$3,'Indata - Fordon och Trafik'!C7,'Indata - Fordon och Trafik'!H7)</f>
        <v>0.39627461007293346</v>
      </c>
      <c r="G25" s="46">
        <f>IF(G$17='Indata - Fordon och Trafik'!$A$3,'Indata - Fordon och Trafik'!D7,'Indata - Fordon och Trafik'!I7)</f>
        <v>0.30878176598734658</v>
      </c>
      <c r="H25" s="47">
        <f>IF(H$17='Indata - Fordon och Trafik'!$A$3,'Indata - Fordon och Trafik'!C7,'Indata - Fordon och Trafik'!H7)</f>
        <v>0.39627461007293346</v>
      </c>
      <c r="I25" s="46">
        <f>IF(I$17='Indata - Fordon och Trafik'!$A$3,'Indata - Fordon och Trafik'!D7,'Indata - Fordon och Trafik'!I7)</f>
        <v>0.30878176598734658</v>
      </c>
      <c r="J25" s="40" t="s">
        <v>174</v>
      </c>
      <c r="K25" s="26"/>
      <c r="L25" s="26"/>
      <c r="M25" s="26"/>
      <c r="N25" s="26"/>
      <c r="O25" s="26"/>
      <c r="P25" s="26"/>
      <c r="Q25" s="26"/>
      <c r="R25" s="26"/>
      <c r="S25" s="26"/>
    </row>
    <row r="26" spans="1:19" x14ac:dyDescent="0.25">
      <c r="A26" s="1094"/>
      <c r="B26" s="43" t="s">
        <v>9</v>
      </c>
      <c r="C26" s="43" t="s">
        <v>19</v>
      </c>
      <c r="D26" s="48">
        <f>IF(D$17='Indata - Fordon och Trafik'!$A$3,'Indata - Fordon och Trafik'!C8,'Indata - Fordon och Trafik'!H8)</f>
        <v>0.42372538992706654</v>
      </c>
      <c r="E26" s="49">
        <f>IF(E$17='Indata - Fordon och Trafik'!$A$3,'Indata - Fordon och Trafik'!D8,'Indata - Fordon och Trafik'!I8)</f>
        <v>0.31121823401265342</v>
      </c>
      <c r="F26" s="48">
        <f>IF(F$17='Indata - Fordon och Trafik'!$A$3,'Indata - Fordon och Trafik'!C8,'Indata - Fordon och Trafik'!H8)</f>
        <v>0.42372538992706654</v>
      </c>
      <c r="G26" s="49">
        <f>IF(G$17='Indata - Fordon och Trafik'!$A$3,'Indata - Fordon och Trafik'!D8,'Indata - Fordon och Trafik'!I8)</f>
        <v>0.31121823401265342</v>
      </c>
      <c r="H26" s="50">
        <f>IF(H$17='Indata - Fordon och Trafik'!$A$3,'Indata - Fordon och Trafik'!C8,'Indata - Fordon och Trafik'!H8)</f>
        <v>0.42372538992706654</v>
      </c>
      <c r="I26" s="49">
        <f>IF(I$17='Indata - Fordon och Trafik'!$A$3,'Indata - Fordon och Trafik'!D8,'Indata - Fordon och Trafik'!I8)</f>
        <v>0.31121823401265342</v>
      </c>
      <c r="J26" s="40" t="s">
        <v>174</v>
      </c>
      <c r="K26" s="26"/>
      <c r="L26" s="26"/>
      <c r="M26" s="26"/>
      <c r="N26" s="26"/>
      <c r="O26" s="26"/>
      <c r="P26" s="26"/>
      <c r="Q26" s="26"/>
      <c r="R26" s="26"/>
      <c r="S26" s="26"/>
    </row>
    <row r="27" spans="1:19" ht="15.75" thickBot="1" x14ac:dyDescent="0.3">
      <c r="A27" s="1099"/>
      <c r="B27" s="107" t="s">
        <v>7</v>
      </c>
      <c r="C27" s="107" t="s">
        <v>19</v>
      </c>
      <c r="D27" s="51">
        <f>IF(D$17='Indata - Fordon och Trafik'!$A$3,'Indata - Fordon och Trafik'!C9,'Indata - Fordon och Trafik'!H9)</f>
        <v>0.18</v>
      </c>
      <c r="E27" s="52">
        <f>IF(E$17='Indata - Fordon och Trafik'!$A$3,'Indata - Fordon och Trafik'!D9,'Indata - Fordon och Trafik'!I9)</f>
        <v>0.38</v>
      </c>
      <c r="F27" s="51">
        <f>IF(F$17='Indata - Fordon och Trafik'!$A$3,'Indata - Fordon och Trafik'!C9,'Indata - Fordon och Trafik'!H9)</f>
        <v>0.18</v>
      </c>
      <c r="G27" s="52">
        <f>IF(G$17='Indata - Fordon och Trafik'!$A$3,'Indata - Fordon och Trafik'!D9,'Indata - Fordon och Trafik'!I9)</f>
        <v>0.38</v>
      </c>
      <c r="H27" s="53">
        <f>IF(H$17='Indata - Fordon och Trafik'!$A$3,'Indata - Fordon och Trafik'!C9,'Indata - Fordon och Trafik'!H9)</f>
        <v>0.18</v>
      </c>
      <c r="I27" s="52">
        <f>IF(I$17='Indata - Fordon och Trafik'!$A$3,'Indata - Fordon och Trafik'!D9,'Indata - Fordon och Trafik'!I9)</f>
        <v>0.38</v>
      </c>
      <c r="J27" s="40" t="s">
        <v>174</v>
      </c>
      <c r="K27" s="26"/>
      <c r="L27" s="26"/>
      <c r="M27" s="26"/>
      <c r="N27" s="26"/>
      <c r="O27" s="26"/>
      <c r="P27" s="26"/>
      <c r="Q27" s="26"/>
      <c r="R27" s="26"/>
      <c r="S27" s="26"/>
    </row>
    <row r="28" spans="1:19" ht="15.75" thickBot="1" x14ac:dyDescent="0.3">
      <c r="A28" s="138" t="s">
        <v>374</v>
      </c>
      <c r="B28" s="43" t="s">
        <v>7</v>
      </c>
      <c r="C28" s="43" t="s">
        <v>19</v>
      </c>
      <c r="D28" s="72">
        <f>D27</f>
        <v>0.18</v>
      </c>
      <c r="E28" s="73">
        <f>E27</f>
        <v>0.38</v>
      </c>
      <c r="F28" s="72">
        <f>IF(EMA!B10="No",F27,EMA!B5)</f>
        <v>0.18</v>
      </c>
      <c r="G28" s="73">
        <f>IF(EMA!C10="No",G27,EMA!C5)</f>
        <v>0.38</v>
      </c>
      <c r="H28" s="517">
        <f>IF(EMA!B10="No",H27,EMA!B5)</f>
        <v>0.18</v>
      </c>
      <c r="I28" s="518">
        <f t="shared" ref="I28" si="2">I27</f>
        <v>0.38</v>
      </c>
      <c r="J28" s="40" t="s">
        <v>208</v>
      </c>
      <c r="K28" s="26"/>
      <c r="L28" s="26"/>
      <c r="M28" s="26"/>
      <c r="N28" s="26"/>
      <c r="O28" s="26"/>
      <c r="P28" s="26"/>
      <c r="Q28" s="26"/>
      <c r="R28" s="26"/>
      <c r="S28" s="26"/>
    </row>
    <row r="29" spans="1:19" ht="14.45" customHeight="1" x14ac:dyDescent="0.25">
      <c r="A29" s="1093" t="s">
        <v>38</v>
      </c>
      <c r="B29" s="106" t="s">
        <v>8</v>
      </c>
      <c r="C29" s="106" t="s">
        <v>39</v>
      </c>
      <c r="D29" s="54">
        <f>IF(D$17='Indata - Fordon och Trafik'!$A$3,'Indata - Fordon och Trafik'!$C16,'Indata - Fordon och Trafik'!$H16)</f>
        <v>0.60765334265455651</v>
      </c>
      <c r="E29" s="55">
        <f>IF(E$17='Indata - Fordon och Trafik'!$A$3,'Indata - Fordon och Trafik'!$D16,'Indata - Fordon och Trafik'!$I16)</f>
        <v>0.49219920755019081</v>
      </c>
      <c r="F29" s="54">
        <f t="shared" ref="F29:G34" si="3">D29</f>
        <v>0.60765334265455651</v>
      </c>
      <c r="G29" s="55">
        <f t="shared" si="3"/>
        <v>0.49219920755019081</v>
      </c>
      <c r="H29" s="54">
        <f t="shared" ref="H29:I34" si="4">D29</f>
        <v>0.60765334265455651</v>
      </c>
      <c r="I29" s="55">
        <f t="shared" si="4"/>
        <v>0.49219920755019081</v>
      </c>
      <c r="J29" s="40" t="s">
        <v>62</v>
      </c>
      <c r="K29" s="26"/>
      <c r="L29" s="26"/>
      <c r="M29" s="26"/>
      <c r="N29" s="26"/>
      <c r="O29" s="26"/>
      <c r="P29" s="26"/>
      <c r="Q29" s="26"/>
      <c r="R29" s="26"/>
      <c r="S29" s="26"/>
    </row>
    <row r="30" spans="1:19" x14ac:dyDescent="0.25">
      <c r="A30" s="1094"/>
      <c r="B30" s="43" t="s">
        <v>9</v>
      </c>
      <c r="C30" s="43" t="s">
        <v>39</v>
      </c>
      <c r="D30" s="56">
        <f>IF(D$17='Indata - Fordon och Trafik'!$A$3,'Indata - Fordon och Trafik'!$C17,'Indata - Fordon och Trafik'!$H17)</f>
        <v>0.60691454404542722</v>
      </c>
      <c r="E30" s="57">
        <f>IF(E$17='Indata - Fordon och Trafik'!$A$3,'Indata - Fordon och Trafik'!$D17,'Indata - Fordon och Trafik'!$I17)</f>
        <v>0.49160078067679608</v>
      </c>
      <c r="F30" s="56">
        <f t="shared" si="3"/>
        <v>0.60691454404542722</v>
      </c>
      <c r="G30" s="57">
        <f t="shared" si="3"/>
        <v>0.49160078067679608</v>
      </c>
      <c r="H30" s="56">
        <f t="shared" si="4"/>
        <v>0.60691454404542722</v>
      </c>
      <c r="I30" s="57">
        <f t="shared" si="4"/>
        <v>0.49160078067679608</v>
      </c>
      <c r="J30" s="40" t="s">
        <v>62</v>
      </c>
      <c r="K30" s="26"/>
      <c r="L30" s="26"/>
      <c r="M30" s="26"/>
      <c r="N30" s="26"/>
      <c r="O30" s="26"/>
      <c r="P30" s="26"/>
      <c r="Q30" s="26"/>
      <c r="R30" s="26"/>
      <c r="S30" s="26"/>
    </row>
    <row r="31" spans="1:19" ht="15.75" thickBot="1" x14ac:dyDescent="0.3">
      <c r="A31" s="1099"/>
      <c r="B31" s="107" t="s">
        <v>7</v>
      </c>
      <c r="C31" s="107" t="s">
        <v>40</v>
      </c>
      <c r="D31" s="58">
        <f>IF(D$17='Indata - Fordon och Trafik'!$A$3,'Indata - Fordon och Trafik'!$C18,'Indata - Fordon och Trafik'!$H18)</f>
        <v>1.6150000000000002</v>
      </c>
      <c r="E31" s="59">
        <f>IF(E$17='Indata - Fordon och Trafik'!$A$3,'Indata - Fordon och Trafik'!$D18,'Indata - Fordon och Trafik'!$I18)</f>
        <v>1.6150000000000002</v>
      </c>
      <c r="F31" s="58">
        <f t="shared" si="3"/>
        <v>1.6150000000000002</v>
      </c>
      <c r="G31" s="59">
        <f t="shared" si="3"/>
        <v>1.6150000000000002</v>
      </c>
      <c r="H31" s="58">
        <f t="shared" si="4"/>
        <v>1.6150000000000002</v>
      </c>
      <c r="I31" s="59">
        <f t="shared" si="4"/>
        <v>1.6150000000000002</v>
      </c>
      <c r="J31" s="40" t="s">
        <v>62</v>
      </c>
      <c r="K31" s="26"/>
      <c r="L31" s="26"/>
      <c r="M31" s="26"/>
      <c r="N31" s="26"/>
      <c r="O31" s="26"/>
      <c r="P31" s="26"/>
      <c r="Q31" s="26"/>
      <c r="R31" s="26"/>
      <c r="S31" s="26"/>
    </row>
    <row r="32" spans="1:19" s="40" customFormat="1" ht="15" customHeight="1" x14ac:dyDescent="0.2">
      <c r="A32" s="1100" t="s">
        <v>0</v>
      </c>
      <c r="B32" s="106" t="s">
        <v>8</v>
      </c>
      <c r="C32" s="106" t="s">
        <v>209</v>
      </c>
      <c r="D32" s="524">
        <f>'Modell - Drivmedelpriser'!E24</f>
        <v>17.911754192557677</v>
      </c>
      <c r="E32" s="525">
        <f>'Modell - Drivmedelpriser'!F24</f>
        <v>21.293751803814949</v>
      </c>
      <c r="F32" s="524">
        <f t="shared" si="3"/>
        <v>17.911754192557677</v>
      </c>
      <c r="G32" s="525">
        <f t="shared" si="3"/>
        <v>21.293751803814949</v>
      </c>
      <c r="H32" s="524">
        <f t="shared" si="4"/>
        <v>17.911754192557677</v>
      </c>
      <c r="I32" s="525">
        <f t="shared" si="4"/>
        <v>21.293751803814949</v>
      </c>
      <c r="J32" s="40" t="s">
        <v>173</v>
      </c>
    </row>
    <row r="33" spans="1:19" s="40" customFormat="1" ht="15" customHeight="1" x14ac:dyDescent="0.2">
      <c r="A33" s="1105"/>
      <c r="B33" s="43" t="s">
        <v>9</v>
      </c>
      <c r="C33" s="43" t="s">
        <v>209</v>
      </c>
      <c r="D33" s="526">
        <f>'Modell - Drivmedelpriser'!E43</f>
        <v>19.069168234099362</v>
      </c>
      <c r="E33" s="527">
        <f>'Modell - Drivmedelpriser'!F43</f>
        <v>22.557131724953557</v>
      </c>
      <c r="F33" s="526">
        <f t="shared" si="3"/>
        <v>19.069168234099362</v>
      </c>
      <c r="G33" s="527">
        <f t="shared" si="3"/>
        <v>22.557131724953557</v>
      </c>
      <c r="H33" s="526">
        <f t="shared" si="4"/>
        <v>19.069168234099362</v>
      </c>
      <c r="I33" s="527">
        <f t="shared" si="4"/>
        <v>22.557131724953557</v>
      </c>
      <c r="J33" s="40" t="s">
        <v>173</v>
      </c>
    </row>
    <row r="34" spans="1:19" s="40" customFormat="1" ht="15" customHeight="1" x14ac:dyDescent="0.2">
      <c r="A34" s="1105"/>
      <c r="B34" s="43" t="s">
        <v>7</v>
      </c>
      <c r="C34" s="43" t="s">
        <v>186</v>
      </c>
      <c r="D34" s="526">
        <f>'Modell - Drivmedelpriser'!E75</f>
        <v>3.4709076086956521</v>
      </c>
      <c r="E34" s="527">
        <f>'Modell - Drivmedelpriser'!F75</f>
        <v>4.1598749999999995</v>
      </c>
      <c r="F34" s="526">
        <f t="shared" si="3"/>
        <v>3.4709076086956521</v>
      </c>
      <c r="G34" s="527">
        <f t="shared" si="3"/>
        <v>4.1598749999999995</v>
      </c>
      <c r="H34" s="526">
        <f t="shared" si="4"/>
        <v>3.4709076086956521</v>
      </c>
      <c r="I34" s="527">
        <f t="shared" si="4"/>
        <v>4.1598749999999995</v>
      </c>
      <c r="J34" s="40" t="s">
        <v>173</v>
      </c>
    </row>
    <row r="35" spans="1:19" s="40" customFormat="1" ht="15" customHeight="1" thickBot="1" x14ac:dyDescent="0.25">
      <c r="A35" s="1101"/>
      <c r="B35" s="107" t="s">
        <v>20</v>
      </c>
      <c r="C35" s="107" t="s">
        <v>209</v>
      </c>
      <c r="D35" s="347">
        <f>SUMPRODUCT(D32:D33,Indata!D25:D26)/SUM(Indata!D25:D26)</f>
        <v>18.509834334093423</v>
      </c>
      <c r="E35" s="348">
        <f>SUMPRODUCT(E32:E33,Indata!E25:E26)/SUM(Indata!E25:E26)</f>
        <v>21.927924171466245</v>
      </c>
      <c r="F35" s="347">
        <f>SUMPRODUCT(F32:F33,F25:F26)/SUM(Indata!F25:F26)</f>
        <v>18.509834334093423</v>
      </c>
      <c r="G35" s="348">
        <f>SUMPRODUCT(G32:G33,Indata!G25:G26)/SUM(Indata!G25:G26)</f>
        <v>21.927924171466245</v>
      </c>
      <c r="H35" s="347">
        <f>SUMPRODUCT(H32:H33,Indata!H25:H26)/SUM(Indata!H25:H26)</f>
        <v>18.509834334093423</v>
      </c>
      <c r="I35" s="348">
        <f>SUMPRODUCT(I32:I33,Indata!I25:I26)/SUM(Indata!I25:I26)</f>
        <v>21.927924171466245</v>
      </c>
      <c r="J35" s="40" t="s">
        <v>101</v>
      </c>
    </row>
    <row r="36" spans="1:19" s="40" customFormat="1" ht="15" customHeight="1" thickBot="1" x14ac:dyDescent="0.25">
      <c r="A36" s="139" t="s">
        <v>75</v>
      </c>
      <c r="B36" s="107" t="s">
        <v>187</v>
      </c>
      <c r="C36" s="107" t="s">
        <v>74</v>
      </c>
      <c r="D36" s="347">
        <f>1.001*10</f>
        <v>10.009999999999998</v>
      </c>
      <c r="E36" s="348">
        <f>D36</f>
        <v>10.009999999999998</v>
      </c>
      <c r="F36" s="347">
        <f>$D$36</f>
        <v>10.009999999999998</v>
      </c>
      <c r="G36" s="348">
        <f>$E$36</f>
        <v>10.009999999999998</v>
      </c>
      <c r="H36" s="347">
        <f>$D$36</f>
        <v>10.009999999999998</v>
      </c>
      <c r="I36" s="348">
        <f>$E$36</f>
        <v>10.009999999999998</v>
      </c>
      <c r="J36" s="40" t="s">
        <v>261</v>
      </c>
    </row>
    <row r="37" spans="1:19" ht="15.75" thickBot="1" x14ac:dyDescent="0.3">
      <c r="A37" s="344" t="s">
        <v>17</v>
      </c>
      <c r="B37" s="107" t="s">
        <v>187</v>
      </c>
      <c r="C37" s="107" t="s">
        <v>36</v>
      </c>
      <c r="D37" s="345">
        <f>IF(D$17='Indata - Fordon och Trafik'!$A$3,'Indata - Fordon och Trafik'!$C13,'Indata - Fordon och Trafik'!$H13)</f>
        <v>88.254148523151741</v>
      </c>
      <c r="E37" s="346">
        <f>IF(E$17='Indata - Fordon och Trafik'!$A$3,'Indata - Fordon och Trafik'!$D13,'Indata - Fordon och Trafik'!$I13)</f>
        <v>100.26315929023444</v>
      </c>
      <c r="F37" s="347">
        <f>D37</f>
        <v>88.254148523151741</v>
      </c>
      <c r="G37" s="348">
        <f>E37</f>
        <v>100.26315929023444</v>
      </c>
      <c r="H37" s="528">
        <f>D37</f>
        <v>88.254148523151741</v>
      </c>
      <c r="I37" s="348">
        <f>E37</f>
        <v>100.26315929023444</v>
      </c>
      <c r="J37" s="394" t="s">
        <v>330</v>
      </c>
      <c r="K37" s="26"/>
      <c r="L37" s="26"/>
      <c r="M37" s="26"/>
      <c r="N37" s="26"/>
      <c r="O37" s="26"/>
      <c r="P37" s="26"/>
      <c r="Q37" s="26"/>
      <c r="R37" s="26"/>
      <c r="S37" s="26"/>
    </row>
    <row r="38" spans="1:19" ht="15.75" thickBot="1" x14ac:dyDescent="0.3">
      <c r="A38" s="138" t="s">
        <v>205</v>
      </c>
      <c r="B38" s="107" t="s">
        <v>187</v>
      </c>
      <c r="C38" s="43" t="s">
        <v>25</v>
      </c>
      <c r="D38" s="81">
        <v>0</v>
      </c>
      <c r="E38" s="376">
        <v>0</v>
      </c>
      <c r="F38" s="517">
        <f>EMA!B3</f>
        <v>0</v>
      </c>
      <c r="G38" s="517">
        <f>EMA!C3</f>
        <v>0</v>
      </c>
      <c r="H38" s="523">
        <f>EMA!B3</f>
        <v>0</v>
      </c>
      <c r="I38" s="523">
        <f>EMA!C3</f>
        <v>0</v>
      </c>
      <c r="J38" s="40" t="s">
        <v>72</v>
      </c>
      <c r="K38" s="26"/>
      <c r="L38" s="26"/>
      <c r="M38" s="26"/>
      <c r="N38" s="26"/>
      <c r="O38" s="26"/>
      <c r="P38" s="26"/>
      <c r="Q38" s="26"/>
      <c r="R38" s="26"/>
      <c r="S38" s="26"/>
    </row>
    <row r="39" spans="1:19" x14ac:dyDescent="0.25">
      <c r="A39" s="1102" t="s">
        <v>27</v>
      </c>
      <c r="B39" s="106" t="s">
        <v>28</v>
      </c>
      <c r="C39" s="106" t="s">
        <v>31</v>
      </c>
      <c r="D39" s="475">
        <f>10788000*1.025</f>
        <v>11057699.999999998</v>
      </c>
      <c r="E39" s="90">
        <v>11648700</v>
      </c>
      <c r="F39" s="475">
        <f>D39</f>
        <v>11057699.999999998</v>
      </c>
      <c r="G39" s="515">
        <f>E39</f>
        <v>11648700</v>
      </c>
      <c r="H39" s="475">
        <f>D39</f>
        <v>11057699.999999998</v>
      </c>
      <c r="I39" s="90">
        <f>E39</f>
        <v>11648700</v>
      </c>
      <c r="J39" s="407" t="s">
        <v>375</v>
      </c>
      <c r="K39" s="26"/>
      <c r="L39" s="26"/>
      <c r="M39" s="26"/>
      <c r="N39" s="26"/>
      <c r="O39" s="26"/>
      <c r="P39" s="26"/>
      <c r="Q39" s="26"/>
      <c r="R39" s="26"/>
      <c r="S39" s="26"/>
    </row>
    <row r="40" spans="1:19" ht="15.75" thickBot="1" x14ac:dyDescent="0.3">
      <c r="A40" s="1106"/>
      <c r="B40" s="107" t="s">
        <v>29</v>
      </c>
      <c r="C40" s="107" t="s">
        <v>30</v>
      </c>
      <c r="D40" s="84">
        <f>5447422/10292000</f>
        <v>0.52928701904391762</v>
      </c>
      <c r="E40" s="91">
        <f>5447422/10292000</f>
        <v>0.52928701904391762</v>
      </c>
      <c r="F40" s="84">
        <f>D40</f>
        <v>0.52928701904391762</v>
      </c>
      <c r="G40" s="89">
        <f>E40</f>
        <v>0.52928701904391762</v>
      </c>
      <c r="H40" s="84">
        <f>D40</f>
        <v>0.52928701904391762</v>
      </c>
      <c r="I40" s="91">
        <f>E40</f>
        <v>0.52928701904391762</v>
      </c>
      <c r="J40" s="407" t="s">
        <v>331</v>
      </c>
      <c r="K40" s="26"/>
      <c r="L40" s="26"/>
      <c r="M40" s="26"/>
      <c r="N40" s="26"/>
      <c r="O40" s="26"/>
      <c r="P40" s="26"/>
      <c r="Q40" s="26"/>
      <c r="R40" s="26"/>
      <c r="S40" s="26"/>
    </row>
    <row r="41" spans="1:19" s="123" customFormat="1" ht="16.5" thickBot="1" x14ac:dyDescent="0.3">
      <c r="A41" s="536" t="s">
        <v>305</v>
      </c>
      <c r="B41" s="537" t="s">
        <v>18</v>
      </c>
      <c r="C41" s="537" t="s">
        <v>14</v>
      </c>
      <c r="D41" s="126">
        <v>2030</v>
      </c>
      <c r="E41" s="127">
        <v>2040</v>
      </c>
      <c r="F41" s="126">
        <v>2030</v>
      </c>
      <c r="G41" s="127">
        <v>2040</v>
      </c>
      <c r="H41" s="126">
        <v>2030</v>
      </c>
      <c r="I41" s="127">
        <v>2040</v>
      </c>
      <c r="J41" s="1083" t="s">
        <v>15</v>
      </c>
      <c r="K41" s="1084"/>
      <c r="L41" s="122"/>
      <c r="M41" s="122"/>
      <c r="N41" s="122"/>
      <c r="O41" s="122"/>
      <c r="P41" s="122"/>
      <c r="Q41" s="122"/>
      <c r="R41" s="122"/>
      <c r="S41" s="122"/>
    </row>
    <row r="42" spans="1:19" ht="14.45" customHeight="1" thickBot="1" x14ac:dyDescent="0.3">
      <c r="A42" s="1100" t="s">
        <v>150</v>
      </c>
      <c r="B42" s="106" t="s">
        <v>116</v>
      </c>
      <c r="C42" s="140" t="s">
        <v>147</v>
      </c>
      <c r="D42" s="534">
        <f>IF(D$17='Indata - Fordon och Trafik'!$A$3,'Indata - Fordon och Trafik'!$C21,'Indata - Fordon och Trafik'!$H21)</f>
        <v>0.15</v>
      </c>
      <c r="E42" s="530">
        <f>IF(E$17='Indata - Fordon och Trafik'!$A$3,'Indata - Fordon och Trafik'!$D21,'Indata - Fordon och Trafik'!$I21)</f>
        <v>0.6</v>
      </c>
      <c r="F42" s="529">
        <f>IF(EMA!B$10="No",D42,EMA!B$6)</f>
        <v>0.15</v>
      </c>
      <c r="G42" s="529">
        <f>IF(EMA!C$10="No",E42,EMA!C$6)</f>
        <v>0.6</v>
      </c>
      <c r="H42" s="529">
        <f>IF(EMA!B$10="No",D42,EMA!B$6)</f>
        <v>0.15</v>
      </c>
      <c r="I42" s="529">
        <f>IF(EMA!B$10="No",G42,EMA!C$6)</f>
        <v>0.6</v>
      </c>
      <c r="J42" s="78" t="s">
        <v>376</v>
      </c>
      <c r="K42" s="26"/>
      <c r="L42" s="26"/>
      <c r="M42" s="26"/>
      <c r="N42" s="26"/>
      <c r="O42" s="26"/>
      <c r="P42" s="26"/>
      <c r="Q42" s="26"/>
      <c r="R42" s="26"/>
      <c r="S42" s="26"/>
    </row>
    <row r="43" spans="1:19" ht="14.45" customHeight="1" thickBot="1" x14ac:dyDescent="0.3">
      <c r="A43" s="1105"/>
      <c r="B43" s="43" t="s">
        <v>117</v>
      </c>
      <c r="C43" s="136" t="s">
        <v>147</v>
      </c>
      <c r="D43" s="534">
        <f>IF(D$17='Indata - Fordon och Trafik'!$A$3,'Indata - Fordon och Trafik'!$C22,'Indata - Fordon och Trafik'!$H22)</f>
        <v>0.15</v>
      </c>
      <c r="E43" s="531">
        <f>IF(E$17='Indata - Fordon och Trafik'!$A$3,'Indata - Fordon och Trafik'!$D22,'Indata - Fordon och Trafik'!$I22)</f>
        <v>0.6</v>
      </c>
      <c r="F43" s="529">
        <f>IF(EMA!B$10="No",D43,EMA!B$6)</f>
        <v>0.15</v>
      </c>
      <c r="G43" s="529">
        <f>IF(EMA!C$10="No",E43,EMA!C$6)</f>
        <v>0.6</v>
      </c>
      <c r="H43" s="529">
        <f>IF(EMA!B$10="No",D43,EMA!B$6)</f>
        <v>0.15</v>
      </c>
      <c r="I43" s="529">
        <f>IF(EMA!B$10="No",G43,EMA!C$6)</f>
        <v>0.6</v>
      </c>
      <c r="J43" s="78" t="s">
        <v>376</v>
      </c>
      <c r="K43" s="26"/>
      <c r="L43" s="26"/>
      <c r="M43" s="26"/>
      <c r="N43" s="26"/>
      <c r="O43" s="26"/>
      <c r="P43" s="26"/>
      <c r="Q43" s="26"/>
      <c r="R43" s="26"/>
      <c r="S43" s="26"/>
    </row>
    <row r="44" spans="1:19" ht="15.75" thickBot="1" x14ac:dyDescent="0.3">
      <c r="A44" s="1103"/>
      <c r="B44" s="43" t="s">
        <v>118</v>
      </c>
      <c r="C44" s="136" t="s">
        <v>147</v>
      </c>
      <c r="D44" s="534">
        <f>IF(D$17='Indata - Fordon och Trafik'!$A$3,'Indata - Fordon och Trafik'!$C23,'Indata - Fordon och Trafik'!$H23)</f>
        <v>4.0427955013328291E-2</v>
      </c>
      <c r="E44" s="532">
        <f>IF(E$17='Indata - Fordon och Trafik'!$A$3,'Indata - Fordon och Trafik'!$D23,'Indata - Fordon och Trafik'!$I23)</f>
        <v>0.16171182005331317</v>
      </c>
      <c r="F44" s="529">
        <f>IF(EMA!B$10="No",D44,EMA!B$6)</f>
        <v>4.0427955013328291E-2</v>
      </c>
      <c r="G44" s="529">
        <f>IF(EMA!C$10="No",E44,EMA!C$6)</f>
        <v>0.16171182005331317</v>
      </c>
      <c r="H44" s="529">
        <f>IF(EMA!B$10="No",D44,EMA!B$6)</f>
        <v>4.0427955013328291E-2</v>
      </c>
      <c r="I44" s="529">
        <f>IF(EMA!B$10="No",G44,EMA!C$6)</f>
        <v>0.16171182005331317</v>
      </c>
      <c r="J44" s="78" t="s">
        <v>376</v>
      </c>
      <c r="K44" s="26"/>
      <c r="L44" s="26"/>
      <c r="M44" s="26"/>
      <c r="N44" s="26"/>
      <c r="O44" s="26"/>
      <c r="P44" s="26"/>
      <c r="Q44" s="26"/>
      <c r="R44" s="26"/>
      <c r="S44" s="26"/>
    </row>
    <row r="45" spans="1:19" ht="15.75" thickBot="1" x14ac:dyDescent="0.3">
      <c r="A45" s="1103"/>
      <c r="B45" s="43" t="s">
        <v>119</v>
      </c>
      <c r="C45" s="136" t="s">
        <v>147</v>
      </c>
      <c r="D45" s="535">
        <f>IF(D$17='Indata - Fordon och Trafik'!$A$3,'Indata - Fordon och Trafik'!$C24,'Indata - Fordon och Trafik'!$H24)</f>
        <v>0</v>
      </c>
      <c r="E45" s="533">
        <f>IF(E$17='Indata - Fordon och Trafik'!$A$3,'Indata - Fordon och Trafik'!$D24,'Indata - Fordon och Trafik'!$I24)</f>
        <v>0</v>
      </c>
      <c r="F45" s="529">
        <f>IF(EMA!B$10="No",D45,EMA!B$6)</f>
        <v>0</v>
      </c>
      <c r="G45" s="529">
        <f>IF(EMA!C$10="No",E45,EMA!C$6)</f>
        <v>0</v>
      </c>
      <c r="H45" s="529">
        <f>IF(EMA!B$10="No",D45,EMA!B$6)</f>
        <v>0</v>
      </c>
      <c r="I45" s="529">
        <f>IF(EMA!B$10="No",G45,EMA!C$6)</f>
        <v>0</v>
      </c>
      <c r="J45" s="78" t="s">
        <v>376</v>
      </c>
      <c r="K45" s="372"/>
      <c r="L45" s="26"/>
      <c r="M45" s="26"/>
      <c r="N45" s="26"/>
      <c r="O45" s="26"/>
      <c r="P45" s="26"/>
      <c r="Q45" s="26"/>
      <c r="R45" s="26"/>
      <c r="S45" s="26"/>
    </row>
    <row r="46" spans="1:19" ht="14.45" customHeight="1" x14ac:dyDescent="0.25">
      <c r="A46" s="1100" t="s">
        <v>380</v>
      </c>
      <c r="B46" s="106" t="s">
        <v>116</v>
      </c>
      <c r="C46" s="140" t="s">
        <v>39</v>
      </c>
      <c r="D46" s="539">
        <f>IF(D$17='Indata - Fordon och Trafik'!$A$3,'Indata - Fordon och Trafik'!$C35,'Indata - Fordon och Trafik'!$H35)</f>
        <v>1.409627347092486</v>
      </c>
      <c r="E46" s="525">
        <f>IF(E$17='Indata - Fordon och Trafik'!$A$3,'Indata - Fordon och Trafik'!$D35,'Indata - Fordon och Trafik'!$I35)</f>
        <v>1.0975404858629165</v>
      </c>
      <c r="F46" s="524">
        <f t="shared" ref="F46:G54" si="5">D46</f>
        <v>1.409627347092486</v>
      </c>
      <c r="G46" s="525">
        <f t="shared" si="5"/>
        <v>1.0975404858629165</v>
      </c>
      <c r="H46" s="524">
        <f t="shared" ref="H46:I53" si="6">D46</f>
        <v>1.409627347092486</v>
      </c>
      <c r="I46" s="525">
        <f t="shared" si="6"/>
        <v>1.0975404858629165</v>
      </c>
      <c r="J46" s="40" t="s">
        <v>377</v>
      </c>
      <c r="K46" s="26"/>
      <c r="L46" s="26"/>
      <c r="M46" s="26"/>
      <c r="N46" s="26"/>
      <c r="O46" s="26"/>
      <c r="P46" s="26"/>
      <c r="Q46" s="26"/>
      <c r="R46" s="26"/>
      <c r="S46" s="26"/>
    </row>
    <row r="47" spans="1:19" ht="14.45" customHeight="1" x14ac:dyDescent="0.25">
      <c r="A47" s="1105"/>
      <c r="B47" s="43" t="s">
        <v>117</v>
      </c>
      <c r="C47" s="136" t="s">
        <v>39</v>
      </c>
      <c r="D47" s="540">
        <f>IF(D$17='Indata - Fordon och Trafik'!$A$3,'Indata - Fordon och Trafik'!$C36,'Indata - Fordon och Trafik'!$H36)</f>
        <v>1.8521521959043132</v>
      </c>
      <c r="E47" s="541">
        <f>IF(E$17='Indata - Fordon och Trafik'!$A$3,'Indata - Fordon och Trafik'!$D36,'Indata - Fordon och Trafik'!$I36)</f>
        <v>1.4301687678393367</v>
      </c>
      <c r="F47" s="542">
        <f t="shared" si="5"/>
        <v>1.8521521959043132</v>
      </c>
      <c r="G47" s="541">
        <f t="shared" si="5"/>
        <v>1.4301687678393367</v>
      </c>
      <c r="H47" s="542">
        <f t="shared" si="6"/>
        <v>1.8521521959043132</v>
      </c>
      <c r="I47" s="541">
        <f t="shared" si="6"/>
        <v>1.4301687678393367</v>
      </c>
      <c r="J47" s="40" t="s">
        <v>377</v>
      </c>
      <c r="K47" s="26"/>
      <c r="L47" s="26"/>
      <c r="M47" s="26"/>
      <c r="N47" s="26"/>
      <c r="O47" s="26"/>
      <c r="P47" s="26"/>
      <c r="Q47" s="26"/>
      <c r="R47" s="26"/>
      <c r="S47" s="26"/>
    </row>
    <row r="48" spans="1:19" x14ac:dyDescent="0.25">
      <c r="A48" s="1103"/>
      <c r="B48" s="43" t="s">
        <v>118</v>
      </c>
      <c r="C48" s="136" t="s">
        <v>39</v>
      </c>
      <c r="D48" s="543">
        <f>IF(D$17='Indata - Fordon och Trafik'!$A$3,'Indata - Fordon och Trafik'!$C37,'Indata - Fordon och Trafik'!$H37)</f>
        <v>2.2765487554982271</v>
      </c>
      <c r="E48" s="527">
        <f>IF(E$17='Indata - Fordon och Trafik'!$A$3,'Indata - Fordon och Trafik'!$D37,'Indata - Fordon och Trafik'!$I37)</f>
        <v>1.7743995375527619</v>
      </c>
      <c r="F48" s="526">
        <f t="shared" si="5"/>
        <v>2.2765487554982271</v>
      </c>
      <c r="G48" s="527">
        <f t="shared" si="5"/>
        <v>1.7743995375527619</v>
      </c>
      <c r="H48" s="526">
        <f t="shared" si="6"/>
        <v>2.2765487554982271</v>
      </c>
      <c r="I48" s="527">
        <f t="shared" si="6"/>
        <v>1.7743995375527619</v>
      </c>
      <c r="J48" s="40" t="s">
        <v>377</v>
      </c>
      <c r="K48" s="26"/>
      <c r="L48" s="26"/>
      <c r="M48" s="26"/>
      <c r="N48" s="26"/>
      <c r="O48" s="26"/>
      <c r="P48" s="26"/>
      <c r="Q48" s="26"/>
      <c r="R48" s="26"/>
      <c r="S48" s="26"/>
    </row>
    <row r="49" spans="1:19" ht="15.75" thickBot="1" x14ac:dyDescent="0.3">
      <c r="A49" s="1103"/>
      <c r="B49" s="43" t="s">
        <v>119</v>
      </c>
      <c r="C49" s="136" t="s">
        <v>39</v>
      </c>
      <c r="D49" s="544">
        <f>IF(D$17='Indata - Fordon och Trafik'!$A$3,'Indata - Fordon och Trafik'!$C38,'Indata - Fordon och Trafik'!$H38)</f>
        <v>2.9364819147657566</v>
      </c>
      <c r="E49" s="545">
        <f>IF(E$17='Indata - Fordon och Trafik'!$A$3,'Indata - Fordon och Trafik'!$D38,'Indata - Fordon och Trafik'!$I38)</f>
        <v>2.3008116808806713</v>
      </c>
      <c r="F49" s="546">
        <f t="shared" si="5"/>
        <v>2.9364819147657566</v>
      </c>
      <c r="G49" s="545">
        <f t="shared" si="5"/>
        <v>2.3008116808806713</v>
      </c>
      <c r="H49" s="546">
        <f t="shared" si="6"/>
        <v>2.9364819147657566</v>
      </c>
      <c r="I49" s="545">
        <f t="shared" si="6"/>
        <v>2.3008116808806713</v>
      </c>
      <c r="J49" s="40" t="s">
        <v>377</v>
      </c>
      <c r="K49" s="26"/>
      <c r="L49" s="26"/>
      <c r="M49" s="26"/>
      <c r="N49" s="26"/>
      <c r="O49" s="26"/>
      <c r="P49" s="26"/>
      <c r="Q49" s="26"/>
      <c r="R49" s="26"/>
      <c r="S49" s="26"/>
    </row>
    <row r="50" spans="1:19" ht="14.45" customHeight="1" x14ac:dyDescent="0.25">
      <c r="A50" s="1100" t="s">
        <v>379</v>
      </c>
      <c r="B50" s="106" t="s">
        <v>116</v>
      </c>
      <c r="C50" s="140" t="s">
        <v>40</v>
      </c>
      <c r="D50" s="539">
        <f>IF(D$17='Indata - Fordon och Trafik'!$A$3,'Indata - Fordon och Trafik'!$C39,'Indata - Fordon och Trafik'!$H39)</f>
        <v>8.4732522945626005</v>
      </c>
      <c r="E50" s="525">
        <f>IF(E$17='Indata - Fordon och Trafik'!$A$3,'Indata - Fordon och Trafik'!$D39,'Indata - Fordon och Trafik'!$I39)</f>
        <v>8.4732522945626005</v>
      </c>
      <c r="F50" s="524">
        <f t="shared" si="5"/>
        <v>8.4732522945626005</v>
      </c>
      <c r="G50" s="525">
        <f t="shared" si="5"/>
        <v>8.4732522945626005</v>
      </c>
      <c r="H50" s="524">
        <f t="shared" si="6"/>
        <v>8.4732522945626005</v>
      </c>
      <c r="I50" s="525">
        <f t="shared" si="6"/>
        <v>8.4732522945626005</v>
      </c>
      <c r="J50" s="40" t="s">
        <v>376</v>
      </c>
      <c r="K50" s="26"/>
      <c r="L50" s="26"/>
      <c r="M50" s="26"/>
      <c r="N50" s="26"/>
      <c r="O50" s="26"/>
      <c r="P50" s="26"/>
      <c r="Q50" s="26"/>
      <c r="R50" s="26"/>
      <c r="S50" s="26"/>
    </row>
    <row r="51" spans="1:19" ht="14.45" customHeight="1" x14ac:dyDescent="0.25">
      <c r="A51" s="1105"/>
      <c r="B51" s="43" t="s">
        <v>117</v>
      </c>
      <c r="C51" s="136" t="s">
        <v>40</v>
      </c>
      <c r="D51" s="540">
        <f>IF(D$17='Indata - Fordon och Trafik'!$A$3,'Indata - Fordon och Trafik'!$C40,'Indata - Fordon och Trafik'!$H40)</f>
        <v>8.4732522945626005</v>
      </c>
      <c r="E51" s="541">
        <f>IF(E$17='Indata - Fordon och Trafik'!$A$3,'Indata - Fordon och Trafik'!$D40,'Indata - Fordon och Trafik'!$I40)</f>
        <v>8.4732522945626005</v>
      </c>
      <c r="F51" s="542">
        <f t="shared" si="5"/>
        <v>8.4732522945626005</v>
      </c>
      <c r="G51" s="541">
        <f t="shared" si="5"/>
        <v>8.4732522945626005</v>
      </c>
      <c r="H51" s="542">
        <f t="shared" si="6"/>
        <v>8.4732522945626005</v>
      </c>
      <c r="I51" s="541">
        <f t="shared" si="6"/>
        <v>8.4732522945626005</v>
      </c>
      <c r="J51" s="40" t="s">
        <v>376</v>
      </c>
      <c r="K51" s="26"/>
      <c r="L51" s="26"/>
      <c r="M51" s="26"/>
      <c r="N51" s="26"/>
      <c r="O51" s="26"/>
      <c r="P51" s="26"/>
      <c r="Q51" s="26"/>
      <c r="R51" s="26"/>
      <c r="S51" s="26"/>
    </row>
    <row r="52" spans="1:19" x14ac:dyDescent="0.25">
      <c r="A52" s="1103"/>
      <c r="B52" s="43" t="s">
        <v>118</v>
      </c>
      <c r="C52" s="136" t="s">
        <v>40</v>
      </c>
      <c r="D52" s="543">
        <f>IF(D$17='Indata - Fordon och Trafik'!$A$3,'Indata - Fordon och Trafik'!$C41,'Indata - Fordon och Trafik'!$H41)</f>
        <v>13.374188060932356</v>
      </c>
      <c r="E52" s="527">
        <f>IF(E$17='Indata - Fordon och Trafik'!$A$3,'Indata - Fordon och Trafik'!$D41,'Indata - Fordon och Trafik'!$I41)</f>
        <v>13.374188060932356</v>
      </c>
      <c r="F52" s="526">
        <f t="shared" si="5"/>
        <v>13.374188060932356</v>
      </c>
      <c r="G52" s="527">
        <f t="shared" si="5"/>
        <v>13.374188060932356</v>
      </c>
      <c r="H52" s="526">
        <f t="shared" si="6"/>
        <v>13.374188060932356</v>
      </c>
      <c r="I52" s="527">
        <f t="shared" si="6"/>
        <v>13.374188060932356</v>
      </c>
      <c r="J52" s="40" t="s">
        <v>376</v>
      </c>
      <c r="K52" s="26"/>
      <c r="L52" s="26"/>
      <c r="M52" s="26"/>
      <c r="N52" s="26"/>
      <c r="O52" s="26"/>
      <c r="P52" s="26"/>
      <c r="Q52" s="26"/>
      <c r="R52" s="26"/>
      <c r="S52" s="26"/>
    </row>
    <row r="53" spans="1:19" ht="15.75" thickBot="1" x14ac:dyDescent="0.3">
      <c r="A53" s="1103"/>
      <c r="B53" s="43" t="s">
        <v>119</v>
      </c>
      <c r="C53" s="136" t="s">
        <v>40</v>
      </c>
      <c r="D53" s="544">
        <f>IF(D$17='Indata - Fordon och Trafik'!$A$3,'Indata - Fordon och Trafik'!$C42,'Indata - Fordon och Trafik'!$H42)</f>
        <v>15.182448650666799</v>
      </c>
      <c r="E53" s="545">
        <f>IF(E$17='Indata - Fordon och Trafik'!$A$3,'Indata - Fordon och Trafik'!$D42,'Indata - Fordon och Trafik'!$I42)</f>
        <v>15.182448650666799</v>
      </c>
      <c r="F53" s="546">
        <f t="shared" si="5"/>
        <v>15.182448650666799</v>
      </c>
      <c r="G53" s="545">
        <f t="shared" si="5"/>
        <v>15.182448650666799</v>
      </c>
      <c r="H53" s="546">
        <f t="shared" si="6"/>
        <v>15.182448650666799</v>
      </c>
      <c r="I53" s="545">
        <f t="shared" si="6"/>
        <v>15.182448650666799</v>
      </c>
      <c r="J53" s="40" t="s">
        <v>376</v>
      </c>
      <c r="K53" s="26"/>
      <c r="L53" s="26"/>
      <c r="M53" s="26"/>
      <c r="N53" s="26"/>
      <c r="O53" s="26"/>
      <c r="P53" s="26"/>
      <c r="Q53" s="26"/>
      <c r="R53" s="26"/>
      <c r="S53" s="26"/>
    </row>
    <row r="54" spans="1:19" s="372" customFormat="1" x14ac:dyDescent="0.25">
      <c r="A54" s="1085" t="s">
        <v>829</v>
      </c>
      <c r="B54" s="1037" t="s">
        <v>116</v>
      </c>
      <c r="C54" s="1038" t="s">
        <v>74</v>
      </c>
      <c r="D54" s="1043">
        <f>'AVs - antaganden'!C3</f>
        <v>171.96222222222224</v>
      </c>
      <c r="E54" s="1044">
        <f>'AVs - antaganden'!C3</f>
        <v>171.96222222222224</v>
      </c>
      <c r="F54" s="1043">
        <f>D54</f>
        <v>171.96222222222224</v>
      </c>
      <c r="G54" s="1049">
        <f t="shared" si="5"/>
        <v>171.96222222222224</v>
      </c>
      <c r="H54" s="1043">
        <f t="shared" ref="H54:I54" si="7">F54</f>
        <v>171.96222222222224</v>
      </c>
      <c r="I54" s="1044">
        <f t="shared" si="7"/>
        <v>171.96222222222224</v>
      </c>
      <c r="J54" s="40"/>
    </row>
    <row r="55" spans="1:19" s="372" customFormat="1" x14ac:dyDescent="0.25">
      <c r="A55" s="1086"/>
      <c r="B55" s="27" t="s">
        <v>117</v>
      </c>
      <c r="C55" s="1039" t="s">
        <v>74</v>
      </c>
      <c r="D55" s="1045">
        <f>'AVs - antaganden'!C4</f>
        <v>151.47333333333327</v>
      </c>
      <c r="E55" s="1046">
        <f>'AVs - antaganden'!C4</f>
        <v>151.47333333333327</v>
      </c>
      <c r="F55" s="1045">
        <f t="shared" ref="F55:F57" si="8">D55</f>
        <v>151.47333333333327</v>
      </c>
      <c r="G55" s="1050">
        <f t="shared" ref="G55:G57" si="9">E55</f>
        <v>151.47333333333327</v>
      </c>
      <c r="H55" s="1045">
        <f t="shared" ref="H55:H57" si="10">F55</f>
        <v>151.47333333333327</v>
      </c>
      <c r="I55" s="1046">
        <f t="shared" ref="I55:I57" si="11">G55</f>
        <v>151.47333333333327</v>
      </c>
      <c r="J55" s="40"/>
    </row>
    <row r="56" spans="1:19" s="372" customFormat="1" x14ac:dyDescent="0.25">
      <c r="A56" s="1086"/>
      <c r="B56" s="27" t="s">
        <v>118</v>
      </c>
      <c r="C56" s="1039" t="s">
        <v>74</v>
      </c>
      <c r="D56" s="1045">
        <f>'AVs - antaganden'!C5</f>
        <v>131.61270986021509</v>
      </c>
      <c r="E56" s="1046">
        <f>'AVs - antaganden'!C5</f>
        <v>131.61270986021509</v>
      </c>
      <c r="F56" s="1045">
        <f t="shared" si="8"/>
        <v>131.61270986021509</v>
      </c>
      <c r="G56" s="1050">
        <f t="shared" si="9"/>
        <v>131.61270986021509</v>
      </c>
      <c r="H56" s="1045">
        <f t="shared" si="10"/>
        <v>131.61270986021509</v>
      </c>
      <c r="I56" s="1046">
        <f t="shared" si="11"/>
        <v>131.61270986021509</v>
      </c>
      <c r="J56" s="40"/>
    </row>
    <row r="57" spans="1:19" s="372" customFormat="1" ht="15.75" thickBot="1" x14ac:dyDescent="0.3">
      <c r="A57" s="1087"/>
      <c r="B57" s="912" t="s">
        <v>119</v>
      </c>
      <c r="C57" s="975" t="s">
        <v>74</v>
      </c>
      <c r="D57" s="1047">
        <f>'AVs - antaganden'!C6</f>
        <v>138.28043235708435</v>
      </c>
      <c r="E57" s="1048">
        <f>'AVs - antaganden'!C6</f>
        <v>138.28043235708435</v>
      </c>
      <c r="F57" s="1047">
        <f t="shared" si="8"/>
        <v>138.28043235708435</v>
      </c>
      <c r="G57" s="1051">
        <f t="shared" si="9"/>
        <v>138.28043235708435</v>
      </c>
      <c r="H57" s="1047">
        <f t="shared" si="10"/>
        <v>138.28043235708435</v>
      </c>
      <c r="I57" s="1048">
        <f t="shared" si="11"/>
        <v>138.28043235708435</v>
      </c>
      <c r="J57" s="40"/>
    </row>
    <row r="58" spans="1:19" s="40" customFormat="1" ht="15" customHeight="1" x14ac:dyDescent="0.2">
      <c r="A58" s="1094" t="s">
        <v>0</v>
      </c>
      <c r="B58" s="43" t="s">
        <v>9</v>
      </c>
      <c r="C58" s="43" t="s">
        <v>262</v>
      </c>
      <c r="D58" s="1035">
        <f>'Modell - Drivmedelpriser'!E58</f>
        <v>13.466674098111907</v>
      </c>
      <c r="E58" s="1036">
        <f>'Modell - Drivmedelpriser'!F58</f>
        <v>16.350158148247193</v>
      </c>
      <c r="F58" s="542">
        <f>'Modell - Drivmedelpriser'!G58</f>
        <v>13.466674098111907</v>
      </c>
      <c r="G58" s="541">
        <f>'Modell - Drivmedelpriser'!H58</f>
        <v>16.350158148247193</v>
      </c>
      <c r="H58" s="542">
        <f>'Modell - Drivmedelpriser'!I58</f>
        <v>13.466674098111907</v>
      </c>
      <c r="I58" s="541">
        <f>'Modell - Drivmedelpriser'!J58</f>
        <v>16.350158148247193</v>
      </c>
      <c r="J58" s="40" t="s">
        <v>173</v>
      </c>
    </row>
    <row r="59" spans="1:19" s="40" customFormat="1" ht="15" customHeight="1" thickBot="1" x14ac:dyDescent="0.25">
      <c r="A59" s="1094"/>
      <c r="B59" s="43" t="s">
        <v>7</v>
      </c>
      <c r="C59" s="286" t="s">
        <v>263</v>
      </c>
      <c r="D59" s="547">
        <f>'Modell - Drivmedelpriser'!E84</f>
        <v>1.1975304347826086</v>
      </c>
      <c r="E59" s="548">
        <f>'Modell - Drivmedelpriser'!F84</f>
        <v>1.4034</v>
      </c>
      <c r="F59" s="546">
        <f>'Modell - Drivmedelpriser'!G84</f>
        <v>1.1975304347826086</v>
      </c>
      <c r="G59" s="545">
        <f>'Modell - Drivmedelpriser'!H84</f>
        <v>1.4034</v>
      </c>
      <c r="H59" s="546">
        <f>'Modell - Drivmedelpriser'!I84</f>
        <v>1.1975304347826086</v>
      </c>
      <c r="I59" s="545">
        <f>'Modell - Drivmedelpriser'!J84</f>
        <v>1.4034</v>
      </c>
      <c r="J59" s="40" t="s">
        <v>173</v>
      </c>
    </row>
    <row r="60" spans="1:19" s="40" customFormat="1" ht="15" customHeight="1" x14ac:dyDescent="0.2">
      <c r="A60" s="1102" t="s">
        <v>17</v>
      </c>
      <c r="B60" s="333" t="s">
        <v>120</v>
      </c>
      <c r="C60" s="334" t="s">
        <v>36</v>
      </c>
      <c r="D60" s="516">
        <f t="shared" ref="D60:I60" si="12">SUM(D61:D64)</f>
        <v>5.9773733906447069</v>
      </c>
      <c r="E60" s="411">
        <f t="shared" si="12"/>
        <v>7.0489625732912895</v>
      </c>
      <c r="F60" s="410">
        <f t="shared" si="12"/>
        <v>5.9773733906447069</v>
      </c>
      <c r="G60" s="411">
        <f t="shared" si="12"/>
        <v>7.0489625732912895</v>
      </c>
      <c r="H60" s="410">
        <f t="shared" si="12"/>
        <v>5.9773733906447069</v>
      </c>
      <c r="I60" s="411">
        <f t="shared" si="12"/>
        <v>7.0489625732912895</v>
      </c>
      <c r="J60" s="40" t="s">
        <v>62</v>
      </c>
    </row>
    <row r="61" spans="1:19" x14ac:dyDescent="0.25">
      <c r="A61" s="1103"/>
      <c r="B61" s="43" t="s">
        <v>116</v>
      </c>
      <c r="C61" s="136" t="s">
        <v>36</v>
      </c>
      <c r="D61" s="540">
        <f>IF(D$17='Indata - Fordon och Trafik'!$A$3,'Indata - Fordon och Trafik'!$C28,'Indata - Fordon och Trafik'!$H28)</f>
        <v>0.22095243940171372</v>
      </c>
      <c r="E61" s="541">
        <f>IF(E$17='Indata - Fordon och Trafik'!$A$3,'Indata - Fordon och Trafik'!$D28,'Indata - Fordon och Trafik'!$I28)</f>
        <v>0.26056352414887451</v>
      </c>
      <c r="F61" s="542">
        <f t="shared" ref="F61:G64" si="13">D61</f>
        <v>0.22095243940171372</v>
      </c>
      <c r="G61" s="541">
        <f t="shared" si="13"/>
        <v>0.26056352414887451</v>
      </c>
      <c r="H61" s="542">
        <f t="shared" ref="H61:I64" si="14">D61</f>
        <v>0.22095243940171372</v>
      </c>
      <c r="I61" s="541">
        <f t="shared" si="14"/>
        <v>0.26056352414887451</v>
      </c>
      <c r="J61" s="40" t="s">
        <v>62</v>
      </c>
      <c r="K61" s="26"/>
      <c r="L61" s="26"/>
      <c r="M61" s="26"/>
      <c r="N61" s="26"/>
      <c r="O61" s="26"/>
      <c r="P61" s="26"/>
      <c r="Q61" s="26"/>
      <c r="R61" s="26"/>
      <c r="S61" s="26"/>
    </row>
    <row r="62" spans="1:19" x14ac:dyDescent="0.25">
      <c r="A62" s="1103"/>
      <c r="B62" s="43" t="s">
        <v>117</v>
      </c>
      <c r="C62" s="136" t="s">
        <v>36</v>
      </c>
      <c r="D62" s="540">
        <f>IF(D$17='Indata - Fordon och Trafik'!$A$3,'Indata - Fordon och Trafik'!$C29,'Indata - Fordon och Trafik'!$H29)</f>
        <v>0.24048713697194765</v>
      </c>
      <c r="E62" s="541">
        <f>IF(E$17='Indata - Fordon och Trafik'!$A$3,'Indata - Fordon och Trafik'!$D29,'Indata - Fordon och Trafik'!$I29)</f>
        <v>0.28360029014188726</v>
      </c>
      <c r="F62" s="542">
        <f t="shared" si="13"/>
        <v>0.24048713697194765</v>
      </c>
      <c r="G62" s="541">
        <f t="shared" si="13"/>
        <v>0.28360029014188726</v>
      </c>
      <c r="H62" s="542">
        <f t="shared" si="14"/>
        <v>0.24048713697194765</v>
      </c>
      <c r="I62" s="541">
        <f t="shared" si="14"/>
        <v>0.28360029014188726</v>
      </c>
      <c r="J62" s="40" t="s">
        <v>62</v>
      </c>
      <c r="K62" s="26"/>
      <c r="L62" s="26"/>
      <c r="M62" s="26"/>
      <c r="N62" s="26"/>
      <c r="O62" s="26"/>
      <c r="P62" s="26"/>
      <c r="Q62" s="26"/>
      <c r="R62" s="26"/>
      <c r="S62" s="26"/>
    </row>
    <row r="63" spans="1:19" x14ac:dyDescent="0.25">
      <c r="A63" s="1103"/>
      <c r="B63" s="43" t="s">
        <v>118</v>
      </c>
      <c r="C63" s="136" t="s">
        <v>36</v>
      </c>
      <c r="D63" s="540">
        <f>IF(D$17='Indata - Fordon och Trafik'!$A$3,'Indata - Fordon och Trafik'!$C30,'Indata - Fordon och Trafik'!$H30)</f>
        <v>1.9682018403049411</v>
      </c>
      <c r="E63" s="541">
        <f>IF(E$17='Indata - Fordon och Trafik'!$A$3,'Indata - Fordon och Trafik'!$D30,'Indata - Fordon och Trafik'!$I30)</f>
        <v>2.3210497658899261</v>
      </c>
      <c r="F63" s="542">
        <f t="shared" si="13"/>
        <v>1.9682018403049411</v>
      </c>
      <c r="G63" s="541">
        <f t="shared" si="13"/>
        <v>2.3210497658899261</v>
      </c>
      <c r="H63" s="542">
        <f t="shared" si="14"/>
        <v>1.9682018403049411</v>
      </c>
      <c r="I63" s="541">
        <f t="shared" si="14"/>
        <v>2.3210497658899261</v>
      </c>
      <c r="J63" s="40" t="s">
        <v>62</v>
      </c>
      <c r="K63" s="26"/>
      <c r="L63" s="26"/>
      <c r="M63" s="26"/>
      <c r="N63" s="26"/>
      <c r="O63" s="26"/>
      <c r="P63" s="26"/>
      <c r="Q63" s="26"/>
      <c r="R63" s="26"/>
      <c r="S63" s="26"/>
    </row>
    <row r="64" spans="1:19" ht="15.75" thickBot="1" x14ac:dyDescent="0.3">
      <c r="A64" s="1104"/>
      <c r="B64" s="107" t="s">
        <v>119</v>
      </c>
      <c r="C64" s="137" t="s">
        <v>36</v>
      </c>
      <c r="D64" s="540">
        <f>IF(D$17='Indata - Fordon och Trafik'!$A$3,'Indata - Fordon och Trafik'!$C31,'Indata - Fordon och Trafik'!$H31)</f>
        <v>3.5477319739661044</v>
      </c>
      <c r="E64" s="541">
        <f>IF(E$17='Indata - Fordon och Trafik'!$A$3,'Indata - Fordon och Trafik'!$D31,'Indata - Fordon och Trafik'!$I31)</f>
        <v>4.1837489931106022</v>
      </c>
      <c r="F64" s="542">
        <f t="shared" si="13"/>
        <v>3.5477319739661044</v>
      </c>
      <c r="G64" s="541">
        <f t="shared" si="13"/>
        <v>4.1837489931106022</v>
      </c>
      <c r="H64" s="542">
        <f t="shared" si="14"/>
        <v>3.5477319739661044</v>
      </c>
      <c r="I64" s="541">
        <f t="shared" si="14"/>
        <v>4.1837489931106022</v>
      </c>
      <c r="J64" s="40" t="s">
        <v>62</v>
      </c>
      <c r="K64" s="26"/>
      <c r="L64" s="26"/>
      <c r="M64" s="26"/>
      <c r="N64" s="26"/>
      <c r="O64" s="26"/>
      <c r="P64" s="26"/>
      <c r="Q64" s="26"/>
      <c r="R64" s="26"/>
      <c r="S64" s="26"/>
    </row>
    <row r="65" spans="1:19" ht="15.75" thickBot="1" x14ac:dyDescent="0.3">
      <c r="A65" s="423" t="s">
        <v>205</v>
      </c>
      <c r="B65" s="107" t="s">
        <v>121</v>
      </c>
      <c r="C65" s="107" t="s">
        <v>25</v>
      </c>
      <c r="D65" s="81">
        <v>0</v>
      </c>
      <c r="E65" s="82">
        <v>0</v>
      </c>
      <c r="F65" s="517">
        <f>EMA!B4</f>
        <v>0</v>
      </c>
      <c r="G65" s="517">
        <f>EMA!C4</f>
        <v>0</v>
      </c>
      <c r="H65" s="519">
        <f>EMA!B4</f>
        <v>0</v>
      </c>
      <c r="I65" s="519">
        <f>EMA!C4</f>
        <v>0</v>
      </c>
      <c r="J65" s="40" t="s">
        <v>72</v>
      </c>
      <c r="K65" s="26"/>
      <c r="L65" s="26"/>
      <c r="M65" s="26"/>
      <c r="N65" s="26"/>
      <c r="O65" s="26"/>
      <c r="P65" s="26"/>
      <c r="Q65" s="26"/>
      <c r="R65" s="26"/>
      <c r="S65" s="26"/>
    </row>
    <row r="66" spans="1:19" ht="16.5" thickBot="1" x14ac:dyDescent="0.3">
      <c r="A66" s="124" t="s">
        <v>306</v>
      </c>
      <c r="B66" s="125" t="s">
        <v>18</v>
      </c>
      <c r="C66" s="125" t="s">
        <v>14</v>
      </c>
      <c r="D66" s="424">
        <v>2030</v>
      </c>
      <c r="E66" s="425">
        <v>2040</v>
      </c>
      <c r="F66" s="424">
        <v>2030</v>
      </c>
      <c r="G66" s="425">
        <v>2040</v>
      </c>
      <c r="H66" s="424">
        <v>2030</v>
      </c>
      <c r="I66" s="425">
        <v>2040</v>
      </c>
      <c r="J66" s="1083" t="s">
        <v>15</v>
      </c>
      <c r="K66" s="1084"/>
    </row>
    <row r="67" spans="1:19" x14ac:dyDescent="0.25">
      <c r="A67" s="1100" t="s">
        <v>312</v>
      </c>
      <c r="B67" s="106" t="s">
        <v>307</v>
      </c>
      <c r="C67" s="106" t="s">
        <v>309</v>
      </c>
      <c r="D67" s="408">
        <f>IF(D$23='Indata - Fordon och Trafik'!$K$9,'Indata - Fordon och Trafik'!O7,IF($D$23='Indata - Fordon och Trafik'!$K$10,'Indata - Fordon och Trafik'!O15,'Indata - Fordon och Trafik'!O23))</f>
        <v>3.04</v>
      </c>
      <c r="E67" s="520">
        <f>IF(E$23='Indata - Fordon och Trafik'!$K$9,'Indata - Fordon och Trafik'!P7,IF($E$23='Indata - Fordon och Trafik'!$K$10,'Indata - Fordon och Trafik'!P15,'Indata - Fordon och Trafik'!P23))</f>
        <v>1.89</v>
      </c>
      <c r="F67" s="408">
        <f>IF(F$23='Indata - Fordon och Trafik'!$K$9,'Indata - Fordon och Trafik'!O7,IF($F$23='Indata - Fordon och Trafik'!$K$10,'Indata - Fordon och Trafik'!O15,'Indata - Fordon och Trafik'!O23))</f>
        <v>3.04</v>
      </c>
      <c r="G67" s="520">
        <f>IF(G$23='Indata - Fordon och Trafik'!$K$9,'Indata - Fordon och Trafik'!P7,IF($G$23='Indata - Fordon och Trafik'!$K$10,'Indata - Fordon och Trafik'!P15,'Indata - Fordon och Trafik'!P23))</f>
        <v>0.97</v>
      </c>
      <c r="H67" s="408">
        <f>IF(H$23='Indata - Fordon och Trafik'!$K$9,'Indata - Fordon och Trafik'!O7,IF($H$23='Indata - Fordon och Trafik'!$K$10,'Indata - Fordon och Trafik'!O15,'Indata - Fordon och Trafik'!O23))</f>
        <v>3.04</v>
      </c>
      <c r="I67" s="381">
        <f>IF(I$23='Indata - Fordon och Trafik'!$K$9,'Indata - Fordon och Trafik'!P7,IF($I$23='Indata - Fordon och Trafik'!$K$10,'Indata - Fordon och Trafik'!P15,'Indata - Fordon och Trafik'!P23))</f>
        <v>1.89</v>
      </c>
      <c r="J67" s="40" t="s">
        <v>316</v>
      </c>
    </row>
    <row r="68" spans="1:19" ht="15.75" thickBot="1" x14ac:dyDescent="0.3">
      <c r="A68" s="1101"/>
      <c r="B68" s="107" t="s">
        <v>7</v>
      </c>
      <c r="C68" s="107" t="s">
        <v>309</v>
      </c>
      <c r="D68" s="409">
        <f>IF(D$23='Indata - Fordon och Trafik'!$K$9,'Indata - Fordon och Trafik'!O8,IF($D$23='Indata - Fordon och Trafik'!$K$10,'Indata - Fordon och Trafik'!O16,'Indata - Fordon och Trafik'!O24))</f>
        <v>0.26</v>
      </c>
      <c r="E68" s="521">
        <f>IF(E$23='Indata - Fordon och Trafik'!$K$9,'Indata - Fordon och Trafik'!P8,IF($E$23='Indata - Fordon och Trafik'!$K$10,'Indata - Fordon och Trafik'!P16,'Indata - Fordon och Trafik'!P24))</f>
        <v>0.56000000000000005</v>
      </c>
      <c r="F68" s="409">
        <f>IF(F$23='Indata - Fordon och Trafik'!$K$9,'Indata - Fordon och Trafik'!O8,IF($F$23='Indata - Fordon och Trafik'!$K$10,'Indata - Fordon och Trafik'!O16,'Indata - Fordon och Trafik'!O24))</f>
        <v>0.26</v>
      </c>
      <c r="G68" s="521">
        <f>IF(G$23='Indata - Fordon och Trafik'!$K$9,'Indata - Fordon och Trafik'!P8,IF($G$23='Indata - Fordon och Trafik'!$K$10,'Indata - Fordon och Trafik'!P16,'Indata - Fordon och Trafik'!P24))</f>
        <v>1.1200000000000001</v>
      </c>
      <c r="H68" s="409">
        <f>IF(H$23='Indata - Fordon och Trafik'!$K$9,'Indata - Fordon och Trafik'!O8,IF($H$23='Indata - Fordon och Trafik'!$K$10,'Indata - Fordon och Trafik'!O16,'Indata - Fordon och Trafik'!O24))</f>
        <v>0.26</v>
      </c>
      <c r="I68" s="522">
        <f>IF(I$23='Indata - Fordon och Trafik'!$K$9,'Indata - Fordon och Trafik'!P8,IF($I$23='Indata - Fordon och Trafik'!$K$10,'Indata - Fordon och Trafik'!P16,'Indata - Fordon och Trafik'!P24))</f>
        <v>0.56000000000000005</v>
      </c>
      <c r="J68" s="40" t="s">
        <v>316</v>
      </c>
    </row>
    <row r="69" spans="1:19" ht="16.5" thickBot="1" x14ac:dyDescent="0.3">
      <c r="A69" s="124" t="s">
        <v>814</v>
      </c>
      <c r="B69" s="125" t="s">
        <v>18</v>
      </c>
      <c r="C69" s="125" t="s">
        <v>14</v>
      </c>
      <c r="D69" s="650">
        <v>2030</v>
      </c>
      <c r="E69" s="651">
        <v>2040</v>
      </c>
      <c r="F69" s="650">
        <v>2030</v>
      </c>
      <c r="G69" s="651">
        <v>2040</v>
      </c>
      <c r="H69" s="650">
        <v>2030</v>
      </c>
      <c r="I69" s="651">
        <v>2040</v>
      </c>
      <c r="J69" s="1083" t="s">
        <v>15</v>
      </c>
      <c r="K69" s="1084"/>
    </row>
    <row r="70" spans="1:19" ht="36.75" customHeight="1" thickBot="1" x14ac:dyDescent="0.3">
      <c r="A70" s="1071" t="s">
        <v>815</v>
      </c>
      <c r="B70" s="108" t="s">
        <v>121</v>
      </c>
      <c r="C70" s="108" t="s">
        <v>816</v>
      </c>
      <c r="D70" s="1052">
        <v>0</v>
      </c>
      <c r="E70" s="1055">
        <v>0</v>
      </c>
      <c r="F70" s="1053">
        <f>EMA!B11</f>
        <v>0</v>
      </c>
      <c r="G70" s="1054">
        <f>EMA!C11</f>
        <v>0</v>
      </c>
      <c r="H70" s="1053">
        <f>EMA!B11</f>
        <v>0</v>
      </c>
      <c r="I70" s="1054">
        <f>EMA!C11</f>
        <v>0</v>
      </c>
    </row>
    <row r="71" spans="1:19" ht="24.75" thickBot="1" x14ac:dyDescent="0.3">
      <c r="A71" s="1072" t="s">
        <v>830</v>
      </c>
      <c r="B71" s="107" t="s">
        <v>121</v>
      </c>
      <c r="C71" s="107" t="s">
        <v>832</v>
      </c>
      <c r="D71" s="1056">
        <v>0</v>
      </c>
      <c r="E71" s="1057">
        <v>0</v>
      </c>
      <c r="F71" s="1053">
        <f>EMA!B12</f>
        <v>0</v>
      </c>
      <c r="G71" s="1054">
        <f>EMA!C12</f>
        <v>0</v>
      </c>
      <c r="H71" s="1053">
        <f>EMA!B12</f>
        <v>0</v>
      </c>
      <c r="I71" s="1054">
        <f>EMA!C12</f>
        <v>0</v>
      </c>
    </row>
    <row r="72" spans="1:19" ht="15.75" thickBot="1" x14ac:dyDescent="0.3">
      <c r="A72" s="1088" t="s">
        <v>831</v>
      </c>
      <c r="B72" s="106" t="s">
        <v>116</v>
      </c>
      <c r="C72" s="107" t="s">
        <v>832</v>
      </c>
      <c r="D72" s="1066">
        <f>'AVs - antaganden'!C25</f>
        <v>-0.31814855471261938</v>
      </c>
      <c r="E72" s="1061">
        <f>D72</f>
        <v>-0.31814855471261938</v>
      </c>
      <c r="F72" s="1060">
        <f>D72</f>
        <v>-0.31814855471261938</v>
      </c>
      <c r="G72" s="1061">
        <f>F72</f>
        <v>-0.31814855471261938</v>
      </c>
      <c r="H72" s="154">
        <f t="shared" ref="H72:H75" si="15">F72</f>
        <v>-0.31814855471261938</v>
      </c>
      <c r="I72" s="156">
        <f t="shared" ref="I72:I75" si="16">G72</f>
        <v>-0.31814855471261938</v>
      </c>
    </row>
    <row r="73" spans="1:19" ht="15.75" thickBot="1" x14ac:dyDescent="0.3">
      <c r="A73" s="1089"/>
      <c r="B73" s="43" t="s">
        <v>117</v>
      </c>
      <c r="C73" s="107" t="s">
        <v>832</v>
      </c>
      <c r="D73" s="1067">
        <f>'AVs - antaganden'!C26</f>
        <v>-0.22629127942102728</v>
      </c>
      <c r="E73" s="1063">
        <f t="shared" ref="E73:E75" si="17">D73</f>
        <v>-0.22629127942102728</v>
      </c>
      <c r="F73" s="1062">
        <f t="shared" ref="F73:F75" si="18">D73</f>
        <v>-0.22629127942102728</v>
      </c>
      <c r="G73" s="1063">
        <f t="shared" ref="G73" si="19">F73</f>
        <v>-0.22629127942102728</v>
      </c>
      <c r="H73" s="154">
        <f t="shared" si="15"/>
        <v>-0.22629127942102728</v>
      </c>
      <c r="I73" s="156">
        <f t="shared" si="16"/>
        <v>-0.22629127942102728</v>
      </c>
    </row>
    <row r="74" spans="1:19" ht="15.75" thickBot="1" x14ac:dyDescent="0.3">
      <c r="A74" s="1089"/>
      <c r="B74" s="43" t="s">
        <v>118</v>
      </c>
      <c r="C74" s="107" t="s">
        <v>832</v>
      </c>
      <c r="D74" s="1067">
        <f>'AVs - antaganden'!C27</f>
        <v>-0.20532650551320625</v>
      </c>
      <c r="E74" s="1063">
        <f t="shared" si="17"/>
        <v>-0.20532650551320625</v>
      </c>
      <c r="F74" s="1062">
        <f t="shared" si="18"/>
        <v>-0.20532650551320625</v>
      </c>
      <c r="G74" s="1063">
        <f t="shared" ref="G74" si="20">F74</f>
        <v>-0.20532650551320625</v>
      </c>
      <c r="H74" s="154">
        <f t="shared" si="15"/>
        <v>-0.20532650551320625</v>
      </c>
      <c r="I74" s="156">
        <f t="shared" si="16"/>
        <v>-0.20532650551320625</v>
      </c>
    </row>
    <row r="75" spans="1:19" ht="15.75" thickBot="1" x14ac:dyDescent="0.3">
      <c r="A75" s="1090"/>
      <c r="B75" s="1064" t="s">
        <v>119</v>
      </c>
      <c r="C75" s="107" t="s">
        <v>832</v>
      </c>
      <c r="D75" s="1068">
        <f>'AVs - antaganden'!C28</f>
        <v>-0.19547055537784488</v>
      </c>
      <c r="E75" s="1057">
        <f t="shared" si="17"/>
        <v>-0.19547055537784488</v>
      </c>
      <c r="F75" s="1065">
        <f t="shared" si="18"/>
        <v>-0.19547055537784488</v>
      </c>
      <c r="G75" s="1057">
        <f t="shared" ref="G75" si="21">F75</f>
        <v>-0.19547055537784488</v>
      </c>
      <c r="H75" s="1058">
        <f t="shared" si="15"/>
        <v>-0.19547055537784488</v>
      </c>
      <c r="I75" s="1059">
        <f t="shared" si="16"/>
        <v>-0.19547055537784488</v>
      </c>
    </row>
    <row r="76" spans="1:19" x14ac:dyDescent="0.25">
      <c r="B76" s="372"/>
      <c r="C76" s="372"/>
      <c r="D76" s="372"/>
      <c r="E76" s="372"/>
    </row>
    <row r="77" spans="1:19" x14ac:dyDescent="0.25">
      <c r="B77" s="372"/>
      <c r="C77" s="372"/>
      <c r="D77" s="372"/>
      <c r="E77" s="372"/>
    </row>
    <row r="78" spans="1:19" x14ac:dyDescent="0.25">
      <c r="B78" s="372"/>
      <c r="C78" s="372"/>
      <c r="D78" s="372"/>
      <c r="E78" s="372"/>
    </row>
    <row r="79" spans="1:19" x14ac:dyDescent="0.25">
      <c r="B79" s="372"/>
      <c r="C79" s="372"/>
      <c r="D79" s="372"/>
      <c r="E79" s="372"/>
    </row>
    <row r="80" spans="1:19" x14ac:dyDescent="0.25">
      <c r="B80" s="372"/>
      <c r="C80" s="372" t="s">
        <v>849</v>
      </c>
      <c r="D80" s="372"/>
      <c r="E80" s="372"/>
      <c r="F80" s="40">
        <v>171.96222222222224</v>
      </c>
      <c r="G80" s="40">
        <v>171.96222222222224</v>
      </c>
      <c r="H80" s="40">
        <v>171.96222222222224</v>
      </c>
      <c r="I80" s="40">
        <v>171.96222222222224</v>
      </c>
    </row>
    <row r="81" spans="2:9" x14ac:dyDescent="0.25">
      <c r="B81" s="372"/>
      <c r="C81" s="372"/>
      <c r="D81" s="372"/>
      <c r="E81" s="372"/>
      <c r="F81" s="40">
        <v>151.47333333333327</v>
      </c>
      <c r="G81" s="40">
        <v>151.47333333333327</v>
      </c>
      <c r="H81" s="40">
        <v>151.47333333333327</v>
      </c>
      <c r="I81" s="40">
        <v>151.47333333333327</v>
      </c>
    </row>
    <row r="82" spans="2:9" x14ac:dyDescent="0.25">
      <c r="B82" s="372"/>
      <c r="C82" s="372"/>
      <c r="D82" s="372"/>
      <c r="E82" s="372"/>
      <c r="F82" s="40">
        <v>131.61270986021509</v>
      </c>
      <c r="G82" s="40">
        <v>131.61270986021509</v>
      </c>
      <c r="H82" s="40">
        <v>131.61270986021509</v>
      </c>
      <c r="I82" s="40">
        <v>131.61270986021509</v>
      </c>
    </row>
    <row r="83" spans="2:9" x14ac:dyDescent="0.25">
      <c r="B83" s="372"/>
      <c r="C83" s="372"/>
      <c r="D83" s="372"/>
      <c r="E83" s="372"/>
      <c r="F83" s="40">
        <v>138.28043235708435</v>
      </c>
      <c r="G83" s="40">
        <v>138.28043235708435</v>
      </c>
      <c r="H83" s="40">
        <v>138.28043235708435</v>
      </c>
      <c r="I83" s="40">
        <v>138.28043235708435</v>
      </c>
    </row>
    <row r="84" spans="2:9" x14ac:dyDescent="0.25">
      <c r="B84" s="372"/>
      <c r="C84" s="372"/>
      <c r="D84" s="372"/>
      <c r="E84" s="372"/>
    </row>
    <row r="85" spans="2:9" ht="15.75" customHeight="1" x14ac:dyDescent="0.25">
      <c r="B85" s="372"/>
      <c r="C85" s="372"/>
      <c r="D85" s="372"/>
      <c r="E85" s="372"/>
    </row>
    <row r="86" spans="2:9" x14ac:dyDescent="0.25">
      <c r="B86" s="372"/>
      <c r="C86" s="372"/>
      <c r="D86" s="372"/>
      <c r="E86" s="372"/>
    </row>
    <row r="87" spans="2:9" x14ac:dyDescent="0.25">
      <c r="B87" s="372"/>
      <c r="C87" s="372"/>
      <c r="D87" s="372"/>
      <c r="E87" s="372"/>
    </row>
    <row r="88" spans="2:9" x14ac:dyDescent="0.25">
      <c r="B88" s="372"/>
      <c r="C88" s="372"/>
      <c r="D88" s="372"/>
      <c r="E88" s="372"/>
    </row>
    <row r="89" spans="2:9" x14ac:dyDescent="0.25">
      <c r="B89" s="372"/>
      <c r="C89" s="372"/>
      <c r="D89" s="372"/>
      <c r="E89" s="372"/>
    </row>
    <row r="90" spans="2:9" x14ac:dyDescent="0.25">
      <c r="B90" s="372"/>
      <c r="C90" s="372"/>
      <c r="D90" s="372"/>
      <c r="E90" s="372"/>
    </row>
  </sheetData>
  <protectedRanges>
    <protectedRange algorithmName="SHA-512" hashValue="bhbLMjBtLJkCl6+oRAIq98NZkcBAWzm8GjbRfoftLGnxxPl6tbwDiFe+9aTX2EHNMDT88cd1rnVmqQcow+/x8w==" saltValue="u4cWX+yqQiFBZXUHKrq6Og==" spinCount="100000" sqref="F9:G23" name="Indata"/>
  </protectedRanges>
  <mergeCells count="31">
    <mergeCell ref="A67:A68"/>
    <mergeCell ref="A60:A64"/>
    <mergeCell ref="A29:A31"/>
    <mergeCell ref="J66:K66"/>
    <mergeCell ref="A42:A45"/>
    <mergeCell ref="A46:A49"/>
    <mergeCell ref="A50:A53"/>
    <mergeCell ref="A39:A40"/>
    <mergeCell ref="A58:A59"/>
    <mergeCell ref="A32:A35"/>
    <mergeCell ref="A13:A14"/>
    <mergeCell ref="A19:A20"/>
    <mergeCell ref="A21:A22"/>
    <mergeCell ref="A15:A16"/>
    <mergeCell ref="A25:A27"/>
    <mergeCell ref="J69:K69"/>
    <mergeCell ref="A54:A57"/>
    <mergeCell ref="A72:A75"/>
    <mergeCell ref="D5:E5"/>
    <mergeCell ref="A9:A12"/>
    <mergeCell ref="D6:E6"/>
    <mergeCell ref="F6:G6"/>
    <mergeCell ref="H6:I6"/>
    <mergeCell ref="F5:G5"/>
    <mergeCell ref="H5:I5"/>
    <mergeCell ref="J7:K7"/>
    <mergeCell ref="J41:K41"/>
    <mergeCell ref="J5:K5"/>
    <mergeCell ref="J8:K8"/>
    <mergeCell ref="J18:K18"/>
    <mergeCell ref="J24:K24"/>
  </mergeCell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'Indata - Fordon och Trafik'!$K$5:$K$6</xm:f>
          </x14:formula1>
          <xm:sqref>D17:G17</xm:sqref>
        </x14:dataValidation>
        <x14:dataValidation type="list" allowBlank="1" showInputMessage="1" showErrorMessage="1">
          <x14:formula1>
            <xm:f>'Indata - Fordon och Trafik'!$K$9:$K$11</xm:f>
          </x14:formula1>
          <xm:sqref>D23:G23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I277"/>
  <sheetViews>
    <sheetView tabSelected="1" topLeftCell="A18" zoomScale="85" zoomScaleNormal="85" workbookViewId="0">
      <selection activeCell="C28" sqref="C28"/>
    </sheetView>
  </sheetViews>
  <sheetFormatPr defaultRowHeight="15" x14ac:dyDescent="0.25"/>
  <cols>
    <col min="1" max="1" width="75.5703125" bestFit="1" customWidth="1"/>
    <col min="2" max="2" width="32.140625" customWidth="1"/>
    <col min="3" max="3" width="29.42578125" customWidth="1"/>
    <col min="4" max="4" width="33.85546875" bestFit="1" customWidth="1"/>
    <col min="5" max="7" width="26.85546875" bestFit="1" customWidth="1"/>
    <col min="8" max="8" width="33" bestFit="1" customWidth="1"/>
  </cols>
  <sheetData>
    <row r="1" spans="1:9" x14ac:dyDescent="0.25">
      <c r="A1" s="1118" t="s">
        <v>413</v>
      </c>
      <c r="B1" s="1120" t="s">
        <v>429</v>
      </c>
      <c r="C1" s="1120"/>
      <c r="D1" s="1120" t="s">
        <v>408</v>
      </c>
      <c r="E1" s="1120"/>
      <c r="F1" s="1120"/>
      <c r="G1" s="1120"/>
      <c r="H1" s="1107" t="s">
        <v>410</v>
      </c>
      <c r="I1" s="1109" t="s">
        <v>425</v>
      </c>
    </row>
    <row r="2" spans="1:9" x14ac:dyDescent="0.25">
      <c r="A2" s="1119"/>
      <c r="B2" s="614">
        <v>2030</v>
      </c>
      <c r="C2" s="614">
        <v>2040</v>
      </c>
      <c r="D2" s="614" t="s">
        <v>412</v>
      </c>
      <c r="E2" s="614" t="s">
        <v>414</v>
      </c>
      <c r="F2" s="614" t="s">
        <v>491</v>
      </c>
      <c r="G2" s="614" t="s">
        <v>492</v>
      </c>
      <c r="H2" s="1108"/>
      <c r="I2" s="1110"/>
    </row>
    <row r="3" spans="1:9" x14ac:dyDescent="0.25">
      <c r="A3" s="615" t="s">
        <v>409</v>
      </c>
      <c r="B3" s="618">
        <v>0</v>
      </c>
      <c r="C3" s="619">
        <v>0</v>
      </c>
      <c r="D3" s="620" t="s">
        <v>498</v>
      </c>
      <c r="E3" s="612" t="s">
        <v>415</v>
      </c>
      <c r="F3" s="612"/>
      <c r="G3" s="616"/>
      <c r="H3" t="s">
        <v>411</v>
      </c>
      <c r="I3" s="616"/>
    </row>
    <row r="4" spans="1:9" x14ac:dyDescent="0.25">
      <c r="A4" s="616" t="s">
        <v>407</v>
      </c>
      <c r="B4" s="620">
        <v>0</v>
      </c>
      <c r="C4" s="621">
        <v>0</v>
      </c>
      <c r="D4" s="620" t="s">
        <v>499</v>
      </c>
      <c r="E4" s="612" t="s">
        <v>416</v>
      </c>
      <c r="F4" s="612"/>
      <c r="G4" s="616"/>
      <c r="H4" t="s">
        <v>411</v>
      </c>
      <c r="I4" s="616"/>
    </row>
    <row r="5" spans="1:9" x14ac:dyDescent="0.25">
      <c r="A5" s="616" t="s">
        <v>418</v>
      </c>
      <c r="B5" s="620">
        <v>0.18</v>
      </c>
      <c r="C5" s="616">
        <v>0.38</v>
      </c>
      <c r="D5" s="620" t="s">
        <v>500</v>
      </c>
      <c r="E5" s="612" t="s">
        <v>419</v>
      </c>
      <c r="F5" s="612"/>
      <c r="G5" s="616"/>
      <c r="H5" t="s">
        <v>420</v>
      </c>
      <c r="I5" s="616"/>
    </row>
    <row r="6" spans="1:9" x14ac:dyDescent="0.25">
      <c r="A6" s="616" t="s">
        <v>417</v>
      </c>
      <c r="B6" s="620">
        <v>0.02</v>
      </c>
      <c r="C6" s="616">
        <v>0.1</v>
      </c>
      <c r="D6" s="620" t="s">
        <v>501</v>
      </c>
      <c r="E6" s="612" t="s">
        <v>502</v>
      </c>
      <c r="F6" s="612"/>
      <c r="G6" s="616"/>
      <c r="H6" t="s">
        <v>420</v>
      </c>
      <c r="I6" s="616" t="s">
        <v>426</v>
      </c>
    </row>
    <row r="7" spans="1:9" x14ac:dyDescent="0.25">
      <c r="A7" s="616" t="s">
        <v>421</v>
      </c>
      <c r="B7" s="620">
        <v>1</v>
      </c>
      <c r="C7" s="616">
        <v>1</v>
      </c>
      <c r="D7" s="620" t="s">
        <v>503</v>
      </c>
      <c r="E7" s="612" t="s">
        <v>503</v>
      </c>
      <c r="F7" s="616" t="s">
        <v>506</v>
      </c>
      <c r="G7" s="612" t="s">
        <v>506</v>
      </c>
      <c r="H7" t="s">
        <v>424</v>
      </c>
      <c r="I7" s="616" t="s">
        <v>427</v>
      </c>
    </row>
    <row r="8" spans="1:9" x14ac:dyDescent="0.25">
      <c r="A8" s="616" t="s">
        <v>422</v>
      </c>
      <c r="B8" s="620">
        <v>1</v>
      </c>
      <c r="C8" s="616">
        <v>1</v>
      </c>
      <c r="D8" s="620" t="s">
        <v>504</v>
      </c>
      <c r="E8" s="612" t="s">
        <v>504</v>
      </c>
      <c r="F8" s="616" t="s">
        <v>507</v>
      </c>
      <c r="G8" s="612" t="s">
        <v>507</v>
      </c>
      <c r="H8" t="s">
        <v>424</v>
      </c>
      <c r="I8" s="616" t="s">
        <v>427</v>
      </c>
    </row>
    <row r="9" spans="1:9" x14ac:dyDescent="0.25">
      <c r="A9" s="616" t="s">
        <v>423</v>
      </c>
      <c r="B9" s="620">
        <v>1</v>
      </c>
      <c r="C9" s="616">
        <v>1</v>
      </c>
      <c r="D9" s="620" t="s">
        <v>505</v>
      </c>
      <c r="E9" s="612" t="s">
        <v>505</v>
      </c>
      <c r="F9" s="616" t="s">
        <v>508</v>
      </c>
      <c r="G9" s="612" t="s">
        <v>508</v>
      </c>
      <c r="H9" t="s">
        <v>424</v>
      </c>
      <c r="I9" s="616" t="s">
        <v>427</v>
      </c>
    </row>
    <row r="10" spans="1:9" x14ac:dyDescent="0.25">
      <c r="A10" s="616" t="s">
        <v>509</v>
      </c>
      <c r="B10" s="620" t="s">
        <v>510</v>
      </c>
      <c r="C10" s="616" t="s">
        <v>510</v>
      </c>
      <c r="D10" s="620"/>
      <c r="E10" s="612"/>
      <c r="F10" s="612"/>
      <c r="H10" t="s">
        <v>826</v>
      </c>
      <c r="I10" s="616"/>
    </row>
    <row r="11" spans="1:9" x14ac:dyDescent="0.25">
      <c r="A11" s="616" t="s">
        <v>848</v>
      </c>
      <c r="B11" s="633">
        <v>0</v>
      </c>
      <c r="C11" s="621">
        <v>0</v>
      </c>
      <c r="D11" s="620"/>
      <c r="E11" s="612"/>
      <c r="F11" s="612"/>
      <c r="H11" t="s">
        <v>827</v>
      </c>
      <c r="I11" s="616"/>
    </row>
    <row r="12" spans="1:9" x14ac:dyDescent="0.25">
      <c r="A12" s="616" t="s">
        <v>825</v>
      </c>
      <c r="B12" s="633">
        <v>0</v>
      </c>
      <c r="C12" s="621">
        <v>0</v>
      </c>
      <c r="D12" s="620"/>
      <c r="E12" s="612"/>
      <c r="F12" s="612"/>
      <c r="H12" t="s">
        <v>828</v>
      </c>
      <c r="I12" s="616"/>
    </row>
    <row r="13" spans="1:9" x14ac:dyDescent="0.25">
      <c r="A13" s="616"/>
      <c r="B13" s="620"/>
      <c r="C13" s="616"/>
      <c r="D13" s="620"/>
      <c r="E13" s="612"/>
      <c r="F13" s="612"/>
      <c r="G13" s="616"/>
      <c r="I13" s="616"/>
    </row>
    <row r="14" spans="1:9" x14ac:dyDescent="0.25">
      <c r="A14" s="617"/>
      <c r="B14" s="620"/>
      <c r="C14" s="616"/>
      <c r="D14" s="620"/>
      <c r="E14" s="612"/>
      <c r="F14" s="612"/>
      <c r="G14" s="616"/>
      <c r="I14" s="616"/>
    </row>
    <row r="15" spans="1:9" x14ac:dyDescent="0.25">
      <c r="A15" s="616"/>
      <c r="B15" s="620"/>
      <c r="C15" s="616"/>
      <c r="D15" s="620"/>
      <c r="E15" s="612"/>
      <c r="F15" s="612"/>
      <c r="G15" s="616"/>
      <c r="I15" s="616"/>
    </row>
    <row r="16" spans="1:9" x14ac:dyDescent="0.25">
      <c r="A16" s="616"/>
      <c r="B16" s="620"/>
      <c r="C16" s="616"/>
      <c r="D16" s="620"/>
      <c r="E16" s="612"/>
      <c r="F16" s="612"/>
      <c r="G16" s="616"/>
      <c r="I16" s="616"/>
    </row>
    <row r="17" spans="1:9" x14ac:dyDescent="0.25">
      <c r="A17" s="639" t="s">
        <v>428</v>
      </c>
      <c r="B17" s="1107" t="s">
        <v>429</v>
      </c>
      <c r="C17" s="1109"/>
      <c r="D17" s="1113" t="s">
        <v>408</v>
      </c>
      <c r="E17" s="1114"/>
      <c r="F17" s="640"/>
      <c r="G17" s="615"/>
      <c r="H17" s="1107" t="s">
        <v>410</v>
      </c>
      <c r="I17" s="1109" t="s">
        <v>425</v>
      </c>
    </row>
    <row r="18" spans="1:9" x14ac:dyDescent="0.25">
      <c r="A18" s="641"/>
      <c r="B18" s="644">
        <v>2030</v>
      </c>
      <c r="C18" s="645">
        <v>2040</v>
      </c>
      <c r="D18" s="636">
        <v>2030</v>
      </c>
      <c r="E18" s="637">
        <v>2040</v>
      </c>
      <c r="F18" s="613"/>
      <c r="G18" s="635"/>
      <c r="H18" s="1108"/>
      <c r="I18" s="1110"/>
    </row>
    <row r="19" spans="1:9" x14ac:dyDescent="0.25">
      <c r="A19" s="616" t="s">
        <v>210</v>
      </c>
      <c r="B19" s="620">
        <v>7.0000000000000007E-2</v>
      </c>
      <c r="C19" s="622">
        <v>0.19</v>
      </c>
      <c r="D19" s="631" t="s">
        <v>430</v>
      </c>
      <c r="E19" s="632" t="s">
        <v>529</v>
      </c>
      <c r="F19" s="612"/>
      <c r="G19" s="616"/>
      <c r="H19" t="s">
        <v>431</v>
      </c>
      <c r="I19" s="616"/>
    </row>
    <row r="20" spans="1:9" ht="15" customHeight="1" x14ac:dyDescent="0.25">
      <c r="A20" s="616" t="s">
        <v>177</v>
      </c>
      <c r="B20" s="620">
        <v>-0.1</v>
      </c>
      <c r="C20" s="622">
        <v>-0.1</v>
      </c>
      <c r="D20" s="631" t="s">
        <v>432</v>
      </c>
      <c r="E20" s="632" t="s">
        <v>530</v>
      </c>
      <c r="F20" s="612"/>
      <c r="G20" s="616"/>
      <c r="H20" t="s">
        <v>431</v>
      </c>
      <c r="I20" s="616"/>
    </row>
    <row r="21" spans="1:9" x14ac:dyDescent="0.25">
      <c r="A21" s="616" t="s">
        <v>178</v>
      </c>
      <c r="B21" s="620">
        <v>-0.2</v>
      </c>
      <c r="C21" s="622">
        <v>-0.2</v>
      </c>
      <c r="D21" s="631" t="s">
        <v>434</v>
      </c>
      <c r="E21" s="632" t="s">
        <v>531</v>
      </c>
      <c r="F21" s="612"/>
      <c r="G21" s="616"/>
      <c r="H21" t="s">
        <v>431</v>
      </c>
      <c r="I21" s="616"/>
    </row>
    <row r="22" spans="1:9" x14ac:dyDescent="0.25">
      <c r="A22" s="616" t="s">
        <v>179</v>
      </c>
      <c r="B22" s="620">
        <v>-0.22</v>
      </c>
      <c r="C22" s="622">
        <v>-0.22</v>
      </c>
      <c r="D22" s="631" t="s">
        <v>433</v>
      </c>
      <c r="E22" s="632" t="s">
        <v>532</v>
      </c>
      <c r="F22" s="612"/>
      <c r="G22" s="616"/>
      <c r="H22" t="s">
        <v>431</v>
      </c>
      <c r="I22" s="616"/>
    </row>
    <row r="23" spans="1:9" x14ac:dyDescent="0.25">
      <c r="A23" s="616"/>
      <c r="B23" s="620"/>
      <c r="C23" s="616"/>
      <c r="D23" s="620"/>
      <c r="E23" s="612"/>
      <c r="F23" s="612"/>
      <c r="G23" s="616"/>
      <c r="I23" s="616"/>
    </row>
    <row r="24" spans="1:9" x14ac:dyDescent="0.25">
      <c r="A24" s="616"/>
      <c r="B24" s="620"/>
      <c r="C24" s="616"/>
      <c r="D24" s="620"/>
      <c r="E24" s="612"/>
      <c r="F24" s="612"/>
      <c r="G24" s="616"/>
      <c r="I24" s="616"/>
    </row>
    <row r="25" spans="1:9" x14ac:dyDescent="0.25">
      <c r="A25" s="616"/>
      <c r="B25" s="620"/>
      <c r="C25" s="616"/>
      <c r="D25" s="620"/>
      <c r="E25" s="612"/>
      <c r="F25" s="612"/>
      <c r="G25" s="616"/>
      <c r="I25" s="616"/>
    </row>
    <row r="26" spans="1:9" x14ac:dyDescent="0.25">
      <c r="A26" s="616"/>
      <c r="B26" s="620"/>
      <c r="C26" s="616"/>
      <c r="D26" s="620"/>
      <c r="E26" s="612"/>
      <c r="F26" s="612"/>
      <c r="G26" s="616"/>
      <c r="I26" s="616"/>
    </row>
    <row r="27" spans="1:9" x14ac:dyDescent="0.25">
      <c r="A27" s="616"/>
      <c r="B27" s="620"/>
      <c r="C27" s="616"/>
      <c r="D27" s="620"/>
      <c r="E27" s="612"/>
      <c r="F27" s="612"/>
      <c r="G27" s="616"/>
      <c r="I27" s="616"/>
    </row>
    <row r="28" spans="1:9" x14ac:dyDescent="0.25">
      <c r="A28" s="616"/>
      <c r="B28" s="620"/>
      <c r="C28" s="616"/>
      <c r="D28" s="620"/>
      <c r="E28" s="612"/>
      <c r="F28" s="612"/>
      <c r="G28" s="616"/>
      <c r="I28" s="616"/>
    </row>
    <row r="29" spans="1:9" x14ac:dyDescent="0.25">
      <c r="A29" s="616"/>
      <c r="B29" s="620"/>
      <c r="C29" s="616"/>
      <c r="D29" s="620"/>
      <c r="E29" s="612"/>
      <c r="F29" s="612"/>
      <c r="G29" s="616"/>
      <c r="I29" s="616"/>
    </row>
    <row r="30" spans="1:9" x14ac:dyDescent="0.25">
      <c r="A30" s="639" t="s">
        <v>435</v>
      </c>
      <c r="B30" s="1113" t="s">
        <v>437</v>
      </c>
      <c r="C30" s="1114"/>
      <c r="D30" s="1115" t="s">
        <v>436</v>
      </c>
      <c r="E30" s="1116"/>
      <c r="F30" s="640"/>
      <c r="G30" s="615"/>
      <c r="H30" s="1107" t="s">
        <v>410</v>
      </c>
      <c r="I30" s="1109" t="s">
        <v>425</v>
      </c>
    </row>
    <row r="31" spans="1:9" x14ac:dyDescent="0.25">
      <c r="A31" s="641"/>
      <c r="B31" s="636">
        <v>2030</v>
      </c>
      <c r="C31" s="637">
        <v>2040</v>
      </c>
      <c r="D31" s="642">
        <v>2030</v>
      </c>
      <c r="E31" s="643">
        <v>2040</v>
      </c>
      <c r="F31" s="613"/>
      <c r="G31" s="635"/>
      <c r="H31" s="1108"/>
      <c r="I31" s="1110"/>
    </row>
    <row r="32" spans="1:9" x14ac:dyDescent="0.25">
      <c r="A32" s="616" t="s">
        <v>441</v>
      </c>
      <c r="B32" s="623">
        <f>Resultat!F37/'Indata - Utsläpp'!B15-1</f>
        <v>-0.36809526755446753</v>
      </c>
      <c r="C32" s="624">
        <f>Resultat!G37/'Indata - Utsläpp'!B15-1</f>
        <v>-0.5592969858255723</v>
      </c>
      <c r="D32" s="620" t="s">
        <v>439</v>
      </c>
      <c r="E32" s="612" t="s">
        <v>439</v>
      </c>
      <c r="F32" s="612"/>
      <c r="G32" s="616"/>
      <c r="H32" t="s">
        <v>440</v>
      </c>
      <c r="I32" s="616"/>
    </row>
    <row r="33" spans="1:9" x14ac:dyDescent="0.25">
      <c r="A33" s="616" t="s">
        <v>438</v>
      </c>
      <c r="B33" s="623">
        <f>Resultat!F38/'Indata - Utsläpp'!B16-1</f>
        <v>-0.40884348403235049</v>
      </c>
      <c r="C33" s="624">
        <f>Resultat!G38/'Indata - Utsläpp'!B16-1</f>
        <v>-0.48603049652911767</v>
      </c>
      <c r="D33" s="620" t="s">
        <v>439</v>
      </c>
      <c r="E33" s="612" t="s">
        <v>439</v>
      </c>
      <c r="F33" s="612"/>
      <c r="G33" s="616"/>
      <c r="H33" t="s">
        <v>440</v>
      </c>
      <c r="I33" s="616"/>
    </row>
    <row r="34" spans="1:9" x14ac:dyDescent="0.25">
      <c r="A34" s="616" t="s">
        <v>442</v>
      </c>
      <c r="B34" s="623">
        <f>Resultat!F41</f>
        <v>-0.40332246966820195</v>
      </c>
      <c r="C34" s="624">
        <f>Resultat!G41</f>
        <v>-0.55971385176898769</v>
      </c>
      <c r="D34" s="633" t="s">
        <v>443</v>
      </c>
      <c r="E34" s="634" t="s">
        <v>523</v>
      </c>
      <c r="F34" s="612"/>
      <c r="G34" s="616"/>
      <c r="H34" t="s">
        <v>440</v>
      </c>
      <c r="I34" s="616"/>
    </row>
    <row r="35" spans="1:9" x14ac:dyDescent="0.25">
      <c r="A35" s="616" t="s">
        <v>444</v>
      </c>
      <c r="B35" s="625">
        <f>Resultat!F30</f>
        <v>88.898554948656667</v>
      </c>
      <c r="C35" s="626">
        <f>Resultat!G30</f>
        <v>100.88334396469867</v>
      </c>
      <c r="D35" s="620" t="s">
        <v>449</v>
      </c>
      <c r="E35" s="612" t="s">
        <v>514</v>
      </c>
      <c r="F35" s="612"/>
      <c r="G35" s="616"/>
      <c r="H35" t="s">
        <v>448</v>
      </c>
      <c r="I35" s="616"/>
    </row>
    <row r="36" spans="1:9" x14ac:dyDescent="0.25">
      <c r="A36" s="616" t="s">
        <v>445</v>
      </c>
      <c r="B36" s="625">
        <f>Resultat!F33</f>
        <v>5.9773733906447069</v>
      </c>
      <c r="C36" s="626">
        <f>Resultat!G33</f>
        <v>7.0489625732912895</v>
      </c>
      <c r="D36" s="620" t="s">
        <v>447</v>
      </c>
      <c r="E36" s="612" t="s">
        <v>515</v>
      </c>
      <c r="F36" s="612"/>
      <c r="G36" s="616"/>
      <c r="H36" t="s">
        <v>448</v>
      </c>
      <c r="I36" s="616"/>
    </row>
    <row r="37" spans="1:9" x14ac:dyDescent="0.25">
      <c r="A37" s="616" t="s">
        <v>446</v>
      </c>
      <c r="B37" s="625">
        <f>Resultat!F34</f>
        <v>94.875928339301367</v>
      </c>
      <c r="C37" s="626">
        <f>Resultat!G34</f>
        <v>107.93230653798996</v>
      </c>
      <c r="D37" s="620" t="s">
        <v>450</v>
      </c>
      <c r="E37" s="612" t="s">
        <v>516</v>
      </c>
      <c r="F37" s="612"/>
      <c r="G37" s="616"/>
      <c r="H37" t="s">
        <v>448</v>
      </c>
      <c r="I37" s="616"/>
    </row>
    <row r="38" spans="1:9" x14ac:dyDescent="0.25">
      <c r="A38" s="616" t="s">
        <v>451</v>
      </c>
      <c r="B38" s="625">
        <f>Resultat!F61</f>
        <v>15.45479020958911</v>
      </c>
      <c r="C38" s="626">
        <f>Resultat!G61</f>
        <v>10.286263887462034</v>
      </c>
      <c r="D38" s="620" t="s">
        <v>455</v>
      </c>
      <c r="E38" s="612" t="s">
        <v>517</v>
      </c>
      <c r="F38" s="612"/>
      <c r="G38" s="616"/>
      <c r="H38" t="s">
        <v>459</v>
      </c>
      <c r="I38" s="616"/>
    </row>
    <row r="39" spans="1:9" x14ac:dyDescent="0.25">
      <c r="A39" s="616" t="s">
        <v>452</v>
      </c>
      <c r="B39" s="625">
        <f>Resultat!F60</f>
        <v>43.490354691484313</v>
      </c>
      <c r="C39" s="626">
        <f>Resultat!G60</f>
        <v>32.091608509505306</v>
      </c>
      <c r="D39" s="620" t="s">
        <v>456</v>
      </c>
      <c r="E39" s="612" t="s">
        <v>518</v>
      </c>
      <c r="F39" s="612"/>
      <c r="G39" s="616"/>
      <c r="H39" t="s">
        <v>459</v>
      </c>
      <c r="I39" s="616"/>
    </row>
    <row r="40" spans="1:9" x14ac:dyDescent="0.25">
      <c r="A40" s="616" t="s">
        <v>453</v>
      </c>
      <c r="B40" s="625">
        <f>Resultat!F62</f>
        <v>3.00934831814119</v>
      </c>
      <c r="C40" s="626">
        <f>Resultat!G62</f>
        <v>8.0898494120071973</v>
      </c>
      <c r="D40" s="620" t="s">
        <v>457</v>
      </c>
      <c r="E40" s="612" t="s">
        <v>519</v>
      </c>
      <c r="F40" s="612"/>
      <c r="G40" s="616"/>
      <c r="H40" t="s">
        <v>459</v>
      </c>
      <c r="I40" s="616"/>
    </row>
    <row r="41" spans="1:9" x14ac:dyDescent="0.25">
      <c r="A41" s="616" t="s">
        <v>454</v>
      </c>
      <c r="B41" s="625">
        <f>Resultat!F63</f>
        <v>61.954493219214612</v>
      </c>
      <c r="C41" s="626">
        <f>Resultat!G63</f>
        <v>50.467721808974538</v>
      </c>
      <c r="D41" s="620" t="s">
        <v>458</v>
      </c>
      <c r="E41" s="612" t="s">
        <v>520</v>
      </c>
      <c r="F41" s="612"/>
      <c r="G41" s="616"/>
      <c r="H41" t="s">
        <v>459</v>
      </c>
      <c r="I41" s="616"/>
    </row>
    <row r="42" spans="1:9" x14ac:dyDescent="0.25">
      <c r="A42" s="616" t="s">
        <v>460</v>
      </c>
      <c r="B42" s="623">
        <f>Resultat!F35</f>
        <v>0.18</v>
      </c>
      <c r="C42" s="624">
        <f>Resultat!G35</f>
        <v>0.38</v>
      </c>
      <c r="D42" s="620" t="s">
        <v>463</v>
      </c>
      <c r="E42" s="612" t="s">
        <v>521</v>
      </c>
      <c r="F42" s="612"/>
      <c r="G42" s="616"/>
      <c r="H42" t="s">
        <v>477</v>
      </c>
      <c r="I42" s="616"/>
    </row>
    <row r="43" spans="1:9" x14ac:dyDescent="0.25">
      <c r="A43" s="616" t="s">
        <v>461</v>
      </c>
      <c r="B43" s="623">
        <f>Resultat!F36</f>
        <v>2.4891587356064355E-2</v>
      </c>
      <c r="C43" s="624">
        <f>Resultat!G36</f>
        <v>9.9566349424257447E-2</v>
      </c>
      <c r="D43" s="620" t="s">
        <v>464</v>
      </c>
      <c r="E43" s="612" t="s">
        <v>522</v>
      </c>
      <c r="F43" s="612"/>
      <c r="G43" s="616"/>
      <c r="H43" t="s">
        <v>477</v>
      </c>
      <c r="I43" s="616"/>
    </row>
    <row r="44" spans="1:9" x14ac:dyDescent="0.25">
      <c r="A44" s="616" t="s">
        <v>462</v>
      </c>
      <c r="B44" s="623">
        <f>B40/B41</f>
        <v>4.8573528113500387E-2</v>
      </c>
      <c r="C44" s="624">
        <f>C40/C41</f>
        <v>0.16029749554830511</v>
      </c>
      <c r="D44" s="620" t="s">
        <v>439</v>
      </c>
      <c r="E44" s="620" t="s">
        <v>439</v>
      </c>
      <c r="F44" s="612"/>
      <c r="G44" s="616"/>
      <c r="H44" t="s">
        <v>477</v>
      </c>
      <c r="I44" s="616"/>
    </row>
    <row r="45" spans="1:9" x14ac:dyDescent="0.25">
      <c r="A45" s="616" t="s">
        <v>465</v>
      </c>
      <c r="B45" s="625">
        <f>Resultat!F23/Resultat!H23</f>
        <v>1</v>
      </c>
      <c r="C45" s="626">
        <f>Resultat!G23/Resultat!I23</f>
        <v>1</v>
      </c>
      <c r="D45" s="620" t="s">
        <v>439</v>
      </c>
      <c r="E45" s="620" t="s">
        <v>439</v>
      </c>
      <c r="F45" s="612"/>
      <c r="G45" s="616"/>
      <c r="H45" t="s">
        <v>478</v>
      </c>
      <c r="I45" s="616"/>
    </row>
    <row r="46" spans="1:9" x14ac:dyDescent="0.25">
      <c r="A46" s="616" t="s">
        <v>466</v>
      </c>
      <c r="B46" s="625">
        <f>Resultat!F26/Resultat!H26</f>
        <v>1</v>
      </c>
      <c r="C46" s="626">
        <f>Resultat!G26/Resultat!I26</f>
        <v>1</v>
      </c>
      <c r="D46" s="620" t="s">
        <v>439</v>
      </c>
      <c r="E46" s="620" t="s">
        <v>439</v>
      </c>
      <c r="F46" s="612"/>
      <c r="G46" s="616"/>
      <c r="H46" t="s">
        <v>478</v>
      </c>
      <c r="I46" s="616"/>
    </row>
    <row r="47" spans="1:9" x14ac:dyDescent="0.25">
      <c r="A47" s="616" t="s">
        <v>467</v>
      </c>
      <c r="B47" s="627">
        <f>Resultat!F79</f>
        <v>0</v>
      </c>
      <c r="C47" s="628">
        <f>Resultat!G79</f>
        <v>0</v>
      </c>
      <c r="D47" s="620" t="s">
        <v>472</v>
      </c>
      <c r="E47" s="612" t="s">
        <v>524</v>
      </c>
      <c r="F47" s="612"/>
      <c r="G47" s="616"/>
      <c r="H47" t="s">
        <v>469</v>
      </c>
      <c r="I47" s="616"/>
    </row>
    <row r="48" spans="1:9" x14ac:dyDescent="0.25">
      <c r="A48" s="616" t="s">
        <v>468</v>
      </c>
      <c r="B48" s="627">
        <f>Resultat!F80</f>
        <v>0</v>
      </c>
      <c r="C48" s="628">
        <f>Resultat!G80</f>
        <v>0</v>
      </c>
      <c r="D48" s="620" t="s">
        <v>473</v>
      </c>
      <c r="E48" s="612" t="s">
        <v>525</v>
      </c>
      <c r="F48" s="612"/>
      <c r="G48" s="616"/>
      <c r="H48" t="s">
        <v>469</v>
      </c>
      <c r="I48" s="616"/>
    </row>
    <row r="49" spans="1:9" x14ac:dyDescent="0.25">
      <c r="A49" s="616" t="s">
        <v>405</v>
      </c>
      <c r="B49" s="627">
        <f>Resultat!F81</f>
        <v>0</v>
      </c>
      <c r="C49" s="628">
        <f>Resultat!G81</f>
        <v>0</v>
      </c>
      <c r="D49" s="620" t="s">
        <v>474</v>
      </c>
      <c r="E49" s="612" t="s">
        <v>526</v>
      </c>
      <c r="F49" s="612"/>
      <c r="G49" s="616"/>
      <c r="H49" t="s">
        <v>469</v>
      </c>
      <c r="I49" s="616"/>
    </row>
    <row r="50" spans="1:9" x14ac:dyDescent="0.25">
      <c r="A50" s="616" t="s">
        <v>471</v>
      </c>
      <c r="B50" s="629">
        <f>Resultat!F84</f>
        <v>0</v>
      </c>
      <c r="C50" s="630">
        <f>Resultat!G84</f>
        <v>0</v>
      </c>
      <c r="D50" s="620" t="s">
        <v>475</v>
      </c>
      <c r="E50" s="612" t="s">
        <v>527</v>
      </c>
      <c r="F50" s="612"/>
      <c r="G50" s="616"/>
      <c r="H50" t="s">
        <v>469</v>
      </c>
      <c r="I50" s="616"/>
    </row>
    <row r="51" spans="1:9" x14ac:dyDescent="0.25">
      <c r="A51" s="616" t="s">
        <v>470</v>
      </c>
      <c r="B51" s="629">
        <f>Resultat!F87</f>
        <v>0</v>
      </c>
      <c r="C51" s="630">
        <f>Resultat!G87</f>
        <v>0</v>
      </c>
      <c r="D51" s="620" t="s">
        <v>476</v>
      </c>
      <c r="E51" s="612" t="s">
        <v>528</v>
      </c>
      <c r="F51" s="612"/>
      <c r="G51" s="616"/>
      <c r="H51" t="s">
        <v>469</v>
      </c>
      <c r="I51" s="616"/>
    </row>
    <row r="52" spans="1:9" x14ac:dyDescent="0.25">
      <c r="A52" s="616" t="s">
        <v>607</v>
      </c>
      <c r="B52" s="620">
        <f>Resultat!F10/Resultat!H10</f>
        <v>1</v>
      </c>
      <c r="C52" s="616">
        <f>Resultat!G10/Resultat!I10</f>
        <v>1</v>
      </c>
      <c r="D52" s="620" t="s">
        <v>439</v>
      </c>
      <c r="E52" s="620" t="s">
        <v>439</v>
      </c>
      <c r="F52" s="612"/>
      <c r="G52" s="616"/>
      <c r="H52" t="s">
        <v>478</v>
      </c>
      <c r="I52" s="616"/>
    </row>
    <row r="53" spans="1:9" x14ac:dyDescent="0.25">
      <c r="A53" s="616" t="s">
        <v>608</v>
      </c>
      <c r="B53" s="620">
        <f>AVERAGE(Resultat!F7/Resultat!H7,Resultat!F8/Resultat!H8)</f>
        <v>1</v>
      </c>
      <c r="C53" s="620">
        <f>AVERAGE(Resultat!G7/Resultat!I7,Resultat!G8/Resultat!I8)</f>
        <v>1</v>
      </c>
      <c r="D53" s="620"/>
      <c r="E53" s="612"/>
      <c r="F53" s="612"/>
      <c r="G53" s="616"/>
      <c r="I53" s="616"/>
    </row>
    <row r="54" spans="1:9" x14ac:dyDescent="0.25">
      <c r="A54" s="616"/>
      <c r="B54" s="620"/>
      <c r="C54" s="616"/>
      <c r="D54" s="620"/>
      <c r="E54" s="612"/>
      <c r="F54" s="612"/>
      <c r="G54" s="616"/>
      <c r="I54" s="616"/>
    </row>
    <row r="55" spans="1:9" x14ac:dyDescent="0.25">
      <c r="A55" s="616"/>
      <c r="B55" s="620"/>
      <c r="C55" s="616"/>
      <c r="D55" s="620"/>
      <c r="E55" s="612"/>
      <c r="F55" s="612"/>
      <c r="G55" s="616"/>
      <c r="I55" s="616"/>
    </row>
    <row r="56" spans="1:9" x14ac:dyDescent="0.25">
      <c r="A56" s="616"/>
      <c r="B56" s="620"/>
      <c r="C56" s="616"/>
      <c r="D56" s="620"/>
      <c r="E56" s="612"/>
      <c r="F56" s="612"/>
      <c r="G56" s="616"/>
      <c r="I56" s="616"/>
    </row>
    <row r="57" spans="1:9" x14ac:dyDescent="0.25">
      <c r="A57" s="616"/>
      <c r="B57" s="620"/>
      <c r="C57" s="616"/>
      <c r="D57" s="620"/>
      <c r="E57" s="612"/>
      <c r="F57" s="612"/>
      <c r="G57" s="616"/>
      <c r="I57" s="616"/>
    </row>
    <row r="58" spans="1:9" x14ac:dyDescent="0.25">
      <c r="A58" s="616"/>
      <c r="B58" s="620"/>
      <c r="C58" s="616"/>
      <c r="D58" s="620"/>
      <c r="E58" s="612"/>
      <c r="F58" s="612"/>
      <c r="G58" s="616"/>
      <c r="I58" s="616"/>
    </row>
    <row r="59" spans="1:9" x14ac:dyDescent="0.25">
      <c r="A59" s="616"/>
      <c r="B59" s="620"/>
      <c r="C59" s="616"/>
      <c r="D59" s="620"/>
      <c r="E59" s="612"/>
      <c r="F59" s="612"/>
      <c r="G59" s="616"/>
      <c r="I59" s="616"/>
    </row>
    <row r="60" spans="1:9" x14ac:dyDescent="0.25">
      <c r="A60" s="639" t="s">
        <v>533</v>
      </c>
      <c r="B60" s="1113" t="s">
        <v>429</v>
      </c>
      <c r="C60" s="1114"/>
      <c r="D60" s="1113" t="s">
        <v>408</v>
      </c>
      <c r="E60" s="1117"/>
      <c r="F60" s="1117"/>
      <c r="G60" s="1114"/>
      <c r="H60" s="1111" t="s">
        <v>410</v>
      </c>
      <c r="I60" s="1109" t="s">
        <v>425</v>
      </c>
    </row>
    <row r="61" spans="1:9" x14ac:dyDescent="0.25">
      <c r="A61" s="641"/>
      <c r="B61" s="636">
        <v>2030</v>
      </c>
      <c r="C61" s="637">
        <v>2040</v>
      </c>
      <c r="D61" s="636" t="s">
        <v>412</v>
      </c>
      <c r="E61" s="638" t="s">
        <v>414</v>
      </c>
      <c r="F61" s="638" t="s">
        <v>491</v>
      </c>
      <c r="G61" s="637" t="s">
        <v>492</v>
      </c>
      <c r="H61" s="1112"/>
      <c r="I61" s="1110"/>
    </row>
    <row r="62" spans="1:9" x14ac:dyDescent="0.25">
      <c r="A62" s="616" t="s">
        <v>534</v>
      </c>
      <c r="B62" s="620" t="s">
        <v>61</v>
      </c>
      <c r="C62" s="620" t="s">
        <v>61</v>
      </c>
      <c r="D62" s="620" t="s">
        <v>548</v>
      </c>
      <c r="E62" s="612" t="s">
        <v>549</v>
      </c>
      <c r="F62" s="616" t="s">
        <v>551</v>
      </c>
      <c r="G62" s="612" t="s">
        <v>550</v>
      </c>
      <c r="I62" s="616"/>
    </row>
    <row r="63" spans="1:9" x14ac:dyDescent="0.25">
      <c r="A63" s="616" t="s">
        <v>535</v>
      </c>
      <c r="B63" s="620" t="s">
        <v>336</v>
      </c>
      <c r="C63" s="616" t="s">
        <v>385</v>
      </c>
      <c r="D63" s="620" t="s">
        <v>552</v>
      </c>
      <c r="E63" s="612" t="s">
        <v>553</v>
      </c>
      <c r="F63" s="616" t="s">
        <v>555</v>
      </c>
      <c r="G63" s="612" t="s">
        <v>554</v>
      </c>
      <c r="I63" s="616"/>
    </row>
    <row r="64" spans="1:9" x14ac:dyDescent="0.25">
      <c r="A64" s="616" t="s">
        <v>536</v>
      </c>
      <c r="B64" s="633">
        <v>0.25</v>
      </c>
      <c r="C64" s="621">
        <v>0.25</v>
      </c>
      <c r="D64" s="620" t="s">
        <v>557</v>
      </c>
      <c r="E64" s="612" t="s">
        <v>556</v>
      </c>
      <c r="F64" s="616" t="s">
        <v>559</v>
      </c>
      <c r="G64" s="612" t="s">
        <v>558</v>
      </c>
      <c r="H64" s="646" t="s">
        <v>477</v>
      </c>
      <c r="I64" s="616"/>
    </row>
    <row r="65" spans="1:9" x14ac:dyDescent="0.25">
      <c r="A65" s="616" t="s">
        <v>537</v>
      </c>
      <c r="B65" s="633">
        <v>7.0000000000000007E-2</v>
      </c>
      <c r="C65" s="621">
        <v>7.0000000000000007E-2</v>
      </c>
      <c r="D65" s="620" t="s">
        <v>561</v>
      </c>
      <c r="E65" s="612" t="s">
        <v>560</v>
      </c>
      <c r="F65" s="616" t="s">
        <v>563</v>
      </c>
      <c r="G65" s="612" t="s">
        <v>562</v>
      </c>
      <c r="H65" s="646" t="s">
        <v>477</v>
      </c>
      <c r="I65" s="616"/>
    </row>
    <row r="66" spans="1:9" x14ac:dyDescent="0.25">
      <c r="A66" s="616" t="s">
        <v>538</v>
      </c>
      <c r="B66" s="633">
        <v>0</v>
      </c>
      <c r="C66" s="621">
        <v>0</v>
      </c>
      <c r="D66" s="620" t="s">
        <v>564</v>
      </c>
      <c r="E66" s="612" t="s">
        <v>565</v>
      </c>
      <c r="F66" s="612" t="s">
        <v>566</v>
      </c>
      <c r="G66" s="646" t="s">
        <v>567</v>
      </c>
      <c r="H66" s="646" t="s">
        <v>477</v>
      </c>
      <c r="I66" s="616"/>
    </row>
    <row r="67" spans="1:9" x14ac:dyDescent="0.25">
      <c r="A67" s="616" t="s">
        <v>539</v>
      </c>
      <c r="B67" s="647">
        <v>7.4999999999999997E-2</v>
      </c>
      <c r="C67" s="648">
        <v>7.4999999999999997E-2</v>
      </c>
      <c r="D67" s="620" t="s">
        <v>568</v>
      </c>
      <c r="E67" s="646" t="s">
        <v>569</v>
      </c>
      <c r="F67" s="646" t="s">
        <v>570</v>
      </c>
      <c r="G67" s="646" t="s">
        <v>571</v>
      </c>
      <c r="H67" s="646" t="s">
        <v>477</v>
      </c>
      <c r="I67" s="616"/>
    </row>
    <row r="68" spans="1:9" x14ac:dyDescent="0.25">
      <c r="A68" s="616" t="s">
        <v>540</v>
      </c>
      <c r="B68" s="620">
        <v>0</v>
      </c>
      <c r="C68" s="616">
        <v>0</v>
      </c>
      <c r="D68" s="620" t="s">
        <v>574</v>
      </c>
      <c r="E68" s="612" t="s">
        <v>572</v>
      </c>
      <c r="F68" s="646" t="s">
        <v>575</v>
      </c>
      <c r="G68" s="646" t="s">
        <v>573</v>
      </c>
      <c r="H68" s="646" t="s">
        <v>581</v>
      </c>
      <c r="I68" s="616"/>
    </row>
    <row r="69" spans="1:9" x14ac:dyDescent="0.25">
      <c r="A69" s="616" t="s">
        <v>541</v>
      </c>
      <c r="B69" s="620">
        <v>0</v>
      </c>
      <c r="C69" s="616">
        <v>0</v>
      </c>
      <c r="D69" s="620" t="s">
        <v>576</v>
      </c>
      <c r="E69" s="612" t="s">
        <v>577</v>
      </c>
      <c r="F69" s="646" t="s">
        <v>578</v>
      </c>
      <c r="G69" s="646" t="s">
        <v>579</v>
      </c>
      <c r="H69" s="646" t="s">
        <v>581</v>
      </c>
      <c r="I69" s="616"/>
    </row>
    <row r="70" spans="1:9" x14ac:dyDescent="0.25">
      <c r="A70" s="616" t="s">
        <v>542</v>
      </c>
      <c r="B70" s="633">
        <v>0.02</v>
      </c>
      <c r="C70" s="621">
        <v>0.02</v>
      </c>
      <c r="D70" s="620" t="s">
        <v>582</v>
      </c>
      <c r="E70" s="612" t="s">
        <v>583</v>
      </c>
      <c r="F70" s="646" t="s">
        <v>584</v>
      </c>
      <c r="G70" s="646" t="s">
        <v>585</v>
      </c>
      <c r="H70" t="s">
        <v>580</v>
      </c>
      <c r="I70" s="616"/>
    </row>
    <row r="71" spans="1:9" x14ac:dyDescent="0.25">
      <c r="A71" s="616" t="s">
        <v>543</v>
      </c>
      <c r="B71" s="633">
        <v>0.02</v>
      </c>
      <c r="C71" s="621">
        <v>0.02</v>
      </c>
      <c r="D71" s="620" t="s">
        <v>586</v>
      </c>
      <c r="E71" s="612" t="s">
        <v>587</v>
      </c>
      <c r="F71" s="646" t="s">
        <v>588</v>
      </c>
      <c r="G71" s="646" t="s">
        <v>589</v>
      </c>
      <c r="H71" t="s">
        <v>580</v>
      </c>
      <c r="I71" s="616"/>
    </row>
    <row r="72" spans="1:9" x14ac:dyDescent="0.25">
      <c r="A72" s="616" t="s">
        <v>544</v>
      </c>
      <c r="B72" s="633">
        <v>0</v>
      </c>
      <c r="C72" s="621">
        <v>0</v>
      </c>
      <c r="D72" s="620" t="s">
        <v>591</v>
      </c>
      <c r="E72" s="612" t="s">
        <v>590</v>
      </c>
      <c r="F72" s="646" t="s">
        <v>592</v>
      </c>
      <c r="G72" s="616" t="s">
        <v>593</v>
      </c>
      <c r="H72" s="646" t="s">
        <v>606</v>
      </c>
      <c r="I72" s="616"/>
    </row>
    <row r="73" spans="1:9" x14ac:dyDescent="0.25">
      <c r="A73" s="616" t="s">
        <v>545</v>
      </c>
      <c r="B73" s="633">
        <v>0</v>
      </c>
      <c r="C73" s="621">
        <v>0</v>
      </c>
      <c r="D73" s="620" t="s">
        <v>594</v>
      </c>
      <c r="E73" s="612" t="s">
        <v>595</v>
      </c>
      <c r="F73" s="646" t="s">
        <v>596</v>
      </c>
      <c r="G73" s="616" t="s">
        <v>597</v>
      </c>
      <c r="H73" s="646" t="s">
        <v>606</v>
      </c>
      <c r="I73" s="616"/>
    </row>
    <row r="74" spans="1:9" x14ac:dyDescent="0.25">
      <c r="A74" s="616" t="s">
        <v>546</v>
      </c>
      <c r="B74" s="633">
        <v>0</v>
      </c>
      <c r="C74" s="621">
        <v>0</v>
      </c>
      <c r="D74" s="620" t="s">
        <v>598</v>
      </c>
      <c r="E74" s="612" t="s">
        <v>599</v>
      </c>
      <c r="F74" s="646" t="s">
        <v>600</v>
      </c>
      <c r="G74" s="616" t="s">
        <v>601</v>
      </c>
      <c r="H74" s="646" t="s">
        <v>606</v>
      </c>
      <c r="I74" s="616"/>
    </row>
    <row r="75" spans="1:9" x14ac:dyDescent="0.25">
      <c r="A75" s="616" t="s">
        <v>547</v>
      </c>
      <c r="B75" s="633">
        <v>0</v>
      </c>
      <c r="C75" s="621">
        <v>0</v>
      </c>
      <c r="D75" s="620" t="s">
        <v>602</v>
      </c>
      <c r="E75" s="612" t="s">
        <v>603</v>
      </c>
      <c r="F75" s="646" t="s">
        <v>604</v>
      </c>
      <c r="G75" s="616" t="s">
        <v>605</v>
      </c>
      <c r="H75" s="646" t="s">
        <v>606</v>
      </c>
      <c r="I75" s="616"/>
    </row>
    <row r="76" spans="1:9" x14ac:dyDescent="0.25">
      <c r="A76" s="616"/>
      <c r="B76" s="620"/>
      <c r="C76" s="616"/>
      <c r="D76" s="620"/>
      <c r="E76" s="612"/>
      <c r="F76" s="612"/>
      <c r="G76" s="616"/>
      <c r="I76" s="616"/>
    </row>
    <row r="77" spans="1:9" x14ac:dyDescent="0.25">
      <c r="A77" s="616"/>
      <c r="B77" s="620"/>
      <c r="C77" s="616"/>
      <c r="D77" s="620"/>
      <c r="E77" s="612"/>
      <c r="F77" s="612"/>
      <c r="G77" s="616"/>
      <c r="I77" s="616"/>
    </row>
    <row r="78" spans="1:9" x14ac:dyDescent="0.25">
      <c r="A78" s="616"/>
      <c r="B78" s="620"/>
      <c r="C78" s="616"/>
      <c r="D78" s="620"/>
      <c r="E78" s="612"/>
      <c r="F78" s="612"/>
      <c r="G78" s="616"/>
      <c r="I78" s="616"/>
    </row>
    <row r="79" spans="1:9" x14ac:dyDescent="0.25">
      <c r="A79" s="616"/>
      <c r="B79" s="620"/>
      <c r="C79" s="616"/>
      <c r="D79" s="620"/>
      <c r="E79" s="612"/>
      <c r="F79" s="612"/>
      <c r="G79" s="616"/>
      <c r="I79" s="616"/>
    </row>
    <row r="80" spans="1:9" x14ac:dyDescent="0.25">
      <c r="A80" s="616"/>
      <c r="B80" s="620"/>
      <c r="C80" s="616"/>
      <c r="D80" s="620"/>
      <c r="E80" s="612"/>
      <c r="F80" s="612"/>
      <c r="G80" s="616"/>
      <c r="I80" s="616"/>
    </row>
    <row r="81" spans="1:9" x14ac:dyDescent="0.25">
      <c r="A81" s="616"/>
      <c r="B81" s="620"/>
      <c r="C81" s="616"/>
      <c r="D81" s="620"/>
      <c r="E81" s="612"/>
      <c r="F81" s="612"/>
      <c r="G81" s="616"/>
      <c r="I81" s="616"/>
    </row>
    <row r="82" spans="1:9" x14ac:dyDescent="0.25">
      <c r="A82" s="616"/>
      <c r="B82" s="620"/>
      <c r="C82" s="616"/>
      <c r="D82" s="620"/>
      <c r="E82" s="612"/>
      <c r="F82" s="612"/>
      <c r="G82" s="616"/>
      <c r="I82" s="616"/>
    </row>
    <row r="83" spans="1:9" x14ac:dyDescent="0.25">
      <c r="A83" s="616"/>
      <c r="B83" s="620"/>
      <c r="C83" s="616"/>
      <c r="D83" s="620"/>
      <c r="E83" s="612"/>
      <c r="F83" s="612"/>
      <c r="G83" s="616"/>
      <c r="I83" s="616"/>
    </row>
    <row r="84" spans="1:9" x14ac:dyDescent="0.25">
      <c r="A84" s="616"/>
      <c r="B84" s="620"/>
      <c r="C84" s="616"/>
      <c r="D84" s="620"/>
      <c r="E84" s="612"/>
      <c r="F84" s="612"/>
      <c r="G84" s="616"/>
      <c r="I84" s="616"/>
    </row>
    <row r="85" spans="1:9" x14ac:dyDescent="0.25">
      <c r="A85" s="616"/>
      <c r="B85" s="620"/>
      <c r="C85" s="616"/>
      <c r="D85" s="620"/>
      <c r="E85" s="612"/>
      <c r="F85" s="612"/>
      <c r="G85" s="616"/>
      <c r="I85" s="616"/>
    </row>
    <row r="86" spans="1:9" x14ac:dyDescent="0.25">
      <c r="A86" s="616"/>
      <c r="B86" s="620"/>
      <c r="C86" s="616"/>
      <c r="D86" s="620"/>
      <c r="E86" s="612"/>
      <c r="F86" s="612"/>
      <c r="G86" s="616"/>
      <c r="I86" s="616"/>
    </row>
    <row r="87" spans="1:9" x14ac:dyDescent="0.25">
      <c r="A87" s="616"/>
      <c r="B87" s="620"/>
      <c r="C87" s="616"/>
      <c r="D87" s="620"/>
      <c r="E87" s="612"/>
      <c r="F87" s="612"/>
      <c r="G87" s="616"/>
      <c r="I87" s="616"/>
    </row>
    <row r="88" spans="1:9" x14ac:dyDescent="0.25">
      <c r="A88" s="616"/>
      <c r="B88" s="620"/>
      <c r="C88" s="616"/>
      <c r="D88" s="620"/>
      <c r="E88" s="612"/>
      <c r="F88" s="612"/>
      <c r="G88" s="616"/>
      <c r="I88" s="616"/>
    </row>
    <row r="89" spans="1:9" x14ac:dyDescent="0.25">
      <c r="A89" s="616"/>
      <c r="B89" s="620"/>
      <c r="C89" s="616"/>
      <c r="D89" s="620"/>
      <c r="E89" s="612"/>
      <c r="F89" s="612"/>
      <c r="G89" s="616"/>
      <c r="I89" s="616"/>
    </row>
    <row r="90" spans="1:9" x14ac:dyDescent="0.25">
      <c r="A90" s="616"/>
      <c r="B90" s="620"/>
      <c r="C90" s="616"/>
      <c r="D90" s="620"/>
      <c r="E90" s="612"/>
      <c r="F90" s="612"/>
      <c r="G90" s="616"/>
      <c r="I90" s="616"/>
    </row>
    <row r="91" spans="1:9" x14ac:dyDescent="0.25">
      <c r="A91" s="616"/>
      <c r="B91" s="620"/>
      <c r="C91" s="616"/>
      <c r="D91" s="620"/>
      <c r="E91" s="612"/>
      <c r="F91" s="612"/>
      <c r="G91" s="616"/>
      <c r="I91" s="616"/>
    </row>
    <row r="92" spans="1:9" x14ac:dyDescent="0.25">
      <c r="A92" s="616"/>
      <c r="B92" s="620"/>
      <c r="C92" s="616"/>
      <c r="D92" s="620"/>
      <c r="E92" s="612"/>
      <c r="F92" s="612"/>
      <c r="G92" s="616"/>
      <c r="I92" s="616"/>
    </row>
    <row r="93" spans="1:9" x14ac:dyDescent="0.25">
      <c r="A93" s="616"/>
      <c r="B93" s="620"/>
      <c r="C93" s="616"/>
      <c r="D93" s="620"/>
      <c r="E93" s="612"/>
      <c r="F93" s="612"/>
      <c r="G93" s="616"/>
      <c r="I93" s="616"/>
    </row>
    <row r="94" spans="1:9" x14ac:dyDescent="0.25">
      <c r="A94" s="616"/>
      <c r="B94" s="620"/>
      <c r="C94" s="616"/>
      <c r="D94" s="620"/>
      <c r="E94" s="612"/>
      <c r="F94" s="612"/>
      <c r="G94" s="616"/>
      <c r="I94" s="616"/>
    </row>
    <row r="95" spans="1:9" x14ac:dyDescent="0.25">
      <c r="A95" s="616"/>
      <c r="B95" s="620"/>
      <c r="C95" s="616"/>
      <c r="D95" s="620"/>
      <c r="E95" s="612"/>
      <c r="F95" s="612"/>
      <c r="G95" s="616"/>
      <c r="I95" s="616"/>
    </row>
    <row r="96" spans="1:9" x14ac:dyDescent="0.25">
      <c r="A96" s="616"/>
      <c r="B96" s="620"/>
      <c r="C96" s="616"/>
      <c r="D96" s="620"/>
      <c r="E96" s="612"/>
      <c r="F96" s="612"/>
      <c r="G96" s="616"/>
      <c r="I96" s="616"/>
    </row>
    <row r="97" spans="1:9" x14ac:dyDescent="0.25">
      <c r="A97" s="616"/>
      <c r="B97" s="620"/>
      <c r="C97" s="616"/>
      <c r="D97" s="620"/>
      <c r="E97" s="612"/>
      <c r="F97" s="612"/>
      <c r="G97" s="616"/>
      <c r="I97" s="616"/>
    </row>
    <row r="98" spans="1:9" x14ac:dyDescent="0.25">
      <c r="A98" s="616"/>
      <c r="B98" s="620"/>
      <c r="C98" s="616"/>
      <c r="D98" s="620"/>
      <c r="E98" s="612"/>
      <c r="F98" s="612"/>
      <c r="G98" s="616"/>
      <c r="I98" s="616"/>
    </row>
    <row r="99" spans="1:9" x14ac:dyDescent="0.25">
      <c r="A99" s="616"/>
      <c r="B99" s="620"/>
      <c r="C99" s="616"/>
      <c r="D99" s="620"/>
      <c r="E99" s="612"/>
      <c r="F99" s="612"/>
      <c r="G99" s="616"/>
      <c r="I99" s="616"/>
    </row>
    <row r="100" spans="1:9" x14ac:dyDescent="0.25">
      <c r="A100" s="616"/>
      <c r="B100" s="620"/>
      <c r="C100" s="616"/>
      <c r="D100" s="620"/>
      <c r="E100" s="612"/>
      <c r="F100" s="612"/>
      <c r="G100" s="616"/>
      <c r="I100" s="616"/>
    </row>
    <row r="101" spans="1:9" x14ac:dyDescent="0.25">
      <c r="A101" s="616"/>
      <c r="B101" s="620"/>
      <c r="C101" s="616"/>
      <c r="D101" s="620"/>
      <c r="E101" s="612"/>
      <c r="F101" s="612"/>
      <c r="G101" s="616"/>
      <c r="I101" s="616"/>
    </row>
    <row r="102" spans="1:9" x14ac:dyDescent="0.25">
      <c r="A102" s="616"/>
      <c r="B102" s="620"/>
      <c r="C102" s="616"/>
      <c r="D102" s="620"/>
      <c r="E102" s="612"/>
      <c r="F102" s="612"/>
      <c r="G102" s="616"/>
      <c r="I102" s="616"/>
    </row>
    <row r="103" spans="1:9" x14ac:dyDescent="0.25">
      <c r="A103" s="616"/>
      <c r="B103" s="620"/>
      <c r="C103" s="616"/>
      <c r="D103" s="620"/>
      <c r="E103" s="612"/>
      <c r="F103" s="612"/>
      <c r="G103" s="616"/>
      <c r="I103" s="616"/>
    </row>
    <row r="104" spans="1:9" x14ac:dyDescent="0.25">
      <c r="A104" s="616"/>
      <c r="B104" s="620"/>
      <c r="C104" s="616"/>
      <c r="D104" s="620"/>
      <c r="E104" s="612"/>
      <c r="F104" s="612"/>
      <c r="G104" s="616"/>
      <c r="I104" s="616"/>
    </row>
    <row r="105" spans="1:9" x14ac:dyDescent="0.25">
      <c r="A105" s="616"/>
      <c r="B105" s="620"/>
      <c r="C105" s="616"/>
      <c r="D105" s="620"/>
      <c r="E105" s="612"/>
      <c r="F105" s="612"/>
      <c r="G105" s="616"/>
      <c r="I105" s="616"/>
    </row>
    <row r="106" spans="1:9" x14ac:dyDescent="0.25">
      <c r="A106" s="616"/>
      <c r="B106" s="620"/>
      <c r="C106" s="616"/>
      <c r="D106" s="620"/>
      <c r="E106" s="612"/>
      <c r="F106" s="612"/>
      <c r="G106" s="616"/>
      <c r="I106" s="616"/>
    </row>
    <row r="107" spans="1:9" x14ac:dyDescent="0.25">
      <c r="A107" s="616"/>
      <c r="B107" s="620"/>
      <c r="C107" s="616"/>
      <c r="D107" s="620"/>
      <c r="E107" s="612"/>
      <c r="F107" s="612"/>
      <c r="G107" s="616"/>
      <c r="I107" s="616"/>
    </row>
    <row r="108" spans="1:9" x14ac:dyDescent="0.25">
      <c r="A108" s="616"/>
      <c r="B108" s="620"/>
      <c r="C108" s="616"/>
      <c r="D108" s="620"/>
      <c r="E108" s="612"/>
      <c r="F108" s="612"/>
      <c r="G108" s="616"/>
      <c r="I108" s="616"/>
    </row>
    <row r="109" spans="1:9" x14ac:dyDescent="0.25">
      <c r="A109" s="616"/>
      <c r="B109" s="620"/>
      <c r="C109" s="616"/>
      <c r="D109" s="620"/>
      <c r="E109" s="612"/>
      <c r="F109" s="612"/>
      <c r="G109" s="616"/>
      <c r="I109" s="616"/>
    </row>
    <row r="110" spans="1:9" x14ac:dyDescent="0.25">
      <c r="A110" s="616"/>
      <c r="B110" s="620"/>
      <c r="C110" s="616"/>
      <c r="D110" s="620"/>
      <c r="E110" s="612"/>
      <c r="F110" s="612"/>
      <c r="G110" s="616"/>
      <c r="I110" s="616"/>
    </row>
    <row r="111" spans="1:9" x14ac:dyDescent="0.25">
      <c r="A111" s="616"/>
      <c r="B111" s="620"/>
      <c r="C111" s="616"/>
      <c r="D111" s="620"/>
      <c r="E111" s="612"/>
      <c r="F111" s="612"/>
      <c r="G111" s="616"/>
      <c r="I111" s="616"/>
    </row>
    <row r="112" spans="1:9" x14ac:dyDescent="0.25">
      <c r="A112" s="616"/>
      <c r="B112" s="620"/>
      <c r="C112" s="616"/>
      <c r="D112" s="620"/>
      <c r="E112" s="612"/>
      <c r="F112" s="612"/>
      <c r="G112" s="616"/>
      <c r="I112" s="616"/>
    </row>
    <row r="113" spans="1:9" x14ac:dyDescent="0.25">
      <c r="A113" s="616"/>
      <c r="B113" s="620"/>
      <c r="C113" s="616"/>
      <c r="D113" s="620"/>
      <c r="E113" s="612"/>
      <c r="F113" s="612"/>
      <c r="G113" s="616"/>
      <c r="I113" s="616"/>
    </row>
    <row r="114" spans="1:9" x14ac:dyDescent="0.25">
      <c r="A114" s="616"/>
      <c r="B114" s="620"/>
      <c r="C114" s="616"/>
      <c r="D114" s="620"/>
      <c r="E114" s="612"/>
      <c r="F114" s="612"/>
      <c r="G114" s="616"/>
      <c r="I114" s="616"/>
    </row>
    <row r="115" spans="1:9" x14ac:dyDescent="0.25">
      <c r="A115" s="616"/>
      <c r="B115" s="620"/>
      <c r="C115" s="616"/>
      <c r="D115" s="620"/>
      <c r="E115" s="612"/>
      <c r="F115" s="612"/>
      <c r="G115" s="616"/>
      <c r="I115" s="616"/>
    </row>
    <row r="116" spans="1:9" x14ac:dyDescent="0.25">
      <c r="A116" s="616"/>
      <c r="B116" s="620"/>
      <c r="C116" s="616"/>
      <c r="D116" s="620"/>
      <c r="E116" s="612"/>
      <c r="F116" s="612"/>
      <c r="G116" s="616"/>
      <c r="I116" s="616"/>
    </row>
    <row r="117" spans="1:9" x14ac:dyDescent="0.25">
      <c r="A117" s="616"/>
      <c r="B117" s="620"/>
      <c r="C117" s="616"/>
      <c r="D117" s="620"/>
      <c r="E117" s="612"/>
      <c r="F117" s="612"/>
      <c r="G117" s="616"/>
      <c r="I117" s="616"/>
    </row>
    <row r="118" spans="1:9" x14ac:dyDescent="0.25">
      <c r="A118" s="616"/>
      <c r="B118" s="620"/>
      <c r="C118" s="616"/>
      <c r="D118" s="620"/>
      <c r="E118" s="612"/>
      <c r="F118" s="612"/>
      <c r="G118" s="616"/>
      <c r="I118" s="616"/>
    </row>
    <row r="119" spans="1:9" x14ac:dyDescent="0.25">
      <c r="A119" s="616"/>
      <c r="B119" s="620"/>
      <c r="C119" s="616"/>
      <c r="D119" s="620"/>
      <c r="E119" s="612"/>
      <c r="F119" s="612"/>
      <c r="G119" s="616"/>
      <c r="I119" s="616"/>
    </row>
    <row r="120" spans="1:9" x14ac:dyDescent="0.25">
      <c r="A120" s="616"/>
      <c r="B120" s="620"/>
      <c r="C120" s="616"/>
      <c r="D120" s="620"/>
      <c r="E120" s="612"/>
      <c r="F120" s="612"/>
      <c r="G120" s="616"/>
      <c r="I120" s="616"/>
    </row>
    <row r="121" spans="1:9" x14ac:dyDescent="0.25">
      <c r="A121" s="616"/>
      <c r="B121" s="620"/>
      <c r="C121" s="616"/>
      <c r="D121" s="620"/>
      <c r="E121" s="612"/>
      <c r="F121" s="612"/>
      <c r="G121" s="616"/>
      <c r="I121" s="616"/>
    </row>
    <row r="122" spans="1:9" x14ac:dyDescent="0.25">
      <c r="A122" s="616"/>
      <c r="B122" s="620"/>
      <c r="C122" s="616"/>
      <c r="D122" s="620"/>
      <c r="E122" s="612"/>
      <c r="F122" s="612"/>
      <c r="G122" s="616"/>
      <c r="I122" s="616"/>
    </row>
    <row r="123" spans="1:9" x14ac:dyDescent="0.25">
      <c r="A123" s="616"/>
      <c r="B123" s="620"/>
      <c r="C123" s="616"/>
      <c r="D123" s="620"/>
      <c r="E123" s="612"/>
      <c r="F123" s="612"/>
      <c r="G123" s="616"/>
      <c r="I123" s="616"/>
    </row>
    <row r="124" spans="1:9" x14ac:dyDescent="0.25">
      <c r="A124" s="616"/>
      <c r="B124" s="620"/>
      <c r="C124" s="616"/>
      <c r="D124" s="620"/>
      <c r="E124" s="612"/>
      <c r="F124" s="612"/>
      <c r="G124" s="616"/>
      <c r="I124" s="616"/>
    </row>
    <row r="125" spans="1:9" x14ac:dyDescent="0.25">
      <c r="A125" s="616"/>
      <c r="B125" s="620"/>
      <c r="C125" s="616"/>
      <c r="D125" s="620"/>
      <c r="E125" s="612"/>
      <c r="F125" s="612"/>
      <c r="G125" s="616"/>
      <c r="I125" s="616"/>
    </row>
    <row r="126" spans="1:9" x14ac:dyDescent="0.25">
      <c r="A126" s="616"/>
      <c r="B126" s="620"/>
      <c r="C126" s="616"/>
      <c r="D126" s="620"/>
      <c r="E126" s="612"/>
      <c r="F126" s="612"/>
      <c r="G126" s="616"/>
      <c r="I126" s="616"/>
    </row>
    <row r="127" spans="1:9" x14ac:dyDescent="0.25">
      <c r="A127" s="616"/>
      <c r="B127" s="620"/>
      <c r="C127" s="616"/>
      <c r="D127" s="620"/>
      <c r="E127" s="612"/>
      <c r="F127" s="612"/>
      <c r="G127" s="616"/>
      <c r="I127" s="616"/>
    </row>
    <row r="128" spans="1:9" x14ac:dyDescent="0.25">
      <c r="A128" s="616"/>
      <c r="B128" s="620"/>
      <c r="C128" s="616"/>
      <c r="D128" s="620"/>
      <c r="E128" s="612"/>
      <c r="F128" s="612"/>
      <c r="G128" s="616"/>
      <c r="I128" s="616"/>
    </row>
    <row r="129" spans="1:9" x14ac:dyDescent="0.25">
      <c r="A129" s="616"/>
      <c r="B129" s="620"/>
      <c r="C129" s="616"/>
      <c r="D129" s="620"/>
      <c r="E129" s="612"/>
      <c r="F129" s="612"/>
      <c r="G129" s="616"/>
      <c r="I129" s="616"/>
    </row>
    <row r="130" spans="1:9" x14ac:dyDescent="0.25">
      <c r="A130" s="616"/>
      <c r="B130" s="620"/>
      <c r="C130" s="616"/>
      <c r="D130" s="620"/>
      <c r="E130" s="612"/>
      <c r="F130" s="612"/>
      <c r="G130" s="616"/>
      <c r="I130" s="616"/>
    </row>
    <row r="131" spans="1:9" x14ac:dyDescent="0.25">
      <c r="A131" s="616"/>
      <c r="B131" s="620"/>
      <c r="C131" s="616"/>
      <c r="D131" s="620"/>
      <c r="E131" s="612"/>
      <c r="F131" s="612"/>
      <c r="G131" s="616"/>
      <c r="I131" s="616"/>
    </row>
    <row r="132" spans="1:9" x14ac:dyDescent="0.25">
      <c r="A132" s="616"/>
      <c r="B132" s="620"/>
      <c r="C132" s="616"/>
      <c r="D132" s="620"/>
      <c r="E132" s="612"/>
      <c r="F132" s="612"/>
      <c r="G132" s="616"/>
      <c r="I132" s="616"/>
    </row>
    <row r="133" spans="1:9" x14ac:dyDescent="0.25">
      <c r="A133" s="616"/>
      <c r="B133" s="620"/>
      <c r="C133" s="616"/>
      <c r="D133" s="620"/>
      <c r="E133" s="612"/>
      <c r="F133" s="612"/>
      <c r="G133" s="616"/>
      <c r="I133" s="616"/>
    </row>
    <row r="134" spans="1:9" x14ac:dyDescent="0.25">
      <c r="A134" s="616"/>
      <c r="B134" s="620"/>
      <c r="C134" s="616"/>
      <c r="D134" s="620"/>
      <c r="E134" s="612"/>
      <c r="F134" s="612"/>
      <c r="G134" s="616"/>
      <c r="I134" s="616"/>
    </row>
    <row r="135" spans="1:9" x14ac:dyDescent="0.25">
      <c r="A135" s="616"/>
      <c r="B135" s="620"/>
      <c r="C135" s="616"/>
      <c r="D135" s="620"/>
      <c r="E135" s="612"/>
      <c r="F135" s="612"/>
      <c r="G135" s="616"/>
      <c r="I135" s="616"/>
    </row>
    <row r="136" spans="1:9" x14ac:dyDescent="0.25">
      <c r="A136" s="616"/>
      <c r="B136" s="620"/>
      <c r="C136" s="616"/>
      <c r="D136" s="620"/>
      <c r="E136" s="612"/>
      <c r="F136" s="612"/>
      <c r="G136" s="616"/>
      <c r="I136" s="616"/>
    </row>
    <row r="137" spans="1:9" x14ac:dyDescent="0.25">
      <c r="A137" s="616"/>
      <c r="B137" s="620"/>
      <c r="C137" s="616"/>
      <c r="D137" s="620"/>
      <c r="E137" s="612"/>
      <c r="F137" s="612"/>
      <c r="G137" s="616"/>
      <c r="I137" s="616"/>
    </row>
    <row r="138" spans="1:9" x14ac:dyDescent="0.25">
      <c r="A138" s="616"/>
      <c r="B138" s="620"/>
      <c r="C138" s="616"/>
      <c r="D138" s="620"/>
      <c r="E138" s="612"/>
      <c r="F138" s="612"/>
      <c r="G138" s="616"/>
      <c r="I138" s="616"/>
    </row>
    <row r="139" spans="1:9" x14ac:dyDescent="0.25">
      <c r="A139" s="616"/>
      <c r="B139" s="620"/>
      <c r="C139" s="616"/>
      <c r="D139" s="620"/>
      <c r="E139" s="612"/>
      <c r="F139" s="612"/>
      <c r="G139" s="616"/>
      <c r="I139" s="616"/>
    </row>
    <row r="140" spans="1:9" x14ac:dyDescent="0.25">
      <c r="A140" s="616"/>
      <c r="B140" s="620"/>
      <c r="C140" s="616"/>
      <c r="D140" s="620"/>
      <c r="E140" s="612"/>
      <c r="F140" s="612"/>
      <c r="G140" s="616"/>
      <c r="I140" s="616"/>
    </row>
    <row r="141" spans="1:9" x14ac:dyDescent="0.25">
      <c r="A141" s="616"/>
      <c r="B141" s="620"/>
      <c r="C141" s="616"/>
      <c r="D141" s="620"/>
      <c r="E141" s="612"/>
      <c r="F141" s="612"/>
      <c r="G141" s="616"/>
      <c r="I141" s="616"/>
    </row>
    <row r="142" spans="1:9" x14ac:dyDescent="0.25">
      <c r="A142" s="616"/>
      <c r="B142" s="620"/>
      <c r="C142" s="616"/>
      <c r="D142" s="620"/>
      <c r="E142" s="612"/>
      <c r="F142" s="612"/>
      <c r="G142" s="616"/>
      <c r="I142" s="616"/>
    </row>
    <row r="143" spans="1:9" x14ac:dyDescent="0.25">
      <c r="A143" s="616"/>
      <c r="B143" s="620"/>
      <c r="C143" s="616"/>
      <c r="D143" s="620"/>
      <c r="E143" s="612"/>
      <c r="F143" s="612"/>
      <c r="G143" s="616"/>
      <c r="I143" s="616"/>
    </row>
    <row r="144" spans="1:9" x14ac:dyDescent="0.25">
      <c r="A144" s="616"/>
      <c r="B144" s="620"/>
      <c r="C144" s="616"/>
      <c r="D144" s="620"/>
      <c r="E144" s="612"/>
      <c r="F144" s="612"/>
      <c r="G144" s="616"/>
      <c r="I144" s="616"/>
    </row>
    <row r="145" spans="1:9" x14ac:dyDescent="0.25">
      <c r="A145" s="616"/>
      <c r="B145" s="620"/>
      <c r="C145" s="616"/>
      <c r="D145" s="620"/>
      <c r="E145" s="612"/>
      <c r="F145" s="612"/>
      <c r="G145" s="616"/>
      <c r="I145" s="616"/>
    </row>
    <row r="146" spans="1:9" x14ac:dyDescent="0.25">
      <c r="A146" s="616"/>
      <c r="B146" s="620"/>
      <c r="C146" s="616"/>
      <c r="D146" s="620"/>
      <c r="E146" s="612"/>
      <c r="F146" s="612"/>
      <c r="G146" s="616"/>
      <c r="I146" s="616"/>
    </row>
    <row r="147" spans="1:9" x14ac:dyDescent="0.25">
      <c r="A147" s="616"/>
      <c r="B147" s="620"/>
      <c r="C147" s="616"/>
      <c r="D147" s="620"/>
      <c r="E147" s="612"/>
      <c r="F147" s="612"/>
      <c r="G147" s="616"/>
      <c r="I147" s="616"/>
    </row>
    <row r="148" spans="1:9" x14ac:dyDescent="0.25">
      <c r="A148" s="616"/>
      <c r="B148" s="620"/>
      <c r="C148" s="616"/>
      <c r="D148" s="620"/>
      <c r="E148" s="612"/>
      <c r="F148" s="612"/>
      <c r="G148" s="616"/>
      <c r="I148" s="616"/>
    </row>
    <row r="149" spans="1:9" x14ac:dyDescent="0.25">
      <c r="A149" s="616"/>
      <c r="B149" s="620"/>
      <c r="C149" s="616"/>
      <c r="D149" s="620"/>
      <c r="E149" s="612"/>
      <c r="F149" s="612"/>
      <c r="G149" s="616"/>
      <c r="I149" s="616"/>
    </row>
    <row r="150" spans="1:9" x14ac:dyDescent="0.25">
      <c r="A150" s="616"/>
      <c r="B150" s="620"/>
      <c r="C150" s="616"/>
      <c r="D150" s="620"/>
      <c r="E150" s="612"/>
      <c r="F150" s="612"/>
      <c r="G150" s="616"/>
      <c r="I150" s="616"/>
    </row>
    <row r="151" spans="1:9" x14ac:dyDescent="0.25">
      <c r="A151" s="616"/>
      <c r="B151" s="620"/>
      <c r="C151" s="616"/>
      <c r="D151" s="620"/>
      <c r="E151" s="612"/>
      <c r="F151" s="612"/>
      <c r="G151" s="616"/>
      <c r="I151" s="616"/>
    </row>
    <row r="152" spans="1:9" x14ac:dyDescent="0.25">
      <c r="A152" s="616"/>
      <c r="B152" s="620"/>
      <c r="C152" s="616"/>
      <c r="D152" s="620"/>
      <c r="E152" s="612"/>
      <c r="F152" s="612"/>
      <c r="G152" s="616"/>
      <c r="I152" s="616"/>
    </row>
    <row r="153" spans="1:9" x14ac:dyDescent="0.25">
      <c r="A153" s="616"/>
      <c r="B153" s="620"/>
      <c r="C153" s="616"/>
      <c r="D153" s="620"/>
      <c r="E153" s="612"/>
      <c r="F153" s="612"/>
      <c r="G153" s="616"/>
      <c r="I153" s="616"/>
    </row>
    <row r="154" spans="1:9" x14ac:dyDescent="0.25">
      <c r="A154" s="616"/>
      <c r="B154" s="620"/>
      <c r="C154" s="616"/>
      <c r="D154" s="620"/>
      <c r="E154" s="612"/>
      <c r="F154" s="612"/>
      <c r="G154" s="616"/>
      <c r="I154" s="616"/>
    </row>
    <row r="155" spans="1:9" x14ac:dyDescent="0.25">
      <c r="A155" s="616"/>
      <c r="B155" s="620"/>
      <c r="C155" s="616"/>
      <c r="D155" s="620"/>
      <c r="E155" s="612"/>
      <c r="F155" s="612"/>
      <c r="G155" s="616"/>
      <c r="I155" s="616"/>
    </row>
    <row r="156" spans="1:9" x14ac:dyDescent="0.25">
      <c r="A156" s="616"/>
      <c r="B156" s="620"/>
      <c r="C156" s="616"/>
      <c r="D156" s="620"/>
      <c r="E156" s="612"/>
      <c r="F156" s="612"/>
      <c r="G156" s="616"/>
      <c r="I156" s="616"/>
    </row>
    <row r="157" spans="1:9" x14ac:dyDescent="0.25">
      <c r="A157" s="616"/>
      <c r="B157" s="620"/>
      <c r="C157" s="616"/>
      <c r="D157" s="620"/>
      <c r="E157" s="612"/>
      <c r="F157" s="612"/>
      <c r="G157" s="616"/>
      <c r="I157" s="616"/>
    </row>
    <row r="158" spans="1:9" x14ac:dyDescent="0.25">
      <c r="A158" s="616"/>
      <c r="B158" s="620"/>
      <c r="C158" s="616"/>
      <c r="D158" s="620"/>
      <c r="E158" s="612"/>
      <c r="F158" s="612"/>
      <c r="G158" s="616"/>
      <c r="I158" s="616"/>
    </row>
    <row r="159" spans="1:9" x14ac:dyDescent="0.25">
      <c r="A159" s="616"/>
      <c r="B159" s="620"/>
      <c r="C159" s="616"/>
      <c r="D159" s="620"/>
      <c r="E159" s="612"/>
      <c r="F159" s="612"/>
      <c r="G159" s="616"/>
      <c r="I159" s="616"/>
    </row>
    <row r="160" spans="1:9" x14ac:dyDescent="0.25">
      <c r="A160" s="616"/>
      <c r="B160" s="620"/>
      <c r="C160" s="616"/>
      <c r="D160" s="620"/>
      <c r="E160" s="612"/>
      <c r="F160" s="612"/>
      <c r="G160" s="616"/>
      <c r="I160" s="616"/>
    </row>
    <row r="161" spans="1:9" x14ac:dyDescent="0.25">
      <c r="A161" s="616"/>
      <c r="B161" s="620"/>
      <c r="C161" s="616"/>
      <c r="D161" s="620"/>
      <c r="E161" s="612"/>
      <c r="F161" s="612"/>
      <c r="G161" s="616"/>
      <c r="I161" s="616"/>
    </row>
    <row r="162" spans="1:9" x14ac:dyDescent="0.25">
      <c r="A162" s="616"/>
      <c r="B162" s="620"/>
      <c r="C162" s="616"/>
      <c r="D162" s="620"/>
      <c r="E162" s="612"/>
      <c r="F162" s="612"/>
      <c r="G162" s="616"/>
      <c r="I162" s="616"/>
    </row>
    <row r="163" spans="1:9" x14ac:dyDescent="0.25">
      <c r="A163" s="616"/>
      <c r="B163" s="620"/>
      <c r="C163" s="616"/>
      <c r="D163" s="620"/>
      <c r="E163" s="612"/>
      <c r="F163" s="612"/>
      <c r="G163" s="616"/>
      <c r="I163" s="616"/>
    </row>
    <row r="164" spans="1:9" x14ac:dyDescent="0.25">
      <c r="A164" s="616"/>
      <c r="B164" s="620"/>
      <c r="C164" s="616"/>
      <c r="D164" s="620"/>
      <c r="E164" s="612"/>
      <c r="F164" s="612"/>
      <c r="G164" s="616"/>
      <c r="I164" s="616"/>
    </row>
    <row r="165" spans="1:9" x14ac:dyDescent="0.25">
      <c r="A165" s="616"/>
      <c r="B165" s="620"/>
      <c r="C165" s="616"/>
      <c r="D165" s="620"/>
      <c r="E165" s="612"/>
      <c r="F165" s="612"/>
      <c r="G165" s="616"/>
      <c r="I165" s="616"/>
    </row>
    <row r="166" spans="1:9" x14ac:dyDescent="0.25">
      <c r="A166" s="616"/>
      <c r="B166" s="620"/>
      <c r="C166" s="616"/>
      <c r="D166" s="620"/>
      <c r="E166" s="612"/>
      <c r="F166" s="612"/>
      <c r="G166" s="616"/>
      <c r="I166" s="616"/>
    </row>
    <row r="167" spans="1:9" x14ac:dyDescent="0.25">
      <c r="A167" s="616"/>
      <c r="B167" s="620"/>
      <c r="C167" s="616"/>
      <c r="D167" s="620"/>
      <c r="E167" s="612"/>
      <c r="F167" s="612"/>
      <c r="G167" s="616"/>
      <c r="I167" s="616"/>
    </row>
    <row r="168" spans="1:9" x14ac:dyDescent="0.25">
      <c r="A168" s="616"/>
      <c r="B168" s="620"/>
      <c r="C168" s="616"/>
      <c r="D168" s="620"/>
      <c r="E168" s="612"/>
      <c r="F168" s="612"/>
      <c r="G168" s="616"/>
      <c r="I168" s="616"/>
    </row>
    <row r="169" spans="1:9" x14ac:dyDescent="0.25">
      <c r="A169" s="616"/>
      <c r="B169" s="620"/>
      <c r="C169" s="616"/>
      <c r="D169" s="620"/>
      <c r="E169" s="612"/>
      <c r="F169" s="612"/>
      <c r="G169" s="616"/>
      <c r="I169" s="616"/>
    </row>
    <row r="170" spans="1:9" x14ac:dyDescent="0.25">
      <c r="A170" s="616"/>
      <c r="B170" s="620"/>
      <c r="C170" s="616"/>
      <c r="D170" s="620"/>
      <c r="E170" s="612"/>
      <c r="F170" s="612"/>
      <c r="G170" s="616"/>
      <c r="I170" s="616"/>
    </row>
    <row r="171" spans="1:9" x14ac:dyDescent="0.25">
      <c r="A171" s="616"/>
      <c r="B171" s="620"/>
      <c r="C171" s="616"/>
      <c r="D171" s="620"/>
      <c r="E171" s="612"/>
      <c r="F171" s="612"/>
      <c r="G171" s="616"/>
      <c r="I171" s="616"/>
    </row>
    <row r="172" spans="1:9" x14ac:dyDescent="0.25">
      <c r="A172" s="616"/>
      <c r="B172" s="620"/>
      <c r="C172" s="616"/>
      <c r="D172" s="620"/>
      <c r="E172" s="612"/>
      <c r="F172" s="612"/>
      <c r="G172" s="616"/>
      <c r="I172" s="616"/>
    </row>
    <row r="173" spans="1:9" x14ac:dyDescent="0.25">
      <c r="A173" s="616"/>
      <c r="B173" s="620"/>
      <c r="C173" s="616"/>
      <c r="D173" s="620"/>
      <c r="E173" s="612"/>
      <c r="F173" s="612"/>
      <c r="G173" s="616"/>
      <c r="I173" s="616"/>
    </row>
    <row r="174" spans="1:9" x14ac:dyDescent="0.25">
      <c r="A174" s="616"/>
      <c r="B174" s="620"/>
      <c r="C174" s="616"/>
      <c r="D174" s="620"/>
      <c r="E174" s="612"/>
      <c r="F174" s="612"/>
      <c r="G174" s="616"/>
      <c r="I174" s="616"/>
    </row>
    <row r="175" spans="1:9" x14ac:dyDescent="0.25">
      <c r="A175" s="616"/>
      <c r="B175" s="620"/>
      <c r="C175" s="616"/>
      <c r="D175" s="620"/>
      <c r="E175" s="612"/>
      <c r="F175" s="612"/>
      <c r="G175" s="616"/>
      <c r="I175" s="616"/>
    </row>
    <row r="176" spans="1:9" x14ac:dyDescent="0.25">
      <c r="A176" s="616"/>
      <c r="B176" s="620"/>
      <c r="C176" s="616"/>
      <c r="D176" s="620"/>
      <c r="E176" s="612"/>
      <c r="F176" s="612"/>
      <c r="G176" s="616"/>
      <c r="I176" s="616"/>
    </row>
    <row r="177" spans="1:9" x14ac:dyDescent="0.25">
      <c r="A177" s="616"/>
      <c r="B177" s="620"/>
      <c r="C177" s="616"/>
      <c r="D177" s="620"/>
      <c r="E177" s="612"/>
      <c r="F177" s="612"/>
      <c r="G177" s="616"/>
      <c r="I177" s="616"/>
    </row>
    <row r="178" spans="1:9" x14ac:dyDescent="0.25">
      <c r="A178" s="616"/>
      <c r="B178" s="620"/>
      <c r="C178" s="616"/>
      <c r="D178" s="620"/>
      <c r="E178" s="612"/>
      <c r="F178" s="612"/>
      <c r="G178" s="616"/>
      <c r="I178" s="616"/>
    </row>
    <row r="179" spans="1:9" x14ac:dyDescent="0.25">
      <c r="A179" s="616"/>
      <c r="B179" s="620"/>
      <c r="C179" s="616"/>
      <c r="D179" s="620"/>
      <c r="E179" s="612"/>
      <c r="F179" s="612"/>
      <c r="G179" s="616"/>
      <c r="I179" s="616"/>
    </row>
    <row r="180" spans="1:9" x14ac:dyDescent="0.25">
      <c r="A180" s="616"/>
      <c r="B180" s="620"/>
      <c r="C180" s="616"/>
      <c r="D180" s="620"/>
      <c r="E180" s="612"/>
      <c r="F180" s="612"/>
      <c r="G180" s="616"/>
      <c r="I180" s="616"/>
    </row>
    <row r="181" spans="1:9" x14ac:dyDescent="0.25">
      <c r="A181" s="616"/>
      <c r="B181" s="620"/>
      <c r="C181" s="616"/>
      <c r="D181" s="620"/>
      <c r="E181" s="612"/>
      <c r="F181" s="612"/>
      <c r="G181" s="616"/>
      <c r="I181" s="616"/>
    </row>
    <row r="182" spans="1:9" x14ac:dyDescent="0.25">
      <c r="A182" s="616"/>
      <c r="B182" s="620"/>
      <c r="C182" s="616"/>
      <c r="D182" s="620"/>
      <c r="E182" s="612"/>
      <c r="F182" s="612"/>
      <c r="G182" s="616"/>
      <c r="I182" s="616"/>
    </row>
    <row r="183" spans="1:9" x14ac:dyDescent="0.25">
      <c r="A183" s="616"/>
      <c r="B183" s="620"/>
      <c r="C183" s="616"/>
      <c r="D183" s="620"/>
      <c r="E183" s="612"/>
      <c r="F183" s="612"/>
      <c r="G183" s="616"/>
      <c r="I183" s="616"/>
    </row>
    <row r="184" spans="1:9" x14ac:dyDescent="0.25">
      <c r="A184" s="616"/>
      <c r="B184" s="620"/>
      <c r="C184" s="616"/>
      <c r="D184" s="620"/>
      <c r="E184" s="612"/>
      <c r="F184" s="612"/>
      <c r="G184" s="616"/>
      <c r="I184" s="616"/>
    </row>
    <row r="185" spans="1:9" x14ac:dyDescent="0.25">
      <c r="A185" s="616"/>
      <c r="B185" s="620"/>
      <c r="C185" s="616"/>
      <c r="D185" s="620"/>
      <c r="E185" s="612"/>
      <c r="F185" s="612"/>
      <c r="G185" s="616"/>
      <c r="I185" s="616"/>
    </row>
    <row r="186" spans="1:9" x14ac:dyDescent="0.25">
      <c r="A186" s="616"/>
      <c r="B186" s="620"/>
      <c r="C186" s="616"/>
      <c r="D186" s="620"/>
      <c r="E186" s="612"/>
      <c r="F186" s="612"/>
      <c r="G186" s="616"/>
      <c r="I186" s="616"/>
    </row>
    <row r="187" spans="1:9" x14ac:dyDescent="0.25">
      <c r="A187" s="616"/>
      <c r="B187" s="620"/>
      <c r="C187" s="616"/>
      <c r="D187" s="620"/>
      <c r="E187" s="612"/>
      <c r="F187" s="612"/>
      <c r="G187" s="616"/>
      <c r="I187" s="616"/>
    </row>
    <row r="188" spans="1:9" x14ac:dyDescent="0.25">
      <c r="A188" s="616"/>
      <c r="B188" s="620"/>
      <c r="C188" s="616"/>
      <c r="D188" s="620"/>
      <c r="E188" s="612"/>
      <c r="F188" s="612"/>
      <c r="G188" s="616"/>
      <c r="I188" s="616"/>
    </row>
    <row r="189" spans="1:9" x14ac:dyDescent="0.25">
      <c r="A189" s="616"/>
      <c r="B189" s="620"/>
      <c r="C189" s="616"/>
      <c r="D189" s="620"/>
      <c r="E189" s="612"/>
      <c r="F189" s="612"/>
      <c r="G189" s="616"/>
      <c r="I189" s="616"/>
    </row>
    <row r="190" spans="1:9" x14ac:dyDescent="0.25">
      <c r="A190" s="616"/>
      <c r="B190" s="620"/>
      <c r="C190" s="616"/>
      <c r="D190" s="620"/>
      <c r="E190" s="612"/>
      <c r="F190" s="612"/>
      <c r="G190" s="616"/>
      <c r="I190" s="616"/>
    </row>
    <row r="191" spans="1:9" x14ac:dyDescent="0.25">
      <c r="A191" s="616"/>
      <c r="B191" s="620"/>
      <c r="C191" s="616"/>
      <c r="D191" s="620"/>
      <c r="E191" s="612"/>
      <c r="F191" s="612"/>
      <c r="G191" s="616"/>
      <c r="I191" s="616"/>
    </row>
    <row r="192" spans="1:9" x14ac:dyDescent="0.25">
      <c r="A192" s="616"/>
      <c r="B192" s="620"/>
      <c r="C192" s="616"/>
      <c r="D192" s="620"/>
      <c r="E192" s="612"/>
      <c r="F192" s="612"/>
      <c r="G192" s="616"/>
      <c r="I192" s="616"/>
    </row>
    <row r="193" spans="1:9" x14ac:dyDescent="0.25">
      <c r="A193" s="616"/>
      <c r="B193" s="620"/>
      <c r="C193" s="616"/>
      <c r="D193" s="620"/>
      <c r="E193" s="612"/>
      <c r="F193" s="612"/>
      <c r="G193" s="616"/>
      <c r="I193" s="616"/>
    </row>
    <row r="194" spans="1:9" x14ac:dyDescent="0.25">
      <c r="A194" s="616"/>
      <c r="B194" s="620"/>
      <c r="C194" s="616"/>
      <c r="D194" s="620"/>
      <c r="E194" s="612"/>
      <c r="F194" s="612"/>
      <c r="G194" s="616"/>
      <c r="I194" s="616"/>
    </row>
    <row r="195" spans="1:9" x14ac:dyDescent="0.25">
      <c r="A195" s="616"/>
      <c r="B195" s="620"/>
      <c r="C195" s="616"/>
      <c r="D195" s="620"/>
      <c r="E195" s="612"/>
      <c r="F195" s="612"/>
      <c r="G195" s="616"/>
      <c r="I195" s="616"/>
    </row>
    <row r="196" spans="1:9" x14ac:dyDescent="0.25">
      <c r="A196" s="616"/>
      <c r="B196" s="620"/>
      <c r="C196" s="616"/>
      <c r="D196" s="620"/>
      <c r="E196" s="612"/>
      <c r="F196" s="612"/>
      <c r="G196" s="616"/>
      <c r="I196" s="616"/>
    </row>
    <row r="197" spans="1:9" x14ac:dyDescent="0.25">
      <c r="A197" s="616"/>
      <c r="B197" s="620"/>
      <c r="C197" s="616"/>
      <c r="D197" s="620"/>
      <c r="E197" s="612"/>
      <c r="F197" s="612"/>
      <c r="G197" s="616"/>
      <c r="I197" s="616"/>
    </row>
    <row r="198" spans="1:9" x14ac:dyDescent="0.25">
      <c r="A198" s="616"/>
      <c r="B198" s="620"/>
      <c r="C198" s="616"/>
      <c r="D198" s="620"/>
      <c r="E198" s="612"/>
      <c r="F198" s="612"/>
      <c r="G198" s="616"/>
      <c r="I198" s="616"/>
    </row>
    <row r="199" spans="1:9" x14ac:dyDescent="0.25">
      <c r="A199" s="616"/>
      <c r="B199" s="620"/>
      <c r="C199" s="616"/>
      <c r="D199" s="620"/>
      <c r="E199" s="612"/>
      <c r="F199" s="612"/>
      <c r="G199" s="616"/>
      <c r="I199" s="616"/>
    </row>
    <row r="200" spans="1:9" x14ac:dyDescent="0.25">
      <c r="A200" s="616"/>
      <c r="B200" s="620"/>
      <c r="C200" s="616"/>
      <c r="D200" s="620"/>
      <c r="E200" s="612"/>
      <c r="F200" s="612"/>
      <c r="G200" s="616"/>
      <c r="I200" s="616"/>
    </row>
    <row r="201" spans="1:9" x14ac:dyDescent="0.25">
      <c r="A201" s="616"/>
      <c r="B201" s="620"/>
      <c r="C201" s="616"/>
      <c r="D201" s="620"/>
      <c r="E201" s="612"/>
      <c r="F201" s="612"/>
      <c r="G201" s="616"/>
      <c r="I201" s="616"/>
    </row>
    <row r="202" spans="1:9" x14ac:dyDescent="0.25">
      <c r="A202" s="616"/>
      <c r="B202" s="620"/>
      <c r="C202" s="616"/>
      <c r="D202" s="620"/>
      <c r="E202" s="612"/>
      <c r="F202" s="612"/>
      <c r="G202" s="616"/>
      <c r="I202" s="616"/>
    </row>
    <row r="203" spans="1:9" x14ac:dyDescent="0.25">
      <c r="A203" s="616"/>
      <c r="B203" s="620"/>
      <c r="C203" s="616"/>
      <c r="D203" s="620"/>
      <c r="E203" s="612"/>
      <c r="F203" s="612"/>
      <c r="G203" s="616"/>
      <c r="I203" s="616"/>
    </row>
    <row r="204" spans="1:9" x14ac:dyDescent="0.25">
      <c r="A204" s="616"/>
      <c r="B204" s="620"/>
      <c r="C204" s="616"/>
      <c r="D204" s="620"/>
      <c r="E204" s="612"/>
      <c r="F204" s="612"/>
      <c r="G204" s="616"/>
      <c r="I204" s="616"/>
    </row>
    <row r="205" spans="1:9" x14ac:dyDescent="0.25">
      <c r="A205" s="616"/>
      <c r="B205" s="620"/>
      <c r="C205" s="616"/>
      <c r="D205" s="620"/>
      <c r="E205" s="612"/>
      <c r="F205" s="612"/>
      <c r="G205" s="616"/>
      <c r="I205" s="616"/>
    </row>
    <row r="206" spans="1:9" x14ac:dyDescent="0.25">
      <c r="A206" s="616"/>
      <c r="B206" s="620"/>
      <c r="C206" s="616"/>
      <c r="D206" s="620"/>
      <c r="E206" s="612"/>
      <c r="F206" s="612"/>
      <c r="G206" s="616"/>
      <c r="I206" s="616"/>
    </row>
    <row r="207" spans="1:9" x14ac:dyDescent="0.25">
      <c r="A207" s="616"/>
      <c r="B207" s="620"/>
      <c r="C207" s="616"/>
      <c r="D207" s="620"/>
      <c r="E207" s="612"/>
      <c r="F207" s="612"/>
      <c r="G207" s="616"/>
      <c r="I207" s="616"/>
    </row>
    <row r="208" spans="1:9" x14ac:dyDescent="0.25">
      <c r="A208" s="616"/>
      <c r="B208" s="620"/>
      <c r="C208" s="616"/>
      <c r="D208" s="620"/>
      <c r="E208" s="612"/>
      <c r="F208" s="612"/>
      <c r="G208" s="616"/>
      <c r="I208" s="616"/>
    </row>
    <row r="209" spans="1:9" x14ac:dyDescent="0.25">
      <c r="A209" s="616"/>
      <c r="B209" s="620"/>
      <c r="C209" s="616"/>
      <c r="D209" s="620"/>
      <c r="E209" s="612"/>
      <c r="F209" s="612"/>
      <c r="G209" s="616"/>
      <c r="I209" s="616"/>
    </row>
    <row r="210" spans="1:9" x14ac:dyDescent="0.25">
      <c r="A210" s="616"/>
      <c r="B210" s="620"/>
      <c r="C210" s="616"/>
      <c r="D210" s="620"/>
      <c r="E210" s="612"/>
      <c r="F210" s="612"/>
      <c r="G210" s="616"/>
      <c r="I210" s="616"/>
    </row>
    <row r="211" spans="1:9" x14ac:dyDescent="0.25">
      <c r="A211" s="616"/>
      <c r="B211" s="620"/>
      <c r="C211" s="616"/>
      <c r="D211" s="620"/>
      <c r="E211" s="612"/>
      <c r="F211" s="612"/>
      <c r="G211" s="616"/>
      <c r="I211" s="616"/>
    </row>
    <row r="212" spans="1:9" x14ac:dyDescent="0.25">
      <c r="A212" s="616"/>
      <c r="B212" s="620"/>
      <c r="C212" s="616"/>
      <c r="D212" s="620"/>
      <c r="E212" s="612"/>
      <c r="F212" s="612"/>
      <c r="G212" s="616"/>
      <c r="I212" s="616"/>
    </row>
    <row r="213" spans="1:9" x14ac:dyDescent="0.25">
      <c r="A213" s="616"/>
      <c r="B213" s="620"/>
      <c r="C213" s="616"/>
      <c r="D213" s="620"/>
      <c r="E213" s="612"/>
      <c r="F213" s="612"/>
      <c r="G213" s="616"/>
      <c r="I213" s="616"/>
    </row>
    <row r="214" spans="1:9" x14ac:dyDescent="0.25">
      <c r="A214" s="616"/>
      <c r="B214" s="620"/>
      <c r="C214" s="616"/>
      <c r="D214" s="620"/>
      <c r="E214" s="612"/>
      <c r="F214" s="612"/>
      <c r="G214" s="616"/>
      <c r="I214" s="616"/>
    </row>
    <row r="215" spans="1:9" x14ac:dyDescent="0.25">
      <c r="A215" s="616"/>
      <c r="B215" s="620"/>
      <c r="C215" s="616"/>
      <c r="D215" s="620"/>
      <c r="E215" s="612"/>
      <c r="F215" s="612"/>
      <c r="G215" s="616"/>
      <c r="I215" s="616"/>
    </row>
    <row r="216" spans="1:9" x14ac:dyDescent="0.25">
      <c r="A216" s="616"/>
      <c r="B216" s="620"/>
      <c r="C216" s="616"/>
      <c r="D216" s="620"/>
      <c r="E216" s="612"/>
      <c r="F216" s="612"/>
      <c r="G216" s="616"/>
      <c r="I216" s="616"/>
    </row>
    <row r="217" spans="1:9" x14ac:dyDescent="0.25">
      <c r="A217" s="616"/>
      <c r="B217" s="620"/>
      <c r="C217" s="616"/>
      <c r="D217" s="620"/>
      <c r="E217" s="612"/>
      <c r="F217" s="612"/>
      <c r="G217" s="616"/>
      <c r="I217" s="616"/>
    </row>
    <row r="218" spans="1:9" x14ac:dyDescent="0.25">
      <c r="A218" s="616"/>
      <c r="B218" s="620"/>
      <c r="C218" s="616"/>
      <c r="D218" s="620"/>
      <c r="E218" s="612"/>
      <c r="F218" s="612"/>
      <c r="G218" s="616"/>
      <c r="I218" s="616"/>
    </row>
    <row r="219" spans="1:9" x14ac:dyDescent="0.25">
      <c r="A219" s="616"/>
      <c r="B219" s="620"/>
      <c r="C219" s="616"/>
      <c r="D219" s="620"/>
      <c r="E219" s="612"/>
      <c r="F219" s="612"/>
      <c r="G219" s="616"/>
      <c r="I219" s="616"/>
    </row>
    <row r="220" spans="1:9" x14ac:dyDescent="0.25">
      <c r="A220" s="616"/>
      <c r="B220" s="620"/>
      <c r="C220" s="616"/>
      <c r="D220" s="620"/>
      <c r="E220" s="612"/>
      <c r="F220" s="612"/>
      <c r="G220" s="616"/>
      <c r="I220" s="616"/>
    </row>
    <row r="221" spans="1:9" x14ac:dyDescent="0.25">
      <c r="A221" s="616"/>
      <c r="B221" s="620"/>
      <c r="C221" s="616"/>
      <c r="D221" s="620"/>
      <c r="E221" s="612"/>
      <c r="F221" s="612"/>
      <c r="G221" s="616"/>
      <c r="I221" s="616"/>
    </row>
    <row r="222" spans="1:9" x14ac:dyDescent="0.25">
      <c r="A222" s="616"/>
      <c r="B222" s="620"/>
      <c r="C222" s="616"/>
      <c r="D222" s="620"/>
      <c r="E222" s="612"/>
      <c r="F222" s="612"/>
      <c r="G222" s="616"/>
      <c r="I222" s="616"/>
    </row>
    <row r="223" spans="1:9" x14ac:dyDescent="0.25">
      <c r="A223" s="616"/>
      <c r="B223" s="620"/>
      <c r="C223" s="616"/>
      <c r="D223" s="620"/>
      <c r="E223" s="612"/>
      <c r="F223" s="612"/>
      <c r="G223" s="616"/>
      <c r="I223" s="616"/>
    </row>
    <row r="224" spans="1:9" x14ac:dyDescent="0.25">
      <c r="A224" s="616"/>
      <c r="B224" s="620"/>
      <c r="C224" s="616"/>
      <c r="D224" s="620"/>
      <c r="E224" s="612"/>
      <c r="F224" s="612"/>
      <c r="G224" s="616"/>
      <c r="I224" s="616"/>
    </row>
    <row r="225" spans="1:9" x14ac:dyDescent="0.25">
      <c r="A225" s="616"/>
      <c r="B225" s="620"/>
      <c r="C225" s="616"/>
      <c r="D225" s="620"/>
      <c r="E225" s="612"/>
      <c r="F225" s="612"/>
      <c r="G225" s="616"/>
      <c r="I225" s="616"/>
    </row>
    <row r="226" spans="1:9" x14ac:dyDescent="0.25">
      <c r="A226" s="616"/>
      <c r="B226" s="620"/>
      <c r="C226" s="616"/>
      <c r="D226" s="620"/>
      <c r="E226" s="612"/>
      <c r="F226" s="612"/>
      <c r="G226" s="616"/>
      <c r="I226" s="616"/>
    </row>
    <row r="227" spans="1:9" x14ac:dyDescent="0.25">
      <c r="A227" s="616"/>
      <c r="B227" s="620"/>
      <c r="C227" s="616"/>
      <c r="D227" s="620"/>
      <c r="E227" s="612"/>
      <c r="F227" s="612"/>
      <c r="G227" s="616"/>
      <c r="I227" s="616"/>
    </row>
    <row r="228" spans="1:9" x14ac:dyDescent="0.25">
      <c r="A228" s="616"/>
      <c r="B228" s="620"/>
      <c r="C228" s="616"/>
      <c r="D228" s="620"/>
      <c r="E228" s="612"/>
      <c r="F228" s="612"/>
      <c r="G228" s="616"/>
      <c r="I228" s="616"/>
    </row>
    <row r="229" spans="1:9" x14ac:dyDescent="0.25">
      <c r="A229" s="616"/>
      <c r="B229" s="620"/>
      <c r="C229" s="616"/>
      <c r="D229" s="620"/>
      <c r="E229" s="612"/>
      <c r="F229" s="612"/>
      <c r="G229" s="616"/>
      <c r="I229" s="616"/>
    </row>
    <row r="230" spans="1:9" x14ac:dyDescent="0.25">
      <c r="A230" s="616"/>
      <c r="B230" s="620"/>
      <c r="C230" s="616"/>
      <c r="D230" s="620"/>
      <c r="E230" s="612"/>
      <c r="F230" s="612"/>
      <c r="G230" s="616"/>
      <c r="I230" s="616"/>
    </row>
    <row r="231" spans="1:9" x14ac:dyDescent="0.25">
      <c r="A231" s="616"/>
      <c r="B231" s="620"/>
      <c r="C231" s="616"/>
      <c r="D231" s="620"/>
      <c r="E231" s="612"/>
      <c r="F231" s="612"/>
      <c r="G231" s="616"/>
      <c r="I231" s="616"/>
    </row>
    <row r="232" spans="1:9" x14ac:dyDescent="0.25">
      <c r="A232" s="616"/>
      <c r="B232" s="620"/>
      <c r="C232" s="616"/>
      <c r="D232" s="620"/>
      <c r="E232" s="612"/>
      <c r="F232" s="612"/>
      <c r="G232" s="616"/>
      <c r="I232" s="616"/>
    </row>
    <row r="233" spans="1:9" x14ac:dyDescent="0.25">
      <c r="A233" s="616"/>
      <c r="B233" s="620"/>
      <c r="C233" s="616"/>
      <c r="D233" s="620"/>
      <c r="E233" s="612"/>
      <c r="F233" s="612"/>
      <c r="G233" s="616"/>
      <c r="I233" s="616"/>
    </row>
    <row r="234" spans="1:9" x14ac:dyDescent="0.25">
      <c r="A234" s="616"/>
      <c r="B234" s="620"/>
      <c r="C234" s="616"/>
      <c r="D234" s="620"/>
      <c r="E234" s="612"/>
      <c r="F234" s="612"/>
      <c r="G234" s="616"/>
      <c r="I234" s="616"/>
    </row>
    <row r="235" spans="1:9" x14ac:dyDescent="0.25">
      <c r="A235" s="616"/>
      <c r="B235" s="620"/>
      <c r="C235" s="616"/>
      <c r="D235" s="620"/>
      <c r="E235" s="612"/>
      <c r="F235" s="612"/>
      <c r="G235" s="616"/>
      <c r="I235" s="616"/>
    </row>
    <row r="236" spans="1:9" x14ac:dyDescent="0.25">
      <c r="A236" s="616"/>
      <c r="B236" s="620"/>
      <c r="C236" s="616"/>
      <c r="D236" s="620"/>
      <c r="E236" s="612"/>
      <c r="F236" s="612"/>
      <c r="G236" s="616"/>
      <c r="I236" s="616"/>
    </row>
    <row r="237" spans="1:9" x14ac:dyDescent="0.25">
      <c r="A237" s="616"/>
      <c r="B237" s="620"/>
      <c r="C237" s="616"/>
      <c r="D237" s="620"/>
      <c r="E237" s="612"/>
      <c r="F237" s="612"/>
      <c r="G237" s="616"/>
      <c r="I237" s="616"/>
    </row>
    <row r="238" spans="1:9" x14ac:dyDescent="0.25">
      <c r="A238" s="616"/>
      <c r="B238" s="620"/>
      <c r="C238" s="616"/>
      <c r="D238" s="620"/>
      <c r="E238" s="612"/>
      <c r="F238" s="612"/>
      <c r="G238" s="616"/>
      <c r="I238" s="616"/>
    </row>
    <row r="239" spans="1:9" x14ac:dyDescent="0.25">
      <c r="A239" s="616"/>
      <c r="B239" s="620"/>
      <c r="C239" s="616"/>
      <c r="D239" s="620"/>
      <c r="E239" s="612"/>
      <c r="F239" s="612"/>
      <c r="G239" s="616"/>
      <c r="I239" s="616"/>
    </row>
    <row r="240" spans="1:9" x14ac:dyDescent="0.25">
      <c r="A240" s="616"/>
      <c r="B240" s="620"/>
      <c r="C240" s="616"/>
      <c r="D240" s="620"/>
      <c r="E240" s="612"/>
      <c r="F240" s="612"/>
      <c r="G240" s="616"/>
      <c r="I240" s="616"/>
    </row>
    <row r="241" spans="1:9" x14ac:dyDescent="0.25">
      <c r="A241" s="616"/>
      <c r="B241" s="620"/>
      <c r="C241" s="616"/>
      <c r="D241" s="620"/>
      <c r="E241" s="612"/>
      <c r="F241" s="612"/>
      <c r="G241" s="616"/>
      <c r="I241" s="616"/>
    </row>
    <row r="242" spans="1:9" x14ac:dyDescent="0.25">
      <c r="A242" s="616"/>
      <c r="B242" s="620"/>
      <c r="C242" s="616"/>
      <c r="D242" s="620"/>
      <c r="E242" s="612"/>
      <c r="F242" s="612"/>
      <c r="G242" s="616"/>
      <c r="I242" s="616"/>
    </row>
    <row r="243" spans="1:9" x14ac:dyDescent="0.25">
      <c r="A243" s="616"/>
      <c r="B243" s="620"/>
      <c r="C243" s="616"/>
      <c r="D243" s="620"/>
      <c r="E243" s="612"/>
      <c r="F243" s="612"/>
      <c r="G243" s="616"/>
      <c r="I243" s="616"/>
    </row>
    <row r="244" spans="1:9" x14ac:dyDescent="0.25">
      <c r="A244" s="616"/>
      <c r="B244" s="620"/>
      <c r="C244" s="616"/>
      <c r="D244" s="620"/>
      <c r="E244" s="612"/>
      <c r="F244" s="612"/>
      <c r="G244" s="616"/>
      <c r="I244" s="616"/>
    </row>
    <row r="245" spans="1:9" x14ac:dyDescent="0.25">
      <c r="A245" s="616"/>
      <c r="B245" s="620"/>
      <c r="C245" s="616"/>
      <c r="D245" s="620"/>
      <c r="E245" s="612"/>
      <c r="F245" s="612"/>
      <c r="G245" s="616"/>
      <c r="I245" s="616"/>
    </row>
    <row r="246" spans="1:9" x14ac:dyDescent="0.25">
      <c r="A246" s="616"/>
      <c r="B246" s="620"/>
      <c r="C246" s="616"/>
      <c r="D246" s="620"/>
      <c r="E246" s="612"/>
      <c r="F246" s="612"/>
      <c r="G246" s="616"/>
      <c r="I246" s="616"/>
    </row>
    <row r="247" spans="1:9" x14ac:dyDescent="0.25">
      <c r="A247" s="616"/>
      <c r="B247" s="620"/>
      <c r="C247" s="616"/>
      <c r="D247" s="620"/>
      <c r="E247" s="612"/>
      <c r="F247" s="612"/>
      <c r="G247" s="616"/>
      <c r="I247" s="616"/>
    </row>
    <row r="248" spans="1:9" x14ac:dyDescent="0.25">
      <c r="A248" s="616"/>
      <c r="B248" s="620"/>
      <c r="C248" s="616"/>
      <c r="D248" s="620"/>
      <c r="E248" s="612"/>
      <c r="F248" s="612"/>
      <c r="G248" s="616"/>
      <c r="I248" s="616"/>
    </row>
    <row r="249" spans="1:9" x14ac:dyDescent="0.25">
      <c r="A249" s="616"/>
      <c r="B249" s="620"/>
      <c r="C249" s="616"/>
      <c r="D249" s="620"/>
      <c r="E249" s="612"/>
      <c r="F249" s="612"/>
      <c r="G249" s="616"/>
      <c r="I249" s="616"/>
    </row>
    <row r="250" spans="1:9" x14ac:dyDescent="0.25">
      <c r="A250" s="616"/>
      <c r="B250" s="620"/>
      <c r="C250" s="616"/>
      <c r="D250" s="620"/>
      <c r="E250" s="612"/>
      <c r="F250" s="612"/>
      <c r="G250" s="616"/>
      <c r="I250" s="616"/>
    </row>
    <row r="251" spans="1:9" x14ac:dyDescent="0.25">
      <c r="A251" s="616"/>
      <c r="B251" s="620"/>
      <c r="C251" s="616"/>
      <c r="D251" s="620"/>
      <c r="E251" s="612"/>
      <c r="F251" s="612"/>
      <c r="G251" s="616"/>
      <c r="I251" s="616"/>
    </row>
    <row r="252" spans="1:9" x14ac:dyDescent="0.25">
      <c r="A252" s="616"/>
      <c r="B252" s="620"/>
      <c r="C252" s="616"/>
      <c r="D252" s="620"/>
      <c r="E252" s="612"/>
      <c r="F252" s="612"/>
      <c r="G252" s="616"/>
      <c r="I252" s="616"/>
    </row>
    <row r="253" spans="1:9" x14ac:dyDescent="0.25">
      <c r="A253" s="616"/>
      <c r="B253" s="620"/>
      <c r="C253" s="616"/>
      <c r="D253" s="620"/>
      <c r="E253" s="612"/>
      <c r="F253" s="612"/>
      <c r="G253" s="616"/>
      <c r="I253" s="616"/>
    </row>
    <row r="254" spans="1:9" x14ac:dyDescent="0.25">
      <c r="A254" s="616"/>
      <c r="B254" s="620"/>
      <c r="C254" s="616"/>
      <c r="D254" s="620"/>
      <c r="E254" s="612"/>
      <c r="F254" s="612"/>
      <c r="G254" s="616"/>
      <c r="I254" s="616"/>
    </row>
    <row r="255" spans="1:9" x14ac:dyDescent="0.25">
      <c r="A255" s="616"/>
      <c r="B255" s="620"/>
      <c r="C255" s="616"/>
      <c r="D255" s="620"/>
      <c r="E255" s="612"/>
      <c r="F255" s="612"/>
      <c r="G255" s="616"/>
      <c r="I255" s="616"/>
    </row>
    <row r="256" spans="1:9" x14ac:dyDescent="0.25">
      <c r="A256" s="616"/>
      <c r="B256" s="620"/>
      <c r="C256" s="616"/>
      <c r="D256" s="620"/>
      <c r="E256" s="612"/>
      <c r="F256" s="612"/>
      <c r="G256" s="616"/>
      <c r="I256" s="616"/>
    </row>
    <row r="257" spans="1:9" x14ac:dyDescent="0.25">
      <c r="A257" s="616"/>
      <c r="B257" s="620"/>
      <c r="C257" s="616"/>
      <c r="D257" s="620"/>
      <c r="E257" s="612"/>
      <c r="F257" s="612"/>
      <c r="G257" s="616"/>
      <c r="I257" s="616"/>
    </row>
    <row r="258" spans="1:9" x14ac:dyDescent="0.25">
      <c r="A258" s="616"/>
      <c r="B258" s="620"/>
      <c r="C258" s="616"/>
      <c r="D258" s="620"/>
      <c r="E258" s="612"/>
      <c r="F258" s="612"/>
      <c r="G258" s="616"/>
      <c r="I258" s="616"/>
    </row>
    <row r="259" spans="1:9" x14ac:dyDescent="0.25">
      <c r="A259" s="616"/>
      <c r="B259" s="620"/>
      <c r="C259" s="616"/>
      <c r="D259" s="620"/>
      <c r="E259" s="612"/>
      <c r="F259" s="612"/>
      <c r="G259" s="616"/>
      <c r="I259" s="616"/>
    </row>
    <row r="260" spans="1:9" x14ac:dyDescent="0.25">
      <c r="A260" s="616"/>
      <c r="B260" s="620"/>
      <c r="C260" s="616"/>
      <c r="D260" s="620"/>
      <c r="E260" s="612"/>
      <c r="F260" s="612"/>
      <c r="G260" s="616"/>
      <c r="I260" s="616"/>
    </row>
    <row r="261" spans="1:9" x14ac:dyDescent="0.25">
      <c r="A261" s="616"/>
      <c r="B261" s="620"/>
      <c r="C261" s="616"/>
      <c r="D261" s="620"/>
      <c r="E261" s="612"/>
      <c r="F261" s="612"/>
      <c r="G261" s="616"/>
      <c r="I261" s="616"/>
    </row>
    <row r="262" spans="1:9" x14ac:dyDescent="0.25">
      <c r="A262" s="616"/>
      <c r="B262" s="620"/>
      <c r="C262" s="616"/>
      <c r="D262" s="620"/>
      <c r="E262" s="612"/>
      <c r="F262" s="612"/>
      <c r="G262" s="616"/>
      <c r="I262" s="616"/>
    </row>
    <row r="263" spans="1:9" x14ac:dyDescent="0.25">
      <c r="A263" s="616"/>
      <c r="B263" s="620"/>
      <c r="C263" s="616"/>
      <c r="D263" s="620"/>
      <c r="E263" s="612"/>
      <c r="F263" s="612"/>
      <c r="G263" s="616"/>
      <c r="I263" s="616"/>
    </row>
    <row r="264" spans="1:9" x14ac:dyDescent="0.25">
      <c r="A264" s="616"/>
      <c r="B264" s="620"/>
      <c r="C264" s="616"/>
      <c r="D264" s="620"/>
      <c r="E264" s="612"/>
      <c r="F264" s="612"/>
      <c r="G264" s="616"/>
      <c r="I264" s="616"/>
    </row>
    <row r="265" spans="1:9" x14ac:dyDescent="0.25">
      <c r="A265" s="616"/>
      <c r="B265" s="620"/>
      <c r="C265" s="616"/>
      <c r="D265" s="620"/>
      <c r="E265" s="612"/>
      <c r="F265" s="612"/>
      <c r="G265" s="616"/>
      <c r="I265" s="616"/>
    </row>
    <row r="266" spans="1:9" x14ac:dyDescent="0.25">
      <c r="A266" s="616"/>
      <c r="B266" s="620"/>
      <c r="C266" s="616"/>
      <c r="D266" s="620"/>
      <c r="E266" s="612"/>
      <c r="F266" s="612"/>
      <c r="G266" s="616"/>
      <c r="I266" s="616"/>
    </row>
    <row r="267" spans="1:9" x14ac:dyDescent="0.25">
      <c r="A267" s="616"/>
      <c r="B267" s="620"/>
      <c r="C267" s="616"/>
      <c r="D267" s="620"/>
      <c r="E267" s="612"/>
      <c r="F267" s="612"/>
      <c r="G267" s="616"/>
      <c r="I267" s="616"/>
    </row>
    <row r="268" spans="1:9" x14ac:dyDescent="0.25">
      <c r="A268" s="616"/>
      <c r="B268" s="620"/>
      <c r="C268" s="616"/>
      <c r="D268" s="620"/>
      <c r="E268" s="612"/>
      <c r="F268" s="612"/>
      <c r="G268" s="616"/>
      <c r="I268" s="616"/>
    </row>
    <row r="269" spans="1:9" x14ac:dyDescent="0.25">
      <c r="A269" s="616"/>
      <c r="B269" s="620"/>
      <c r="C269" s="616"/>
      <c r="D269" s="620"/>
      <c r="E269" s="612"/>
      <c r="F269" s="612"/>
      <c r="G269" s="616"/>
      <c r="I269" s="616"/>
    </row>
    <row r="270" spans="1:9" x14ac:dyDescent="0.25">
      <c r="A270" s="616"/>
      <c r="B270" s="620"/>
      <c r="C270" s="616"/>
      <c r="D270" s="620"/>
      <c r="E270" s="612"/>
      <c r="F270" s="612"/>
      <c r="G270" s="616"/>
      <c r="I270" s="616"/>
    </row>
    <row r="271" spans="1:9" x14ac:dyDescent="0.25">
      <c r="A271" s="616"/>
      <c r="B271" s="620"/>
      <c r="C271" s="616"/>
      <c r="D271" s="620"/>
      <c r="E271" s="612"/>
      <c r="F271" s="612"/>
      <c r="G271" s="616"/>
      <c r="I271" s="616"/>
    </row>
    <row r="272" spans="1:9" x14ac:dyDescent="0.25">
      <c r="A272" s="616"/>
      <c r="B272" s="620"/>
      <c r="C272" s="616"/>
      <c r="D272" s="620"/>
      <c r="E272" s="612"/>
      <c r="F272" s="612"/>
      <c r="G272" s="616"/>
    </row>
    <row r="273" spans="1:7" x14ac:dyDescent="0.25">
      <c r="A273" s="616"/>
      <c r="B273" s="620"/>
      <c r="C273" s="616"/>
      <c r="D273" s="620"/>
      <c r="E273" s="612"/>
      <c r="F273" s="612"/>
      <c r="G273" s="616"/>
    </row>
    <row r="274" spans="1:7" x14ac:dyDescent="0.25">
      <c r="A274" s="616"/>
      <c r="B274" s="620"/>
      <c r="C274" s="616"/>
      <c r="D274" s="620"/>
      <c r="E274" s="612"/>
      <c r="F274" s="612"/>
      <c r="G274" s="616"/>
    </row>
    <row r="275" spans="1:7" x14ac:dyDescent="0.25">
      <c r="A275" s="616"/>
      <c r="B275" s="620"/>
      <c r="C275" s="616"/>
      <c r="D275" s="620"/>
      <c r="E275" s="612"/>
      <c r="F275" s="612"/>
      <c r="G275" s="616"/>
    </row>
    <row r="276" spans="1:7" x14ac:dyDescent="0.25">
      <c r="A276" s="616"/>
      <c r="B276" s="620"/>
      <c r="C276" s="616"/>
    </row>
    <row r="277" spans="1:7" x14ac:dyDescent="0.25">
      <c r="A277" s="616"/>
      <c r="B277" s="620"/>
      <c r="C277" s="616"/>
    </row>
  </sheetData>
  <mergeCells count="17">
    <mergeCell ref="H1:H2"/>
    <mergeCell ref="A1:A2"/>
    <mergeCell ref="I1:I2"/>
    <mergeCell ref="H17:H18"/>
    <mergeCell ref="I17:I18"/>
    <mergeCell ref="B17:C17"/>
    <mergeCell ref="B1:C1"/>
    <mergeCell ref="D1:G1"/>
    <mergeCell ref="D17:E17"/>
    <mergeCell ref="H30:H31"/>
    <mergeCell ref="I30:I31"/>
    <mergeCell ref="H60:H61"/>
    <mergeCell ref="I60:I61"/>
    <mergeCell ref="B30:C30"/>
    <mergeCell ref="D30:E30"/>
    <mergeCell ref="D60:G60"/>
    <mergeCell ref="B60:C60"/>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AM117"/>
  <sheetViews>
    <sheetView zoomScaleNormal="100" workbookViewId="0">
      <pane ySplit="4" topLeftCell="A49" activePane="bottomLeft" state="frozen"/>
      <selection pane="bottomLeft" activeCell="D53" sqref="D53"/>
    </sheetView>
  </sheetViews>
  <sheetFormatPr defaultColWidth="8.85546875" defaultRowHeight="15" x14ac:dyDescent="0.25"/>
  <cols>
    <col min="1" max="1" width="22.140625" style="40" customWidth="1"/>
    <col min="2" max="2" width="27.140625" style="40" bestFit="1" customWidth="1"/>
    <col min="3" max="3" width="29.28515625" style="40" bestFit="1" customWidth="1"/>
    <col min="4" max="9" width="13.28515625" style="40" customWidth="1"/>
    <col min="10" max="10" width="8.85546875" style="26"/>
    <col min="11" max="11" width="22.140625" style="40" customWidth="1"/>
    <col min="12" max="12" width="27.140625" style="40" bestFit="1" customWidth="1"/>
    <col min="13" max="13" width="29.28515625" style="40" bestFit="1" customWidth="1"/>
    <col min="14" max="19" width="13.28515625" style="40" customWidth="1"/>
    <col min="20" max="20" width="8.85546875" style="372"/>
    <col min="21" max="21" width="22.140625" style="40" customWidth="1"/>
    <col min="22" max="22" width="27.140625" style="40" bestFit="1" customWidth="1"/>
    <col min="23" max="23" width="29.28515625" style="40" bestFit="1" customWidth="1"/>
    <col min="24" max="29" width="13.28515625" style="40" customWidth="1"/>
    <col min="30" max="30" width="8.85546875" style="26"/>
    <col min="31" max="31" width="22.140625" style="26" customWidth="1"/>
    <col min="32" max="32" width="27.140625" style="26" customWidth="1"/>
    <col min="33" max="33" width="29.28515625" style="26" customWidth="1"/>
    <col min="34" max="39" width="13.28515625" style="26" customWidth="1"/>
    <col min="40" max="16384" width="8.85546875" style="26"/>
  </cols>
  <sheetData>
    <row r="1" spans="1:39" ht="18" x14ac:dyDescent="0.25">
      <c r="A1" s="121" t="s">
        <v>254</v>
      </c>
    </row>
    <row r="2" spans="1:39" ht="15.75" thickBot="1" x14ac:dyDescent="0.3"/>
    <row r="3" spans="1:39" s="318" customFormat="1" ht="39.75" customHeight="1" thickBot="1" x14ac:dyDescent="0.3">
      <c r="A3" s="1124" t="s">
        <v>67</v>
      </c>
      <c r="B3" s="1126" t="s">
        <v>226</v>
      </c>
      <c r="C3" s="1127"/>
      <c r="D3" s="1124" t="s">
        <v>64</v>
      </c>
      <c r="E3" s="1137"/>
      <c r="F3" s="1124" t="s">
        <v>65</v>
      </c>
      <c r="G3" s="1137"/>
      <c r="H3" s="1136" t="s">
        <v>66</v>
      </c>
      <c r="I3" s="1137"/>
      <c r="K3" s="1124" t="s">
        <v>67</v>
      </c>
      <c r="L3" s="1126" t="s">
        <v>240</v>
      </c>
      <c r="M3" s="1127"/>
      <c r="N3" s="1124" t="s">
        <v>64</v>
      </c>
      <c r="O3" s="1137"/>
      <c r="P3" s="1124" t="s">
        <v>65</v>
      </c>
      <c r="Q3" s="1137"/>
      <c r="R3" s="1136" t="s">
        <v>66</v>
      </c>
      <c r="S3" s="1137"/>
      <c r="U3" s="1124" t="s">
        <v>67</v>
      </c>
      <c r="V3" s="1126" t="s">
        <v>241</v>
      </c>
      <c r="W3" s="1127"/>
      <c r="X3" s="1124" t="s">
        <v>64</v>
      </c>
      <c r="Y3" s="1137"/>
      <c r="Z3" s="1124" t="s">
        <v>65</v>
      </c>
      <c r="AA3" s="1137"/>
      <c r="AB3" s="1136" t="s">
        <v>66</v>
      </c>
      <c r="AC3" s="1137"/>
      <c r="AE3" s="1124" t="s">
        <v>67</v>
      </c>
      <c r="AF3" s="1126" t="s">
        <v>238</v>
      </c>
      <c r="AG3" s="1127"/>
      <c r="AH3" s="1124" t="s">
        <v>64</v>
      </c>
      <c r="AI3" s="1137"/>
      <c r="AJ3" s="1124" t="s">
        <v>65</v>
      </c>
      <c r="AK3" s="1137"/>
      <c r="AL3" s="1136" t="s">
        <v>66</v>
      </c>
      <c r="AM3" s="1137"/>
    </row>
    <row r="4" spans="1:39" s="122" customFormat="1" ht="41.25" customHeight="1" thickBot="1" x14ac:dyDescent="0.25">
      <c r="A4" s="1125"/>
      <c r="B4" s="1128"/>
      <c r="C4" s="1129"/>
      <c r="D4" s="258">
        <v>2030</v>
      </c>
      <c r="E4" s="259">
        <v>2040</v>
      </c>
      <c r="F4" s="258">
        <v>2030</v>
      </c>
      <c r="G4" s="259">
        <v>2040</v>
      </c>
      <c r="H4" s="260">
        <v>2030</v>
      </c>
      <c r="I4" s="259">
        <v>2040</v>
      </c>
      <c r="K4" s="1125"/>
      <c r="L4" s="1128"/>
      <c r="M4" s="1129"/>
      <c r="N4" s="258">
        <v>2030</v>
      </c>
      <c r="O4" s="259">
        <v>2040</v>
      </c>
      <c r="P4" s="258">
        <v>2030</v>
      </c>
      <c r="Q4" s="259">
        <v>2040</v>
      </c>
      <c r="R4" s="260">
        <v>2030</v>
      </c>
      <c r="S4" s="259">
        <v>2040</v>
      </c>
      <c r="U4" s="1125"/>
      <c r="V4" s="1128"/>
      <c r="W4" s="1129"/>
      <c r="X4" s="258">
        <v>2030</v>
      </c>
      <c r="Y4" s="259">
        <v>2040</v>
      </c>
      <c r="Z4" s="258">
        <v>2030</v>
      </c>
      <c r="AA4" s="259">
        <v>2040</v>
      </c>
      <c r="AB4" s="260">
        <v>2030</v>
      </c>
      <c r="AC4" s="259">
        <v>2040</v>
      </c>
      <c r="AE4" s="1125"/>
      <c r="AF4" s="1128"/>
      <c r="AG4" s="1129"/>
      <c r="AH4" s="258">
        <v>2030</v>
      </c>
      <c r="AI4" s="259">
        <v>2040</v>
      </c>
      <c r="AJ4" s="258">
        <v>2030</v>
      </c>
      <c r="AK4" s="259">
        <v>2040</v>
      </c>
      <c r="AL4" s="260">
        <v>2030</v>
      </c>
      <c r="AM4" s="259">
        <v>2040</v>
      </c>
    </row>
    <row r="5" spans="1:39" ht="15.75" thickBot="1" x14ac:dyDescent="0.3">
      <c r="A5" s="42" t="s">
        <v>79</v>
      </c>
      <c r="D5" s="76"/>
      <c r="E5" s="76"/>
      <c r="F5" s="76"/>
      <c r="G5" s="76"/>
      <c r="H5" s="76"/>
      <c r="I5" s="76"/>
      <c r="K5" s="42" t="s">
        <v>239</v>
      </c>
      <c r="N5" s="76"/>
      <c r="O5" s="76"/>
      <c r="P5" s="76"/>
      <c r="Q5" s="76"/>
      <c r="R5" s="76"/>
      <c r="S5" s="76"/>
      <c r="U5" s="42" t="s">
        <v>89</v>
      </c>
      <c r="X5" s="76"/>
      <c r="Y5" s="76"/>
      <c r="Z5" s="76"/>
      <c r="AA5" s="76"/>
      <c r="AB5" s="76"/>
      <c r="AC5" s="76"/>
      <c r="AE5" s="42" t="s">
        <v>153</v>
      </c>
      <c r="AF5" s="40"/>
      <c r="AG5" s="40"/>
      <c r="AH5" s="76"/>
      <c r="AI5" s="76"/>
      <c r="AJ5" s="76"/>
      <c r="AK5" s="76"/>
      <c r="AL5" s="76"/>
      <c r="AM5" s="76"/>
    </row>
    <row r="6" spans="1:39" x14ac:dyDescent="0.25">
      <c r="A6" s="1133" t="s">
        <v>0</v>
      </c>
      <c r="B6" s="128" t="s">
        <v>9</v>
      </c>
      <c r="C6" s="183" t="s">
        <v>262</v>
      </c>
      <c r="D6" s="195">
        <f>Indata!D58</f>
        <v>13.466674098111907</v>
      </c>
      <c r="E6" s="196">
        <f>Indata!E58</f>
        <v>16.350158148247193</v>
      </c>
      <c r="F6" s="195">
        <f>Indata!F58</f>
        <v>13.466674098111907</v>
      </c>
      <c r="G6" s="196">
        <f>Indata!G58</f>
        <v>16.350158148247193</v>
      </c>
      <c r="H6" s="197">
        <f>Indata!H58</f>
        <v>13.466674098111907</v>
      </c>
      <c r="I6" s="196">
        <f>Indata!I58</f>
        <v>16.350158148247193</v>
      </c>
      <c r="K6" s="1133" t="s">
        <v>0</v>
      </c>
      <c r="L6" s="128" t="s">
        <v>9</v>
      </c>
      <c r="M6" s="183" t="s">
        <v>262</v>
      </c>
      <c r="N6" s="195">
        <f>'Modell - Drivmedelpriser'!E58</f>
        <v>13.466674098111907</v>
      </c>
      <c r="O6" s="196">
        <f>'Modell - Drivmedelpriser'!F58</f>
        <v>16.350158148247193</v>
      </c>
      <c r="P6" s="195">
        <f>'Modell - Drivmedelpriser'!G58</f>
        <v>13.466674098111907</v>
      </c>
      <c r="Q6" s="196">
        <f>'Modell - Drivmedelpriser'!H58</f>
        <v>16.350158148247193</v>
      </c>
      <c r="R6" s="197">
        <f>'Modell - Drivmedelpriser'!I58</f>
        <v>13.466674098111907</v>
      </c>
      <c r="S6" s="196">
        <f>'Modell - Drivmedelpriser'!J58</f>
        <v>16.350158148247193</v>
      </c>
      <c r="U6" s="1133" t="s">
        <v>0</v>
      </c>
      <c r="V6" s="128" t="s">
        <v>9</v>
      </c>
      <c r="W6" s="183" t="s">
        <v>262</v>
      </c>
      <c r="X6" s="195">
        <f t="shared" ref="X6:AC7" si="0">N6</f>
        <v>13.466674098111907</v>
      </c>
      <c r="Y6" s="196">
        <f t="shared" si="0"/>
        <v>16.350158148247193</v>
      </c>
      <c r="Z6" s="195">
        <f t="shared" si="0"/>
        <v>13.466674098111907</v>
      </c>
      <c r="AA6" s="196">
        <f t="shared" si="0"/>
        <v>16.350158148247193</v>
      </c>
      <c r="AB6" s="197">
        <f t="shared" si="0"/>
        <v>13.466674098111907</v>
      </c>
      <c r="AC6" s="196">
        <f t="shared" si="0"/>
        <v>16.350158148247193</v>
      </c>
      <c r="AE6" s="1133" t="s">
        <v>0</v>
      </c>
      <c r="AF6" s="128" t="s">
        <v>9</v>
      </c>
      <c r="AG6" s="183" t="s">
        <v>262</v>
      </c>
      <c r="AH6" s="195">
        <f>X6</f>
        <v>13.466674098111907</v>
      </c>
      <c r="AI6" s="196">
        <f t="shared" ref="AI6:AI7" si="1">Y6</f>
        <v>16.350158148247193</v>
      </c>
      <c r="AJ6" s="195">
        <f t="shared" ref="AJ6:AJ7" si="2">Z6</f>
        <v>13.466674098111907</v>
      </c>
      <c r="AK6" s="196">
        <f t="shared" ref="AK6:AK7" si="3">AA6</f>
        <v>16.350158148247193</v>
      </c>
      <c r="AL6" s="197">
        <f t="shared" ref="AL6:AL7" si="4">AB6</f>
        <v>13.466674098111907</v>
      </c>
      <c r="AM6" s="196">
        <f t="shared" ref="AM6:AM7" si="5">AC6</f>
        <v>16.350158148247193</v>
      </c>
    </row>
    <row r="7" spans="1:39" x14ac:dyDescent="0.25">
      <c r="A7" s="1134"/>
      <c r="B7" s="129" t="s">
        <v>7</v>
      </c>
      <c r="C7" s="184" t="s">
        <v>263</v>
      </c>
      <c r="D7" s="274">
        <f>Indata!D59</f>
        <v>1.1975304347826086</v>
      </c>
      <c r="E7" s="275">
        <f>Indata!E59</f>
        <v>1.4034</v>
      </c>
      <c r="F7" s="274">
        <f>Indata!F59</f>
        <v>1.1975304347826086</v>
      </c>
      <c r="G7" s="276">
        <f>Indata!G59</f>
        <v>1.4034</v>
      </c>
      <c r="H7" s="277">
        <f>Indata!H59</f>
        <v>1.1975304347826086</v>
      </c>
      <c r="I7" s="276">
        <f>Indata!I59</f>
        <v>1.4034</v>
      </c>
      <c r="K7" s="1134"/>
      <c r="L7" s="129" t="s">
        <v>7</v>
      </c>
      <c r="M7" s="184" t="s">
        <v>263</v>
      </c>
      <c r="N7" s="274">
        <f>'Modell - Drivmedelpriser'!E84</f>
        <v>1.1975304347826086</v>
      </c>
      <c r="O7" s="275">
        <f>'Modell - Drivmedelpriser'!F84</f>
        <v>1.4034</v>
      </c>
      <c r="P7" s="274">
        <f>'Modell - Drivmedelpriser'!G84</f>
        <v>1.1975304347826086</v>
      </c>
      <c r="Q7" s="276">
        <f>'Modell - Drivmedelpriser'!H84</f>
        <v>1.4034</v>
      </c>
      <c r="R7" s="277">
        <f>'Modell - Drivmedelpriser'!I84</f>
        <v>1.1975304347826086</v>
      </c>
      <c r="S7" s="276">
        <f>'Modell - Drivmedelpriser'!J84</f>
        <v>1.4034</v>
      </c>
      <c r="U7" s="1134"/>
      <c r="V7" s="129" t="s">
        <v>7</v>
      </c>
      <c r="W7" s="184" t="s">
        <v>263</v>
      </c>
      <c r="X7" s="274">
        <f t="shared" si="0"/>
        <v>1.1975304347826086</v>
      </c>
      <c r="Y7" s="275">
        <f t="shared" si="0"/>
        <v>1.4034</v>
      </c>
      <c r="Z7" s="274">
        <f t="shared" si="0"/>
        <v>1.1975304347826086</v>
      </c>
      <c r="AA7" s="276">
        <f t="shared" si="0"/>
        <v>1.4034</v>
      </c>
      <c r="AB7" s="277">
        <f t="shared" si="0"/>
        <v>1.1975304347826086</v>
      </c>
      <c r="AC7" s="276">
        <f t="shared" si="0"/>
        <v>1.4034</v>
      </c>
      <c r="AE7" s="1134"/>
      <c r="AF7" s="129" t="s">
        <v>7</v>
      </c>
      <c r="AG7" s="184" t="s">
        <v>263</v>
      </c>
      <c r="AH7" s="274">
        <f t="shared" ref="AH7" si="6">X7</f>
        <v>1.1975304347826086</v>
      </c>
      <c r="AI7" s="275">
        <f t="shared" si="1"/>
        <v>1.4034</v>
      </c>
      <c r="AJ7" s="274">
        <f t="shared" si="2"/>
        <v>1.1975304347826086</v>
      </c>
      <c r="AK7" s="276">
        <f t="shared" si="3"/>
        <v>1.4034</v>
      </c>
      <c r="AL7" s="277">
        <f t="shared" si="4"/>
        <v>1.1975304347826086</v>
      </c>
      <c r="AM7" s="276">
        <f t="shared" si="5"/>
        <v>1.4034</v>
      </c>
    </row>
    <row r="8" spans="1:39" ht="15.75" thickBot="1" x14ac:dyDescent="0.3">
      <c r="A8" s="1135"/>
      <c r="B8" s="181" t="s">
        <v>244</v>
      </c>
      <c r="C8" s="185" t="s">
        <v>25</v>
      </c>
      <c r="D8" s="278" t="s">
        <v>78</v>
      </c>
      <c r="E8" s="279" t="s">
        <v>78</v>
      </c>
      <c r="F8" s="278" t="s">
        <v>78</v>
      </c>
      <c r="G8" s="280" t="s">
        <v>78</v>
      </c>
      <c r="H8" s="281" t="s">
        <v>78</v>
      </c>
      <c r="I8" s="280" t="s">
        <v>78</v>
      </c>
      <c r="K8" s="1135"/>
      <c r="L8" s="181" t="s">
        <v>244</v>
      </c>
      <c r="M8" s="185" t="s">
        <v>25</v>
      </c>
      <c r="N8" s="217">
        <f>N6/D6-1</f>
        <v>0</v>
      </c>
      <c r="O8" s="300">
        <f t="shared" ref="O8:S8" si="7">O6/E6-1</f>
        <v>0</v>
      </c>
      <c r="P8" s="217">
        <f t="shared" si="7"/>
        <v>0</v>
      </c>
      <c r="Q8" s="218">
        <f t="shared" si="7"/>
        <v>0</v>
      </c>
      <c r="R8" s="219">
        <f t="shared" si="7"/>
        <v>0</v>
      </c>
      <c r="S8" s="218">
        <f t="shared" si="7"/>
        <v>0</v>
      </c>
      <c r="U8" s="1135"/>
      <c r="V8" s="181" t="s">
        <v>244</v>
      </c>
      <c r="W8" s="185" t="s">
        <v>25</v>
      </c>
      <c r="X8" s="217">
        <f t="shared" ref="X8:AC8" si="8">X6/D6-1</f>
        <v>0</v>
      </c>
      <c r="Y8" s="300">
        <f t="shared" si="8"/>
        <v>0</v>
      </c>
      <c r="Z8" s="217">
        <f t="shared" si="8"/>
        <v>0</v>
      </c>
      <c r="AA8" s="218">
        <f t="shared" si="8"/>
        <v>0</v>
      </c>
      <c r="AB8" s="219">
        <f t="shared" si="8"/>
        <v>0</v>
      </c>
      <c r="AC8" s="218">
        <f t="shared" si="8"/>
        <v>0</v>
      </c>
      <c r="AE8" s="1135"/>
      <c r="AF8" s="181" t="s">
        <v>244</v>
      </c>
      <c r="AG8" s="185" t="s">
        <v>25</v>
      </c>
      <c r="AH8" s="217">
        <f t="shared" ref="AH8:AM8" si="9">AH6/D6-1</f>
        <v>0</v>
      </c>
      <c r="AI8" s="300">
        <f t="shared" si="9"/>
        <v>0</v>
      </c>
      <c r="AJ8" s="217">
        <f t="shared" si="9"/>
        <v>0</v>
      </c>
      <c r="AK8" s="218">
        <f t="shared" si="9"/>
        <v>0</v>
      </c>
      <c r="AL8" s="219">
        <f t="shared" si="9"/>
        <v>0</v>
      </c>
      <c r="AM8" s="218">
        <f t="shared" si="9"/>
        <v>0</v>
      </c>
    </row>
    <row r="9" spans="1:39" x14ac:dyDescent="0.25">
      <c r="AE9" s="40"/>
      <c r="AF9" s="40"/>
      <c r="AG9" s="40"/>
      <c r="AH9" s="40"/>
      <c r="AI9" s="40"/>
      <c r="AJ9" s="40"/>
      <c r="AK9" s="40"/>
      <c r="AL9" s="40"/>
      <c r="AM9" s="40"/>
    </row>
    <row r="10" spans="1:39" ht="15.75" thickBot="1" x14ac:dyDescent="0.3">
      <c r="A10" s="42" t="s">
        <v>80</v>
      </c>
      <c r="D10" s="77"/>
      <c r="E10" s="77"/>
      <c r="F10" s="77"/>
      <c r="G10" s="77"/>
      <c r="H10" s="77"/>
      <c r="I10" s="77"/>
      <c r="K10" s="42" t="s">
        <v>824</v>
      </c>
      <c r="N10" s="77"/>
      <c r="O10" s="77"/>
      <c r="P10" s="77"/>
      <c r="Q10" s="77"/>
      <c r="R10" s="77"/>
      <c r="S10" s="77"/>
      <c r="U10" s="42" t="s">
        <v>90</v>
      </c>
      <c r="X10" s="77"/>
      <c r="Y10" s="77"/>
      <c r="Z10" s="77"/>
      <c r="AA10" s="77"/>
      <c r="AB10" s="77"/>
      <c r="AC10" s="77"/>
      <c r="AE10" s="42" t="s">
        <v>154</v>
      </c>
      <c r="AF10" s="40"/>
      <c r="AG10" s="40"/>
      <c r="AH10" s="77"/>
      <c r="AI10" s="77"/>
      <c r="AJ10" s="77"/>
      <c r="AK10" s="77"/>
      <c r="AL10" s="77"/>
      <c r="AM10" s="77"/>
    </row>
    <row r="11" spans="1:39" ht="14.45" customHeight="1" x14ac:dyDescent="0.25">
      <c r="A11" s="1121" t="s">
        <v>38</v>
      </c>
      <c r="B11" s="128" t="s">
        <v>137</v>
      </c>
      <c r="C11" s="128" t="s">
        <v>39</v>
      </c>
      <c r="D11" s="195">
        <f>Indata!D46</f>
        <v>1.409627347092486</v>
      </c>
      <c r="E11" s="220">
        <f>Indata!E46</f>
        <v>1.0975404858629165</v>
      </c>
      <c r="F11" s="195">
        <f>Indata!F46</f>
        <v>1.409627347092486</v>
      </c>
      <c r="G11" s="196">
        <f>Indata!G46</f>
        <v>1.0975404858629165</v>
      </c>
      <c r="H11" s="197">
        <f>Indata!H46</f>
        <v>1.409627347092486</v>
      </c>
      <c r="I11" s="196">
        <f>Indata!I46</f>
        <v>1.0975404858629165</v>
      </c>
      <c r="K11" s="1130" t="s">
        <v>38</v>
      </c>
      <c r="L11" s="1073" t="s">
        <v>137</v>
      </c>
      <c r="M11" s="1073" t="s">
        <v>39</v>
      </c>
      <c r="N11" s="195">
        <f>D11*(100%+N$8*'Indata - Effektsamband-Faktorer'!$D$6)*(1-Indata!D$20)*(1+Indata!D70*Indata!D71)</f>
        <v>1.409627347092486</v>
      </c>
      <c r="O11" s="220">
        <f>E11*(100%+O$8*'Indata - Effektsamband-Faktorer'!$E$6)*(1-Indata!E$20)*(1+Indata!E70*Indata!E71)</f>
        <v>1.0975404858629165</v>
      </c>
      <c r="P11" s="195">
        <f>F11*(100%+P$8*'Indata - Effektsamband-Faktorer'!$D$6)*(1-Indata!F$20)*(1+Indata!F70*Indata!F71)</f>
        <v>1.409627347092486</v>
      </c>
      <c r="Q11" s="196">
        <f>G11*(100%+Q$8*'Indata - Effektsamband-Faktorer'!$E$6)*(1-Indata!G$20)*(1+Indata!G70*Indata!G71)</f>
        <v>1.0975404858629165</v>
      </c>
      <c r="R11" s="197">
        <f>H11*(100%+R$8*'Indata - Effektsamband-Faktorer'!$D$6)*(1-Indata!H$20)*(1+Indata!H70*Indata!H71)</f>
        <v>1.409627347092486</v>
      </c>
      <c r="S11" s="196">
        <f>I11*(100%+S$8*'Indata - Effektsamband-Faktorer'!$E$6)*(1-Indata!I$20)*(1+Indata!I70*Indata!I71)</f>
        <v>1.0975404858629165</v>
      </c>
      <c r="U11" s="1121" t="s">
        <v>38</v>
      </c>
      <c r="V11" s="128" t="s">
        <v>137</v>
      </c>
      <c r="W11" s="128" t="s">
        <v>39</v>
      </c>
      <c r="X11" s="195">
        <f t="shared" ref="X11:AC14" si="10">N11</f>
        <v>1.409627347092486</v>
      </c>
      <c r="Y11" s="220">
        <f t="shared" si="10"/>
        <v>1.0975404858629165</v>
      </c>
      <c r="Z11" s="195">
        <f t="shared" si="10"/>
        <v>1.409627347092486</v>
      </c>
      <c r="AA11" s="196">
        <f t="shared" si="10"/>
        <v>1.0975404858629165</v>
      </c>
      <c r="AB11" s="197">
        <f t="shared" si="10"/>
        <v>1.409627347092486</v>
      </c>
      <c r="AC11" s="196">
        <f t="shared" si="10"/>
        <v>1.0975404858629165</v>
      </c>
      <c r="AE11" s="1121" t="s">
        <v>38</v>
      </c>
      <c r="AF11" s="128" t="s">
        <v>137</v>
      </c>
      <c r="AG11" s="128" t="s">
        <v>39</v>
      </c>
      <c r="AH11" s="195">
        <f>X11</f>
        <v>1.409627347092486</v>
      </c>
      <c r="AI11" s="220">
        <f t="shared" ref="AI11:AI14" si="11">Y11</f>
        <v>1.0975404858629165</v>
      </c>
      <c r="AJ11" s="195">
        <f t="shared" ref="AJ11:AJ14" si="12">Z11</f>
        <v>1.409627347092486</v>
      </c>
      <c r="AK11" s="196">
        <f t="shared" ref="AK11:AK14" si="13">AA11</f>
        <v>1.0975404858629165</v>
      </c>
      <c r="AL11" s="197">
        <f t="shared" ref="AL11:AL14" si="14">AB11</f>
        <v>1.409627347092486</v>
      </c>
      <c r="AM11" s="196">
        <f t="shared" ref="AM11:AM14" si="15">AC11</f>
        <v>1.0975404858629165</v>
      </c>
    </row>
    <row r="12" spans="1:39" x14ac:dyDescent="0.25">
      <c r="A12" s="1122"/>
      <c r="B12" s="129" t="s">
        <v>138</v>
      </c>
      <c r="C12" s="129" t="s">
        <v>39</v>
      </c>
      <c r="D12" s="198">
        <f>Indata!D47</f>
        <v>1.8521521959043132</v>
      </c>
      <c r="E12" s="221">
        <f>Indata!E47</f>
        <v>1.4301687678393367</v>
      </c>
      <c r="F12" s="198">
        <f>Indata!F47</f>
        <v>1.8521521959043132</v>
      </c>
      <c r="G12" s="199">
        <f>Indata!G47</f>
        <v>1.4301687678393367</v>
      </c>
      <c r="H12" s="200">
        <f>Indata!H47</f>
        <v>1.8521521959043132</v>
      </c>
      <c r="I12" s="199">
        <f>Indata!I47</f>
        <v>1.4301687678393367</v>
      </c>
      <c r="K12" s="1131"/>
      <c r="L12" s="1074" t="s">
        <v>138</v>
      </c>
      <c r="M12" s="1074" t="s">
        <v>39</v>
      </c>
      <c r="N12" s="198">
        <f>D12*(100%+N$8*'Indata - Effektsamband-Faktorer'!$D$6)*(1-Indata!D$20)*(1+Indata!D70*Indata!D71)</f>
        <v>1.8521521959043132</v>
      </c>
      <c r="O12" s="221">
        <f>E12*(100%+O$8*'Indata - Effektsamband-Faktorer'!$E$6)*(1-Indata!E$20)*(1+Indata!E70*Indata!E71)</f>
        <v>1.4301687678393367</v>
      </c>
      <c r="P12" s="198">
        <f>F12*(100%+P$8*'Indata - Effektsamband-Faktorer'!$D$6)*(1-Indata!F$20)*(1+Indata!F70*Indata!F71)</f>
        <v>1.8521521959043132</v>
      </c>
      <c r="Q12" s="199">
        <f>G12*(100%+Q$8*'Indata - Effektsamband-Faktorer'!$E$6)*(1-Indata!G$20)*(1+Indata!G70*Indata!G71)</f>
        <v>1.4301687678393367</v>
      </c>
      <c r="R12" s="200">
        <f>H12*(100%+R$8*'Indata - Effektsamband-Faktorer'!$D$6)*(1-Indata!H$20)*(1+Indata!H70*Indata!H71)</f>
        <v>1.8521521959043132</v>
      </c>
      <c r="S12" s="199">
        <f>I12*(100%+S$8*'Indata - Effektsamband-Faktorer'!$E$6)*(1-Indata!I$20)*(1+Indata!I70*Indata!I71)</f>
        <v>1.4301687678393367</v>
      </c>
      <c r="U12" s="1122"/>
      <c r="V12" s="129" t="s">
        <v>138</v>
      </c>
      <c r="W12" s="129" t="s">
        <v>39</v>
      </c>
      <c r="X12" s="198">
        <f t="shared" si="10"/>
        <v>1.8521521959043132</v>
      </c>
      <c r="Y12" s="221">
        <f t="shared" si="10"/>
        <v>1.4301687678393367</v>
      </c>
      <c r="Z12" s="198">
        <f t="shared" si="10"/>
        <v>1.8521521959043132</v>
      </c>
      <c r="AA12" s="199">
        <f t="shared" si="10"/>
        <v>1.4301687678393367</v>
      </c>
      <c r="AB12" s="200">
        <f t="shared" si="10"/>
        <v>1.8521521959043132</v>
      </c>
      <c r="AC12" s="199">
        <f t="shared" si="10"/>
        <v>1.4301687678393367</v>
      </c>
      <c r="AE12" s="1122"/>
      <c r="AF12" s="129" t="s">
        <v>138</v>
      </c>
      <c r="AG12" s="129" t="s">
        <v>39</v>
      </c>
      <c r="AH12" s="198">
        <f>X12</f>
        <v>1.8521521959043132</v>
      </c>
      <c r="AI12" s="221">
        <f t="shared" si="11"/>
        <v>1.4301687678393367</v>
      </c>
      <c r="AJ12" s="198">
        <f t="shared" si="12"/>
        <v>1.8521521959043132</v>
      </c>
      <c r="AK12" s="199">
        <f t="shared" si="13"/>
        <v>1.4301687678393367</v>
      </c>
      <c r="AL12" s="200">
        <f t="shared" si="14"/>
        <v>1.8521521959043132</v>
      </c>
      <c r="AM12" s="199">
        <f t="shared" si="15"/>
        <v>1.4301687678393367</v>
      </c>
    </row>
    <row r="13" spans="1:39" x14ac:dyDescent="0.25">
      <c r="A13" s="1122"/>
      <c r="B13" s="129" t="s">
        <v>139</v>
      </c>
      <c r="C13" s="129" t="s">
        <v>39</v>
      </c>
      <c r="D13" s="274">
        <f>Indata!D48</f>
        <v>2.2765487554982271</v>
      </c>
      <c r="E13" s="275">
        <f>Indata!E48</f>
        <v>1.7743995375527619</v>
      </c>
      <c r="F13" s="274">
        <f>Indata!F48</f>
        <v>2.2765487554982271</v>
      </c>
      <c r="G13" s="276">
        <f>Indata!G48</f>
        <v>1.7743995375527619</v>
      </c>
      <c r="H13" s="277">
        <f>Indata!H48</f>
        <v>2.2765487554982271</v>
      </c>
      <c r="I13" s="276">
        <f>Indata!I48</f>
        <v>1.7743995375527619</v>
      </c>
      <c r="K13" s="1131"/>
      <c r="L13" s="1074" t="s">
        <v>139</v>
      </c>
      <c r="M13" s="1074" t="s">
        <v>39</v>
      </c>
      <c r="N13" s="274">
        <f>D13*(100%+N$8*'Indata - Effektsamband-Faktorer'!$D$6)*(1-Indata!D$20)*(1+Indata!D70*Indata!D71)</f>
        <v>2.2765487554982271</v>
      </c>
      <c r="O13" s="275">
        <f>E13*(100%+O$8*'Indata - Effektsamband-Faktorer'!$E$6)*(1-Indata!E$20)*(1+Indata!E70*Indata!E71)</f>
        <v>1.7743995375527619</v>
      </c>
      <c r="P13" s="274">
        <f>F13*(100%+P$8*'Indata - Effektsamband-Faktorer'!$D$6)*(1-Indata!F$20)*(1+Indata!F70*Indata!F71)</f>
        <v>2.2765487554982271</v>
      </c>
      <c r="Q13" s="276">
        <f>G13*(100%+Q$8*'Indata - Effektsamband-Faktorer'!$E$6)*(1-Indata!G$20)*(1+Indata!G70*Indata!G71)</f>
        <v>1.7743995375527619</v>
      </c>
      <c r="R13" s="277">
        <f>H13*(100%+R$8*'Indata - Effektsamband-Faktorer'!$D$6)*(1-Indata!H$20)*(1+Indata!H70*Indata!H71)</f>
        <v>2.2765487554982271</v>
      </c>
      <c r="S13" s="276">
        <f>I13*(100%+S$8*'Indata - Effektsamband-Faktorer'!$E$6)*(1-Indata!I$20)*(1+Indata!I70*Indata!I71)</f>
        <v>1.7743995375527619</v>
      </c>
      <c r="U13" s="1122"/>
      <c r="V13" s="129" t="s">
        <v>139</v>
      </c>
      <c r="W13" s="129" t="s">
        <v>39</v>
      </c>
      <c r="X13" s="274">
        <f t="shared" si="10"/>
        <v>2.2765487554982271</v>
      </c>
      <c r="Y13" s="275">
        <f t="shared" si="10"/>
        <v>1.7743995375527619</v>
      </c>
      <c r="Z13" s="274">
        <f t="shared" si="10"/>
        <v>2.2765487554982271</v>
      </c>
      <c r="AA13" s="276">
        <f t="shared" si="10"/>
        <v>1.7743995375527619</v>
      </c>
      <c r="AB13" s="277">
        <f t="shared" si="10"/>
        <v>2.2765487554982271</v>
      </c>
      <c r="AC13" s="276">
        <f t="shared" si="10"/>
        <v>1.7743995375527619</v>
      </c>
      <c r="AE13" s="1122"/>
      <c r="AF13" s="129" t="s">
        <v>139</v>
      </c>
      <c r="AG13" s="129" t="s">
        <v>39</v>
      </c>
      <c r="AH13" s="274">
        <f t="shared" ref="AH13:AH14" si="16">X13</f>
        <v>2.2765487554982271</v>
      </c>
      <c r="AI13" s="275">
        <f t="shared" si="11"/>
        <v>1.7743995375527619</v>
      </c>
      <c r="AJ13" s="274">
        <f t="shared" si="12"/>
        <v>2.2765487554982271</v>
      </c>
      <c r="AK13" s="276">
        <f t="shared" si="13"/>
        <v>1.7743995375527619</v>
      </c>
      <c r="AL13" s="277">
        <f t="shared" si="14"/>
        <v>2.2765487554982271</v>
      </c>
      <c r="AM13" s="276">
        <f t="shared" si="15"/>
        <v>1.7743995375527619</v>
      </c>
    </row>
    <row r="14" spans="1:39" x14ac:dyDescent="0.25">
      <c r="A14" s="1122"/>
      <c r="B14" s="129" t="s">
        <v>140</v>
      </c>
      <c r="C14" s="129" t="s">
        <v>39</v>
      </c>
      <c r="D14" s="274">
        <f>Indata!D49</f>
        <v>2.9364819147657566</v>
      </c>
      <c r="E14" s="275">
        <f>Indata!E49</f>
        <v>2.3008116808806713</v>
      </c>
      <c r="F14" s="274">
        <f>Indata!F49</f>
        <v>2.9364819147657566</v>
      </c>
      <c r="G14" s="276">
        <f>Indata!G49</f>
        <v>2.3008116808806713</v>
      </c>
      <c r="H14" s="277">
        <f>Indata!H49</f>
        <v>2.9364819147657566</v>
      </c>
      <c r="I14" s="276">
        <f>Indata!I49</f>
        <v>2.3008116808806713</v>
      </c>
      <c r="K14" s="1131"/>
      <c r="L14" s="1074" t="s">
        <v>140</v>
      </c>
      <c r="M14" s="1074" t="s">
        <v>39</v>
      </c>
      <c r="N14" s="274">
        <f>D14*(100%+N$8*'Indata - Effektsamband-Faktorer'!$D$6)*(1-Indata!D$20)*(1+Indata!D70*Indata!D71)</f>
        <v>2.9364819147657566</v>
      </c>
      <c r="O14" s="275">
        <f>E14*(100%+O$8*'Indata - Effektsamband-Faktorer'!$E$6)*(1-Indata!E$20)*(1+Indata!E70*Indata!E71)</f>
        <v>2.3008116808806713</v>
      </c>
      <c r="P14" s="274">
        <f>F14*(100%+P$8*'Indata - Effektsamband-Faktorer'!$D$6)*(1-Indata!F$20)*(1+Indata!F70*Indata!F71)</f>
        <v>2.9364819147657566</v>
      </c>
      <c r="Q14" s="276">
        <f>G14*(100%+Q$8*'Indata - Effektsamband-Faktorer'!$E$6)*(1-Indata!G$20)*(1+Indata!G70*Indata!G71)</f>
        <v>2.3008116808806713</v>
      </c>
      <c r="R14" s="277">
        <f>H14*(100%+R$8*'Indata - Effektsamband-Faktorer'!$D$6)*(1-Indata!H$20)*(1+Indata!H70*Indata!H71)</f>
        <v>2.9364819147657566</v>
      </c>
      <c r="S14" s="276">
        <f>I14*(100%+S$8*'Indata - Effektsamband-Faktorer'!$E$6)*(1-Indata!I$20)*(1+Indata!I70*Indata!I71)</f>
        <v>2.3008116808806713</v>
      </c>
      <c r="U14" s="1122"/>
      <c r="V14" s="129" t="s">
        <v>140</v>
      </c>
      <c r="W14" s="129" t="s">
        <v>39</v>
      </c>
      <c r="X14" s="274">
        <f t="shared" si="10"/>
        <v>2.9364819147657566</v>
      </c>
      <c r="Y14" s="275">
        <f t="shared" si="10"/>
        <v>2.3008116808806713</v>
      </c>
      <c r="Z14" s="274">
        <f t="shared" si="10"/>
        <v>2.9364819147657566</v>
      </c>
      <c r="AA14" s="276">
        <f t="shared" si="10"/>
        <v>2.3008116808806713</v>
      </c>
      <c r="AB14" s="277">
        <f t="shared" si="10"/>
        <v>2.9364819147657566</v>
      </c>
      <c r="AC14" s="276">
        <f t="shared" si="10"/>
        <v>2.3008116808806713</v>
      </c>
      <c r="AE14" s="1122"/>
      <c r="AF14" s="129" t="s">
        <v>140</v>
      </c>
      <c r="AG14" s="129" t="s">
        <v>39</v>
      </c>
      <c r="AH14" s="274">
        <f t="shared" si="16"/>
        <v>2.9364819147657566</v>
      </c>
      <c r="AI14" s="275">
        <f t="shared" si="11"/>
        <v>2.3008116808806713</v>
      </c>
      <c r="AJ14" s="274">
        <f t="shared" si="12"/>
        <v>2.9364819147657566</v>
      </c>
      <c r="AK14" s="276">
        <f t="shared" si="13"/>
        <v>2.3008116808806713</v>
      </c>
      <c r="AL14" s="277">
        <f t="shared" si="14"/>
        <v>2.9364819147657566</v>
      </c>
      <c r="AM14" s="276">
        <f t="shared" si="15"/>
        <v>2.3008116808806713</v>
      </c>
    </row>
    <row r="15" spans="1:39" x14ac:dyDescent="0.25">
      <c r="A15" s="1122"/>
      <c r="B15" s="180" t="s">
        <v>141</v>
      </c>
      <c r="C15" s="180" t="s">
        <v>39</v>
      </c>
      <c r="D15" s="270">
        <f>SUMPRODUCT(D11:D14,D36:D39)/D40</f>
        <v>2.635417410126252</v>
      </c>
      <c r="E15" s="271">
        <f t="shared" ref="E15:I15" si="17">SUMPRODUCT(E11:E14,E36:E39)/E40</f>
        <v>2.104120696313331</v>
      </c>
      <c r="F15" s="270">
        <f t="shared" si="17"/>
        <v>2.635417410126252</v>
      </c>
      <c r="G15" s="272">
        <f t="shared" si="17"/>
        <v>2.104120696313331</v>
      </c>
      <c r="H15" s="273">
        <f t="shared" si="17"/>
        <v>2.635417410126252</v>
      </c>
      <c r="I15" s="272">
        <f t="shared" si="17"/>
        <v>2.104120696313331</v>
      </c>
      <c r="K15" s="1131"/>
      <c r="L15" s="1075" t="s">
        <v>141</v>
      </c>
      <c r="M15" s="1075" t="s">
        <v>39</v>
      </c>
      <c r="N15" s="270">
        <f t="shared" ref="N15:S15" si="18">SUMPRODUCT(N11:N14,N36:N39)/N40</f>
        <v>2.635417410126252</v>
      </c>
      <c r="O15" s="271">
        <f t="shared" si="18"/>
        <v>2.104120696313331</v>
      </c>
      <c r="P15" s="270">
        <f t="shared" si="18"/>
        <v>2.635417410126252</v>
      </c>
      <c r="Q15" s="272">
        <f t="shared" si="18"/>
        <v>2.104120696313331</v>
      </c>
      <c r="R15" s="273">
        <f t="shared" si="18"/>
        <v>2.635417410126252</v>
      </c>
      <c r="S15" s="272">
        <f t="shared" si="18"/>
        <v>2.104120696313331</v>
      </c>
      <c r="U15" s="1122"/>
      <c r="V15" s="180" t="s">
        <v>141</v>
      </c>
      <c r="W15" s="180" t="s">
        <v>39</v>
      </c>
      <c r="X15" s="270">
        <f t="shared" ref="X15:AC15" si="19">SUMPRODUCT(X11:X14,X36:X39)/X40</f>
        <v>2.635417410126252</v>
      </c>
      <c r="Y15" s="271">
        <f t="shared" si="19"/>
        <v>2.104120696313331</v>
      </c>
      <c r="Z15" s="270">
        <f t="shared" si="19"/>
        <v>2.635417410126252</v>
      </c>
      <c r="AA15" s="272">
        <f t="shared" si="19"/>
        <v>2.104120696313331</v>
      </c>
      <c r="AB15" s="273">
        <f t="shared" si="19"/>
        <v>2.635417410126252</v>
      </c>
      <c r="AC15" s="272">
        <f t="shared" si="19"/>
        <v>2.104120696313331</v>
      </c>
      <c r="AE15" s="1122"/>
      <c r="AF15" s="180" t="s">
        <v>141</v>
      </c>
      <c r="AG15" s="180" t="s">
        <v>39</v>
      </c>
      <c r="AH15" s="270">
        <f t="shared" ref="AH15:AM15" si="20">SUMPRODUCT(AH11:AH14,AH36:AH39)/AH40</f>
        <v>2.635417410126252</v>
      </c>
      <c r="AI15" s="271">
        <f t="shared" si="20"/>
        <v>2.1041206963133314</v>
      </c>
      <c r="AJ15" s="270">
        <f t="shared" si="20"/>
        <v>2.635417410126252</v>
      </c>
      <c r="AK15" s="272">
        <f>SUMPRODUCT(AK11:AK14,AK36:AK39)/AK40</f>
        <v>2.1041206963133314</v>
      </c>
      <c r="AL15" s="273">
        <f t="shared" si="20"/>
        <v>2.635417410126252</v>
      </c>
      <c r="AM15" s="272">
        <f t="shared" si="20"/>
        <v>2.1041206963133314</v>
      </c>
    </row>
    <row r="16" spans="1:39" x14ac:dyDescent="0.25">
      <c r="A16" s="1122"/>
      <c r="B16" s="129" t="s">
        <v>142</v>
      </c>
      <c r="C16" s="129" t="s">
        <v>40</v>
      </c>
      <c r="D16" s="274">
        <f>Indata!D50</f>
        <v>8.4732522945626005</v>
      </c>
      <c r="E16" s="275">
        <f>Indata!E50</f>
        <v>8.4732522945626005</v>
      </c>
      <c r="F16" s="274">
        <f>Indata!F50</f>
        <v>8.4732522945626005</v>
      </c>
      <c r="G16" s="276">
        <f>Indata!G50</f>
        <v>8.4732522945626005</v>
      </c>
      <c r="H16" s="277">
        <f>Indata!H50</f>
        <v>8.4732522945626005</v>
      </c>
      <c r="I16" s="276">
        <f>Indata!I50</f>
        <v>8.4732522945626005</v>
      </c>
      <c r="K16" s="1131"/>
      <c r="L16" s="1074" t="s">
        <v>142</v>
      </c>
      <c r="M16" s="1074" t="s">
        <v>40</v>
      </c>
      <c r="N16" s="274">
        <f>D16*(1-Indata!D$20)*(1+Indata!D70*Indata!D71)</f>
        <v>8.4732522945626005</v>
      </c>
      <c r="O16" s="275">
        <f>E16*(1-Indata!E$20)*(1+Indata!E70*Indata!E71)</f>
        <v>8.4732522945626005</v>
      </c>
      <c r="P16" s="274">
        <f>F16*(1-Indata!F$20)*(1+Indata!F70*Indata!F71)</f>
        <v>8.4732522945626005</v>
      </c>
      <c r="Q16" s="276">
        <f>G16*(1-Indata!G$20)*(1+Indata!G70*Indata!G71)</f>
        <v>8.4732522945626005</v>
      </c>
      <c r="R16" s="277">
        <f>H16*(1-Indata!H$20)*(1+Indata!H70*Indata!H71)</f>
        <v>8.4732522945626005</v>
      </c>
      <c r="S16" s="276">
        <f>I16*(1-Indata!I$20)*(1+Indata!I70*Indata!I71)</f>
        <v>8.4732522945626005</v>
      </c>
      <c r="U16" s="1122"/>
      <c r="V16" s="129" t="s">
        <v>142</v>
      </c>
      <c r="W16" s="129" t="s">
        <v>40</v>
      </c>
      <c r="X16" s="274">
        <f t="shared" ref="X16:AC19" si="21">N16</f>
        <v>8.4732522945626005</v>
      </c>
      <c r="Y16" s="275">
        <f t="shared" si="21"/>
        <v>8.4732522945626005</v>
      </c>
      <c r="Z16" s="274">
        <f t="shared" si="21"/>
        <v>8.4732522945626005</v>
      </c>
      <c r="AA16" s="276">
        <f t="shared" si="21"/>
        <v>8.4732522945626005</v>
      </c>
      <c r="AB16" s="277">
        <f t="shared" si="21"/>
        <v>8.4732522945626005</v>
      </c>
      <c r="AC16" s="276">
        <f t="shared" si="21"/>
        <v>8.4732522945626005</v>
      </c>
      <c r="AE16" s="1122"/>
      <c r="AF16" s="129" t="s">
        <v>142</v>
      </c>
      <c r="AG16" s="129" t="s">
        <v>40</v>
      </c>
      <c r="AH16" s="274">
        <f t="shared" ref="AH16:AH19" si="22">X16</f>
        <v>8.4732522945626005</v>
      </c>
      <c r="AI16" s="275">
        <f t="shared" ref="AI16:AI19" si="23">Y16</f>
        <v>8.4732522945626005</v>
      </c>
      <c r="AJ16" s="274">
        <f t="shared" ref="AJ16:AJ19" si="24">Z16</f>
        <v>8.4732522945626005</v>
      </c>
      <c r="AK16" s="276">
        <f t="shared" ref="AK16:AK19" si="25">AA16</f>
        <v>8.4732522945626005</v>
      </c>
      <c r="AL16" s="277">
        <f t="shared" ref="AL16:AL19" si="26">AB16</f>
        <v>8.4732522945626005</v>
      </c>
      <c r="AM16" s="276">
        <f t="shared" ref="AM16:AM19" si="27">AC16</f>
        <v>8.4732522945626005</v>
      </c>
    </row>
    <row r="17" spans="1:39" x14ac:dyDescent="0.25">
      <c r="A17" s="1122"/>
      <c r="B17" s="129" t="s">
        <v>143</v>
      </c>
      <c r="C17" s="129" t="s">
        <v>40</v>
      </c>
      <c r="D17" s="274">
        <f>Indata!D51</f>
        <v>8.4732522945626005</v>
      </c>
      <c r="E17" s="275">
        <f>Indata!E51</f>
        <v>8.4732522945626005</v>
      </c>
      <c r="F17" s="274">
        <f>Indata!F51</f>
        <v>8.4732522945626005</v>
      </c>
      <c r="G17" s="276">
        <f>Indata!G51</f>
        <v>8.4732522945626005</v>
      </c>
      <c r="H17" s="277">
        <f>Indata!H51</f>
        <v>8.4732522945626005</v>
      </c>
      <c r="I17" s="276">
        <f>Indata!I51</f>
        <v>8.4732522945626005</v>
      </c>
      <c r="K17" s="1131"/>
      <c r="L17" s="1074" t="s">
        <v>143</v>
      </c>
      <c r="M17" s="1074" t="s">
        <v>40</v>
      </c>
      <c r="N17" s="274">
        <f>D17*(1-Indata!D$20)*(1+Indata!D70*Indata!D71)</f>
        <v>8.4732522945626005</v>
      </c>
      <c r="O17" s="275">
        <f>E17*(1-Indata!E$20)*(1+Indata!E70*Indata!E71)</f>
        <v>8.4732522945626005</v>
      </c>
      <c r="P17" s="274">
        <f>F17*(1-Indata!F$20)*(1+Indata!F70*Indata!F71)</f>
        <v>8.4732522945626005</v>
      </c>
      <c r="Q17" s="276">
        <f>G17*(1-Indata!G$20)*(1+Indata!G70*Indata!G71)</f>
        <v>8.4732522945626005</v>
      </c>
      <c r="R17" s="277">
        <f>H17*(1-Indata!H$20)*(1+Indata!H70*Indata!H71)</f>
        <v>8.4732522945626005</v>
      </c>
      <c r="S17" s="276">
        <f>I17*(1-Indata!I$20)*(1+Indata!I70*Indata!I71)</f>
        <v>8.4732522945626005</v>
      </c>
      <c r="U17" s="1122"/>
      <c r="V17" s="129" t="s">
        <v>143</v>
      </c>
      <c r="W17" s="129" t="s">
        <v>40</v>
      </c>
      <c r="X17" s="274">
        <f t="shared" si="21"/>
        <v>8.4732522945626005</v>
      </c>
      <c r="Y17" s="275">
        <f t="shared" si="21"/>
        <v>8.4732522945626005</v>
      </c>
      <c r="Z17" s="274">
        <f t="shared" si="21"/>
        <v>8.4732522945626005</v>
      </c>
      <c r="AA17" s="276">
        <f t="shared" si="21"/>
        <v>8.4732522945626005</v>
      </c>
      <c r="AB17" s="277">
        <f t="shared" si="21"/>
        <v>8.4732522945626005</v>
      </c>
      <c r="AC17" s="276">
        <f t="shared" si="21"/>
        <v>8.4732522945626005</v>
      </c>
      <c r="AE17" s="1122"/>
      <c r="AF17" s="129" t="s">
        <v>143</v>
      </c>
      <c r="AG17" s="129" t="s">
        <v>40</v>
      </c>
      <c r="AH17" s="274">
        <f t="shared" si="22"/>
        <v>8.4732522945626005</v>
      </c>
      <c r="AI17" s="275">
        <f t="shared" si="23"/>
        <v>8.4732522945626005</v>
      </c>
      <c r="AJ17" s="274">
        <f t="shared" si="24"/>
        <v>8.4732522945626005</v>
      </c>
      <c r="AK17" s="276">
        <f t="shared" si="25"/>
        <v>8.4732522945626005</v>
      </c>
      <c r="AL17" s="277">
        <f t="shared" si="26"/>
        <v>8.4732522945626005</v>
      </c>
      <c r="AM17" s="276">
        <f t="shared" si="27"/>
        <v>8.4732522945626005</v>
      </c>
    </row>
    <row r="18" spans="1:39" x14ac:dyDescent="0.25">
      <c r="A18" s="1122"/>
      <c r="B18" s="129" t="s">
        <v>144</v>
      </c>
      <c r="C18" s="129" t="s">
        <v>40</v>
      </c>
      <c r="D18" s="274">
        <f>Indata!D52</f>
        <v>13.374188060932356</v>
      </c>
      <c r="E18" s="275">
        <f>Indata!E52</f>
        <v>13.374188060932356</v>
      </c>
      <c r="F18" s="274">
        <f>Indata!F52</f>
        <v>13.374188060932356</v>
      </c>
      <c r="G18" s="276">
        <f>Indata!G52</f>
        <v>13.374188060932356</v>
      </c>
      <c r="H18" s="277">
        <f>Indata!H52</f>
        <v>13.374188060932356</v>
      </c>
      <c r="I18" s="276">
        <f>Indata!I52</f>
        <v>13.374188060932356</v>
      </c>
      <c r="K18" s="1131"/>
      <c r="L18" s="1074" t="s">
        <v>144</v>
      </c>
      <c r="M18" s="1074" t="s">
        <v>40</v>
      </c>
      <c r="N18" s="274">
        <f>D18*(1-Indata!D$20)*(1+Indata!D70*Indata!D71)</f>
        <v>13.374188060932356</v>
      </c>
      <c r="O18" s="275">
        <f>E18*(1-Indata!E$20)*(1+Indata!E70*Indata!E71)</f>
        <v>13.374188060932356</v>
      </c>
      <c r="P18" s="274">
        <f>F18*(1-Indata!F$20)*(1+Indata!F70*Indata!F71)</f>
        <v>13.374188060932356</v>
      </c>
      <c r="Q18" s="276">
        <f>G18*(1-Indata!G$20)*(1+Indata!G70*Indata!G71)</f>
        <v>13.374188060932356</v>
      </c>
      <c r="R18" s="277">
        <f>H18*(1-Indata!H$20)*(1+Indata!H70*Indata!H71)</f>
        <v>13.374188060932356</v>
      </c>
      <c r="S18" s="276">
        <f>I18*(1-Indata!I$20)*(1+Indata!I70*Indata!I71)</f>
        <v>13.374188060932356</v>
      </c>
      <c r="U18" s="1122"/>
      <c r="V18" s="129" t="s">
        <v>144</v>
      </c>
      <c r="W18" s="129" t="s">
        <v>40</v>
      </c>
      <c r="X18" s="274">
        <f t="shared" si="21"/>
        <v>13.374188060932356</v>
      </c>
      <c r="Y18" s="275">
        <f t="shared" si="21"/>
        <v>13.374188060932356</v>
      </c>
      <c r="Z18" s="274">
        <f t="shared" si="21"/>
        <v>13.374188060932356</v>
      </c>
      <c r="AA18" s="276">
        <f t="shared" si="21"/>
        <v>13.374188060932356</v>
      </c>
      <c r="AB18" s="277">
        <f t="shared" si="21"/>
        <v>13.374188060932356</v>
      </c>
      <c r="AC18" s="276">
        <f t="shared" si="21"/>
        <v>13.374188060932356</v>
      </c>
      <c r="AE18" s="1122"/>
      <c r="AF18" s="129" t="s">
        <v>144</v>
      </c>
      <c r="AG18" s="129" t="s">
        <v>40</v>
      </c>
      <c r="AH18" s="274">
        <f t="shared" si="22"/>
        <v>13.374188060932356</v>
      </c>
      <c r="AI18" s="275">
        <f t="shared" si="23"/>
        <v>13.374188060932356</v>
      </c>
      <c r="AJ18" s="274">
        <f t="shared" si="24"/>
        <v>13.374188060932356</v>
      </c>
      <c r="AK18" s="276">
        <f t="shared" si="25"/>
        <v>13.374188060932356</v>
      </c>
      <c r="AL18" s="277">
        <f t="shared" si="26"/>
        <v>13.374188060932356</v>
      </c>
      <c r="AM18" s="276">
        <f t="shared" si="27"/>
        <v>13.374188060932356</v>
      </c>
    </row>
    <row r="19" spans="1:39" x14ac:dyDescent="0.25">
      <c r="A19" s="1122"/>
      <c r="B19" s="129" t="s">
        <v>145</v>
      </c>
      <c r="C19" s="129" t="s">
        <v>40</v>
      </c>
      <c r="D19" s="274">
        <f>Indata!D53</f>
        <v>15.182448650666799</v>
      </c>
      <c r="E19" s="275">
        <f>Indata!E53</f>
        <v>15.182448650666799</v>
      </c>
      <c r="F19" s="274">
        <f>Indata!F53</f>
        <v>15.182448650666799</v>
      </c>
      <c r="G19" s="276">
        <f>Indata!G53</f>
        <v>15.182448650666799</v>
      </c>
      <c r="H19" s="277">
        <f>Indata!H53</f>
        <v>15.182448650666799</v>
      </c>
      <c r="I19" s="276">
        <f>Indata!I53</f>
        <v>15.182448650666799</v>
      </c>
      <c r="K19" s="1131"/>
      <c r="L19" s="1074" t="s">
        <v>145</v>
      </c>
      <c r="M19" s="1074" t="s">
        <v>40</v>
      </c>
      <c r="N19" s="274">
        <f>D19*(1-Indata!D$20)*(1+Indata!D70*Indata!D71)</f>
        <v>15.182448650666799</v>
      </c>
      <c r="O19" s="275">
        <f>E19*(1-Indata!E$20)*(1+Indata!E70*Indata!E71)</f>
        <v>15.182448650666799</v>
      </c>
      <c r="P19" s="274">
        <f>F19*(1-Indata!F$20)*(1+Indata!F70*Indata!F71)</f>
        <v>15.182448650666799</v>
      </c>
      <c r="Q19" s="276">
        <f>G19*(1-Indata!G$20)*(1+Indata!G70*Indata!G71)</f>
        <v>15.182448650666799</v>
      </c>
      <c r="R19" s="277">
        <f>H19*(1-Indata!H$20)*(1+Indata!H70*Indata!H71)</f>
        <v>15.182448650666799</v>
      </c>
      <c r="S19" s="276">
        <f>I19*(1-Indata!I$20)*(1+Indata!I70*Indata!I71)</f>
        <v>15.182448650666799</v>
      </c>
      <c r="U19" s="1122"/>
      <c r="V19" s="129" t="s">
        <v>145</v>
      </c>
      <c r="W19" s="129" t="s">
        <v>40</v>
      </c>
      <c r="X19" s="274">
        <f t="shared" si="21"/>
        <v>15.182448650666799</v>
      </c>
      <c r="Y19" s="275">
        <f t="shared" si="21"/>
        <v>15.182448650666799</v>
      </c>
      <c r="Z19" s="274">
        <f t="shared" si="21"/>
        <v>15.182448650666799</v>
      </c>
      <c r="AA19" s="276">
        <f t="shared" si="21"/>
        <v>15.182448650666799</v>
      </c>
      <c r="AB19" s="277">
        <f t="shared" si="21"/>
        <v>15.182448650666799</v>
      </c>
      <c r="AC19" s="276">
        <f t="shared" si="21"/>
        <v>15.182448650666799</v>
      </c>
      <c r="AE19" s="1122"/>
      <c r="AF19" s="129" t="s">
        <v>145</v>
      </c>
      <c r="AG19" s="129" t="s">
        <v>40</v>
      </c>
      <c r="AH19" s="274">
        <f t="shared" si="22"/>
        <v>15.182448650666799</v>
      </c>
      <c r="AI19" s="275">
        <f t="shared" si="23"/>
        <v>15.182448650666799</v>
      </c>
      <c r="AJ19" s="274">
        <f t="shared" si="24"/>
        <v>15.182448650666799</v>
      </c>
      <c r="AK19" s="276">
        <f t="shared" si="25"/>
        <v>15.182448650666799</v>
      </c>
      <c r="AL19" s="277">
        <f t="shared" si="26"/>
        <v>15.182448650666799</v>
      </c>
      <c r="AM19" s="276">
        <f t="shared" si="27"/>
        <v>15.182448650666799</v>
      </c>
    </row>
    <row r="20" spans="1:39" ht="15.75" thickBot="1" x14ac:dyDescent="0.3">
      <c r="A20" s="1123"/>
      <c r="B20" s="182" t="s">
        <v>146</v>
      </c>
      <c r="C20" s="182" t="s">
        <v>40</v>
      </c>
      <c r="D20" s="201">
        <f>SUMPRODUCT(D16:D19,D41:D44)/D45</f>
        <v>11.094254818293248</v>
      </c>
      <c r="E20" s="202">
        <f t="shared" ref="E20:I20" si="28">SUMPRODUCT(E16:E19,E41:E44)/E45</f>
        <v>11.094254818293246</v>
      </c>
      <c r="F20" s="201">
        <f t="shared" si="28"/>
        <v>11.094254818293248</v>
      </c>
      <c r="G20" s="203">
        <f t="shared" si="28"/>
        <v>11.094254818293246</v>
      </c>
      <c r="H20" s="204">
        <f t="shared" si="28"/>
        <v>11.094254818293248</v>
      </c>
      <c r="I20" s="203">
        <f t="shared" si="28"/>
        <v>11.094254818293246</v>
      </c>
      <c r="K20" s="1132"/>
      <c r="L20" s="1078" t="s">
        <v>146</v>
      </c>
      <c r="M20" s="1078" t="s">
        <v>40</v>
      </c>
      <c r="N20" s="201">
        <f>SUMPRODUCT(N16:N19,N41:N44)/N45</f>
        <v>11.094254818293248</v>
      </c>
      <c r="O20" s="202">
        <f t="shared" ref="O20:S20" si="29">SUMPRODUCT(O16:O19,O41:O44)/O45</f>
        <v>11.094254818293246</v>
      </c>
      <c r="P20" s="201">
        <f>SUMPRODUCT(P16:P19,P41:P44)/P45</f>
        <v>11.094254818293248</v>
      </c>
      <c r="Q20" s="203">
        <f t="shared" si="29"/>
        <v>11.094254818293246</v>
      </c>
      <c r="R20" s="204">
        <f t="shared" si="29"/>
        <v>11.094254818293248</v>
      </c>
      <c r="S20" s="203">
        <f t="shared" si="29"/>
        <v>11.094254818293246</v>
      </c>
      <c r="U20" s="1123"/>
      <c r="V20" s="182" t="s">
        <v>146</v>
      </c>
      <c r="W20" s="182" t="s">
        <v>40</v>
      </c>
      <c r="X20" s="201">
        <f t="shared" ref="X20:AC20" si="30">SUMPRODUCT(X16:X19,X41:X44)/X45</f>
        <v>11.094254818293248</v>
      </c>
      <c r="Y20" s="202">
        <f t="shared" si="30"/>
        <v>11.094254818293246</v>
      </c>
      <c r="Z20" s="201">
        <f t="shared" si="30"/>
        <v>11.094254818293248</v>
      </c>
      <c r="AA20" s="203">
        <f t="shared" si="30"/>
        <v>11.094254818293246</v>
      </c>
      <c r="AB20" s="204">
        <f t="shared" si="30"/>
        <v>11.094254818293248</v>
      </c>
      <c r="AC20" s="203">
        <f t="shared" si="30"/>
        <v>11.094254818293246</v>
      </c>
      <c r="AE20" s="1123"/>
      <c r="AF20" s="182" t="s">
        <v>146</v>
      </c>
      <c r="AG20" s="182" t="s">
        <v>40</v>
      </c>
      <c r="AH20" s="201">
        <f t="shared" ref="AH20:AM20" si="31">SUMPRODUCT(AH16:AH19,AH41:AH44)/AH45</f>
        <v>11.094254818293248</v>
      </c>
      <c r="AI20" s="202">
        <f t="shared" si="31"/>
        <v>11.094254818293246</v>
      </c>
      <c r="AJ20" s="201">
        <f t="shared" si="31"/>
        <v>11.094254818293248</v>
      </c>
      <c r="AK20" s="203">
        <f t="shared" si="31"/>
        <v>11.094254818293246</v>
      </c>
      <c r="AL20" s="204">
        <f t="shared" si="31"/>
        <v>11.094254818293248</v>
      </c>
      <c r="AM20" s="203">
        <f t="shared" si="31"/>
        <v>11.094254818293246</v>
      </c>
    </row>
    <row r="21" spans="1:39" x14ac:dyDescent="0.25">
      <c r="D21" s="76"/>
      <c r="E21" s="76"/>
      <c r="F21" s="76"/>
      <c r="G21" s="76"/>
      <c r="H21" s="76"/>
      <c r="I21" s="76"/>
      <c r="N21" s="76"/>
      <c r="O21" s="76"/>
      <c r="P21" s="76"/>
      <c r="Q21" s="76"/>
      <c r="R21" s="76"/>
      <c r="S21" s="76"/>
      <c r="X21" s="76"/>
      <c r="Y21" s="76"/>
      <c r="Z21" s="76"/>
      <c r="AA21" s="76"/>
      <c r="AB21" s="76"/>
      <c r="AC21" s="76"/>
      <c r="AE21" s="40"/>
      <c r="AF21" s="40"/>
      <c r="AG21" s="40"/>
      <c r="AH21" s="76"/>
      <c r="AI21" s="76"/>
      <c r="AJ21" s="76"/>
      <c r="AK21" s="76"/>
      <c r="AL21" s="76"/>
      <c r="AM21" s="76"/>
    </row>
    <row r="22" spans="1:39" ht="15" customHeight="1" thickBot="1" x14ac:dyDescent="0.3">
      <c r="A22" s="42" t="s">
        <v>148</v>
      </c>
      <c r="D22" s="66"/>
      <c r="E22" s="66"/>
      <c r="F22" s="66"/>
      <c r="G22" s="66"/>
      <c r="H22" s="66"/>
      <c r="I22" s="66"/>
      <c r="K22" s="42" t="s">
        <v>151</v>
      </c>
      <c r="N22" s="66"/>
      <c r="O22" s="66"/>
      <c r="P22" s="66"/>
      <c r="Q22" s="66"/>
      <c r="R22" s="66"/>
      <c r="S22" s="66"/>
      <c r="U22" s="42" t="s">
        <v>152</v>
      </c>
      <c r="X22" s="66"/>
      <c r="Y22" s="66"/>
      <c r="Z22" s="66"/>
      <c r="AA22" s="66"/>
      <c r="AB22" s="66"/>
      <c r="AC22" s="66"/>
      <c r="AE22" s="42" t="s">
        <v>155</v>
      </c>
      <c r="AF22" s="40"/>
      <c r="AG22" s="40"/>
      <c r="AH22" s="66"/>
      <c r="AI22" s="66"/>
      <c r="AJ22" s="66"/>
      <c r="AK22" s="66"/>
      <c r="AL22" s="66"/>
      <c r="AM22" s="66"/>
    </row>
    <row r="23" spans="1:39" ht="14.45" customHeight="1" thickBot="1" x14ac:dyDescent="0.3">
      <c r="A23" s="1121" t="s">
        <v>149</v>
      </c>
      <c r="B23" s="128" t="s">
        <v>116</v>
      </c>
      <c r="C23" s="128" t="s">
        <v>25</v>
      </c>
      <c r="D23" s="226">
        <f>Indata!D42</f>
        <v>0.15</v>
      </c>
      <c r="E23" s="226">
        <f>Indata!E42</f>
        <v>0.6</v>
      </c>
      <c r="F23" s="226">
        <f>Indata!F42</f>
        <v>0.15</v>
      </c>
      <c r="G23" s="226">
        <f>Indata!G42</f>
        <v>0.6</v>
      </c>
      <c r="H23" s="226">
        <f>Indata!H42</f>
        <v>0.15</v>
      </c>
      <c r="I23" s="226">
        <f>Indata!I42</f>
        <v>0.6</v>
      </c>
      <c r="K23" s="1121" t="s">
        <v>149</v>
      </c>
      <c r="L23" s="128" t="s">
        <v>116</v>
      </c>
      <c r="M23" s="128" t="s">
        <v>25</v>
      </c>
      <c r="N23" s="226">
        <f>D23</f>
        <v>0.15</v>
      </c>
      <c r="O23" s="227">
        <f t="shared" ref="O23:O26" si="32">E23</f>
        <v>0.6</v>
      </c>
      <c r="P23" s="226">
        <f t="shared" ref="P23:P26" si="33">F23</f>
        <v>0.15</v>
      </c>
      <c r="Q23" s="228">
        <f t="shared" ref="Q23:Q26" si="34">G23</f>
        <v>0.6</v>
      </c>
      <c r="R23" s="229">
        <f t="shared" ref="R23:R26" si="35">H23</f>
        <v>0.15</v>
      </c>
      <c r="S23" s="228">
        <f t="shared" ref="S23:S26" si="36">I23</f>
        <v>0.6</v>
      </c>
      <c r="U23" s="1121" t="s">
        <v>149</v>
      </c>
      <c r="V23" s="128" t="s">
        <v>116</v>
      </c>
      <c r="W23" s="128" t="s">
        <v>25</v>
      </c>
      <c r="X23" s="226">
        <f t="shared" ref="X23:AC26" si="37">N23</f>
        <v>0.15</v>
      </c>
      <c r="Y23" s="227">
        <f t="shared" si="37"/>
        <v>0.6</v>
      </c>
      <c r="Z23" s="226">
        <f t="shared" si="37"/>
        <v>0.15</v>
      </c>
      <c r="AA23" s="228">
        <f t="shared" si="37"/>
        <v>0.6</v>
      </c>
      <c r="AB23" s="229">
        <f t="shared" si="37"/>
        <v>0.15</v>
      </c>
      <c r="AC23" s="228">
        <f t="shared" si="37"/>
        <v>0.6</v>
      </c>
      <c r="AE23" s="1121" t="s">
        <v>149</v>
      </c>
      <c r="AF23" s="128" t="s">
        <v>116</v>
      </c>
      <c r="AG23" s="128" t="s">
        <v>25</v>
      </c>
      <c r="AH23" s="226">
        <f>X23</f>
        <v>0.15</v>
      </c>
      <c r="AI23" s="227">
        <f>Y23</f>
        <v>0.6</v>
      </c>
      <c r="AJ23" s="226">
        <f t="shared" ref="AJ23:AJ26" si="38">Z23</f>
        <v>0.15</v>
      </c>
      <c r="AK23" s="228">
        <f t="shared" ref="AK23:AK26" si="39">AA23</f>
        <v>0.6</v>
      </c>
      <c r="AL23" s="229">
        <f t="shared" ref="AL23:AL26" si="40">AB23</f>
        <v>0.15</v>
      </c>
      <c r="AM23" s="228">
        <f t="shared" ref="AM23:AM26" si="41">AC23</f>
        <v>0.6</v>
      </c>
    </row>
    <row r="24" spans="1:39" ht="15.75" thickBot="1" x14ac:dyDescent="0.3">
      <c r="A24" s="1122"/>
      <c r="B24" s="129" t="s">
        <v>117</v>
      </c>
      <c r="C24" s="129" t="s">
        <v>25</v>
      </c>
      <c r="D24" s="226">
        <f>Indata!D43</f>
        <v>0.15</v>
      </c>
      <c r="E24" s="226">
        <f>Indata!E43</f>
        <v>0.6</v>
      </c>
      <c r="F24" s="226">
        <f>Indata!F43</f>
        <v>0.15</v>
      </c>
      <c r="G24" s="226">
        <f>Indata!G43</f>
        <v>0.6</v>
      </c>
      <c r="H24" s="226">
        <f>Indata!H43</f>
        <v>0.15</v>
      </c>
      <c r="I24" s="226">
        <f>Indata!I43</f>
        <v>0.6</v>
      </c>
      <c r="K24" s="1122"/>
      <c r="L24" s="129" t="s">
        <v>117</v>
      </c>
      <c r="M24" s="129" t="s">
        <v>25</v>
      </c>
      <c r="N24" s="230">
        <f t="shared" ref="N24:N26" si="42">D24</f>
        <v>0.15</v>
      </c>
      <c r="O24" s="231">
        <f t="shared" si="32"/>
        <v>0.6</v>
      </c>
      <c r="P24" s="230">
        <f t="shared" si="33"/>
        <v>0.15</v>
      </c>
      <c r="Q24" s="232">
        <f t="shared" si="34"/>
        <v>0.6</v>
      </c>
      <c r="R24" s="233">
        <f t="shared" si="35"/>
        <v>0.15</v>
      </c>
      <c r="S24" s="232">
        <f t="shared" si="36"/>
        <v>0.6</v>
      </c>
      <c r="U24" s="1122"/>
      <c r="V24" s="129" t="s">
        <v>117</v>
      </c>
      <c r="W24" s="129" t="s">
        <v>25</v>
      </c>
      <c r="X24" s="230">
        <f t="shared" si="37"/>
        <v>0.15</v>
      </c>
      <c r="Y24" s="231">
        <f t="shared" si="37"/>
        <v>0.6</v>
      </c>
      <c r="Z24" s="230">
        <f t="shared" si="37"/>
        <v>0.15</v>
      </c>
      <c r="AA24" s="232">
        <f t="shared" si="37"/>
        <v>0.6</v>
      </c>
      <c r="AB24" s="233">
        <f t="shared" si="37"/>
        <v>0.15</v>
      </c>
      <c r="AC24" s="232">
        <f t="shared" si="37"/>
        <v>0.6</v>
      </c>
      <c r="AE24" s="1122"/>
      <c r="AF24" s="129" t="s">
        <v>117</v>
      </c>
      <c r="AG24" s="129" t="s">
        <v>25</v>
      </c>
      <c r="AH24" s="230">
        <f t="shared" ref="AH24" si="43">X24</f>
        <v>0.15</v>
      </c>
      <c r="AI24" s="231">
        <f t="shared" ref="AI24:AI25" si="44">Y24</f>
        <v>0.6</v>
      </c>
      <c r="AJ24" s="230">
        <f t="shared" si="38"/>
        <v>0.15</v>
      </c>
      <c r="AK24" s="232">
        <f t="shared" si="39"/>
        <v>0.6</v>
      </c>
      <c r="AL24" s="233">
        <f t="shared" si="40"/>
        <v>0.15</v>
      </c>
      <c r="AM24" s="232">
        <f t="shared" si="41"/>
        <v>0.6</v>
      </c>
    </row>
    <row r="25" spans="1:39" ht="15.75" thickBot="1" x14ac:dyDescent="0.3">
      <c r="A25" s="1122"/>
      <c r="B25" s="129" t="s">
        <v>118</v>
      </c>
      <c r="C25" s="129" t="s">
        <v>25</v>
      </c>
      <c r="D25" s="226">
        <f>Indata!D44</f>
        <v>4.0427955013328291E-2</v>
      </c>
      <c r="E25" s="226">
        <f>Indata!E44</f>
        <v>0.16171182005331317</v>
      </c>
      <c r="F25" s="226">
        <f>Indata!F44</f>
        <v>4.0427955013328291E-2</v>
      </c>
      <c r="G25" s="226">
        <f>Indata!G44</f>
        <v>0.16171182005331317</v>
      </c>
      <c r="H25" s="226">
        <f>Indata!H44</f>
        <v>4.0427955013328291E-2</v>
      </c>
      <c r="I25" s="226">
        <f>Indata!I44</f>
        <v>0.16171182005331317</v>
      </c>
      <c r="K25" s="1122"/>
      <c r="L25" s="129" t="s">
        <v>118</v>
      </c>
      <c r="M25" s="129" t="s">
        <v>25</v>
      </c>
      <c r="N25" s="230">
        <f t="shared" si="42"/>
        <v>4.0427955013328291E-2</v>
      </c>
      <c r="O25" s="231">
        <f t="shared" si="32"/>
        <v>0.16171182005331317</v>
      </c>
      <c r="P25" s="230">
        <f t="shared" si="33"/>
        <v>4.0427955013328291E-2</v>
      </c>
      <c r="Q25" s="232">
        <f t="shared" si="34"/>
        <v>0.16171182005331317</v>
      </c>
      <c r="R25" s="233">
        <f t="shared" si="35"/>
        <v>4.0427955013328291E-2</v>
      </c>
      <c r="S25" s="232">
        <f t="shared" si="36"/>
        <v>0.16171182005331317</v>
      </c>
      <c r="U25" s="1122"/>
      <c r="V25" s="129" t="s">
        <v>118</v>
      </c>
      <c r="W25" s="129" t="s">
        <v>25</v>
      </c>
      <c r="X25" s="230">
        <f t="shared" si="37"/>
        <v>4.0427955013328291E-2</v>
      </c>
      <c r="Y25" s="231">
        <f t="shared" si="37"/>
        <v>0.16171182005331317</v>
      </c>
      <c r="Z25" s="230">
        <f t="shared" si="37"/>
        <v>4.0427955013328291E-2</v>
      </c>
      <c r="AA25" s="232">
        <f t="shared" si="37"/>
        <v>0.16171182005331317</v>
      </c>
      <c r="AB25" s="233">
        <f t="shared" si="37"/>
        <v>4.0427955013328291E-2</v>
      </c>
      <c r="AC25" s="232">
        <f t="shared" si="37"/>
        <v>0.16171182005331317</v>
      </c>
      <c r="AE25" s="1122"/>
      <c r="AF25" s="129" t="s">
        <v>118</v>
      </c>
      <c r="AG25" s="129" t="s">
        <v>25</v>
      </c>
      <c r="AH25" s="230">
        <f>X25</f>
        <v>4.0427955013328291E-2</v>
      </c>
      <c r="AI25" s="231">
        <f t="shared" si="44"/>
        <v>0.16171182005331317</v>
      </c>
      <c r="AJ25" s="230">
        <f t="shared" si="38"/>
        <v>4.0427955013328291E-2</v>
      </c>
      <c r="AK25" s="232">
        <f t="shared" si="39"/>
        <v>0.16171182005331317</v>
      </c>
      <c r="AL25" s="233">
        <f t="shared" si="40"/>
        <v>4.0427955013328291E-2</v>
      </c>
      <c r="AM25" s="232">
        <f t="shared" si="41"/>
        <v>0.16171182005331317</v>
      </c>
    </row>
    <row r="26" spans="1:39" ht="15.75" thickBot="1" x14ac:dyDescent="0.3">
      <c r="A26" s="1123"/>
      <c r="B26" s="130" t="s">
        <v>119</v>
      </c>
      <c r="C26" s="130" t="s">
        <v>25</v>
      </c>
      <c r="D26" s="226">
        <f>Indata!D45</f>
        <v>0</v>
      </c>
      <c r="E26" s="226">
        <f>Indata!E45</f>
        <v>0</v>
      </c>
      <c r="F26" s="226">
        <f>Indata!F45</f>
        <v>0</v>
      </c>
      <c r="G26" s="226">
        <f>Indata!G45</f>
        <v>0</v>
      </c>
      <c r="H26" s="226">
        <f>Indata!H45</f>
        <v>0</v>
      </c>
      <c r="I26" s="226">
        <f>Indata!I45</f>
        <v>0</v>
      </c>
      <c r="K26" s="1123"/>
      <c r="L26" s="130" t="s">
        <v>119</v>
      </c>
      <c r="M26" s="130" t="s">
        <v>25</v>
      </c>
      <c r="N26" s="234">
        <f t="shared" si="42"/>
        <v>0</v>
      </c>
      <c r="O26" s="235">
        <f t="shared" si="32"/>
        <v>0</v>
      </c>
      <c r="P26" s="234">
        <f t="shared" si="33"/>
        <v>0</v>
      </c>
      <c r="Q26" s="236">
        <f t="shared" si="34"/>
        <v>0</v>
      </c>
      <c r="R26" s="237">
        <f t="shared" si="35"/>
        <v>0</v>
      </c>
      <c r="S26" s="236">
        <f t="shared" si="36"/>
        <v>0</v>
      </c>
      <c r="U26" s="1123"/>
      <c r="V26" s="130" t="s">
        <v>119</v>
      </c>
      <c r="W26" s="130" t="s">
        <v>25</v>
      </c>
      <c r="X26" s="234">
        <f t="shared" si="37"/>
        <v>0</v>
      </c>
      <c r="Y26" s="235">
        <f t="shared" si="37"/>
        <v>0</v>
      </c>
      <c r="Z26" s="234">
        <f t="shared" si="37"/>
        <v>0</v>
      </c>
      <c r="AA26" s="236">
        <f t="shared" si="37"/>
        <v>0</v>
      </c>
      <c r="AB26" s="237">
        <f t="shared" si="37"/>
        <v>0</v>
      </c>
      <c r="AC26" s="236">
        <f t="shared" si="37"/>
        <v>0</v>
      </c>
      <c r="AE26" s="1123"/>
      <c r="AF26" s="130" t="s">
        <v>119</v>
      </c>
      <c r="AG26" s="130" t="s">
        <v>25</v>
      </c>
      <c r="AH26" s="234">
        <f>X26</f>
        <v>0</v>
      </c>
      <c r="AI26" s="235">
        <f>Y26</f>
        <v>0</v>
      </c>
      <c r="AJ26" s="234">
        <f t="shared" si="38"/>
        <v>0</v>
      </c>
      <c r="AK26" s="236">
        <f t="shared" si="39"/>
        <v>0</v>
      </c>
      <c r="AL26" s="237">
        <f t="shared" si="40"/>
        <v>0</v>
      </c>
      <c r="AM26" s="236">
        <f t="shared" si="41"/>
        <v>0</v>
      </c>
    </row>
    <row r="27" spans="1:39" x14ac:dyDescent="0.25">
      <c r="D27" s="76"/>
      <c r="E27" s="76"/>
      <c r="F27" s="76"/>
      <c r="G27" s="76"/>
      <c r="H27" s="76"/>
      <c r="I27" s="76"/>
      <c r="N27" s="76"/>
      <c r="O27" s="76"/>
      <c r="P27" s="76"/>
      <c r="Q27" s="76"/>
      <c r="R27" s="76"/>
      <c r="S27" s="76"/>
      <c r="X27" s="76"/>
      <c r="Y27" s="76"/>
      <c r="Z27" s="76"/>
      <c r="AA27" s="76"/>
      <c r="AB27" s="76"/>
      <c r="AC27" s="76"/>
      <c r="AE27" s="40"/>
      <c r="AF27" s="40"/>
      <c r="AG27" s="40"/>
      <c r="AH27" s="76"/>
      <c r="AI27" s="76"/>
      <c r="AJ27" s="76"/>
      <c r="AK27" s="76"/>
      <c r="AL27" s="76"/>
      <c r="AM27" s="76"/>
    </row>
    <row r="28" spans="1:39" ht="15" customHeight="1" thickBot="1" x14ac:dyDescent="0.3">
      <c r="A28" s="42" t="s">
        <v>81</v>
      </c>
      <c r="D28" s="77"/>
      <c r="E28" s="77"/>
      <c r="F28" s="77"/>
      <c r="G28" s="77"/>
      <c r="H28" s="77"/>
      <c r="I28" s="77"/>
      <c r="K28" s="42" t="s">
        <v>160</v>
      </c>
      <c r="N28" s="77"/>
      <c r="O28" s="77"/>
      <c r="P28" s="77"/>
      <c r="Q28" s="77"/>
      <c r="R28" s="77"/>
      <c r="S28" s="77"/>
      <c r="U28" s="42" t="s">
        <v>92</v>
      </c>
      <c r="X28" s="77"/>
      <c r="Y28" s="77"/>
      <c r="Z28" s="77"/>
      <c r="AA28" s="77"/>
      <c r="AB28" s="77"/>
      <c r="AC28" s="77"/>
      <c r="AE28" s="42" t="s">
        <v>156</v>
      </c>
      <c r="AF28" s="40"/>
      <c r="AG28" s="40"/>
      <c r="AH28" s="77"/>
      <c r="AI28" s="77"/>
      <c r="AJ28" s="77"/>
      <c r="AK28" s="77"/>
      <c r="AL28" s="77"/>
      <c r="AM28" s="77"/>
    </row>
    <row r="29" spans="1:39" ht="14.45" customHeight="1" x14ac:dyDescent="0.25">
      <c r="A29" s="1133" t="s">
        <v>21</v>
      </c>
      <c r="B29" s="128" t="s">
        <v>116</v>
      </c>
      <c r="C29" s="128" t="s">
        <v>74</v>
      </c>
      <c r="D29" s="195">
        <f>Indata!D$16*10</f>
        <v>0</v>
      </c>
      <c r="E29" s="220">
        <f>Indata!E$16*10</f>
        <v>0</v>
      </c>
      <c r="F29" s="195">
        <f>Indata!F$16*10</f>
        <v>0</v>
      </c>
      <c r="G29" s="196">
        <f>Indata!G$16*10</f>
        <v>0</v>
      </c>
      <c r="H29" s="197">
        <f>Indata!H$16*10</f>
        <v>0</v>
      </c>
      <c r="I29" s="196">
        <f>Indata!I$16*10</f>
        <v>0</v>
      </c>
      <c r="K29" s="1133" t="s">
        <v>21</v>
      </c>
      <c r="L29" s="128" t="s">
        <v>116</v>
      </c>
      <c r="M29" s="128" t="s">
        <v>74</v>
      </c>
      <c r="N29" s="195">
        <f>D29</f>
        <v>0</v>
      </c>
      <c r="O29" s="220">
        <f t="shared" ref="O29:O32" si="45">E29</f>
        <v>0</v>
      </c>
      <c r="P29" s="195">
        <f t="shared" ref="P29:P32" si="46">F29</f>
        <v>0</v>
      </c>
      <c r="Q29" s="196">
        <f t="shared" ref="Q29:Q32" si="47">G29</f>
        <v>0</v>
      </c>
      <c r="R29" s="197">
        <f t="shared" ref="R29:R32" si="48">H29</f>
        <v>0</v>
      </c>
      <c r="S29" s="196">
        <f t="shared" ref="S29:S32" si="49">I29</f>
        <v>0</v>
      </c>
      <c r="U29" s="1133" t="s">
        <v>21</v>
      </c>
      <c r="V29" s="128" t="s">
        <v>116</v>
      </c>
      <c r="W29" s="128" t="s">
        <v>74</v>
      </c>
      <c r="X29" s="195">
        <f t="shared" ref="X29:AC32" si="50">N29</f>
        <v>0</v>
      </c>
      <c r="Y29" s="220">
        <f t="shared" si="50"/>
        <v>0</v>
      </c>
      <c r="Z29" s="195">
        <f t="shared" si="50"/>
        <v>0</v>
      </c>
      <c r="AA29" s="196">
        <f t="shared" si="50"/>
        <v>0</v>
      </c>
      <c r="AB29" s="197">
        <f t="shared" si="50"/>
        <v>0</v>
      </c>
      <c r="AC29" s="196">
        <f t="shared" si="50"/>
        <v>0</v>
      </c>
      <c r="AE29" s="1133" t="s">
        <v>21</v>
      </c>
      <c r="AF29" s="128" t="s">
        <v>116</v>
      </c>
      <c r="AG29" s="128" t="s">
        <v>74</v>
      </c>
      <c r="AH29" s="195">
        <f>X29</f>
        <v>0</v>
      </c>
      <c r="AI29" s="220">
        <f t="shared" ref="AI29:AI32" si="51">Y29</f>
        <v>0</v>
      </c>
      <c r="AJ29" s="195">
        <f t="shared" ref="AJ29:AJ32" si="52">Z29</f>
        <v>0</v>
      </c>
      <c r="AK29" s="196">
        <f t="shared" ref="AK29:AK32" si="53">AA29</f>
        <v>0</v>
      </c>
      <c r="AL29" s="197">
        <f t="shared" ref="AL29:AL32" si="54">AB29</f>
        <v>0</v>
      </c>
      <c r="AM29" s="196">
        <f t="shared" ref="AM29:AM32" si="55">AC29</f>
        <v>0</v>
      </c>
    </row>
    <row r="30" spans="1:39" x14ac:dyDescent="0.25">
      <c r="A30" s="1134"/>
      <c r="B30" s="129" t="s">
        <v>117</v>
      </c>
      <c r="C30" s="129" t="s">
        <v>74</v>
      </c>
      <c r="D30" s="198">
        <f>Indata!D$16*10</f>
        <v>0</v>
      </c>
      <c r="E30" s="221">
        <f>Indata!E$16*10</f>
        <v>0</v>
      </c>
      <c r="F30" s="198">
        <f>Indata!F$16*10</f>
        <v>0</v>
      </c>
      <c r="G30" s="199">
        <f>Indata!G$16*10</f>
        <v>0</v>
      </c>
      <c r="H30" s="200">
        <f>Indata!H$16*10</f>
        <v>0</v>
      </c>
      <c r="I30" s="199">
        <f>Indata!I$16*10</f>
        <v>0</v>
      </c>
      <c r="K30" s="1134"/>
      <c r="L30" s="129" t="s">
        <v>117</v>
      </c>
      <c r="M30" s="129" t="s">
        <v>74</v>
      </c>
      <c r="N30" s="198">
        <f t="shared" ref="N30:N32" si="56">D30</f>
        <v>0</v>
      </c>
      <c r="O30" s="221">
        <f t="shared" si="45"/>
        <v>0</v>
      </c>
      <c r="P30" s="198">
        <f t="shared" si="46"/>
        <v>0</v>
      </c>
      <c r="Q30" s="199">
        <f t="shared" si="47"/>
        <v>0</v>
      </c>
      <c r="R30" s="200">
        <f t="shared" si="48"/>
        <v>0</v>
      </c>
      <c r="S30" s="199">
        <f t="shared" si="49"/>
        <v>0</v>
      </c>
      <c r="U30" s="1134"/>
      <c r="V30" s="129" t="s">
        <v>117</v>
      </c>
      <c r="W30" s="129" t="s">
        <v>74</v>
      </c>
      <c r="X30" s="198">
        <f t="shared" si="50"/>
        <v>0</v>
      </c>
      <c r="Y30" s="221">
        <f t="shared" si="50"/>
        <v>0</v>
      </c>
      <c r="Z30" s="198">
        <f t="shared" si="50"/>
        <v>0</v>
      </c>
      <c r="AA30" s="199">
        <f t="shared" si="50"/>
        <v>0</v>
      </c>
      <c r="AB30" s="200">
        <f t="shared" si="50"/>
        <v>0</v>
      </c>
      <c r="AC30" s="199">
        <f t="shared" si="50"/>
        <v>0</v>
      </c>
      <c r="AE30" s="1134"/>
      <c r="AF30" s="129" t="s">
        <v>117</v>
      </c>
      <c r="AG30" s="129" t="s">
        <v>74</v>
      </c>
      <c r="AH30" s="198">
        <f t="shared" ref="AH30:AH32" si="57">X30</f>
        <v>0</v>
      </c>
      <c r="AI30" s="221">
        <f t="shared" si="51"/>
        <v>0</v>
      </c>
      <c r="AJ30" s="198">
        <f t="shared" si="52"/>
        <v>0</v>
      </c>
      <c r="AK30" s="199">
        <f t="shared" si="53"/>
        <v>0</v>
      </c>
      <c r="AL30" s="200">
        <f t="shared" si="54"/>
        <v>0</v>
      </c>
      <c r="AM30" s="199">
        <f t="shared" si="55"/>
        <v>0</v>
      </c>
    </row>
    <row r="31" spans="1:39" x14ac:dyDescent="0.25">
      <c r="A31" s="1134"/>
      <c r="B31" s="129" t="s">
        <v>118</v>
      </c>
      <c r="C31" s="129" t="s">
        <v>74</v>
      </c>
      <c r="D31" s="274">
        <f>Indata!D$16*10</f>
        <v>0</v>
      </c>
      <c r="E31" s="275">
        <f>Indata!E$16*10</f>
        <v>0</v>
      </c>
      <c r="F31" s="274">
        <f>Indata!F$16*10</f>
        <v>0</v>
      </c>
      <c r="G31" s="276">
        <f>Indata!G$16*10</f>
        <v>0</v>
      </c>
      <c r="H31" s="277">
        <f>Indata!H$16*10</f>
        <v>0</v>
      </c>
      <c r="I31" s="276">
        <f>Indata!I$16*10</f>
        <v>0</v>
      </c>
      <c r="K31" s="1134"/>
      <c r="L31" s="129" t="s">
        <v>118</v>
      </c>
      <c r="M31" s="129" t="s">
        <v>74</v>
      </c>
      <c r="N31" s="274">
        <f t="shared" si="56"/>
        <v>0</v>
      </c>
      <c r="O31" s="275">
        <f t="shared" si="45"/>
        <v>0</v>
      </c>
      <c r="P31" s="274">
        <f t="shared" si="46"/>
        <v>0</v>
      </c>
      <c r="Q31" s="276">
        <f t="shared" si="47"/>
        <v>0</v>
      </c>
      <c r="R31" s="277">
        <f t="shared" si="48"/>
        <v>0</v>
      </c>
      <c r="S31" s="276">
        <f t="shared" si="49"/>
        <v>0</v>
      </c>
      <c r="U31" s="1134"/>
      <c r="V31" s="129" t="s">
        <v>118</v>
      </c>
      <c r="W31" s="129" t="s">
        <v>74</v>
      </c>
      <c r="X31" s="274">
        <f t="shared" si="50"/>
        <v>0</v>
      </c>
      <c r="Y31" s="275">
        <f t="shared" si="50"/>
        <v>0</v>
      </c>
      <c r="Z31" s="274">
        <f t="shared" si="50"/>
        <v>0</v>
      </c>
      <c r="AA31" s="276">
        <f t="shared" si="50"/>
        <v>0</v>
      </c>
      <c r="AB31" s="277">
        <f t="shared" si="50"/>
        <v>0</v>
      </c>
      <c r="AC31" s="276">
        <f t="shared" si="50"/>
        <v>0</v>
      </c>
      <c r="AE31" s="1134"/>
      <c r="AF31" s="129" t="s">
        <v>118</v>
      </c>
      <c r="AG31" s="129" t="s">
        <v>74</v>
      </c>
      <c r="AH31" s="274">
        <f t="shared" si="57"/>
        <v>0</v>
      </c>
      <c r="AI31" s="275">
        <f t="shared" si="51"/>
        <v>0</v>
      </c>
      <c r="AJ31" s="274">
        <f t="shared" si="52"/>
        <v>0</v>
      </c>
      <c r="AK31" s="276">
        <f t="shared" si="53"/>
        <v>0</v>
      </c>
      <c r="AL31" s="277">
        <f t="shared" si="54"/>
        <v>0</v>
      </c>
      <c r="AM31" s="276">
        <f t="shared" si="55"/>
        <v>0</v>
      </c>
    </row>
    <row r="32" spans="1:39" ht="15.75" thickBot="1" x14ac:dyDescent="0.3">
      <c r="A32" s="1135"/>
      <c r="B32" s="130" t="s">
        <v>119</v>
      </c>
      <c r="C32" s="130" t="s">
        <v>74</v>
      </c>
      <c r="D32" s="222">
        <f>Indata!D$16*10</f>
        <v>0</v>
      </c>
      <c r="E32" s="223">
        <f>Indata!E$16*10</f>
        <v>0</v>
      </c>
      <c r="F32" s="222">
        <f>Indata!F$16*10</f>
        <v>0</v>
      </c>
      <c r="G32" s="224">
        <f>Indata!G$16*10</f>
        <v>0</v>
      </c>
      <c r="H32" s="225">
        <f>Indata!H$16*10</f>
        <v>0</v>
      </c>
      <c r="I32" s="224">
        <f>Indata!I$16*10</f>
        <v>0</v>
      </c>
      <c r="K32" s="1135"/>
      <c r="L32" s="130" t="s">
        <v>119</v>
      </c>
      <c r="M32" s="130" t="s">
        <v>74</v>
      </c>
      <c r="N32" s="222">
        <f t="shared" si="56"/>
        <v>0</v>
      </c>
      <c r="O32" s="223">
        <f t="shared" si="45"/>
        <v>0</v>
      </c>
      <c r="P32" s="222">
        <f t="shared" si="46"/>
        <v>0</v>
      </c>
      <c r="Q32" s="224">
        <f t="shared" si="47"/>
        <v>0</v>
      </c>
      <c r="R32" s="225">
        <f t="shared" si="48"/>
        <v>0</v>
      </c>
      <c r="S32" s="224">
        <f t="shared" si="49"/>
        <v>0</v>
      </c>
      <c r="U32" s="1135"/>
      <c r="V32" s="130" t="s">
        <v>119</v>
      </c>
      <c r="W32" s="130" t="s">
        <v>74</v>
      </c>
      <c r="X32" s="222">
        <f t="shared" si="50"/>
        <v>0</v>
      </c>
      <c r="Y32" s="223">
        <f t="shared" si="50"/>
        <v>0</v>
      </c>
      <c r="Z32" s="222">
        <f t="shared" si="50"/>
        <v>0</v>
      </c>
      <c r="AA32" s="224">
        <f t="shared" si="50"/>
        <v>0</v>
      </c>
      <c r="AB32" s="225">
        <f t="shared" si="50"/>
        <v>0</v>
      </c>
      <c r="AC32" s="224">
        <f t="shared" si="50"/>
        <v>0</v>
      </c>
      <c r="AE32" s="1135"/>
      <c r="AF32" s="130" t="s">
        <v>119</v>
      </c>
      <c r="AG32" s="130" t="s">
        <v>74</v>
      </c>
      <c r="AH32" s="222">
        <f t="shared" si="57"/>
        <v>0</v>
      </c>
      <c r="AI32" s="223">
        <f t="shared" si="51"/>
        <v>0</v>
      </c>
      <c r="AJ32" s="222">
        <f t="shared" si="52"/>
        <v>0</v>
      </c>
      <c r="AK32" s="224">
        <f t="shared" si="53"/>
        <v>0</v>
      </c>
      <c r="AL32" s="225">
        <f t="shared" si="54"/>
        <v>0</v>
      </c>
      <c r="AM32" s="224">
        <f t="shared" si="55"/>
        <v>0</v>
      </c>
    </row>
    <row r="33" spans="1:39" x14ac:dyDescent="0.25">
      <c r="A33" s="26"/>
      <c r="B33" s="26"/>
      <c r="C33" s="26"/>
      <c r="D33" s="26"/>
      <c r="E33" s="26"/>
      <c r="F33" s="26"/>
      <c r="G33" s="26"/>
      <c r="H33" s="26"/>
      <c r="I33" s="26"/>
      <c r="K33" s="26"/>
      <c r="L33" s="26"/>
      <c r="M33" s="26"/>
      <c r="N33" s="26"/>
      <c r="O33" s="26"/>
      <c r="P33" s="26"/>
      <c r="Q33" s="26"/>
      <c r="R33" s="26"/>
      <c r="S33" s="26"/>
      <c r="U33" s="26"/>
      <c r="V33" s="26"/>
      <c r="W33" s="26"/>
      <c r="X33" s="26"/>
      <c r="Y33" s="26"/>
      <c r="Z33" s="26"/>
      <c r="AA33" s="26"/>
      <c r="AB33" s="26"/>
      <c r="AC33" s="26"/>
    </row>
    <row r="34" spans="1:39" x14ac:dyDescent="0.25">
      <c r="A34" s="26"/>
      <c r="B34" s="26"/>
      <c r="C34" s="26"/>
      <c r="D34" s="26"/>
      <c r="E34" s="26"/>
      <c r="F34" s="26"/>
      <c r="G34" s="26"/>
      <c r="H34" s="26"/>
      <c r="I34" s="26"/>
      <c r="K34" s="26"/>
      <c r="L34" s="26"/>
      <c r="M34" s="26"/>
      <c r="N34" s="26"/>
      <c r="O34" s="26"/>
      <c r="P34" s="26"/>
      <c r="Q34" s="26"/>
      <c r="R34" s="26"/>
      <c r="S34" s="26"/>
      <c r="U34" s="26"/>
      <c r="V34" s="26"/>
      <c r="W34" s="26"/>
      <c r="X34" s="26"/>
      <c r="Y34" s="26"/>
      <c r="Z34" s="26"/>
      <c r="AA34" s="26"/>
      <c r="AB34" s="26"/>
      <c r="AC34" s="26"/>
    </row>
    <row r="35" spans="1:39" ht="15.75" thickBot="1" x14ac:dyDescent="0.3">
      <c r="A35" s="42" t="s">
        <v>84</v>
      </c>
      <c r="K35" s="42" t="s">
        <v>162</v>
      </c>
      <c r="U35" s="42" t="s">
        <v>242</v>
      </c>
      <c r="AE35" s="42" t="s">
        <v>232</v>
      </c>
      <c r="AF35" s="40"/>
      <c r="AG35" s="40"/>
      <c r="AH35" s="40"/>
      <c r="AI35" s="40"/>
      <c r="AJ35" s="40"/>
      <c r="AK35" s="40"/>
      <c r="AL35" s="40"/>
      <c r="AM35" s="40"/>
    </row>
    <row r="36" spans="1:39" ht="15.75" thickBot="1" x14ac:dyDescent="0.3">
      <c r="A36" s="1121" t="s">
        <v>17</v>
      </c>
      <c r="B36" s="128" t="s">
        <v>137</v>
      </c>
      <c r="C36" s="128" t="s">
        <v>36</v>
      </c>
      <c r="D36" s="266">
        <f>Indata!D61*(1+Indata!D$65)*(1-D23)</f>
        <v>0.18780957349145666</v>
      </c>
      <c r="E36" s="239">
        <f>Indata!E61*(1+Indata!E$65)*(1-E23)</f>
        <v>0.10422540965954981</v>
      </c>
      <c r="F36" s="238">
        <f>Indata!F61*(1+Indata!F$65)*(1-F23)</f>
        <v>0.18780957349145666</v>
      </c>
      <c r="G36" s="239">
        <f>Indata!G61*(1+Indata!G$65)*(1-G23)</f>
        <v>0.10422540965954981</v>
      </c>
      <c r="H36" s="240">
        <f>Indata!H61*(1+Indata!H$65)*(1-H23)</f>
        <v>0.18780957349145666</v>
      </c>
      <c r="I36" s="239">
        <f>Indata!I61*(1+Indata!I$65)*(1-I23)</f>
        <v>0.10422540965954981</v>
      </c>
      <c r="K36" s="1121" t="s">
        <v>17</v>
      </c>
      <c r="L36" s="128" t="s">
        <v>137</v>
      </c>
      <c r="M36" s="128" t="s">
        <v>36</v>
      </c>
      <c r="N36" s="266">
        <f>D36</f>
        <v>0.18780957349145666</v>
      </c>
      <c r="O36" s="239">
        <f t="shared" ref="O36:O39" si="58">E36</f>
        <v>0.10422540965954981</v>
      </c>
      <c r="P36" s="413">
        <f t="shared" ref="P36:P39" si="59">F36</f>
        <v>0.18780957349145666</v>
      </c>
      <c r="Q36" s="239">
        <f t="shared" ref="Q36:Q39" si="60">G36</f>
        <v>0.10422540965954981</v>
      </c>
      <c r="R36" s="240">
        <f t="shared" ref="R36:R39" si="61">H36</f>
        <v>0.18780957349145666</v>
      </c>
      <c r="S36" s="239">
        <f t="shared" ref="S36:S39" si="62">I36</f>
        <v>0.10422540965954981</v>
      </c>
      <c r="U36" s="1121" t="s">
        <v>17</v>
      </c>
      <c r="V36" s="128" t="s">
        <v>137</v>
      </c>
      <c r="W36" s="128" t="s">
        <v>36</v>
      </c>
      <c r="X36" s="266">
        <f t="shared" ref="X36:X49" si="63">N36/N$50*X$50</f>
        <v>0.18780957349145669</v>
      </c>
      <c r="Y36" s="266">
        <f t="shared" ref="Y36:Y49" si="64">O36/O$50*Y$50</f>
        <v>0.10422540965954981</v>
      </c>
      <c r="Z36" s="266">
        <f t="shared" ref="Z36:Z49" si="65">P36/P$50*Z$50</f>
        <v>0.18780957349145669</v>
      </c>
      <c r="AA36" s="266">
        <f t="shared" ref="AA36:AA49" si="66">Q36/Q$50*AA$50</f>
        <v>0.10422540965954981</v>
      </c>
      <c r="AB36" s="266">
        <f t="shared" ref="AB36:AB49" si="67">R36/R$50*AB$50</f>
        <v>0.18780957349145669</v>
      </c>
      <c r="AC36" s="266">
        <f t="shared" ref="AC36:AC49" si="68">S36/S$50*AC$50</f>
        <v>0.10422540965954981</v>
      </c>
      <c r="AE36" s="1121" t="s">
        <v>17</v>
      </c>
      <c r="AF36" s="128" t="s">
        <v>137</v>
      </c>
      <c r="AG36" s="128" t="s">
        <v>36</v>
      </c>
      <c r="AH36" s="266">
        <f>X36*(1-Indata!D$22)</f>
        <v>0.18780957349145669</v>
      </c>
      <c r="AI36" s="239">
        <f>Y36*(1-Indata!E$22)</f>
        <v>0.10422540965954981</v>
      </c>
      <c r="AJ36" s="238">
        <f>Z36*(1-Indata!F$22)</f>
        <v>0.18780957349145669</v>
      </c>
      <c r="AK36" s="239">
        <f>AA36*(1-Indata!G$22)</f>
        <v>0.10422540965954981</v>
      </c>
      <c r="AL36" s="240">
        <f>AB36*(1-Indata!H$22)</f>
        <v>0.18780957349145669</v>
      </c>
      <c r="AM36" s="239">
        <f>AC36*(1-Indata!I$22)</f>
        <v>0.10422540965954981</v>
      </c>
    </row>
    <row r="37" spans="1:39" ht="15.75" thickBot="1" x14ac:dyDescent="0.3">
      <c r="A37" s="1122"/>
      <c r="B37" s="129" t="s">
        <v>138</v>
      </c>
      <c r="C37" s="129" t="s">
        <v>36</v>
      </c>
      <c r="D37" s="241">
        <f>Indata!D62*(1+Indata!D$65)*(1-D24)</f>
        <v>0.20441406642615551</v>
      </c>
      <c r="E37" s="242">
        <f>Indata!E62*(1+Indata!E$65)*(1-E24)</f>
        <v>0.11344011605675491</v>
      </c>
      <c r="F37" s="241">
        <f>Indata!F62*(1+Indata!F$65)*(1-F24)</f>
        <v>0.20441406642615551</v>
      </c>
      <c r="G37" s="242">
        <f>Indata!G62*(1+Indata!G$65)*(1-G24)</f>
        <v>0.11344011605675491</v>
      </c>
      <c r="H37" s="243">
        <f>Indata!H62*(1+Indata!H$65)*(1-H24)</f>
        <v>0.20441406642615551</v>
      </c>
      <c r="I37" s="242">
        <f>Indata!I62*(1+Indata!I$65)*(1-I24)</f>
        <v>0.11344011605675491</v>
      </c>
      <c r="K37" s="1122"/>
      <c r="L37" s="129" t="s">
        <v>138</v>
      </c>
      <c r="M37" s="129" t="s">
        <v>36</v>
      </c>
      <c r="N37" s="241">
        <f>D37</f>
        <v>0.20441406642615551</v>
      </c>
      <c r="O37" s="242">
        <f t="shared" si="58"/>
        <v>0.11344011605675491</v>
      </c>
      <c r="P37" s="241">
        <f t="shared" si="59"/>
        <v>0.20441406642615551</v>
      </c>
      <c r="Q37" s="242">
        <f t="shared" si="60"/>
        <v>0.11344011605675491</v>
      </c>
      <c r="R37" s="243">
        <f t="shared" si="61"/>
        <v>0.20441406642615551</v>
      </c>
      <c r="S37" s="242">
        <f t="shared" si="62"/>
        <v>0.11344011605675491</v>
      </c>
      <c r="U37" s="1122"/>
      <c r="V37" s="129" t="s">
        <v>138</v>
      </c>
      <c r="W37" s="129" t="s">
        <v>36</v>
      </c>
      <c r="X37" s="266">
        <f t="shared" si="63"/>
        <v>0.20441406642615551</v>
      </c>
      <c r="Y37" s="266">
        <f t="shared" si="64"/>
        <v>0.11344011605675491</v>
      </c>
      <c r="Z37" s="266">
        <f t="shared" si="65"/>
        <v>0.20441406642615551</v>
      </c>
      <c r="AA37" s="266">
        <f t="shared" si="66"/>
        <v>0.11344011605675491</v>
      </c>
      <c r="AB37" s="266">
        <f t="shared" si="67"/>
        <v>0.20441406642615551</v>
      </c>
      <c r="AC37" s="266">
        <f t="shared" si="68"/>
        <v>0.11344011605675491</v>
      </c>
      <c r="AE37" s="1122"/>
      <c r="AF37" s="129" t="s">
        <v>138</v>
      </c>
      <c r="AG37" s="129" t="s">
        <v>36</v>
      </c>
      <c r="AH37" s="241">
        <f>X37*(1-Indata!D$22)</f>
        <v>0.20441406642615551</v>
      </c>
      <c r="AI37" s="242">
        <f>Y37*(1-Indata!E$22)</f>
        <v>0.11344011605675491</v>
      </c>
      <c r="AJ37" s="241">
        <f>Z37*(1-Indata!F$22)</f>
        <v>0.20441406642615551</v>
      </c>
      <c r="AK37" s="242">
        <f>AA37*(1-Indata!G$22)</f>
        <v>0.11344011605675491</v>
      </c>
      <c r="AL37" s="243">
        <f>AB37*(1-Indata!H$22)</f>
        <v>0.20441406642615551</v>
      </c>
      <c r="AM37" s="242">
        <f>AC37*(1-Indata!I$22)</f>
        <v>0.11344011605675491</v>
      </c>
    </row>
    <row r="38" spans="1:39" ht="15.75" thickBot="1" x14ac:dyDescent="0.3">
      <c r="A38" s="1122"/>
      <c r="B38" s="129" t="s">
        <v>139</v>
      </c>
      <c r="C38" s="129" t="s">
        <v>36</v>
      </c>
      <c r="D38" s="241">
        <f>Indata!D63*(1+Indata!D$65)*(1-D25)</f>
        <v>1.888631464847943</v>
      </c>
      <c r="E38" s="242">
        <f>Indata!E63*(1+Indata!E$65)*(1-E25)</f>
        <v>1.9457085838135497</v>
      </c>
      <c r="F38" s="241">
        <f>Indata!F63*(1+Indata!F$65)*(1-F25)</f>
        <v>1.888631464847943</v>
      </c>
      <c r="G38" s="242">
        <f>Indata!G63*(1+Indata!G$65)*(1-G25)</f>
        <v>1.9457085838135497</v>
      </c>
      <c r="H38" s="243">
        <f>Indata!H63*(1+Indata!H$65)*(1-H25)</f>
        <v>1.888631464847943</v>
      </c>
      <c r="I38" s="242">
        <f>Indata!I63*(1+Indata!I$65)*(1-I25)</f>
        <v>1.9457085838135497</v>
      </c>
      <c r="K38" s="1122"/>
      <c r="L38" s="129" t="s">
        <v>139</v>
      </c>
      <c r="M38" s="129" t="s">
        <v>36</v>
      </c>
      <c r="N38" s="241">
        <f t="shared" ref="N38:N39" si="69">D38</f>
        <v>1.888631464847943</v>
      </c>
      <c r="O38" s="242">
        <f t="shared" si="58"/>
        <v>1.9457085838135497</v>
      </c>
      <c r="P38" s="241">
        <f t="shared" si="59"/>
        <v>1.888631464847943</v>
      </c>
      <c r="Q38" s="242">
        <f t="shared" si="60"/>
        <v>1.9457085838135497</v>
      </c>
      <c r="R38" s="243">
        <f t="shared" si="61"/>
        <v>1.888631464847943</v>
      </c>
      <c r="S38" s="242">
        <f t="shared" si="62"/>
        <v>1.9457085838135497</v>
      </c>
      <c r="U38" s="1122"/>
      <c r="V38" s="129" t="s">
        <v>139</v>
      </c>
      <c r="W38" s="129" t="s">
        <v>36</v>
      </c>
      <c r="X38" s="266">
        <f t="shared" si="63"/>
        <v>1.888631464847943</v>
      </c>
      <c r="Y38" s="266">
        <f t="shared" si="64"/>
        <v>1.9457085838135495</v>
      </c>
      <c r="Z38" s="266">
        <f t="shared" si="65"/>
        <v>1.888631464847943</v>
      </c>
      <c r="AA38" s="266">
        <f t="shared" si="66"/>
        <v>1.9457085838135495</v>
      </c>
      <c r="AB38" s="266">
        <f t="shared" si="67"/>
        <v>1.888631464847943</v>
      </c>
      <c r="AC38" s="266">
        <f t="shared" si="68"/>
        <v>1.9457085838135495</v>
      </c>
      <c r="AE38" s="1122"/>
      <c r="AF38" s="129" t="s">
        <v>139</v>
      </c>
      <c r="AG38" s="129" t="s">
        <v>36</v>
      </c>
      <c r="AH38" s="241">
        <f>X38*(1-Indata!D$22)</f>
        <v>1.888631464847943</v>
      </c>
      <c r="AI38" s="242">
        <f>Y38*(1-Indata!E$22)</f>
        <v>1.9457085838135495</v>
      </c>
      <c r="AJ38" s="241">
        <f>Z38*(1-Indata!F$22)</f>
        <v>1.888631464847943</v>
      </c>
      <c r="AK38" s="242">
        <f>AA38*(1-Indata!G$22)</f>
        <v>1.9457085838135495</v>
      </c>
      <c r="AL38" s="243">
        <f>AB38*(1-Indata!H$22)</f>
        <v>1.888631464847943</v>
      </c>
      <c r="AM38" s="242">
        <f>AC38*(1-Indata!I$22)</f>
        <v>1.9457085838135495</v>
      </c>
    </row>
    <row r="39" spans="1:39" ht="15.75" thickBot="1" x14ac:dyDescent="0.3">
      <c r="A39" s="1122"/>
      <c r="B39" s="129" t="s">
        <v>140</v>
      </c>
      <c r="C39" s="129" t="s">
        <v>36</v>
      </c>
      <c r="D39" s="267">
        <f>Indata!D64*(1+Indata!D$65)*(1-D26)</f>
        <v>3.5477319739661044</v>
      </c>
      <c r="E39" s="268">
        <f>Indata!E64*(1+Indata!E$65)*(1-E26)</f>
        <v>4.1837489931106022</v>
      </c>
      <c r="F39" s="267">
        <f>Indata!F64*(1+Indata!F$65)*(1-F26)</f>
        <v>3.5477319739661044</v>
      </c>
      <c r="G39" s="268">
        <f>Indata!G64*(1+Indata!G$65)*(1-G26)</f>
        <v>4.1837489931106022</v>
      </c>
      <c r="H39" s="269">
        <f>Indata!H64*(1+Indata!H$65)*(1-H26)</f>
        <v>3.5477319739661044</v>
      </c>
      <c r="I39" s="268">
        <f>Indata!I64*(1+Indata!I$65)*(1-I26)</f>
        <v>4.1837489931106022</v>
      </c>
      <c r="K39" s="1122"/>
      <c r="L39" s="129" t="s">
        <v>140</v>
      </c>
      <c r="M39" s="129" t="s">
        <v>36</v>
      </c>
      <c r="N39" s="267">
        <f t="shared" si="69"/>
        <v>3.5477319739661044</v>
      </c>
      <c r="O39" s="268">
        <f t="shared" si="58"/>
        <v>4.1837489931106022</v>
      </c>
      <c r="P39" s="267">
        <f t="shared" si="59"/>
        <v>3.5477319739661044</v>
      </c>
      <c r="Q39" s="268">
        <f t="shared" si="60"/>
        <v>4.1837489931106022</v>
      </c>
      <c r="R39" s="269">
        <f t="shared" si="61"/>
        <v>3.5477319739661044</v>
      </c>
      <c r="S39" s="268">
        <f t="shared" si="62"/>
        <v>4.1837489931106022</v>
      </c>
      <c r="U39" s="1122"/>
      <c r="V39" s="129" t="s">
        <v>140</v>
      </c>
      <c r="W39" s="129" t="s">
        <v>36</v>
      </c>
      <c r="X39" s="266">
        <f t="shared" si="63"/>
        <v>3.5477319739661044</v>
      </c>
      <c r="Y39" s="266">
        <f t="shared" si="64"/>
        <v>4.1837489931106022</v>
      </c>
      <c r="Z39" s="266">
        <f t="shared" si="65"/>
        <v>3.5477319739661044</v>
      </c>
      <c r="AA39" s="266">
        <f t="shared" si="66"/>
        <v>4.1837489931106022</v>
      </c>
      <c r="AB39" s="266">
        <f t="shared" si="67"/>
        <v>3.5477319739661044</v>
      </c>
      <c r="AC39" s="266">
        <f t="shared" si="68"/>
        <v>4.1837489931106022</v>
      </c>
      <c r="AE39" s="1122"/>
      <c r="AF39" s="129" t="s">
        <v>140</v>
      </c>
      <c r="AG39" s="129" t="s">
        <v>36</v>
      </c>
      <c r="AH39" s="267">
        <f>X39*(1-Indata!D$22)</f>
        <v>3.5477319739661044</v>
      </c>
      <c r="AI39" s="268">
        <f>Y39*(1-Indata!E$22)</f>
        <v>4.1837489931106022</v>
      </c>
      <c r="AJ39" s="267">
        <f>Z39*(1-Indata!F$22)</f>
        <v>3.5477319739661044</v>
      </c>
      <c r="AK39" s="268">
        <f>AA39*(1-Indata!G$22)</f>
        <v>4.1837489931106022</v>
      </c>
      <c r="AL39" s="269">
        <f>AB39*(1-Indata!H$22)</f>
        <v>3.5477319739661044</v>
      </c>
      <c r="AM39" s="268">
        <f>AC39*(1-Indata!I$22)</f>
        <v>4.1837489931106022</v>
      </c>
    </row>
    <row r="40" spans="1:39" ht="15.75" thickBot="1" x14ac:dyDescent="0.3">
      <c r="A40" s="1122"/>
      <c r="B40" s="180" t="s">
        <v>163</v>
      </c>
      <c r="C40" s="180" t="s">
        <v>36</v>
      </c>
      <c r="D40" s="263">
        <f>SUM(D36:D39)</f>
        <v>5.82858707873166</v>
      </c>
      <c r="E40" s="264">
        <f t="shared" ref="E40:I40" si="70">SUM(E36:E39)</f>
        <v>6.3471231026404569</v>
      </c>
      <c r="F40" s="263">
        <f t="shared" si="70"/>
        <v>5.82858707873166</v>
      </c>
      <c r="G40" s="264">
        <f t="shared" si="70"/>
        <v>6.3471231026404569</v>
      </c>
      <c r="H40" s="265">
        <f t="shared" si="70"/>
        <v>5.82858707873166</v>
      </c>
      <c r="I40" s="264">
        <f t="shared" si="70"/>
        <v>6.3471231026404569</v>
      </c>
      <c r="K40" s="1122"/>
      <c r="L40" s="180" t="s">
        <v>163</v>
      </c>
      <c r="M40" s="180" t="s">
        <v>36</v>
      </c>
      <c r="N40" s="263">
        <f>SUM(N36:N39)</f>
        <v>5.82858707873166</v>
      </c>
      <c r="O40" s="264">
        <f t="shared" ref="O40" si="71">SUM(O36:O39)</f>
        <v>6.3471231026404569</v>
      </c>
      <c r="P40" s="263">
        <f t="shared" ref="P40" si="72">SUM(P36:P39)</f>
        <v>5.82858707873166</v>
      </c>
      <c r="Q40" s="264">
        <f t="shared" ref="Q40" si="73">SUM(Q36:Q39)</f>
        <v>6.3471231026404569</v>
      </c>
      <c r="R40" s="265">
        <f t="shared" ref="R40" si="74">SUM(R36:R39)</f>
        <v>5.82858707873166</v>
      </c>
      <c r="S40" s="264">
        <f t="shared" ref="S40" si="75">SUM(S36:S39)</f>
        <v>6.3471231026404569</v>
      </c>
      <c r="U40" s="1122"/>
      <c r="V40" s="180" t="s">
        <v>163</v>
      </c>
      <c r="W40" s="180" t="s">
        <v>36</v>
      </c>
      <c r="X40" s="266">
        <f t="shared" si="63"/>
        <v>5.82858707873166</v>
      </c>
      <c r="Y40" s="266">
        <f t="shared" si="64"/>
        <v>6.3471231026404569</v>
      </c>
      <c r="Z40" s="266">
        <f t="shared" si="65"/>
        <v>5.82858707873166</v>
      </c>
      <c r="AA40" s="266">
        <f t="shared" si="66"/>
        <v>6.3471231026404569</v>
      </c>
      <c r="AB40" s="266">
        <f t="shared" si="67"/>
        <v>5.82858707873166</v>
      </c>
      <c r="AC40" s="266">
        <f t="shared" si="68"/>
        <v>6.3471231026404569</v>
      </c>
      <c r="AE40" s="1122"/>
      <c r="AF40" s="180" t="s">
        <v>163</v>
      </c>
      <c r="AG40" s="180" t="s">
        <v>36</v>
      </c>
      <c r="AH40" s="263">
        <f>SUM(AH36:AH39)</f>
        <v>5.82858707873166</v>
      </c>
      <c r="AI40" s="264">
        <f>SUM(AI36:AI39)</f>
        <v>6.347123102640456</v>
      </c>
      <c r="AJ40" s="263">
        <f>SUM(AJ36:AJ39)</f>
        <v>5.82858707873166</v>
      </c>
      <c r="AK40" s="264">
        <f t="shared" ref="AK40" si="76">SUM(AK36:AK39)</f>
        <v>6.347123102640456</v>
      </c>
      <c r="AL40" s="265">
        <f t="shared" ref="AL40" si="77">SUM(AL36:AL39)</f>
        <v>5.82858707873166</v>
      </c>
      <c r="AM40" s="264">
        <f t="shared" ref="AM40" si="78">SUM(AM36:AM39)</f>
        <v>6.347123102640456</v>
      </c>
    </row>
    <row r="41" spans="1:39" ht="15.75" thickBot="1" x14ac:dyDescent="0.3">
      <c r="A41" s="1122"/>
      <c r="B41" s="129" t="s">
        <v>142</v>
      </c>
      <c r="C41" s="129" t="s">
        <v>36</v>
      </c>
      <c r="D41" s="267">
        <f>Indata!D61*(1+Indata!D$65)*(D23)</f>
        <v>3.3142865910257058E-2</v>
      </c>
      <c r="E41" s="268">
        <f>Indata!E61*(1+Indata!E$65)*(E23)</f>
        <v>0.15633811448932469</v>
      </c>
      <c r="F41" s="267">
        <f>Indata!F61*(1+Indata!F$65)*(F23)</f>
        <v>3.3142865910257058E-2</v>
      </c>
      <c r="G41" s="268">
        <f>Indata!G61*(1+Indata!G$65)*(G23)</f>
        <v>0.15633811448932469</v>
      </c>
      <c r="H41" s="269">
        <f>Indata!H61*(1+Indata!H$65)*(H23)</f>
        <v>3.3142865910257058E-2</v>
      </c>
      <c r="I41" s="268">
        <f>Indata!I61*(1+Indata!I$65)*(I23)</f>
        <v>0.15633811448932469</v>
      </c>
      <c r="K41" s="1122"/>
      <c r="L41" s="129" t="s">
        <v>142</v>
      </c>
      <c r="M41" s="129" t="s">
        <v>36</v>
      </c>
      <c r="N41" s="267">
        <f>D41</f>
        <v>3.3142865910257058E-2</v>
      </c>
      <c r="O41" s="268">
        <f t="shared" ref="O41:O44" si="79">E41</f>
        <v>0.15633811448932469</v>
      </c>
      <c r="P41" s="414">
        <f t="shared" ref="P41:P44" si="80">F41</f>
        <v>3.3142865910257058E-2</v>
      </c>
      <c r="Q41" s="268">
        <f t="shared" ref="Q41:Q44" si="81">G41</f>
        <v>0.15633811448932469</v>
      </c>
      <c r="R41" s="269">
        <f t="shared" ref="R41:R44" si="82">H41</f>
        <v>3.3142865910257058E-2</v>
      </c>
      <c r="S41" s="268">
        <f t="shared" ref="S41:S44" si="83">I41</f>
        <v>0.15633811448932469</v>
      </c>
      <c r="U41" s="1122"/>
      <c r="V41" s="129" t="s">
        <v>142</v>
      </c>
      <c r="W41" s="129" t="s">
        <v>36</v>
      </c>
      <c r="X41" s="266">
        <f t="shared" si="63"/>
        <v>3.3142865910257058E-2</v>
      </c>
      <c r="Y41" s="266">
        <f t="shared" si="64"/>
        <v>0.15633811448932469</v>
      </c>
      <c r="Z41" s="266">
        <f t="shared" si="65"/>
        <v>3.3142865910257058E-2</v>
      </c>
      <c r="AA41" s="266">
        <f t="shared" si="66"/>
        <v>0.15633811448932469</v>
      </c>
      <c r="AB41" s="266">
        <f t="shared" si="67"/>
        <v>3.3142865910257058E-2</v>
      </c>
      <c r="AC41" s="266">
        <f t="shared" si="68"/>
        <v>0.15633811448932469</v>
      </c>
      <c r="AE41" s="1122"/>
      <c r="AF41" s="129" t="s">
        <v>142</v>
      </c>
      <c r="AG41" s="129" t="s">
        <v>36</v>
      </c>
      <c r="AH41" s="267">
        <f>X41*(1-Indata!D$22)</f>
        <v>3.3142865910257058E-2</v>
      </c>
      <c r="AI41" s="268">
        <f>Y41*(1-Indata!E$22)</f>
        <v>0.15633811448932469</v>
      </c>
      <c r="AJ41" s="267">
        <f>Z41*(1-Indata!F$22)</f>
        <v>3.3142865910257058E-2</v>
      </c>
      <c r="AK41" s="268">
        <f>AA41*(1-Indata!G$22)</f>
        <v>0.15633811448932469</v>
      </c>
      <c r="AL41" s="269">
        <f>AB41*(1-Indata!H$22)</f>
        <v>3.3142865910257058E-2</v>
      </c>
      <c r="AM41" s="268">
        <f>AC41*(1-Indata!I$22)</f>
        <v>0.15633811448932469</v>
      </c>
    </row>
    <row r="42" spans="1:39" ht="15.75" thickBot="1" x14ac:dyDescent="0.3">
      <c r="A42" s="1122"/>
      <c r="B42" s="129" t="s">
        <v>143</v>
      </c>
      <c r="C42" s="129" t="s">
        <v>36</v>
      </c>
      <c r="D42" s="267">
        <f>Indata!D62*(1+Indata!D$65)*(D24)</f>
        <v>3.6073070545792146E-2</v>
      </c>
      <c r="E42" s="268">
        <f>Indata!E62*(1+Indata!E$65)*(E24)</f>
        <v>0.17016017408513234</v>
      </c>
      <c r="F42" s="267">
        <f>Indata!F62*(1+Indata!F$65)*(F24)</f>
        <v>3.6073070545792146E-2</v>
      </c>
      <c r="G42" s="268">
        <f>Indata!G62*(1+Indata!G$65)*(G24)</f>
        <v>0.17016017408513234</v>
      </c>
      <c r="H42" s="269">
        <f>Indata!H62*(1+Indata!H$65)*(H24)</f>
        <v>3.6073070545792146E-2</v>
      </c>
      <c r="I42" s="268">
        <f>Indata!I62*(1+Indata!I$65)*(I24)</f>
        <v>0.17016017408513234</v>
      </c>
      <c r="K42" s="1122"/>
      <c r="L42" s="129" t="s">
        <v>143</v>
      </c>
      <c r="M42" s="129" t="s">
        <v>36</v>
      </c>
      <c r="N42" s="267">
        <f t="shared" ref="N42:N44" si="84">D42</f>
        <v>3.6073070545792146E-2</v>
      </c>
      <c r="O42" s="268">
        <f t="shared" si="79"/>
        <v>0.17016017408513234</v>
      </c>
      <c r="P42" s="267">
        <f t="shared" si="80"/>
        <v>3.6073070545792146E-2</v>
      </c>
      <c r="Q42" s="268">
        <f t="shared" si="81"/>
        <v>0.17016017408513234</v>
      </c>
      <c r="R42" s="269">
        <f t="shared" si="82"/>
        <v>3.6073070545792146E-2</v>
      </c>
      <c r="S42" s="268">
        <f t="shared" si="83"/>
        <v>0.17016017408513234</v>
      </c>
      <c r="U42" s="1122"/>
      <c r="V42" s="129" t="s">
        <v>143</v>
      </c>
      <c r="W42" s="129" t="s">
        <v>36</v>
      </c>
      <c r="X42" s="266">
        <f t="shared" si="63"/>
        <v>3.6073070545792146E-2</v>
      </c>
      <c r="Y42" s="266">
        <f t="shared" si="64"/>
        <v>0.17016017408513234</v>
      </c>
      <c r="Z42" s="266">
        <f t="shared" si="65"/>
        <v>3.6073070545792146E-2</v>
      </c>
      <c r="AA42" s="266">
        <f t="shared" si="66"/>
        <v>0.17016017408513234</v>
      </c>
      <c r="AB42" s="266">
        <f t="shared" si="67"/>
        <v>3.6073070545792146E-2</v>
      </c>
      <c r="AC42" s="266">
        <f t="shared" si="68"/>
        <v>0.17016017408513234</v>
      </c>
      <c r="AE42" s="1122"/>
      <c r="AF42" s="129" t="s">
        <v>143</v>
      </c>
      <c r="AG42" s="129" t="s">
        <v>36</v>
      </c>
      <c r="AH42" s="267">
        <f>X42*(1-Indata!D$22)</f>
        <v>3.6073070545792146E-2</v>
      </c>
      <c r="AI42" s="268">
        <f>Y42*(1-Indata!E$22)</f>
        <v>0.17016017408513234</v>
      </c>
      <c r="AJ42" s="267">
        <f>Z42*(1-Indata!F$22)</f>
        <v>3.6073070545792146E-2</v>
      </c>
      <c r="AK42" s="268">
        <f>AA42*(1-Indata!G$22)</f>
        <v>0.17016017408513234</v>
      </c>
      <c r="AL42" s="269">
        <f>AB42*(1-Indata!H$22)</f>
        <v>3.6073070545792146E-2</v>
      </c>
      <c r="AM42" s="268">
        <f>AC42*(1-Indata!I$22)</f>
        <v>0.17016017408513234</v>
      </c>
    </row>
    <row r="43" spans="1:39" ht="15.75" thickBot="1" x14ac:dyDescent="0.3">
      <c r="A43" s="1122"/>
      <c r="B43" s="129" t="s">
        <v>144</v>
      </c>
      <c r="C43" s="129" t="s">
        <v>36</v>
      </c>
      <c r="D43" s="267">
        <f>Indata!D63*(1+Indata!D$65)*(D25)</f>
        <v>7.9570375456998105E-2</v>
      </c>
      <c r="E43" s="268">
        <f>Indata!E63*(1+Indata!E$65)*(E25)</f>
        <v>0.3753411820763764</v>
      </c>
      <c r="F43" s="267">
        <f>Indata!F63*(1+Indata!F$65)*(F25)</f>
        <v>7.9570375456998105E-2</v>
      </c>
      <c r="G43" s="268">
        <f>Indata!G63*(1+Indata!G$65)*(G25)</f>
        <v>0.3753411820763764</v>
      </c>
      <c r="H43" s="269">
        <f>Indata!H63*(1+Indata!H$65)*(H25)</f>
        <v>7.9570375456998105E-2</v>
      </c>
      <c r="I43" s="268">
        <f>Indata!I63*(1+Indata!I$65)*(I25)</f>
        <v>0.3753411820763764</v>
      </c>
      <c r="K43" s="1122"/>
      <c r="L43" s="129" t="s">
        <v>144</v>
      </c>
      <c r="M43" s="129" t="s">
        <v>36</v>
      </c>
      <c r="N43" s="267">
        <f t="shared" si="84"/>
        <v>7.9570375456998105E-2</v>
      </c>
      <c r="O43" s="268">
        <f t="shared" si="79"/>
        <v>0.3753411820763764</v>
      </c>
      <c r="P43" s="267">
        <f t="shared" si="80"/>
        <v>7.9570375456998105E-2</v>
      </c>
      <c r="Q43" s="268">
        <f t="shared" si="81"/>
        <v>0.3753411820763764</v>
      </c>
      <c r="R43" s="269">
        <f t="shared" si="82"/>
        <v>7.9570375456998105E-2</v>
      </c>
      <c r="S43" s="268">
        <f t="shared" si="83"/>
        <v>0.3753411820763764</v>
      </c>
      <c r="U43" s="1122"/>
      <c r="V43" s="129" t="s">
        <v>144</v>
      </c>
      <c r="W43" s="129" t="s">
        <v>36</v>
      </c>
      <c r="X43" s="266">
        <f t="shared" si="63"/>
        <v>7.9570375456998105E-2</v>
      </c>
      <c r="Y43" s="266">
        <f t="shared" si="64"/>
        <v>0.3753411820763764</v>
      </c>
      <c r="Z43" s="266">
        <f t="shared" si="65"/>
        <v>7.9570375456998105E-2</v>
      </c>
      <c r="AA43" s="266">
        <f t="shared" si="66"/>
        <v>0.3753411820763764</v>
      </c>
      <c r="AB43" s="266">
        <f t="shared" si="67"/>
        <v>7.9570375456998105E-2</v>
      </c>
      <c r="AC43" s="266">
        <f t="shared" si="68"/>
        <v>0.3753411820763764</v>
      </c>
      <c r="AE43" s="1122"/>
      <c r="AF43" s="129" t="s">
        <v>144</v>
      </c>
      <c r="AG43" s="129" t="s">
        <v>36</v>
      </c>
      <c r="AH43" s="267">
        <f>X43*(1-Indata!D$22)</f>
        <v>7.9570375456998105E-2</v>
      </c>
      <c r="AI43" s="268">
        <f>Y43*(1-Indata!E$22)</f>
        <v>0.3753411820763764</v>
      </c>
      <c r="AJ43" s="267">
        <f>Z43*(1-Indata!F$22)</f>
        <v>7.9570375456998105E-2</v>
      </c>
      <c r="AK43" s="268">
        <f>AA43*(1-Indata!G$22)</f>
        <v>0.3753411820763764</v>
      </c>
      <c r="AL43" s="269">
        <f>AB43*(1-Indata!H$22)</f>
        <v>7.9570375456998105E-2</v>
      </c>
      <c r="AM43" s="268">
        <f>AC43*(1-Indata!I$22)</f>
        <v>0.3753411820763764</v>
      </c>
    </row>
    <row r="44" spans="1:39" ht="15.75" thickBot="1" x14ac:dyDescent="0.3">
      <c r="A44" s="1122"/>
      <c r="B44" s="129" t="s">
        <v>145</v>
      </c>
      <c r="C44" s="129" t="s">
        <v>36</v>
      </c>
      <c r="D44" s="267">
        <f>Indata!D64*(1+Indata!D$65)*(D26)</f>
        <v>0</v>
      </c>
      <c r="E44" s="268">
        <f>Indata!E64*(1+Indata!E$65)*(E26)</f>
        <v>0</v>
      </c>
      <c r="F44" s="267">
        <f>Indata!F64*(1+Indata!F$65)*(F26)</f>
        <v>0</v>
      </c>
      <c r="G44" s="268">
        <f>Indata!G64*(1+Indata!G$65)*(G26)</f>
        <v>0</v>
      </c>
      <c r="H44" s="269">
        <f>Indata!H64*(1+Indata!H$65)*(H26)</f>
        <v>0</v>
      </c>
      <c r="I44" s="268">
        <f>Indata!I64*(1+Indata!I$65)*(I26)</f>
        <v>0</v>
      </c>
      <c r="K44" s="1122"/>
      <c r="L44" s="129" t="s">
        <v>145</v>
      </c>
      <c r="M44" s="129" t="s">
        <v>36</v>
      </c>
      <c r="N44" s="267">
        <f t="shared" si="84"/>
        <v>0</v>
      </c>
      <c r="O44" s="268">
        <f t="shared" si="79"/>
        <v>0</v>
      </c>
      <c r="P44" s="267">
        <f t="shared" si="80"/>
        <v>0</v>
      </c>
      <c r="Q44" s="268">
        <f t="shared" si="81"/>
        <v>0</v>
      </c>
      <c r="R44" s="269">
        <f t="shared" si="82"/>
        <v>0</v>
      </c>
      <c r="S44" s="268">
        <f t="shared" si="83"/>
        <v>0</v>
      </c>
      <c r="U44" s="1122"/>
      <c r="V44" s="129" t="s">
        <v>145</v>
      </c>
      <c r="W44" s="129" t="s">
        <v>36</v>
      </c>
      <c r="X44" s="266">
        <f t="shared" si="63"/>
        <v>0</v>
      </c>
      <c r="Y44" s="266">
        <f t="shared" si="64"/>
        <v>0</v>
      </c>
      <c r="Z44" s="266">
        <f t="shared" si="65"/>
        <v>0</v>
      </c>
      <c r="AA44" s="266">
        <f t="shared" si="66"/>
        <v>0</v>
      </c>
      <c r="AB44" s="266">
        <f t="shared" si="67"/>
        <v>0</v>
      </c>
      <c r="AC44" s="266">
        <f t="shared" si="68"/>
        <v>0</v>
      </c>
      <c r="AE44" s="1122"/>
      <c r="AF44" s="129" t="s">
        <v>145</v>
      </c>
      <c r="AG44" s="129" t="s">
        <v>36</v>
      </c>
      <c r="AH44" s="267">
        <f>X44*(1-Indata!D$22)</f>
        <v>0</v>
      </c>
      <c r="AI44" s="268">
        <f>Y44*(1-Indata!E$22)</f>
        <v>0</v>
      </c>
      <c r="AJ44" s="267">
        <f>Z44*(1-Indata!F$22)</f>
        <v>0</v>
      </c>
      <c r="AK44" s="268">
        <f>AA44*(1-Indata!G$22)</f>
        <v>0</v>
      </c>
      <c r="AL44" s="269">
        <f>AB44*(1-Indata!H$22)</f>
        <v>0</v>
      </c>
      <c r="AM44" s="268">
        <f>AC44*(1-Indata!I$22)</f>
        <v>0</v>
      </c>
    </row>
    <row r="45" spans="1:39" ht="15.75" thickBot="1" x14ac:dyDescent="0.3">
      <c r="A45" s="1122"/>
      <c r="B45" s="180" t="s">
        <v>164</v>
      </c>
      <c r="C45" s="180" t="s">
        <v>36</v>
      </c>
      <c r="D45" s="263">
        <f>SUM(D41:D44)</f>
        <v>0.14878631191304731</v>
      </c>
      <c r="E45" s="264">
        <f t="shared" ref="E45:I45" si="85">SUM(E41:E44)</f>
        <v>0.70183947065083352</v>
      </c>
      <c r="F45" s="263">
        <f t="shared" si="85"/>
        <v>0.14878631191304731</v>
      </c>
      <c r="G45" s="264">
        <f t="shared" si="85"/>
        <v>0.70183947065083352</v>
      </c>
      <c r="H45" s="265">
        <f t="shared" si="85"/>
        <v>0.14878631191304731</v>
      </c>
      <c r="I45" s="264">
        <f t="shared" si="85"/>
        <v>0.70183947065083352</v>
      </c>
      <c r="K45" s="1122"/>
      <c r="L45" s="180" t="s">
        <v>164</v>
      </c>
      <c r="M45" s="180" t="s">
        <v>36</v>
      </c>
      <c r="N45" s="263">
        <f>SUM(N41:N44)</f>
        <v>0.14878631191304731</v>
      </c>
      <c r="O45" s="264">
        <f t="shared" ref="O45" si="86">SUM(O41:O44)</f>
        <v>0.70183947065083352</v>
      </c>
      <c r="P45" s="263">
        <f t="shared" ref="P45" si="87">SUM(P41:P44)</f>
        <v>0.14878631191304731</v>
      </c>
      <c r="Q45" s="264">
        <f t="shared" ref="Q45" si="88">SUM(Q41:Q44)</f>
        <v>0.70183947065083352</v>
      </c>
      <c r="R45" s="265">
        <f t="shared" ref="R45" si="89">SUM(R41:R44)</f>
        <v>0.14878631191304731</v>
      </c>
      <c r="S45" s="264">
        <f t="shared" ref="S45" si="90">SUM(S41:S44)</f>
        <v>0.70183947065083352</v>
      </c>
      <c r="U45" s="1122"/>
      <c r="V45" s="180" t="s">
        <v>164</v>
      </c>
      <c r="W45" s="180" t="s">
        <v>36</v>
      </c>
      <c r="X45" s="266">
        <f t="shared" si="63"/>
        <v>0.14878631191304731</v>
      </c>
      <c r="Y45" s="266">
        <f t="shared" si="64"/>
        <v>0.70183947065083352</v>
      </c>
      <c r="Z45" s="266">
        <f t="shared" si="65"/>
        <v>0.14878631191304731</v>
      </c>
      <c r="AA45" s="266">
        <f t="shared" si="66"/>
        <v>0.70183947065083352</v>
      </c>
      <c r="AB45" s="266">
        <f t="shared" si="67"/>
        <v>0.14878631191304731</v>
      </c>
      <c r="AC45" s="266">
        <f t="shared" si="68"/>
        <v>0.70183947065083352</v>
      </c>
      <c r="AE45" s="1122"/>
      <c r="AF45" s="180" t="s">
        <v>164</v>
      </c>
      <c r="AG45" s="180" t="s">
        <v>36</v>
      </c>
      <c r="AH45" s="263">
        <f>SUM(AH41:AH44)</f>
        <v>0.14878631191304731</v>
      </c>
      <c r="AI45" s="264">
        <f>SUM(AI41:AI44)</f>
        <v>0.70183947065083352</v>
      </c>
      <c r="AJ45" s="263">
        <f t="shared" ref="AJ45" si="91">SUM(AJ41:AJ44)</f>
        <v>0.14878631191304731</v>
      </c>
      <c r="AK45" s="264">
        <f t="shared" ref="AK45" si="92">SUM(AK41:AK44)</f>
        <v>0.70183947065083352</v>
      </c>
      <c r="AL45" s="265">
        <f t="shared" ref="AL45" si="93">SUM(AL41:AL44)</f>
        <v>0.14878631191304731</v>
      </c>
      <c r="AM45" s="264">
        <f t="shared" ref="AM45" si="94">SUM(AM41:AM44)</f>
        <v>0.70183947065083352</v>
      </c>
    </row>
    <row r="46" spans="1:39" ht="15.75" thickBot="1" x14ac:dyDescent="0.3">
      <c r="A46" s="1122"/>
      <c r="B46" s="129" t="s">
        <v>165</v>
      </c>
      <c r="C46" s="129" t="s">
        <v>36</v>
      </c>
      <c r="D46" s="267">
        <f>D36+D41</f>
        <v>0.22095243940171372</v>
      </c>
      <c r="E46" s="268">
        <f t="shared" ref="E46:I46" si="95">E36+E41</f>
        <v>0.26056352414887451</v>
      </c>
      <c r="F46" s="267">
        <f t="shared" si="95"/>
        <v>0.22095243940171372</v>
      </c>
      <c r="G46" s="268">
        <f t="shared" si="95"/>
        <v>0.26056352414887451</v>
      </c>
      <c r="H46" s="269">
        <f t="shared" si="95"/>
        <v>0.22095243940171372</v>
      </c>
      <c r="I46" s="268">
        <f t="shared" si="95"/>
        <v>0.26056352414887451</v>
      </c>
      <c r="K46" s="1122"/>
      <c r="L46" s="129" t="s">
        <v>165</v>
      </c>
      <c r="M46" s="129" t="s">
        <v>36</v>
      </c>
      <c r="N46" s="267">
        <f>N36+N41</f>
        <v>0.22095243940171372</v>
      </c>
      <c r="O46" s="268">
        <f t="shared" ref="O46:S46" si="96">O36+O41</f>
        <v>0.26056352414887451</v>
      </c>
      <c r="P46" s="267">
        <f t="shared" si="96"/>
        <v>0.22095243940171372</v>
      </c>
      <c r="Q46" s="268">
        <f t="shared" si="96"/>
        <v>0.26056352414887451</v>
      </c>
      <c r="R46" s="269">
        <f t="shared" si="96"/>
        <v>0.22095243940171372</v>
      </c>
      <c r="S46" s="268">
        <f t="shared" si="96"/>
        <v>0.26056352414887451</v>
      </c>
      <c r="U46" s="1122"/>
      <c r="V46" s="129" t="s">
        <v>165</v>
      </c>
      <c r="W46" s="129" t="s">
        <v>36</v>
      </c>
      <c r="X46" s="266">
        <f t="shared" si="63"/>
        <v>0.22095243940171372</v>
      </c>
      <c r="Y46" s="266">
        <f t="shared" si="64"/>
        <v>0.26056352414887451</v>
      </c>
      <c r="Z46" s="266">
        <f t="shared" si="65"/>
        <v>0.22095243940171372</v>
      </c>
      <c r="AA46" s="266">
        <f t="shared" si="66"/>
        <v>0.26056352414887451</v>
      </c>
      <c r="AB46" s="266">
        <f t="shared" si="67"/>
        <v>0.22095243940171372</v>
      </c>
      <c r="AC46" s="266">
        <f t="shared" si="68"/>
        <v>0.26056352414887451</v>
      </c>
      <c r="AE46" s="1122"/>
      <c r="AF46" s="129" t="s">
        <v>165</v>
      </c>
      <c r="AG46" s="129" t="s">
        <v>36</v>
      </c>
      <c r="AH46" s="267">
        <f>AH36+AH41</f>
        <v>0.22095243940171375</v>
      </c>
      <c r="AI46" s="268">
        <f t="shared" ref="AI46:AM46" si="97">AI36+AI41</f>
        <v>0.26056352414887451</v>
      </c>
      <c r="AJ46" s="267">
        <f t="shared" si="97"/>
        <v>0.22095243940171375</v>
      </c>
      <c r="AK46" s="268">
        <f t="shared" si="97"/>
        <v>0.26056352414887451</v>
      </c>
      <c r="AL46" s="269">
        <f t="shared" si="97"/>
        <v>0.22095243940171375</v>
      </c>
      <c r="AM46" s="268">
        <f t="shared" si="97"/>
        <v>0.26056352414887451</v>
      </c>
    </row>
    <row r="47" spans="1:39" ht="15.75" thickBot="1" x14ac:dyDescent="0.3">
      <c r="A47" s="1122"/>
      <c r="B47" s="129" t="s">
        <v>166</v>
      </c>
      <c r="C47" s="129" t="s">
        <v>36</v>
      </c>
      <c r="D47" s="241">
        <f t="shared" ref="D47:I47" si="98">D37+D42</f>
        <v>0.24048713697194765</v>
      </c>
      <c r="E47" s="242">
        <f t="shared" si="98"/>
        <v>0.28360029014188726</v>
      </c>
      <c r="F47" s="241">
        <f t="shared" si="98"/>
        <v>0.24048713697194765</v>
      </c>
      <c r="G47" s="242">
        <f t="shared" si="98"/>
        <v>0.28360029014188726</v>
      </c>
      <c r="H47" s="243">
        <f t="shared" si="98"/>
        <v>0.24048713697194765</v>
      </c>
      <c r="I47" s="242">
        <f t="shared" si="98"/>
        <v>0.28360029014188726</v>
      </c>
      <c r="K47" s="1122"/>
      <c r="L47" s="129" t="s">
        <v>166</v>
      </c>
      <c r="M47" s="129" t="s">
        <v>36</v>
      </c>
      <c r="N47" s="241">
        <f t="shared" ref="N47:S47" si="99">N37+N42</f>
        <v>0.24048713697194765</v>
      </c>
      <c r="O47" s="242">
        <f t="shared" si="99"/>
        <v>0.28360029014188726</v>
      </c>
      <c r="P47" s="241">
        <f t="shared" si="99"/>
        <v>0.24048713697194765</v>
      </c>
      <c r="Q47" s="242">
        <f t="shared" si="99"/>
        <v>0.28360029014188726</v>
      </c>
      <c r="R47" s="243">
        <f t="shared" si="99"/>
        <v>0.24048713697194765</v>
      </c>
      <c r="S47" s="242">
        <f t="shared" si="99"/>
        <v>0.28360029014188726</v>
      </c>
      <c r="U47" s="1122"/>
      <c r="V47" s="129" t="s">
        <v>166</v>
      </c>
      <c r="W47" s="129" t="s">
        <v>36</v>
      </c>
      <c r="X47" s="266">
        <f t="shared" si="63"/>
        <v>0.24048713697194765</v>
      </c>
      <c r="Y47" s="266">
        <f t="shared" si="64"/>
        <v>0.28360029014188726</v>
      </c>
      <c r="Z47" s="266">
        <f t="shared" si="65"/>
        <v>0.24048713697194765</v>
      </c>
      <c r="AA47" s="266">
        <f t="shared" si="66"/>
        <v>0.28360029014188726</v>
      </c>
      <c r="AB47" s="266">
        <f t="shared" si="67"/>
        <v>0.24048713697194765</v>
      </c>
      <c r="AC47" s="266">
        <f t="shared" si="68"/>
        <v>0.28360029014188726</v>
      </c>
      <c r="AE47" s="1122"/>
      <c r="AF47" s="129" t="s">
        <v>166</v>
      </c>
      <c r="AG47" s="129" t="s">
        <v>36</v>
      </c>
      <c r="AH47" s="241">
        <f t="shared" ref="AH47:AM47" si="100">AH37+AH42</f>
        <v>0.24048713697194765</v>
      </c>
      <c r="AI47" s="242">
        <f t="shared" si="100"/>
        <v>0.28360029014188726</v>
      </c>
      <c r="AJ47" s="241">
        <f t="shared" si="100"/>
        <v>0.24048713697194765</v>
      </c>
      <c r="AK47" s="242">
        <f t="shared" si="100"/>
        <v>0.28360029014188726</v>
      </c>
      <c r="AL47" s="243">
        <f t="shared" si="100"/>
        <v>0.24048713697194765</v>
      </c>
      <c r="AM47" s="242">
        <f t="shared" si="100"/>
        <v>0.28360029014188726</v>
      </c>
    </row>
    <row r="48" spans="1:39" ht="15.75" thickBot="1" x14ac:dyDescent="0.3">
      <c r="A48" s="1122"/>
      <c r="B48" s="129" t="s">
        <v>167</v>
      </c>
      <c r="C48" s="129" t="s">
        <v>36</v>
      </c>
      <c r="D48" s="241">
        <f t="shared" ref="D48:I48" si="101">D38+D43</f>
        <v>1.9682018403049411</v>
      </c>
      <c r="E48" s="242">
        <f t="shared" si="101"/>
        <v>2.3210497658899261</v>
      </c>
      <c r="F48" s="241">
        <f t="shared" si="101"/>
        <v>1.9682018403049411</v>
      </c>
      <c r="G48" s="242">
        <f t="shared" si="101"/>
        <v>2.3210497658899261</v>
      </c>
      <c r="H48" s="243">
        <f t="shared" si="101"/>
        <v>1.9682018403049411</v>
      </c>
      <c r="I48" s="242">
        <f t="shared" si="101"/>
        <v>2.3210497658899261</v>
      </c>
      <c r="K48" s="1122"/>
      <c r="L48" s="129" t="s">
        <v>167</v>
      </c>
      <c r="M48" s="129" t="s">
        <v>36</v>
      </c>
      <c r="N48" s="241">
        <f t="shared" ref="N48:S48" si="102">N38+N43</f>
        <v>1.9682018403049411</v>
      </c>
      <c r="O48" s="242">
        <f t="shared" si="102"/>
        <v>2.3210497658899261</v>
      </c>
      <c r="P48" s="241">
        <f t="shared" si="102"/>
        <v>1.9682018403049411</v>
      </c>
      <c r="Q48" s="242">
        <f t="shared" si="102"/>
        <v>2.3210497658899261</v>
      </c>
      <c r="R48" s="243">
        <f t="shared" si="102"/>
        <v>1.9682018403049411</v>
      </c>
      <c r="S48" s="242">
        <f t="shared" si="102"/>
        <v>2.3210497658899261</v>
      </c>
      <c r="U48" s="1122"/>
      <c r="V48" s="129" t="s">
        <v>167</v>
      </c>
      <c r="W48" s="129" t="s">
        <v>36</v>
      </c>
      <c r="X48" s="266">
        <f t="shared" si="63"/>
        <v>1.9682018403049411</v>
      </c>
      <c r="Y48" s="266">
        <f t="shared" si="64"/>
        <v>2.3210497658899261</v>
      </c>
      <c r="Z48" s="266">
        <f t="shared" si="65"/>
        <v>1.9682018403049411</v>
      </c>
      <c r="AA48" s="266">
        <f t="shared" si="66"/>
        <v>2.3210497658899261</v>
      </c>
      <c r="AB48" s="266">
        <f t="shared" si="67"/>
        <v>1.9682018403049411</v>
      </c>
      <c r="AC48" s="266">
        <f t="shared" si="68"/>
        <v>2.3210497658899261</v>
      </c>
      <c r="AE48" s="1122"/>
      <c r="AF48" s="129" t="s">
        <v>167</v>
      </c>
      <c r="AG48" s="129" t="s">
        <v>36</v>
      </c>
      <c r="AH48" s="241">
        <f t="shared" ref="AH48:AM48" si="103">AH38+AH43</f>
        <v>1.9682018403049411</v>
      </c>
      <c r="AI48" s="242">
        <f t="shared" si="103"/>
        <v>2.3210497658899261</v>
      </c>
      <c r="AJ48" s="241">
        <f t="shared" si="103"/>
        <v>1.9682018403049411</v>
      </c>
      <c r="AK48" s="242">
        <f t="shared" si="103"/>
        <v>2.3210497658899261</v>
      </c>
      <c r="AL48" s="243">
        <f t="shared" si="103"/>
        <v>1.9682018403049411</v>
      </c>
      <c r="AM48" s="242">
        <f t="shared" si="103"/>
        <v>2.3210497658899261</v>
      </c>
    </row>
    <row r="49" spans="1:39" x14ac:dyDescent="0.25">
      <c r="A49" s="1122"/>
      <c r="B49" s="129" t="s">
        <v>168</v>
      </c>
      <c r="C49" s="129" t="s">
        <v>36</v>
      </c>
      <c r="D49" s="267">
        <f t="shared" ref="D49:I49" si="104">D39+D44</f>
        <v>3.5477319739661044</v>
      </c>
      <c r="E49" s="268">
        <f t="shared" si="104"/>
        <v>4.1837489931106022</v>
      </c>
      <c r="F49" s="267">
        <f t="shared" si="104"/>
        <v>3.5477319739661044</v>
      </c>
      <c r="G49" s="268">
        <f t="shared" si="104"/>
        <v>4.1837489931106022</v>
      </c>
      <c r="H49" s="269">
        <f t="shared" si="104"/>
        <v>3.5477319739661044</v>
      </c>
      <c r="I49" s="268">
        <f t="shared" si="104"/>
        <v>4.1837489931106022</v>
      </c>
      <c r="K49" s="1122"/>
      <c r="L49" s="129" t="s">
        <v>168</v>
      </c>
      <c r="M49" s="129" t="s">
        <v>36</v>
      </c>
      <c r="N49" s="267">
        <f t="shared" ref="N49:S49" si="105">N39+N44</f>
        <v>3.5477319739661044</v>
      </c>
      <c r="O49" s="268">
        <f t="shared" si="105"/>
        <v>4.1837489931106022</v>
      </c>
      <c r="P49" s="267">
        <f t="shared" si="105"/>
        <v>3.5477319739661044</v>
      </c>
      <c r="Q49" s="268">
        <f t="shared" si="105"/>
        <v>4.1837489931106022</v>
      </c>
      <c r="R49" s="269">
        <f t="shared" si="105"/>
        <v>3.5477319739661044</v>
      </c>
      <c r="S49" s="268">
        <f t="shared" si="105"/>
        <v>4.1837489931106022</v>
      </c>
      <c r="U49" s="1122"/>
      <c r="V49" s="129" t="s">
        <v>168</v>
      </c>
      <c r="W49" s="129" t="s">
        <v>36</v>
      </c>
      <c r="X49" s="266">
        <f t="shared" si="63"/>
        <v>3.5477319739661044</v>
      </c>
      <c r="Y49" s="266">
        <f t="shared" si="64"/>
        <v>4.1837489931106022</v>
      </c>
      <c r="Z49" s="266">
        <f t="shared" si="65"/>
        <v>3.5477319739661044</v>
      </c>
      <c r="AA49" s="266">
        <f t="shared" si="66"/>
        <v>4.1837489931106022</v>
      </c>
      <c r="AB49" s="266">
        <f t="shared" si="67"/>
        <v>3.5477319739661044</v>
      </c>
      <c r="AC49" s="266">
        <f t="shared" si="68"/>
        <v>4.1837489931106022</v>
      </c>
      <c r="AE49" s="1122"/>
      <c r="AF49" s="129" t="s">
        <v>168</v>
      </c>
      <c r="AG49" s="129" t="s">
        <v>36</v>
      </c>
      <c r="AH49" s="267">
        <f t="shared" ref="AH49:AM49" si="106">AH39+AH44</f>
        <v>3.5477319739661044</v>
      </c>
      <c r="AI49" s="268">
        <f t="shared" si="106"/>
        <v>4.1837489931106022</v>
      </c>
      <c r="AJ49" s="267">
        <f t="shared" si="106"/>
        <v>3.5477319739661044</v>
      </c>
      <c r="AK49" s="268">
        <f t="shared" si="106"/>
        <v>4.1837489931106022</v>
      </c>
      <c r="AL49" s="269">
        <f t="shared" si="106"/>
        <v>3.5477319739661044</v>
      </c>
      <c r="AM49" s="268">
        <f t="shared" si="106"/>
        <v>4.1837489931106022</v>
      </c>
    </row>
    <row r="50" spans="1:39" ht="15.75" thickBot="1" x14ac:dyDescent="0.3">
      <c r="A50" s="1123"/>
      <c r="B50" s="182" t="s">
        <v>169</v>
      </c>
      <c r="C50" s="182" t="s">
        <v>36</v>
      </c>
      <c r="D50" s="201">
        <f>SUM(D46:D49)</f>
        <v>5.9773733906447069</v>
      </c>
      <c r="E50" s="203">
        <f t="shared" ref="E50:I50" si="107">SUM(E46:E49)</f>
        <v>7.0489625732912895</v>
      </c>
      <c r="F50" s="201">
        <f t="shared" si="107"/>
        <v>5.9773733906447069</v>
      </c>
      <c r="G50" s="203">
        <f t="shared" si="107"/>
        <v>7.0489625732912895</v>
      </c>
      <c r="H50" s="204">
        <f t="shared" si="107"/>
        <v>5.9773733906447069</v>
      </c>
      <c r="I50" s="203">
        <f t="shared" si="107"/>
        <v>7.0489625732912895</v>
      </c>
      <c r="K50" s="1123"/>
      <c r="L50" s="182" t="s">
        <v>169</v>
      </c>
      <c r="M50" s="182" t="s">
        <v>36</v>
      </c>
      <c r="N50" s="201">
        <f>SUM(N46:N49)</f>
        <v>5.9773733906447069</v>
      </c>
      <c r="O50" s="203">
        <f t="shared" ref="O50" si="108">SUM(O46:O49)</f>
        <v>7.0489625732912895</v>
      </c>
      <c r="P50" s="201">
        <f t="shared" ref="P50" si="109">SUM(P46:P49)</f>
        <v>5.9773733906447069</v>
      </c>
      <c r="Q50" s="203">
        <f t="shared" ref="Q50" si="110">SUM(Q46:Q49)</f>
        <v>7.0489625732912895</v>
      </c>
      <c r="R50" s="204">
        <f t="shared" ref="R50" si="111">SUM(R46:R49)</f>
        <v>5.9773733906447069</v>
      </c>
      <c r="S50" s="203">
        <f t="shared" ref="S50" si="112">SUM(S46:S49)</f>
        <v>7.0489625732912895</v>
      </c>
      <c r="U50" s="1123"/>
      <c r="V50" s="182" t="s">
        <v>169</v>
      </c>
      <c r="W50" s="182" t="s">
        <v>36</v>
      </c>
      <c r="X50" s="201">
        <f>N50*(1+N$86*'Indata - Effektsamband-Faktorer'!$D$9)</f>
        <v>5.9773733906447069</v>
      </c>
      <c r="Y50" s="201">
        <f>O50*(1+O$86*'Indata - Effektsamband-Faktorer'!$E$9)</f>
        <v>7.0489625732912895</v>
      </c>
      <c r="Z50" s="201">
        <f>P50*(1+P$86*'Indata - Effektsamband-Faktorer'!$D$9)</f>
        <v>5.9773733906447069</v>
      </c>
      <c r="AA50" s="201">
        <f>Q50*(1+Q$86*'Indata - Effektsamband-Faktorer'!$E$9)</f>
        <v>7.0489625732912895</v>
      </c>
      <c r="AB50" s="201">
        <f>R50*(1+R$86*'Indata - Effektsamband-Faktorer'!$D$9)</f>
        <v>5.9773733906447069</v>
      </c>
      <c r="AC50" s="201">
        <f>S50*(1+S$86*'Indata - Effektsamband-Faktorer'!$E$9)</f>
        <v>7.0489625732912895</v>
      </c>
      <c r="AE50" s="1123"/>
      <c r="AF50" s="182" t="s">
        <v>169</v>
      </c>
      <c r="AG50" s="182" t="s">
        <v>36</v>
      </c>
      <c r="AH50" s="201">
        <f>SUM(AH46:AH49)</f>
        <v>5.9773733906447069</v>
      </c>
      <c r="AI50" s="203">
        <f t="shared" ref="AI50" si="113">SUM(AI46:AI49)</f>
        <v>7.0489625732912895</v>
      </c>
      <c r="AJ50" s="201">
        <f t="shared" ref="AJ50" si="114">SUM(AJ46:AJ49)</f>
        <v>5.9773733906447069</v>
      </c>
      <c r="AK50" s="203">
        <f t="shared" ref="AK50" si="115">SUM(AK46:AK49)</f>
        <v>7.0489625732912895</v>
      </c>
      <c r="AL50" s="204">
        <f t="shared" ref="AL50" si="116">SUM(AL46:AL49)</f>
        <v>5.9773733906447069</v>
      </c>
      <c r="AM50" s="203">
        <f t="shared" ref="AM50" si="117">SUM(AM46:AM49)</f>
        <v>7.0489625732912895</v>
      </c>
    </row>
    <row r="51" spans="1:39" s="372" customFormat="1" x14ac:dyDescent="0.25">
      <c r="A51" s="40"/>
      <c r="B51" s="40"/>
      <c r="C51" s="40"/>
      <c r="D51" s="1070"/>
      <c r="E51" s="1070"/>
      <c r="F51" s="1070"/>
      <c r="G51" s="1070"/>
      <c r="H51" s="1070"/>
      <c r="I51" s="1070"/>
      <c r="K51" s="40"/>
      <c r="L51" s="40"/>
      <c r="M51" s="40"/>
      <c r="N51" s="1070"/>
      <c r="O51" s="1070"/>
      <c r="P51" s="1070"/>
      <c r="Q51" s="1070"/>
      <c r="R51" s="1070"/>
      <c r="S51" s="1070"/>
      <c r="U51" s="1069"/>
      <c r="V51" s="180"/>
      <c r="W51" s="180"/>
      <c r="X51" s="1070"/>
      <c r="Y51" s="1070"/>
      <c r="Z51" s="1070"/>
      <c r="AA51" s="1070"/>
      <c r="AB51" s="1070"/>
      <c r="AC51" s="1070"/>
      <c r="AE51" s="1069"/>
      <c r="AF51" s="180"/>
      <c r="AG51" s="180"/>
      <c r="AH51" s="1070"/>
      <c r="AI51" s="1070"/>
      <c r="AJ51" s="1070"/>
      <c r="AK51" s="1070"/>
      <c r="AL51" s="1070"/>
      <c r="AM51" s="1070"/>
    </row>
    <row r="52" spans="1:39" s="372" customFormat="1" ht="15.75" thickBot="1" x14ac:dyDescent="0.3">
      <c r="A52" s="42" t="s">
        <v>823</v>
      </c>
      <c r="B52" s="40"/>
      <c r="C52" s="40"/>
      <c r="D52" s="1070"/>
      <c r="E52" s="1070"/>
      <c r="F52" s="1070"/>
      <c r="G52" s="1070"/>
      <c r="H52" s="1070"/>
      <c r="I52" s="1070"/>
      <c r="K52" s="42" t="s">
        <v>846</v>
      </c>
      <c r="L52" s="40"/>
      <c r="M52" s="40"/>
      <c r="N52" s="1070"/>
      <c r="O52" s="1070"/>
      <c r="P52" s="1070"/>
      <c r="Q52" s="1070"/>
      <c r="R52" s="1070"/>
      <c r="S52" s="1070"/>
      <c r="U52" s="42" t="s">
        <v>847</v>
      </c>
      <c r="V52" s="40"/>
      <c r="W52" s="40"/>
      <c r="X52" s="1070"/>
      <c r="Y52" s="1070"/>
      <c r="Z52" s="1070"/>
      <c r="AA52" s="1070"/>
      <c r="AB52" s="1070"/>
      <c r="AC52" s="1070"/>
      <c r="AE52" s="1069"/>
      <c r="AF52" s="180"/>
      <c r="AG52" s="180"/>
      <c r="AH52" s="1070"/>
      <c r="AI52" s="1070"/>
      <c r="AJ52" s="1070"/>
      <c r="AK52" s="1070"/>
      <c r="AL52" s="1070"/>
      <c r="AM52" s="1070"/>
    </row>
    <row r="53" spans="1:39" s="372" customFormat="1" ht="15.75" thickBot="1" x14ac:dyDescent="0.3">
      <c r="A53" s="1130" t="s">
        <v>77</v>
      </c>
      <c r="B53" s="1073" t="s">
        <v>137</v>
      </c>
      <c r="C53" s="1073" t="s">
        <v>74</v>
      </c>
      <c r="D53" s="266">
        <f>Indata!D54</f>
        <v>171.96222222222224</v>
      </c>
      <c r="E53" s="266">
        <f>D53</f>
        <v>171.96222222222224</v>
      </c>
      <c r="F53" s="266">
        <f>D53</f>
        <v>171.96222222222224</v>
      </c>
      <c r="G53" s="266">
        <f>D53</f>
        <v>171.96222222222224</v>
      </c>
      <c r="H53" s="266">
        <f>D53</f>
        <v>171.96222222222224</v>
      </c>
      <c r="I53" s="266">
        <f>D53</f>
        <v>171.96222222222224</v>
      </c>
      <c r="K53" s="1130" t="s">
        <v>77</v>
      </c>
      <c r="L53" s="1073" t="s">
        <v>137</v>
      </c>
      <c r="M53" s="1073" t="s">
        <v>74</v>
      </c>
      <c r="N53" s="266">
        <f>Indata!D54*(1+Indata!D$70*Indata!D72)</f>
        <v>171.96222222222224</v>
      </c>
      <c r="O53" s="266">
        <f>Indata!E54*(1+Indata!E$70*Indata!E72)</f>
        <v>171.96222222222224</v>
      </c>
      <c r="P53" s="266">
        <f>Indata!F54*(1+Indata!F$70*Indata!F72)</f>
        <v>171.96222222222224</v>
      </c>
      <c r="Q53" s="266">
        <f>Indata!G54*(1+Indata!G$70*Indata!G72)</f>
        <v>171.96222222222224</v>
      </c>
      <c r="R53" s="266">
        <f>Indata!H54*(1+Indata!H$70*Indata!H72)</f>
        <v>171.96222222222224</v>
      </c>
      <c r="S53" s="266">
        <f>Indata!I54*(1+Indata!I$70*Indata!I72)</f>
        <v>171.96222222222224</v>
      </c>
      <c r="U53" s="1130" t="s">
        <v>77</v>
      </c>
      <c r="V53" s="1073" t="s">
        <v>137</v>
      </c>
      <c r="W53" s="1073" t="s">
        <v>74</v>
      </c>
      <c r="X53" s="266">
        <f>N53</f>
        <v>171.96222222222224</v>
      </c>
      <c r="Y53" s="266">
        <f t="shared" ref="Y53:AC53" si="118">O53</f>
        <v>171.96222222222224</v>
      </c>
      <c r="Z53" s="266">
        <f t="shared" si="118"/>
        <v>171.96222222222224</v>
      </c>
      <c r="AA53" s="266">
        <f t="shared" si="118"/>
        <v>171.96222222222224</v>
      </c>
      <c r="AB53" s="266">
        <f t="shared" si="118"/>
        <v>171.96222222222224</v>
      </c>
      <c r="AC53" s="266">
        <f t="shared" si="118"/>
        <v>171.96222222222224</v>
      </c>
      <c r="AE53" s="1130" t="s">
        <v>77</v>
      </c>
      <c r="AF53" s="1073" t="s">
        <v>137</v>
      </c>
      <c r="AG53" s="1073" t="s">
        <v>74</v>
      </c>
      <c r="AH53" s="266">
        <f>X53</f>
        <v>171.96222222222224</v>
      </c>
      <c r="AI53" s="266">
        <f t="shared" ref="AI53:AI56" si="119">Y53</f>
        <v>171.96222222222224</v>
      </c>
      <c r="AJ53" s="266">
        <f t="shared" ref="AJ53:AJ56" si="120">Z53</f>
        <v>171.96222222222224</v>
      </c>
      <c r="AK53" s="266">
        <f t="shared" ref="AK53:AK56" si="121">AA53</f>
        <v>171.96222222222224</v>
      </c>
      <c r="AL53" s="266">
        <f t="shared" ref="AL53:AL56" si="122">AB53</f>
        <v>171.96222222222224</v>
      </c>
      <c r="AM53" s="266">
        <f t="shared" ref="AM53:AM56" si="123">AC53</f>
        <v>171.96222222222224</v>
      </c>
    </row>
    <row r="54" spans="1:39" s="372" customFormat="1" ht="15.75" thickBot="1" x14ac:dyDescent="0.3">
      <c r="A54" s="1131"/>
      <c r="B54" s="1074" t="s">
        <v>138</v>
      </c>
      <c r="C54" s="1074" t="s">
        <v>74</v>
      </c>
      <c r="D54" s="266">
        <f>Indata!D55</f>
        <v>151.47333333333327</v>
      </c>
      <c r="E54" s="266">
        <f t="shared" ref="E54:E56" si="124">D54</f>
        <v>151.47333333333327</v>
      </c>
      <c r="F54" s="266">
        <f t="shared" ref="F54:F56" si="125">D54</f>
        <v>151.47333333333327</v>
      </c>
      <c r="G54" s="266">
        <f t="shared" ref="G54:G56" si="126">D54</f>
        <v>151.47333333333327</v>
      </c>
      <c r="H54" s="266">
        <f t="shared" ref="H54:H56" si="127">D54</f>
        <v>151.47333333333327</v>
      </c>
      <c r="I54" s="266">
        <f t="shared" ref="I54:I56" si="128">D54</f>
        <v>151.47333333333327</v>
      </c>
      <c r="K54" s="1131"/>
      <c r="L54" s="1074" t="s">
        <v>138</v>
      </c>
      <c r="M54" s="1074" t="s">
        <v>74</v>
      </c>
      <c r="N54" s="266">
        <f>Indata!D55*(1+Indata!D$70*Indata!D73)</f>
        <v>151.47333333333327</v>
      </c>
      <c r="O54" s="266">
        <f>Indata!E55*(1+Indata!E$70*Indata!E73)</f>
        <v>151.47333333333327</v>
      </c>
      <c r="P54" s="266">
        <f>Indata!F55*(1+Indata!F$70*Indata!F73)</f>
        <v>151.47333333333327</v>
      </c>
      <c r="Q54" s="266">
        <f>Indata!G55*(1+Indata!G$70*Indata!G73)</f>
        <v>151.47333333333327</v>
      </c>
      <c r="R54" s="266">
        <f>Indata!H55*(1+Indata!H$70*Indata!H73)</f>
        <v>151.47333333333327</v>
      </c>
      <c r="S54" s="266">
        <f>Indata!I55*(1+Indata!I$70*Indata!I73)</f>
        <v>151.47333333333327</v>
      </c>
      <c r="U54" s="1131"/>
      <c r="V54" s="1074" t="s">
        <v>138</v>
      </c>
      <c r="W54" s="1074" t="s">
        <v>74</v>
      </c>
      <c r="X54" s="266">
        <f t="shared" ref="X54:X56" si="129">N54</f>
        <v>151.47333333333327</v>
      </c>
      <c r="Y54" s="266">
        <f t="shared" ref="Y54:Y56" si="130">O54</f>
        <v>151.47333333333327</v>
      </c>
      <c r="Z54" s="266">
        <f t="shared" ref="Z54:Z56" si="131">P54</f>
        <v>151.47333333333327</v>
      </c>
      <c r="AA54" s="266">
        <f t="shared" ref="AA54:AA56" si="132">Q54</f>
        <v>151.47333333333327</v>
      </c>
      <c r="AB54" s="266">
        <f t="shared" ref="AB54:AB56" si="133">R54</f>
        <v>151.47333333333327</v>
      </c>
      <c r="AC54" s="266">
        <f t="shared" ref="AC54:AC56" si="134">S54</f>
        <v>151.47333333333327</v>
      </c>
      <c r="AE54" s="1131"/>
      <c r="AF54" s="1074" t="s">
        <v>138</v>
      </c>
      <c r="AG54" s="1074" t="s">
        <v>74</v>
      </c>
      <c r="AH54" s="266">
        <f t="shared" ref="AH54:AH56" si="135">X54</f>
        <v>151.47333333333327</v>
      </c>
      <c r="AI54" s="266">
        <f t="shared" si="119"/>
        <v>151.47333333333327</v>
      </c>
      <c r="AJ54" s="266">
        <f t="shared" si="120"/>
        <v>151.47333333333327</v>
      </c>
      <c r="AK54" s="266">
        <f t="shared" si="121"/>
        <v>151.47333333333327</v>
      </c>
      <c r="AL54" s="266">
        <f t="shared" si="122"/>
        <v>151.47333333333327</v>
      </c>
      <c r="AM54" s="266">
        <f t="shared" si="123"/>
        <v>151.47333333333327</v>
      </c>
    </row>
    <row r="55" spans="1:39" s="372" customFormat="1" ht="15.75" thickBot="1" x14ac:dyDescent="0.3">
      <c r="A55" s="1131"/>
      <c r="B55" s="1074" t="s">
        <v>139</v>
      </c>
      <c r="C55" s="1074" t="s">
        <v>74</v>
      </c>
      <c r="D55" s="266">
        <f>Indata!D56</f>
        <v>131.61270986021509</v>
      </c>
      <c r="E55" s="266">
        <f t="shared" si="124"/>
        <v>131.61270986021509</v>
      </c>
      <c r="F55" s="266">
        <f t="shared" si="125"/>
        <v>131.61270986021509</v>
      </c>
      <c r="G55" s="266">
        <f t="shared" si="126"/>
        <v>131.61270986021509</v>
      </c>
      <c r="H55" s="266">
        <f t="shared" si="127"/>
        <v>131.61270986021509</v>
      </c>
      <c r="I55" s="266">
        <f t="shared" si="128"/>
        <v>131.61270986021509</v>
      </c>
      <c r="K55" s="1131"/>
      <c r="L55" s="1074" t="s">
        <v>139</v>
      </c>
      <c r="M55" s="1074" t="s">
        <v>74</v>
      </c>
      <c r="N55" s="266">
        <f>Indata!D56*(1+Indata!D$70*Indata!D74)</f>
        <v>131.61270986021509</v>
      </c>
      <c r="O55" s="266">
        <f>Indata!E56*(1+Indata!E$70*Indata!E74)</f>
        <v>131.61270986021509</v>
      </c>
      <c r="P55" s="266">
        <f>Indata!F56*(1+Indata!F$70*Indata!F74)</f>
        <v>131.61270986021509</v>
      </c>
      <c r="Q55" s="266">
        <f>Indata!G56*(1+Indata!G$70*Indata!G74)</f>
        <v>131.61270986021509</v>
      </c>
      <c r="R55" s="266">
        <f>Indata!H56*(1+Indata!H$70*Indata!H74)</f>
        <v>131.61270986021509</v>
      </c>
      <c r="S55" s="266">
        <f>Indata!I56*(1+Indata!I$70*Indata!I74)</f>
        <v>131.61270986021509</v>
      </c>
      <c r="U55" s="1131"/>
      <c r="V55" s="1074" t="s">
        <v>139</v>
      </c>
      <c r="W55" s="1074" t="s">
        <v>74</v>
      </c>
      <c r="X55" s="266">
        <f t="shared" si="129"/>
        <v>131.61270986021509</v>
      </c>
      <c r="Y55" s="266">
        <f t="shared" si="130"/>
        <v>131.61270986021509</v>
      </c>
      <c r="Z55" s="266">
        <f t="shared" si="131"/>
        <v>131.61270986021509</v>
      </c>
      <c r="AA55" s="266">
        <f t="shared" si="132"/>
        <v>131.61270986021509</v>
      </c>
      <c r="AB55" s="266">
        <f t="shared" si="133"/>
        <v>131.61270986021509</v>
      </c>
      <c r="AC55" s="266">
        <f t="shared" si="134"/>
        <v>131.61270986021509</v>
      </c>
      <c r="AE55" s="1131"/>
      <c r="AF55" s="1074" t="s">
        <v>139</v>
      </c>
      <c r="AG55" s="1074" t="s">
        <v>74</v>
      </c>
      <c r="AH55" s="266">
        <f t="shared" si="135"/>
        <v>131.61270986021509</v>
      </c>
      <c r="AI55" s="266">
        <f t="shared" si="119"/>
        <v>131.61270986021509</v>
      </c>
      <c r="AJ55" s="266">
        <f t="shared" si="120"/>
        <v>131.61270986021509</v>
      </c>
      <c r="AK55" s="266">
        <f t="shared" si="121"/>
        <v>131.61270986021509</v>
      </c>
      <c r="AL55" s="266">
        <f t="shared" si="122"/>
        <v>131.61270986021509</v>
      </c>
      <c r="AM55" s="266">
        <f t="shared" si="123"/>
        <v>131.61270986021509</v>
      </c>
    </row>
    <row r="56" spans="1:39" s="372" customFormat="1" x14ac:dyDescent="0.25">
      <c r="A56" s="1131"/>
      <c r="B56" s="1074" t="s">
        <v>140</v>
      </c>
      <c r="C56" s="1074" t="s">
        <v>74</v>
      </c>
      <c r="D56" s="266">
        <f>Indata!D57</f>
        <v>138.28043235708435</v>
      </c>
      <c r="E56" s="266">
        <f t="shared" si="124"/>
        <v>138.28043235708435</v>
      </c>
      <c r="F56" s="266">
        <f t="shared" si="125"/>
        <v>138.28043235708435</v>
      </c>
      <c r="G56" s="266">
        <f t="shared" si="126"/>
        <v>138.28043235708435</v>
      </c>
      <c r="H56" s="266">
        <f t="shared" si="127"/>
        <v>138.28043235708435</v>
      </c>
      <c r="I56" s="266">
        <f t="shared" si="128"/>
        <v>138.28043235708435</v>
      </c>
      <c r="K56" s="1131"/>
      <c r="L56" s="1074" t="s">
        <v>140</v>
      </c>
      <c r="M56" s="1074" t="s">
        <v>74</v>
      </c>
      <c r="N56" s="266">
        <f>Indata!D57*(1+Indata!D$70*Indata!D75)</f>
        <v>138.28043235708435</v>
      </c>
      <c r="O56" s="266">
        <f>Indata!E57*(1+Indata!E$70*Indata!E75)</f>
        <v>138.28043235708435</v>
      </c>
      <c r="P56" s="266">
        <f>Indata!F57*(1+Indata!F$70*Indata!F75)</f>
        <v>138.28043235708435</v>
      </c>
      <c r="Q56" s="266">
        <f>Indata!G57*(1+Indata!G$70*Indata!G75)</f>
        <v>138.28043235708435</v>
      </c>
      <c r="R56" s="266">
        <f>Indata!H57*(1+Indata!H$70*Indata!H75)</f>
        <v>138.28043235708435</v>
      </c>
      <c r="S56" s="266">
        <f>Indata!I57*(1+Indata!I$70*Indata!I75)</f>
        <v>138.28043235708435</v>
      </c>
      <c r="U56" s="1131"/>
      <c r="V56" s="1074" t="s">
        <v>140</v>
      </c>
      <c r="W56" s="1074" t="s">
        <v>74</v>
      </c>
      <c r="X56" s="266">
        <f t="shared" si="129"/>
        <v>138.28043235708435</v>
      </c>
      <c r="Y56" s="266">
        <f t="shared" si="130"/>
        <v>138.28043235708435</v>
      </c>
      <c r="Z56" s="266">
        <f t="shared" si="131"/>
        <v>138.28043235708435</v>
      </c>
      <c r="AA56" s="266">
        <f t="shared" si="132"/>
        <v>138.28043235708435</v>
      </c>
      <c r="AB56" s="266">
        <f t="shared" si="133"/>
        <v>138.28043235708435</v>
      </c>
      <c r="AC56" s="266">
        <f t="shared" si="134"/>
        <v>138.28043235708435</v>
      </c>
      <c r="AE56" s="1131"/>
      <c r="AF56" s="1074" t="s">
        <v>140</v>
      </c>
      <c r="AG56" s="1074" t="s">
        <v>74</v>
      </c>
      <c r="AH56" s="266">
        <f t="shared" si="135"/>
        <v>138.28043235708435</v>
      </c>
      <c r="AI56" s="266">
        <f t="shared" si="119"/>
        <v>138.28043235708435</v>
      </c>
      <c r="AJ56" s="266">
        <f t="shared" si="120"/>
        <v>138.28043235708435</v>
      </c>
      <c r="AK56" s="266">
        <f t="shared" si="121"/>
        <v>138.28043235708435</v>
      </c>
      <c r="AL56" s="266">
        <f t="shared" si="122"/>
        <v>138.28043235708435</v>
      </c>
      <c r="AM56" s="266">
        <f t="shared" si="123"/>
        <v>138.28043235708435</v>
      </c>
    </row>
    <row r="57" spans="1:39" s="372" customFormat="1" ht="15.75" thickBot="1" x14ac:dyDescent="0.3">
      <c r="A57" s="1131"/>
      <c r="B57" s="1075" t="s">
        <v>188</v>
      </c>
      <c r="C57" s="1075" t="s">
        <v>74</v>
      </c>
      <c r="D57" s="263">
        <f>SUMPRODUCT(D53:D56,D36:D39)/D40</f>
        <v>137.66788366685776</v>
      </c>
      <c r="E57" s="263">
        <f t="shared" ref="E57:I57" si="136">SUMPRODUCT(E53:E56,E36:E39)/E40</f>
        <v>137.02532162373504</v>
      </c>
      <c r="F57" s="263">
        <f t="shared" si="136"/>
        <v>137.66788366685776</v>
      </c>
      <c r="G57" s="263">
        <f t="shared" si="136"/>
        <v>137.02532162373504</v>
      </c>
      <c r="H57" s="263">
        <f t="shared" si="136"/>
        <v>137.66788366685776</v>
      </c>
      <c r="I57" s="263">
        <f t="shared" si="136"/>
        <v>137.02532162373504</v>
      </c>
      <c r="K57" s="1131"/>
      <c r="L57" s="1075" t="s">
        <v>188</v>
      </c>
      <c r="M57" s="1075" t="s">
        <v>74</v>
      </c>
      <c r="N57" s="263">
        <f>SUMPRODUCT(N53:N56,N36:N39)/N40</f>
        <v>137.66788366685776</v>
      </c>
      <c r="O57" s="263">
        <f t="shared" ref="O57" si="137">SUMPRODUCT(O53:O56,O36:O39)/O40</f>
        <v>137.02532162373504</v>
      </c>
      <c r="P57" s="263">
        <f t="shared" ref="P57" si="138">SUMPRODUCT(P53:P56,P36:P39)/P40</f>
        <v>137.66788366685776</v>
      </c>
      <c r="Q57" s="263">
        <f t="shared" ref="Q57" si="139">SUMPRODUCT(Q53:Q56,Q36:Q39)/Q40</f>
        <v>137.02532162373504</v>
      </c>
      <c r="R57" s="263">
        <f t="shared" ref="R57" si="140">SUMPRODUCT(R53:R56,R36:R39)/R40</f>
        <v>137.66788366685776</v>
      </c>
      <c r="S57" s="263">
        <f t="shared" ref="S57" si="141">SUMPRODUCT(S53:S56,S36:S39)/S40</f>
        <v>137.02532162373504</v>
      </c>
      <c r="U57" s="1131"/>
      <c r="V57" s="1075" t="s">
        <v>188</v>
      </c>
      <c r="W57" s="1075" t="s">
        <v>74</v>
      </c>
      <c r="X57" s="263">
        <f>SUMPRODUCT(X53:X56,X36:X39)/X40</f>
        <v>137.66788366685776</v>
      </c>
      <c r="Y57" s="263">
        <f t="shared" ref="Y57:AC57" si="142">SUMPRODUCT(Y53:Y56,Y36:Y39)/Y40</f>
        <v>137.02532162373501</v>
      </c>
      <c r="Z57" s="263">
        <f t="shared" si="142"/>
        <v>137.66788366685776</v>
      </c>
      <c r="AA57" s="263">
        <f t="shared" si="142"/>
        <v>137.02532162373501</v>
      </c>
      <c r="AB57" s="263">
        <f t="shared" si="142"/>
        <v>137.66788366685776</v>
      </c>
      <c r="AC57" s="263">
        <f t="shared" si="142"/>
        <v>137.02532162373501</v>
      </c>
      <c r="AE57" s="1131"/>
      <c r="AF57" s="1075" t="s">
        <v>188</v>
      </c>
      <c r="AG57" s="1075" t="s">
        <v>74</v>
      </c>
      <c r="AH57" s="263">
        <f>SUMPRODUCT(AH53:AH56,AH36:AH39)/AH40</f>
        <v>137.66788366685776</v>
      </c>
      <c r="AI57" s="263">
        <f t="shared" ref="AI57:AM57" si="143">SUMPRODUCT(AI53:AI56,AI36:AI39)/AI40</f>
        <v>137.02532162373504</v>
      </c>
      <c r="AJ57" s="263">
        <f t="shared" si="143"/>
        <v>137.66788366685776</v>
      </c>
      <c r="AK57" s="263">
        <f t="shared" si="143"/>
        <v>137.02532162373504</v>
      </c>
      <c r="AL57" s="263">
        <f t="shared" si="143"/>
        <v>137.66788366685776</v>
      </c>
      <c r="AM57" s="263">
        <f t="shared" si="143"/>
        <v>137.02532162373504</v>
      </c>
    </row>
    <row r="58" spans="1:39" s="372" customFormat="1" ht="15.75" thickBot="1" x14ac:dyDescent="0.3">
      <c r="A58" s="1131"/>
      <c r="B58" s="1074" t="s">
        <v>142</v>
      </c>
      <c r="C58" s="1074" t="s">
        <v>74</v>
      </c>
      <c r="D58" s="267">
        <f>Indata!D54</f>
        <v>171.96222222222224</v>
      </c>
      <c r="E58" s="266">
        <f>D58</f>
        <v>171.96222222222224</v>
      </c>
      <c r="F58" s="266">
        <f>D58</f>
        <v>171.96222222222224</v>
      </c>
      <c r="G58" s="266">
        <f>D58</f>
        <v>171.96222222222224</v>
      </c>
      <c r="H58" s="266">
        <f>D58</f>
        <v>171.96222222222224</v>
      </c>
      <c r="I58" s="266">
        <f>D58</f>
        <v>171.96222222222224</v>
      </c>
      <c r="K58" s="1131"/>
      <c r="L58" s="1074" t="s">
        <v>142</v>
      </c>
      <c r="M58" s="1074" t="s">
        <v>74</v>
      </c>
      <c r="N58" s="267">
        <f>Indata!D54*(1+Indata!D$70*Indata!D72)</f>
        <v>171.96222222222224</v>
      </c>
      <c r="O58" s="267">
        <f>Indata!E54*(1+Indata!E$70*Indata!E72)</f>
        <v>171.96222222222224</v>
      </c>
      <c r="P58" s="267">
        <f>Indata!F54*(1+Indata!F$70*Indata!F72)</f>
        <v>171.96222222222224</v>
      </c>
      <c r="Q58" s="267">
        <f>Indata!G54*(1+Indata!G$70*Indata!G72)</f>
        <v>171.96222222222224</v>
      </c>
      <c r="R58" s="267">
        <f>Indata!H54*(1+Indata!H$70*Indata!H72)</f>
        <v>171.96222222222224</v>
      </c>
      <c r="S58" s="267">
        <f>Indata!I54*(1+Indata!I$70*Indata!I72)</f>
        <v>171.96222222222224</v>
      </c>
      <c r="U58" s="1131"/>
      <c r="V58" s="1074" t="s">
        <v>142</v>
      </c>
      <c r="W58" s="1074" t="s">
        <v>74</v>
      </c>
      <c r="X58" s="266">
        <f>N58</f>
        <v>171.96222222222224</v>
      </c>
      <c r="Y58" s="266">
        <f t="shared" ref="Y58:Y61" si="144">O58</f>
        <v>171.96222222222224</v>
      </c>
      <c r="Z58" s="266">
        <f t="shared" ref="Z58:Z61" si="145">P58</f>
        <v>171.96222222222224</v>
      </c>
      <c r="AA58" s="266">
        <f t="shared" ref="AA58:AA61" si="146">Q58</f>
        <v>171.96222222222224</v>
      </c>
      <c r="AB58" s="266">
        <f t="shared" ref="AB58:AB61" si="147">R58</f>
        <v>171.96222222222224</v>
      </c>
      <c r="AC58" s="266">
        <f t="shared" ref="AC58:AC61" si="148">S58</f>
        <v>171.96222222222224</v>
      </c>
      <c r="AE58" s="1131"/>
      <c r="AF58" s="1074" t="s">
        <v>142</v>
      </c>
      <c r="AG58" s="1074" t="s">
        <v>74</v>
      </c>
      <c r="AH58" s="266">
        <f>X58</f>
        <v>171.96222222222224</v>
      </c>
      <c r="AI58" s="266">
        <f t="shared" ref="AI58:AI61" si="149">Y58</f>
        <v>171.96222222222224</v>
      </c>
      <c r="AJ58" s="266">
        <f t="shared" ref="AJ58:AJ61" si="150">Z58</f>
        <v>171.96222222222224</v>
      </c>
      <c r="AK58" s="266">
        <f t="shared" ref="AK58:AK61" si="151">AA58</f>
        <v>171.96222222222224</v>
      </c>
      <c r="AL58" s="266">
        <f t="shared" ref="AL58:AL61" si="152">AB58</f>
        <v>171.96222222222224</v>
      </c>
      <c r="AM58" s="266">
        <f t="shared" ref="AM58:AM61" si="153">AC58</f>
        <v>171.96222222222224</v>
      </c>
    </row>
    <row r="59" spans="1:39" s="372" customFormat="1" ht="15.75" thickBot="1" x14ac:dyDescent="0.3">
      <c r="A59" s="1131"/>
      <c r="B59" s="1074" t="s">
        <v>143</v>
      </c>
      <c r="C59" s="1074" t="s">
        <v>74</v>
      </c>
      <c r="D59" s="267">
        <f>Indata!D55</f>
        <v>151.47333333333327</v>
      </c>
      <c r="E59" s="266">
        <f t="shared" ref="E59:E61" si="154">D59</f>
        <v>151.47333333333327</v>
      </c>
      <c r="F59" s="266">
        <f t="shared" ref="F59:F61" si="155">D59</f>
        <v>151.47333333333327</v>
      </c>
      <c r="G59" s="266">
        <f t="shared" ref="G59:G61" si="156">D59</f>
        <v>151.47333333333327</v>
      </c>
      <c r="H59" s="266">
        <f t="shared" ref="H59:H61" si="157">D59</f>
        <v>151.47333333333327</v>
      </c>
      <c r="I59" s="266">
        <f t="shared" ref="I59:I61" si="158">D59</f>
        <v>151.47333333333327</v>
      </c>
      <c r="K59" s="1131"/>
      <c r="L59" s="1074" t="s">
        <v>143</v>
      </c>
      <c r="M59" s="1074" t="s">
        <v>74</v>
      </c>
      <c r="N59" s="267">
        <f>Indata!D55*(1+Indata!D$70*Indata!D73)</f>
        <v>151.47333333333327</v>
      </c>
      <c r="O59" s="267">
        <f>Indata!E55*(1+Indata!E$70*Indata!E73)</f>
        <v>151.47333333333327</v>
      </c>
      <c r="P59" s="267">
        <f>Indata!F55*(1+Indata!F$70*Indata!F73)</f>
        <v>151.47333333333327</v>
      </c>
      <c r="Q59" s="267">
        <f>Indata!G55*(1+Indata!G$70*Indata!G73)</f>
        <v>151.47333333333327</v>
      </c>
      <c r="R59" s="267">
        <f>Indata!H55*(1+Indata!H$70*Indata!H73)</f>
        <v>151.47333333333327</v>
      </c>
      <c r="S59" s="267">
        <f>Indata!I55*(1+Indata!I$70*Indata!I73)</f>
        <v>151.47333333333327</v>
      </c>
      <c r="U59" s="1131"/>
      <c r="V59" s="1074" t="s">
        <v>143</v>
      </c>
      <c r="W59" s="1074" t="s">
        <v>74</v>
      </c>
      <c r="X59" s="266">
        <f t="shared" ref="X59:X61" si="159">N59</f>
        <v>151.47333333333327</v>
      </c>
      <c r="Y59" s="266">
        <f t="shared" si="144"/>
        <v>151.47333333333327</v>
      </c>
      <c r="Z59" s="266">
        <f t="shared" si="145"/>
        <v>151.47333333333327</v>
      </c>
      <c r="AA59" s="266">
        <f t="shared" si="146"/>
        <v>151.47333333333327</v>
      </c>
      <c r="AB59" s="266">
        <f t="shared" si="147"/>
        <v>151.47333333333327</v>
      </c>
      <c r="AC59" s="266">
        <f t="shared" si="148"/>
        <v>151.47333333333327</v>
      </c>
      <c r="AE59" s="1131"/>
      <c r="AF59" s="1074" t="s">
        <v>143</v>
      </c>
      <c r="AG59" s="1074" t="s">
        <v>74</v>
      </c>
      <c r="AH59" s="266">
        <f t="shared" ref="AH59:AH61" si="160">X59</f>
        <v>151.47333333333327</v>
      </c>
      <c r="AI59" s="266">
        <f t="shared" si="149"/>
        <v>151.47333333333327</v>
      </c>
      <c r="AJ59" s="266">
        <f t="shared" si="150"/>
        <v>151.47333333333327</v>
      </c>
      <c r="AK59" s="266">
        <f t="shared" si="151"/>
        <v>151.47333333333327</v>
      </c>
      <c r="AL59" s="266">
        <f t="shared" si="152"/>
        <v>151.47333333333327</v>
      </c>
      <c r="AM59" s="266">
        <f t="shared" si="153"/>
        <v>151.47333333333327</v>
      </c>
    </row>
    <row r="60" spans="1:39" s="372" customFormat="1" ht="15.75" thickBot="1" x14ac:dyDescent="0.3">
      <c r="A60" s="1131"/>
      <c r="B60" s="1074" t="s">
        <v>144</v>
      </c>
      <c r="C60" s="1074" t="s">
        <v>74</v>
      </c>
      <c r="D60" s="267">
        <f>Indata!D56</f>
        <v>131.61270986021509</v>
      </c>
      <c r="E60" s="266">
        <f t="shared" si="154"/>
        <v>131.61270986021509</v>
      </c>
      <c r="F60" s="266">
        <f t="shared" si="155"/>
        <v>131.61270986021509</v>
      </c>
      <c r="G60" s="266">
        <f t="shared" si="156"/>
        <v>131.61270986021509</v>
      </c>
      <c r="H60" s="266">
        <f t="shared" si="157"/>
        <v>131.61270986021509</v>
      </c>
      <c r="I60" s="266">
        <f t="shared" si="158"/>
        <v>131.61270986021509</v>
      </c>
      <c r="K60" s="1131"/>
      <c r="L60" s="1074" t="s">
        <v>144</v>
      </c>
      <c r="M60" s="1074" t="s">
        <v>74</v>
      </c>
      <c r="N60" s="267">
        <f>Indata!D56*(1+Indata!D$70*Indata!D74)</f>
        <v>131.61270986021509</v>
      </c>
      <c r="O60" s="267">
        <f>Indata!E56*(1+Indata!E$70*Indata!E74)</f>
        <v>131.61270986021509</v>
      </c>
      <c r="P60" s="267">
        <f>Indata!F56*(1+Indata!F$70*Indata!F74)</f>
        <v>131.61270986021509</v>
      </c>
      <c r="Q60" s="267">
        <f>Indata!G56*(1+Indata!G$70*Indata!G74)</f>
        <v>131.61270986021509</v>
      </c>
      <c r="R60" s="267">
        <f>Indata!H56*(1+Indata!H$70*Indata!H74)</f>
        <v>131.61270986021509</v>
      </c>
      <c r="S60" s="267">
        <f>Indata!I56*(1+Indata!I$70*Indata!I74)</f>
        <v>131.61270986021509</v>
      </c>
      <c r="U60" s="1131"/>
      <c r="V60" s="1074" t="s">
        <v>144</v>
      </c>
      <c r="W60" s="1074" t="s">
        <v>74</v>
      </c>
      <c r="X60" s="266">
        <f t="shared" si="159"/>
        <v>131.61270986021509</v>
      </c>
      <c r="Y60" s="266">
        <f t="shared" si="144"/>
        <v>131.61270986021509</v>
      </c>
      <c r="Z60" s="266">
        <f t="shared" si="145"/>
        <v>131.61270986021509</v>
      </c>
      <c r="AA60" s="266">
        <f t="shared" si="146"/>
        <v>131.61270986021509</v>
      </c>
      <c r="AB60" s="266">
        <f t="shared" si="147"/>
        <v>131.61270986021509</v>
      </c>
      <c r="AC60" s="266">
        <f t="shared" si="148"/>
        <v>131.61270986021509</v>
      </c>
      <c r="AE60" s="1131"/>
      <c r="AF60" s="1074" t="s">
        <v>144</v>
      </c>
      <c r="AG60" s="1074" t="s">
        <v>74</v>
      </c>
      <c r="AH60" s="266">
        <f t="shared" si="160"/>
        <v>131.61270986021509</v>
      </c>
      <c r="AI60" s="266">
        <f t="shared" si="149"/>
        <v>131.61270986021509</v>
      </c>
      <c r="AJ60" s="266">
        <f t="shared" si="150"/>
        <v>131.61270986021509</v>
      </c>
      <c r="AK60" s="266">
        <f t="shared" si="151"/>
        <v>131.61270986021509</v>
      </c>
      <c r="AL60" s="266">
        <f t="shared" si="152"/>
        <v>131.61270986021509</v>
      </c>
      <c r="AM60" s="266">
        <f t="shared" si="153"/>
        <v>131.61270986021509</v>
      </c>
    </row>
    <row r="61" spans="1:39" s="372" customFormat="1" x14ac:dyDescent="0.25">
      <c r="A61" s="1131"/>
      <c r="B61" s="1074" t="s">
        <v>145</v>
      </c>
      <c r="C61" s="1074" t="s">
        <v>74</v>
      </c>
      <c r="D61" s="267">
        <f>Indata!D57</f>
        <v>138.28043235708435</v>
      </c>
      <c r="E61" s="266">
        <f t="shared" si="154"/>
        <v>138.28043235708435</v>
      </c>
      <c r="F61" s="266">
        <f t="shared" si="155"/>
        <v>138.28043235708435</v>
      </c>
      <c r="G61" s="266">
        <f t="shared" si="156"/>
        <v>138.28043235708435</v>
      </c>
      <c r="H61" s="266">
        <f t="shared" si="157"/>
        <v>138.28043235708435</v>
      </c>
      <c r="I61" s="266">
        <f t="shared" si="158"/>
        <v>138.28043235708435</v>
      </c>
      <c r="K61" s="1131"/>
      <c r="L61" s="1074" t="s">
        <v>145</v>
      </c>
      <c r="M61" s="1074" t="s">
        <v>74</v>
      </c>
      <c r="N61" s="267">
        <f>Indata!D57*(1+Indata!D$70*Indata!D75)</f>
        <v>138.28043235708435</v>
      </c>
      <c r="O61" s="267">
        <f>Indata!E57*(1+Indata!E$70*Indata!E75)</f>
        <v>138.28043235708435</v>
      </c>
      <c r="P61" s="267">
        <f>Indata!F57*(1+Indata!F$70*Indata!F75)</f>
        <v>138.28043235708435</v>
      </c>
      <c r="Q61" s="267">
        <f>Indata!G57*(1+Indata!G$70*Indata!G75)</f>
        <v>138.28043235708435</v>
      </c>
      <c r="R61" s="267">
        <f>Indata!H57*(1+Indata!H$70*Indata!H75)</f>
        <v>138.28043235708435</v>
      </c>
      <c r="S61" s="267">
        <f>Indata!I57*(1+Indata!I$70*Indata!I75)</f>
        <v>138.28043235708435</v>
      </c>
      <c r="U61" s="1131"/>
      <c r="V61" s="1074" t="s">
        <v>145</v>
      </c>
      <c r="W61" s="1074" t="s">
        <v>74</v>
      </c>
      <c r="X61" s="266">
        <f t="shared" si="159"/>
        <v>138.28043235708435</v>
      </c>
      <c r="Y61" s="266">
        <f t="shared" si="144"/>
        <v>138.28043235708435</v>
      </c>
      <c r="Z61" s="266">
        <f t="shared" si="145"/>
        <v>138.28043235708435</v>
      </c>
      <c r="AA61" s="266">
        <f t="shared" si="146"/>
        <v>138.28043235708435</v>
      </c>
      <c r="AB61" s="266">
        <f t="shared" si="147"/>
        <v>138.28043235708435</v>
      </c>
      <c r="AC61" s="266">
        <f t="shared" si="148"/>
        <v>138.28043235708435</v>
      </c>
      <c r="AE61" s="1131"/>
      <c r="AF61" s="1074" t="s">
        <v>145</v>
      </c>
      <c r="AG61" s="1074" t="s">
        <v>74</v>
      </c>
      <c r="AH61" s="266">
        <f t="shared" si="160"/>
        <v>138.28043235708435</v>
      </c>
      <c r="AI61" s="266">
        <f t="shared" si="149"/>
        <v>138.28043235708435</v>
      </c>
      <c r="AJ61" s="266">
        <f t="shared" si="150"/>
        <v>138.28043235708435</v>
      </c>
      <c r="AK61" s="266">
        <f t="shared" si="151"/>
        <v>138.28043235708435</v>
      </c>
      <c r="AL61" s="266">
        <f t="shared" si="152"/>
        <v>138.28043235708435</v>
      </c>
      <c r="AM61" s="266">
        <f t="shared" si="153"/>
        <v>138.28043235708435</v>
      </c>
    </row>
    <row r="62" spans="1:39" s="372" customFormat="1" x14ac:dyDescent="0.25">
      <c r="A62" s="1131"/>
      <c r="B62" s="1075" t="s">
        <v>189</v>
      </c>
      <c r="C62" s="1075" t="s">
        <v>74</v>
      </c>
      <c r="D62" s="263">
        <f>SUMPRODUCT(D58:D61,D41:D44)/D45</f>
        <v>145.41594298684637</v>
      </c>
      <c r="E62" s="263">
        <f t="shared" ref="E62:I62" si="161">SUMPRODUCT(E58:E61,E41:E44)/E45</f>
        <v>145.41594298684637</v>
      </c>
      <c r="F62" s="263">
        <f t="shared" si="161"/>
        <v>145.41594298684637</v>
      </c>
      <c r="G62" s="263">
        <f t="shared" si="161"/>
        <v>145.41594298684637</v>
      </c>
      <c r="H62" s="263">
        <f t="shared" si="161"/>
        <v>145.41594298684637</v>
      </c>
      <c r="I62" s="263">
        <f t="shared" si="161"/>
        <v>145.41594298684637</v>
      </c>
      <c r="K62" s="1131"/>
      <c r="L62" s="1075" t="s">
        <v>189</v>
      </c>
      <c r="M62" s="1075" t="s">
        <v>74</v>
      </c>
      <c r="N62" s="263">
        <f>SUMPRODUCT(N58:N61,N41:N44)/N45</f>
        <v>145.41594298684637</v>
      </c>
      <c r="O62" s="263">
        <f t="shared" ref="O62" si="162">SUMPRODUCT(O58:O61,O41:O44)/O45</f>
        <v>145.41594298684637</v>
      </c>
      <c r="P62" s="263">
        <f t="shared" ref="P62" si="163">SUMPRODUCT(P58:P61,P41:P44)/P45</f>
        <v>145.41594298684637</v>
      </c>
      <c r="Q62" s="263">
        <f t="shared" ref="Q62" si="164">SUMPRODUCT(Q58:Q61,Q41:Q44)/Q45</f>
        <v>145.41594298684637</v>
      </c>
      <c r="R62" s="263">
        <f t="shared" ref="R62" si="165">SUMPRODUCT(R58:R61,R41:R44)/R45</f>
        <v>145.41594298684637</v>
      </c>
      <c r="S62" s="263">
        <f t="shared" ref="S62" si="166">SUMPRODUCT(S58:S61,S41:S44)/S45</f>
        <v>145.41594298684637</v>
      </c>
      <c r="U62" s="1131"/>
      <c r="V62" s="1075" t="s">
        <v>189</v>
      </c>
      <c r="W62" s="1075" t="s">
        <v>74</v>
      </c>
      <c r="X62" s="263">
        <f>SUMPRODUCT(X58:X61,X41:X44)/X45</f>
        <v>145.41594298684637</v>
      </c>
      <c r="Y62" s="263">
        <f t="shared" ref="Y62:AC62" si="167">SUMPRODUCT(Y58:Y61,Y41:Y44)/Y45</f>
        <v>145.41594298684637</v>
      </c>
      <c r="Z62" s="263">
        <f t="shared" si="167"/>
        <v>145.41594298684637</v>
      </c>
      <c r="AA62" s="263">
        <f t="shared" si="167"/>
        <v>145.41594298684637</v>
      </c>
      <c r="AB62" s="263">
        <f t="shared" si="167"/>
        <v>145.41594298684637</v>
      </c>
      <c r="AC62" s="263">
        <f t="shared" si="167"/>
        <v>145.41594298684637</v>
      </c>
      <c r="AE62" s="1131"/>
      <c r="AF62" s="1075" t="s">
        <v>189</v>
      </c>
      <c r="AG62" s="1075" t="s">
        <v>74</v>
      </c>
      <c r="AH62" s="263">
        <f>SUMPRODUCT(AH58:AH61,AH41:AH44)/AH45</f>
        <v>145.41594298684637</v>
      </c>
      <c r="AI62" s="263">
        <f t="shared" ref="AI62:AM62" si="168">SUMPRODUCT(AI58:AI61,AI41:AI44)/AI45</f>
        <v>145.41594298684637</v>
      </c>
      <c r="AJ62" s="263">
        <f t="shared" si="168"/>
        <v>145.41594298684637</v>
      </c>
      <c r="AK62" s="263">
        <f t="shared" si="168"/>
        <v>145.41594298684637</v>
      </c>
      <c r="AL62" s="263">
        <f t="shared" si="168"/>
        <v>145.41594298684637</v>
      </c>
      <c r="AM62" s="263">
        <f t="shared" si="168"/>
        <v>145.41594298684637</v>
      </c>
    </row>
    <row r="63" spans="1:39" s="372" customFormat="1" x14ac:dyDescent="0.25">
      <c r="A63" s="1131"/>
      <c r="B63" s="1074" t="s">
        <v>165</v>
      </c>
      <c r="C63" s="1074" t="s">
        <v>74</v>
      </c>
      <c r="D63" s="267">
        <f>(1-D23)*D53+D23*D58</f>
        <v>171.96222222222224</v>
      </c>
      <c r="E63" s="267">
        <f t="shared" ref="E63:I63" si="169">(1-E23)*E53+E23*E58</f>
        <v>171.96222222222224</v>
      </c>
      <c r="F63" s="267">
        <f t="shared" si="169"/>
        <v>171.96222222222224</v>
      </c>
      <c r="G63" s="267">
        <f t="shared" si="169"/>
        <v>171.96222222222224</v>
      </c>
      <c r="H63" s="267">
        <f t="shared" si="169"/>
        <v>171.96222222222224</v>
      </c>
      <c r="I63" s="267">
        <f t="shared" si="169"/>
        <v>171.96222222222224</v>
      </c>
      <c r="K63" s="1131"/>
      <c r="L63" s="1074" t="s">
        <v>165</v>
      </c>
      <c r="M63" s="1074" t="s">
        <v>74</v>
      </c>
      <c r="N63" s="267">
        <f>(1-N23)*N53+N23*N58</f>
        <v>171.96222222222224</v>
      </c>
      <c r="O63" s="267">
        <f t="shared" ref="O63:S63" si="170">(1-O23)*O53+O23*O58</f>
        <v>171.96222222222224</v>
      </c>
      <c r="P63" s="267">
        <f t="shared" si="170"/>
        <v>171.96222222222224</v>
      </c>
      <c r="Q63" s="267">
        <f t="shared" si="170"/>
        <v>171.96222222222224</v>
      </c>
      <c r="R63" s="267">
        <f t="shared" si="170"/>
        <v>171.96222222222224</v>
      </c>
      <c r="S63" s="267">
        <f t="shared" si="170"/>
        <v>171.96222222222224</v>
      </c>
      <c r="U63" s="1131"/>
      <c r="V63" s="1074" t="s">
        <v>165</v>
      </c>
      <c r="W63" s="1074" t="s">
        <v>74</v>
      </c>
      <c r="X63" s="267">
        <f>(1-X23)*X53+X23*X58</f>
        <v>171.96222222222224</v>
      </c>
      <c r="Y63" s="267">
        <f t="shared" ref="Y63:AC63" si="171">(1-Y23)*Y53+Y23*Y58</f>
        <v>171.96222222222224</v>
      </c>
      <c r="Z63" s="267">
        <f t="shared" si="171"/>
        <v>171.96222222222224</v>
      </c>
      <c r="AA63" s="267">
        <f t="shared" si="171"/>
        <v>171.96222222222224</v>
      </c>
      <c r="AB63" s="267">
        <f t="shared" si="171"/>
        <v>171.96222222222224</v>
      </c>
      <c r="AC63" s="267">
        <f t="shared" si="171"/>
        <v>171.96222222222224</v>
      </c>
      <c r="AE63" s="1131"/>
      <c r="AF63" s="1074" t="s">
        <v>165</v>
      </c>
      <c r="AG63" s="1074" t="s">
        <v>74</v>
      </c>
      <c r="AH63" s="267">
        <f>(1-AH23)*AH53+AH23*AH58</f>
        <v>171.96222222222224</v>
      </c>
      <c r="AI63" s="267">
        <f t="shared" ref="AI63:AM63" si="172">(1-AI23)*AI53+AI23*AI58</f>
        <v>171.96222222222224</v>
      </c>
      <c r="AJ63" s="267">
        <f t="shared" si="172"/>
        <v>171.96222222222224</v>
      </c>
      <c r="AK63" s="267">
        <f t="shared" si="172"/>
        <v>171.96222222222224</v>
      </c>
      <c r="AL63" s="267">
        <f t="shared" si="172"/>
        <v>171.96222222222224</v>
      </c>
      <c r="AM63" s="267">
        <f t="shared" si="172"/>
        <v>171.96222222222224</v>
      </c>
    </row>
    <row r="64" spans="1:39" s="372" customFormat="1" x14ac:dyDescent="0.25">
      <c r="A64" s="1131"/>
      <c r="B64" s="1074" t="s">
        <v>166</v>
      </c>
      <c r="C64" s="1074" t="s">
        <v>74</v>
      </c>
      <c r="D64" s="267">
        <f t="shared" ref="D64:D66" si="173">(1-D24)*D54+D24*D59</f>
        <v>151.47333333333324</v>
      </c>
      <c r="E64" s="267">
        <f t="shared" ref="E64:I64" si="174">(1-E24)*E54+E24*E59</f>
        <v>151.47333333333327</v>
      </c>
      <c r="F64" s="267">
        <f t="shared" si="174"/>
        <v>151.47333333333324</v>
      </c>
      <c r="G64" s="267">
        <f t="shared" si="174"/>
        <v>151.47333333333327</v>
      </c>
      <c r="H64" s="267">
        <f t="shared" si="174"/>
        <v>151.47333333333324</v>
      </c>
      <c r="I64" s="267">
        <f t="shared" si="174"/>
        <v>151.47333333333327</v>
      </c>
      <c r="K64" s="1131"/>
      <c r="L64" s="1074" t="s">
        <v>166</v>
      </c>
      <c r="M64" s="1074" t="s">
        <v>74</v>
      </c>
      <c r="N64" s="267">
        <f t="shared" ref="N64:S64" si="175">(1-N24)*N54+N24*N59</f>
        <v>151.47333333333324</v>
      </c>
      <c r="O64" s="267">
        <f t="shared" si="175"/>
        <v>151.47333333333327</v>
      </c>
      <c r="P64" s="267">
        <f t="shared" si="175"/>
        <v>151.47333333333324</v>
      </c>
      <c r="Q64" s="267">
        <f t="shared" si="175"/>
        <v>151.47333333333327</v>
      </c>
      <c r="R64" s="267">
        <f t="shared" si="175"/>
        <v>151.47333333333324</v>
      </c>
      <c r="S64" s="267">
        <f t="shared" si="175"/>
        <v>151.47333333333327</v>
      </c>
      <c r="U64" s="1131"/>
      <c r="V64" s="1074" t="s">
        <v>166</v>
      </c>
      <c r="W64" s="1074" t="s">
        <v>74</v>
      </c>
      <c r="X64" s="267">
        <f t="shared" ref="X64:AC64" si="176">(1-X24)*X54+X24*X59</f>
        <v>151.47333333333324</v>
      </c>
      <c r="Y64" s="267">
        <f t="shared" si="176"/>
        <v>151.47333333333327</v>
      </c>
      <c r="Z64" s="267">
        <f t="shared" si="176"/>
        <v>151.47333333333324</v>
      </c>
      <c r="AA64" s="267">
        <f t="shared" si="176"/>
        <v>151.47333333333327</v>
      </c>
      <c r="AB64" s="267">
        <f t="shared" si="176"/>
        <v>151.47333333333324</v>
      </c>
      <c r="AC64" s="267">
        <f t="shared" si="176"/>
        <v>151.47333333333327</v>
      </c>
      <c r="AE64" s="1131"/>
      <c r="AF64" s="1074" t="s">
        <v>166</v>
      </c>
      <c r="AG64" s="1074" t="s">
        <v>74</v>
      </c>
      <c r="AH64" s="267">
        <f t="shared" ref="AH64:AM64" si="177">(1-AH24)*AH54+AH24*AH59</f>
        <v>151.47333333333324</v>
      </c>
      <c r="AI64" s="267">
        <f t="shared" si="177"/>
        <v>151.47333333333327</v>
      </c>
      <c r="AJ64" s="267">
        <f t="shared" si="177"/>
        <v>151.47333333333324</v>
      </c>
      <c r="AK64" s="267">
        <f t="shared" si="177"/>
        <v>151.47333333333327</v>
      </c>
      <c r="AL64" s="267">
        <f t="shared" si="177"/>
        <v>151.47333333333324</v>
      </c>
      <c r="AM64" s="267">
        <f t="shared" si="177"/>
        <v>151.47333333333327</v>
      </c>
    </row>
    <row r="65" spans="1:39" s="372" customFormat="1" x14ac:dyDescent="0.25">
      <c r="A65" s="1131"/>
      <c r="B65" s="1074" t="s">
        <v>167</v>
      </c>
      <c r="C65" s="1074" t="s">
        <v>74</v>
      </c>
      <c r="D65" s="267">
        <f t="shared" si="173"/>
        <v>131.61270986021509</v>
      </c>
      <c r="E65" s="267">
        <f t="shared" ref="E65:I65" si="178">(1-E25)*E55+E25*E60</f>
        <v>131.61270986021509</v>
      </c>
      <c r="F65" s="267">
        <f t="shared" si="178"/>
        <v>131.61270986021509</v>
      </c>
      <c r="G65" s="267">
        <f t="shared" si="178"/>
        <v>131.61270986021509</v>
      </c>
      <c r="H65" s="267">
        <f t="shared" si="178"/>
        <v>131.61270986021509</v>
      </c>
      <c r="I65" s="267">
        <f t="shared" si="178"/>
        <v>131.61270986021509</v>
      </c>
      <c r="K65" s="1131"/>
      <c r="L65" s="1074" t="s">
        <v>167</v>
      </c>
      <c r="M65" s="1074" t="s">
        <v>74</v>
      </c>
      <c r="N65" s="267">
        <f t="shared" ref="N65:S65" si="179">(1-N25)*N55+N25*N60</f>
        <v>131.61270986021509</v>
      </c>
      <c r="O65" s="267">
        <f t="shared" si="179"/>
        <v>131.61270986021509</v>
      </c>
      <c r="P65" s="267">
        <f t="shared" si="179"/>
        <v>131.61270986021509</v>
      </c>
      <c r="Q65" s="267">
        <f t="shared" si="179"/>
        <v>131.61270986021509</v>
      </c>
      <c r="R65" s="267">
        <f t="shared" si="179"/>
        <v>131.61270986021509</v>
      </c>
      <c r="S65" s="267">
        <f t="shared" si="179"/>
        <v>131.61270986021509</v>
      </c>
      <c r="U65" s="1131"/>
      <c r="V65" s="1074" t="s">
        <v>167</v>
      </c>
      <c r="W65" s="1074" t="s">
        <v>74</v>
      </c>
      <c r="X65" s="267">
        <f t="shared" ref="X65:AC65" si="180">(1-X25)*X55+X25*X60</f>
        <v>131.61270986021509</v>
      </c>
      <c r="Y65" s="267">
        <f t="shared" si="180"/>
        <v>131.61270986021509</v>
      </c>
      <c r="Z65" s="267">
        <f t="shared" si="180"/>
        <v>131.61270986021509</v>
      </c>
      <c r="AA65" s="267">
        <f t="shared" si="180"/>
        <v>131.61270986021509</v>
      </c>
      <c r="AB65" s="267">
        <f t="shared" si="180"/>
        <v>131.61270986021509</v>
      </c>
      <c r="AC65" s="267">
        <f t="shared" si="180"/>
        <v>131.61270986021509</v>
      </c>
      <c r="AE65" s="1131"/>
      <c r="AF65" s="1074" t="s">
        <v>167</v>
      </c>
      <c r="AG65" s="1074" t="s">
        <v>74</v>
      </c>
      <c r="AH65" s="267">
        <f t="shared" ref="AH65:AM65" si="181">(1-AH25)*AH55+AH25*AH60</f>
        <v>131.61270986021509</v>
      </c>
      <c r="AI65" s="267">
        <f t="shared" si="181"/>
        <v>131.61270986021509</v>
      </c>
      <c r="AJ65" s="267">
        <f t="shared" si="181"/>
        <v>131.61270986021509</v>
      </c>
      <c r="AK65" s="267">
        <f t="shared" si="181"/>
        <v>131.61270986021509</v>
      </c>
      <c r="AL65" s="267">
        <f t="shared" si="181"/>
        <v>131.61270986021509</v>
      </c>
      <c r="AM65" s="267">
        <f t="shared" si="181"/>
        <v>131.61270986021509</v>
      </c>
    </row>
    <row r="66" spans="1:39" s="372" customFormat="1" x14ac:dyDescent="0.25">
      <c r="A66" s="1131"/>
      <c r="B66" s="1074" t="s">
        <v>168</v>
      </c>
      <c r="C66" s="1074" t="s">
        <v>74</v>
      </c>
      <c r="D66" s="267">
        <f t="shared" si="173"/>
        <v>138.28043235708435</v>
      </c>
      <c r="E66" s="267">
        <f t="shared" ref="E66:I66" si="182">(1-E26)*E56+E26*E61</f>
        <v>138.28043235708435</v>
      </c>
      <c r="F66" s="267">
        <f t="shared" si="182"/>
        <v>138.28043235708435</v>
      </c>
      <c r="G66" s="267">
        <f t="shared" si="182"/>
        <v>138.28043235708435</v>
      </c>
      <c r="H66" s="267">
        <f t="shared" si="182"/>
        <v>138.28043235708435</v>
      </c>
      <c r="I66" s="267">
        <f t="shared" si="182"/>
        <v>138.28043235708435</v>
      </c>
      <c r="K66" s="1131"/>
      <c r="L66" s="1074" t="s">
        <v>168</v>
      </c>
      <c r="M66" s="1074" t="s">
        <v>74</v>
      </c>
      <c r="N66" s="267">
        <f t="shared" ref="N66:S66" si="183">(1-N26)*N56+N26*N61</f>
        <v>138.28043235708435</v>
      </c>
      <c r="O66" s="267">
        <f t="shared" si="183"/>
        <v>138.28043235708435</v>
      </c>
      <c r="P66" s="267">
        <f t="shared" si="183"/>
        <v>138.28043235708435</v>
      </c>
      <c r="Q66" s="267">
        <f t="shared" si="183"/>
        <v>138.28043235708435</v>
      </c>
      <c r="R66" s="267">
        <f t="shared" si="183"/>
        <v>138.28043235708435</v>
      </c>
      <c r="S66" s="267">
        <f t="shared" si="183"/>
        <v>138.28043235708435</v>
      </c>
      <c r="U66" s="1131"/>
      <c r="V66" s="1074" t="s">
        <v>168</v>
      </c>
      <c r="W66" s="1074" t="s">
        <v>74</v>
      </c>
      <c r="X66" s="267">
        <f t="shared" ref="X66:AC66" si="184">(1-X26)*X56+X26*X61</f>
        <v>138.28043235708435</v>
      </c>
      <c r="Y66" s="267">
        <f t="shared" si="184"/>
        <v>138.28043235708435</v>
      </c>
      <c r="Z66" s="267">
        <f t="shared" si="184"/>
        <v>138.28043235708435</v>
      </c>
      <c r="AA66" s="267">
        <f t="shared" si="184"/>
        <v>138.28043235708435</v>
      </c>
      <c r="AB66" s="267">
        <f t="shared" si="184"/>
        <v>138.28043235708435</v>
      </c>
      <c r="AC66" s="267">
        <f t="shared" si="184"/>
        <v>138.28043235708435</v>
      </c>
      <c r="AE66" s="1131"/>
      <c r="AF66" s="1074" t="s">
        <v>168</v>
      </c>
      <c r="AG66" s="1074" t="s">
        <v>74</v>
      </c>
      <c r="AH66" s="267">
        <f t="shared" ref="AH66:AM66" si="185">(1-AH26)*AH56+AH26*AH61</f>
        <v>138.28043235708435</v>
      </c>
      <c r="AI66" s="267">
        <f t="shared" si="185"/>
        <v>138.28043235708435</v>
      </c>
      <c r="AJ66" s="267">
        <f t="shared" si="185"/>
        <v>138.28043235708435</v>
      </c>
      <c r="AK66" s="267">
        <f t="shared" si="185"/>
        <v>138.28043235708435</v>
      </c>
      <c r="AL66" s="267">
        <f t="shared" si="185"/>
        <v>138.28043235708435</v>
      </c>
      <c r="AM66" s="267">
        <f t="shared" si="185"/>
        <v>138.28043235708435</v>
      </c>
    </row>
    <row r="67" spans="1:39" s="372" customFormat="1" x14ac:dyDescent="0.25">
      <c r="A67" s="1131"/>
      <c r="B67" s="1075" t="s">
        <v>190</v>
      </c>
      <c r="C67" s="1075" t="s">
        <v>74</v>
      </c>
      <c r="D67" s="191">
        <f>SUMPRODUCT(D63:D66,D46:D49)/D50</f>
        <v>137.86074516226122</v>
      </c>
      <c r="E67" s="191">
        <f t="shared" ref="E67:I67" si="186">SUMPRODUCT(E63:E66,E46:E49)/E50</f>
        <v>137.86074516226122</v>
      </c>
      <c r="F67" s="191">
        <f t="shared" si="186"/>
        <v>137.86074516226122</v>
      </c>
      <c r="G67" s="191">
        <f t="shared" si="186"/>
        <v>137.86074516226122</v>
      </c>
      <c r="H67" s="191">
        <f t="shared" si="186"/>
        <v>137.86074516226122</v>
      </c>
      <c r="I67" s="191">
        <f t="shared" si="186"/>
        <v>137.86074516226122</v>
      </c>
      <c r="K67" s="1131"/>
      <c r="L67" s="1075" t="s">
        <v>190</v>
      </c>
      <c r="M67" s="1075" t="s">
        <v>74</v>
      </c>
      <c r="N67" s="191">
        <f>SUMPRODUCT(N63:N66,N46:N49)/N50</f>
        <v>137.86074516226122</v>
      </c>
      <c r="O67" s="191">
        <f t="shared" ref="O67" si="187">SUMPRODUCT(O63:O66,O46:O49)/O50</f>
        <v>137.86074516226122</v>
      </c>
      <c r="P67" s="191">
        <f t="shared" ref="P67" si="188">SUMPRODUCT(P63:P66,P46:P49)/P50</f>
        <v>137.86074516226122</v>
      </c>
      <c r="Q67" s="191">
        <f t="shared" ref="Q67" si="189">SUMPRODUCT(Q63:Q66,Q46:Q49)/Q50</f>
        <v>137.86074516226122</v>
      </c>
      <c r="R67" s="191">
        <f t="shared" ref="R67" si="190">SUMPRODUCT(R63:R66,R46:R49)/R50</f>
        <v>137.86074516226122</v>
      </c>
      <c r="S67" s="191">
        <f t="shared" ref="S67" si="191">SUMPRODUCT(S63:S66,S46:S49)/S50</f>
        <v>137.86074516226122</v>
      </c>
      <c r="U67" s="1131"/>
      <c r="V67" s="1075" t="s">
        <v>190</v>
      </c>
      <c r="W67" s="1075" t="s">
        <v>74</v>
      </c>
      <c r="X67" s="191">
        <f>SUMPRODUCT(X63:X66,X46:X49)/X50</f>
        <v>137.86074516226122</v>
      </c>
      <c r="Y67" s="191">
        <f t="shared" ref="Y67:AC67" si="192">SUMPRODUCT(Y63:Y66,Y46:Y49)/Y50</f>
        <v>137.86074516226122</v>
      </c>
      <c r="Z67" s="191">
        <f t="shared" si="192"/>
        <v>137.86074516226122</v>
      </c>
      <c r="AA67" s="191">
        <f t="shared" si="192"/>
        <v>137.86074516226122</v>
      </c>
      <c r="AB67" s="191">
        <f t="shared" si="192"/>
        <v>137.86074516226122</v>
      </c>
      <c r="AC67" s="191">
        <f t="shared" si="192"/>
        <v>137.86074516226122</v>
      </c>
      <c r="AE67" s="1131"/>
      <c r="AF67" s="1075" t="s">
        <v>190</v>
      </c>
      <c r="AG67" s="1075" t="s">
        <v>74</v>
      </c>
      <c r="AH67" s="191">
        <f>SUMPRODUCT(AH63:AH66,AH46:AH49)/AH50</f>
        <v>137.86074516226122</v>
      </c>
      <c r="AI67" s="191">
        <f t="shared" ref="AI67:AM67" si="193">SUMPRODUCT(AI63:AI66,AI46:AI49)/AI50</f>
        <v>137.86074516226122</v>
      </c>
      <c r="AJ67" s="191">
        <f t="shared" si="193"/>
        <v>137.86074516226122</v>
      </c>
      <c r="AK67" s="191">
        <f t="shared" si="193"/>
        <v>137.86074516226122</v>
      </c>
      <c r="AL67" s="191">
        <f t="shared" si="193"/>
        <v>137.86074516226122</v>
      </c>
      <c r="AM67" s="191">
        <f t="shared" si="193"/>
        <v>137.86074516226122</v>
      </c>
    </row>
    <row r="68" spans="1:39" s="372" customFormat="1" ht="15.75" thickBot="1" x14ac:dyDescent="0.3">
      <c r="A68" s="1132"/>
      <c r="B68" s="1076" t="s">
        <v>234</v>
      </c>
      <c r="C68" s="1076" t="s">
        <v>25</v>
      </c>
      <c r="D68" s="217" t="s">
        <v>78</v>
      </c>
      <c r="E68" s="218" t="s">
        <v>78</v>
      </c>
      <c r="F68" s="217" t="s">
        <v>78</v>
      </c>
      <c r="G68" s="218" t="s">
        <v>78</v>
      </c>
      <c r="H68" s="219" t="s">
        <v>78</v>
      </c>
      <c r="I68" s="218" t="s">
        <v>78</v>
      </c>
      <c r="K68" s="1132"/>
      <c r="L68" s="1076" t="s">
        <v>234</v>
      </c>
      <c r="M68" s="1076" t="s">
        <v>25</v>
      </c>
      <c r="N68" s="217">
        <f>(N67-D67)/D67</f>
        <v>0</v>
      </c>
      <c r="O68" s="217">
        <f t="shared" ref="O68:S68" si="194">(O67-E67)/E67</f>
        <v>0</v>
      </c>
      <c r="P68" s="217">
        <f t="shared" si="194"/>
        <v>0</v>
      </c>
      <c r="Q68" s="217">
        <f t="shared" si="194"/>
        <v>0</v>
      </c>
      <c r="R68" s="217">
        <f t="shared" si="194"/>
        <v>0</v>
      </c>
      <c r="S68" s="217">
        <f t="shared" si="194"/>
        <v>0</v>
      </c>
      <c r="U68" s="1132"/>
      <c r="V68" s="1076" t="s">
        <v>234</v>
      </c>
      <c r="W68" s="1076" t="s">
        <v>25</v>
      </c>
      <c r="X68" s="217"/>
      <c r="Y68" s="218" t="s">
        <v>78</v>
      </c>
      <c r="Z68" s="217" t="s">
        <v>78</v>
      </c>
      <c r="AA68" s="218" t="s">
        <v>78</v>
      </c>
      <c r="AB68" s="219" t="s">
        <v>78</v>
      </c>
      <c r="AC68" s="218" t="s">
        <v>78</v>
      </c>
      <c r="AE68" s="1132"/>
      <c r="AF68" s="1076" t="s">
        <v>234</v>
      </c>
      <c r="AG68" s="1076" t="s">
        <v>25</v>
      </c>
      <c r="AH68" s="217" t="s">
        <v>78</v>
      </c>
      <c r="AI68" s="218" t="s">
        <v>78</v>
      </c>
      <c r="AJ68" s="217" t="s">
        <v>78</v>
      </c>
      <c r="AK68" s="218" t="s">
        <v>78</v>
      </c>
      <c r="AL68" s="219" t="s">
        <v>78</v>
      </c>
      <c r="AM68" s="218" t="s">
        <v>78</v>
      </c>
    </row>
    <row r="69" spans="1:39" x14ac:dyDescent="0.25">
      <c r="A69" s="78"/>
      <c r="B69" s="78"/>
      <c r="C69" s="78"/>
      <c r="Y69" s="297"/>
      <c r="AE69" s="40"/>
      <c r="AF69" s="40"/>
      <c r="AG69" s="40"/>
      <c r="AH69" s="40"/>
      <c r="AI69" s="40"/>
      <c r="AJ69" s="40"/>
      <c r="AK69" s="40"/>
      <c r="AL69" s="40"/>
      <c r="AM69" s="40"/>
    </row>
    <row r="70" spans="1:39" ht="15" customHeight="1" thickBot="1" x14ac:dyDescent="0.3">
      <c r="A70" s="1077" t="s">
        <v>844</v>
      </c>
      <c r="B70" s="78"/>
      <c r="C70" s="78"/>
      <c r="D70" s="76"/>
      <c r="E70" s="76"/>
      <c r="F70" s="76"/>
      <c r="G70" s="76"/>
      <c r="H70" s="76"/>
      <c r="I70" s="76"/>
      <c r="K70" s="42" t="s">
        <v>845</v>
      </c>
      <c r="N70" s="76"/>
      <c r="O70" s="76"/>
      <c r="P70" s="76"/>
      <c r="Q70" s="76"/>
      <c r="R70" s="76"/>
      <c r="S70" s="76"/>
      <c r="U70" s="42" t="s">
        <v>88</v>
      </c>
      <c r="X70" s="76"/>
      <c r="Y70" s="76"/>
      <c r="Z70" s="76"/>
      <c r="AA70" s="76"/>
      <c r="AB70" s="76"/>
      <c r="AC70" s="76"/>
      <c r="AE70" s="42" t="s">
        <v>158</v>
      </c>
      <c r="AF70" s="40"/>
      <c r="AG70" s="40"/>
      <c r="AH70" s="76"/>
      <c r="AI70" s="76"/>
      <c r="AJ70" s="76"/>
      <c r="AK70" s="76"/>
      <c r="AL70" s="76"/>
      <c r="AM70" s="76"/>
    </row>
    <row r="71" spans="1:39" ht="15.75" thickBot="1" x14ac:dyDescent="0.3">
      <c r="A71" s="1130" t="s">
        <v>77</v>
      </c>
      <c r="B71" s="1073" t="s">
        <v>137</v>
      </c>
      <c r="C71" s="1073" t="s">
        <v>74</v>
      </c>
      <c r="D71" s="266">
        <f>D$6*D11+D29+D53</f>
        <v>190.94521430530281</v>
      </c>
      <c r="E71" s="266">
        <f t="shared" ref="E71:I71" si="195">E$6*E11+E29+E53</f>
        <v>189.90718274018499</v>
      </c>
      <c r="F71" s="266">
        <f t="shared" si="195"/>
        <v>190.94521430530281</v>
      </c>
      <c r="G71" s="266">
        <f t="shared" si="195"/>
        <v>189.90718274018499</v>
      </c>
      <c r="H71" s="266">
        <f t="shared" si="195"/>
        <v>190.94521430530281</v>
      </c>
      <c r="I71" s="266">
        <f t="shared" si="195"/>
        <v>189.90718274018499</v>
      </c>
      <c r="K71" s="1121" t="s">
        <v>77</v>
      </c>
      <c r="L71" s="128" t="s">
        <v>137</v>
      </c>
      <c r="M71" s="128" t="s">
        <v>74</v>
      </c>
      <c r="N71" s="266">
        <f>N$6*N11+N29+N53</f>
        <v>190.94521430530281</v>
      </c>
      <c r="O71" s="266">
        <f t="shared" ref="O71:S71" si="196">O$6*O11+O29+O53</f>
        <v>189.90718274018499</v>
      </c>
      <c r="P71" s="266">
        <f t="shared" si="196"/>
        <v>190.94521430530281</v>
      </c>
      <c r="Q71" s="266">
        <f t="shared" si="196"/>
        <v>189.90718274018499</v>
      </c>
      <c r="R71" s="266">
        <f t="shared" si="196"/>
        <v>190.94521430530281</v>
      </c>
      <c r="S71" s="266">
        <f t="shared" si="196"/>
        <v>189.90718274018499</v>
      </c>
      <c r="U71" s="1121" t="s">
        <v>77</v>
      </c>
      <c r="V71" s="128" t="s">
        <v>137</v>
      </c>
      <c r="W71" s="128" t="s">
        <v>74</v>
      </c>
      <c r="X71" s="266">
        <f t="shared" ref="X71:AC74" si="197">N71</f>
        <v>190.94521430530281</v>
      </c>
      <c r="Y71" s="239">
        <f t="shared" si="197"/>
        <v>189.90718274018499</v>
      </c>
      <c r="Z71" s="238">
        <f t="shared" si="197"/>
        <v>190.94521430530281</v>
      </c>
      <c r="AA71" s="239">
        <f t="shared" si="197"/>
        <v>189.90718274018499</v>
      </c>
      <c r="AB71" s="240">
        <f t="shared" si="197"/>
        <v>190.94521430530281</v>
      </c>
      <c r="AC71" s="239">
        <f t="shared" si="197"/>
        <v>189.90718274018499</v>
      </c>
      <c r="AE71" s="1121" t="s">
        <v>77</v>
      </c>
      <c r="AF71" s="128" t="s">
        <v>137</v>
      </c>
      <c r="AG71" s="128" t="s">
        <v>74</v>
      </c>
      <c r="AH71" s="266">
        <f>X71</f>
        <v>190.94521430530281</v>
      </c>
      <c r="AI71" s="239">
        <f t="shared" ref="AI71:AI74" si="198">Y71</f>
        <v>189.90718274018499</v>
      </c>
      <c r="AJ71" s="238">
        <f>Z71</f>
        <v>190.94521430530281</v>
      </c>
      <c r="AK71" s="239">
        <f t="shared" ref="AK71:AK74" si="199">AA71</f>
        <v>189.90718274018499</v>
      </c>
      <c r="AL71" s="240">
        <f t="shared" ref="AL71:AL74" si="200">AB71</f>
        <v>190.94521430530281</v>
      </c>
      <c r="AM71" s="239">
        <f t="shared" ref="AM71:AM74" si="201">AC71</f>
        <v>189.90718274018499</v>
      </c>
    </row>
    <row r="72" spans="1:39" ht="15.75" thickBot="1" x14ac:dyDescent="0.3">
      <c r="A72" s="1131"/>
      <c r="B72" s="1074" t="s">
        <v>138</v>
      </c>
      <c r="C72" s="1074" t="s">
        <v>74</v>
      </c>
      <c r="D72" s="266">
        <f t="shared" ref="D72:I72" si="202">D$6*D12+D30+D54</f>
        <v>176.41566333567897</v>
      </c>
      <c r="E72" s="266">
        <f t="shared" si="202"/>
        <v>174.85681886619025</v>
      </c>
      <c r="F72" s="266">
        <f t="shared" si="202"/>
        <v>176.41566333567897</v>
      </c>
      <c r="G72" s="266">
        <f t="shared" si="202"/>
        <v>174.85681886619025</v>
      </c>
      <c r="H72" s="266">
        <f t="shared" si="202"/>
        <v>176.41566333567897</v>
      </c>
      <c r="I72" s="266">
        <f t="shared" si="202"/>
        <v>174.85681886619025</v>
      </c>
      <c r="K72" s="1122"/>
      <c r="L72" s="129" t="s">
        <v>138</v>
      </c>
      <c r="M72" s="129" t="s">
        <v>74</v>
      </c>
      <c r="N72" s="266">
        <f>N$6*N12+N30+N54</f>
        <v>176.41566333567897</v>
      </c>
      <c r="O72" s="266">
        <f t="shared" ref="O72:S72" si="203">O$6*O12+O30+O54</f>
        <v>174.85681886619025</v>
      </c>
      <c r="P72" s="266">
        <f t="shared" si="203"/>
        <v>176.41566333567897</v>
      </c>
      <c r="Q72" s="266">
        <f t="shared" si="203"/>
        <v>174.85681886619025</v>
      </c>
      <c r="R72" s="266">
        <f t="shared" si="203"/>
        <v>176.41566333567897</v>
      </c>
      <c r="S72" s="266">
        <f t="shared" si="203"/>
        <v>174.85681886619025</v>
      </c>
      <c r="U72" s="1122"/>
      <c r="V72" s="129" t="s">
        <v>138</v>
      </c>
      <c r="W72" s="129" t="s">
        <v>74</v>
      </c>
      <c r="X72" s="241">
        <f t="shared" si="197"/>
        <v>176.41566333567897</v>
      </c>
      <c r="Y72" s="242">
        <f t="shared" si="197"/>
        <v>174.85681886619025</v>
      </c>
      <c r="Z72" s="241">
        <f t="shared" si="197"/>
        <v>176.41566333567897</v>
      </c>
      <c r="AA72" s="242">
        <f t="shared" si="197"/>
        <v>174.85681886619025</v>
      </c>
      <c r="AB72" s="243">
        <f t="shared" si="197"/>
        <v>176.41566333567897</v>
      </c>
      <c r="AC72" s="242">
        <f t="shared" si="197"/>
        <v>174.85681886619025</v>
      </c>
      <c r="AE72" s="1122"/>
      <c r="AF72" s="129" t="s">
        <v>138</v>
      </c>
      <c r="AG72" s="129" t="s">
        <v>74</v>
      </c>
      <c r="AH72" s="241">
        <f>X72</f>
        <v>176.41566333567897</v>
      </c>
      <c r="AI72" s="242">
        <f t="shared" si="198"/>
        <v>174.85681886619025</v>
      </c>
      <c r="AJ72" s="241">
        <f t="shared" ref="AJ72:AJ74" si="204">Z72</f>
        <v>176.41566333567897</v>
      </c>
      <c r="AK72" s="242">
        <f t="shared" si="199"/>
        <v>174.85681886619025</v>
      </c>
      <c r="AL72" s="243">
        <f t="shared" si="200"/>
        <v>176.41566333567897</v>
      </c>
      <c r="AM72" s="242">
        <f t="shared" si="201"/>
        <v>174.85681886619025</v>
      </c>
    </row>
    <row r="73" spans="1:39" ht="15.75" thickBot="1" x14ac:dyDescent="0.3">
      <c r="A73" s="1131"/>
      <c r="B73" s="1074" t="s">
        <v>139</v>
      </c>
      <c r="C73" s="1074" t="s">
        <v>74</v>
      </c>
      <c r="D73" s="266">
        <f t="shared" ref="D73:I73" si="205">D$6*D13+D31+D55</f>
        <v>162.27025001897198</v>
      </c>
      <c r="E73" s="266">
        <f t="shared" si="205"/>
        <v>160.62442291737943</v>
      </c>
      <c r="F73" s="266">
        <f t="shared" si="205"/>
        <v>162.27025001897198</v>
      </c>
      <c r="G73" s="266">
        <f t="shared" si="205"/>
        <v>160.62442291737943</v>
      </c>
      <c r="H73" s="266">
        <f t="shared" si="205"/>
        <v>162.27025001897198</v>
      </c>
      <c r="I73" s="266">
        <f t="shared" si="205"/>
        <v>160.62442291737943</v>
      </c>
      <c r="K73" s="1122"/>
      <c r="L73" s="129" t="s">
        <v>139</v>
      </c>
      <c r="M73" s="129" t="s">
        <v>74</v>
      </c>
      <c r="N73" s="266">
        <f t="shared" ref="N73:S73" si="206">N$6*N13+N31+N55</f>
        <v>162.27025001897198</v>
      </c>
      <c r="O73" s="266">
        <f t="shared" si="206"/>
        <v>160.62442291737943</v>
      </c>
      <c r="P73" s="266">
        <f t="shared" si="206"/>
        <v>162.27025001897198</v>
      </c>
      <c r="Q73" s="266">
        <f t="shared" si="206"/>
        <v>160.62442291737943</v>
      </c>
      <c r="R73" s="266">
        <f t="shared" si="206"/>
        <v>162.27025001897198</v>
      </c>
      <c r="S73" s="266">
        <f t="shared" si="206"/>
        <v>160.62442291737943</v>
      </c>
      <c r="U73" s="1122"/>
      <c r="V73" s="129" t="s">
        <v>139</v>
      </c>
      <c r="W73" s="129" t="s">
        <v>74</v>
      </c>
      <c r="X73" s="241">
        <f t="shared" si="197"/>
        <v>162.27025001897198</v>
      </c>
      <c r="Y73" s="242">
        <f t="shared" si="197"/>
        <v>160.62442291737943</v>
      </c>
      <c r="Z73" s="241">
        <f t="shared" si="197"/>
        <v>162.27025001897198</v>
      </c>
      <c r="AA73" s="242">
        <f t="shared" si="197"/>
        <v>160.62442291737943</v>
      </c>
      <c r="AB73" s="243">
        <f t="shared" si="197"/>
        <v>162.27025001897198</v>
      </c>
      <c r="AC73" s="242">
        <f t="shared" si="197"/>
        <v>160.62442291737943</v>
      </c>
      <c r="AE73" s="1122"/>
      <c r="AF73" s="129" t="s">
        <v>139</v>
      </c>
      <c r="AG73" s="129" t="s">
        <v>74</v>
      </c>
      <c r="AH73" s="241">
        <f>X73</f>
        <v>162.27025001897198</v>
      </c>
      <c r="AI73" s="242">
        <f t="shared" si="198"/>
        <v>160.62442291737943</v>
      </c>
      <c r="AJ73" s="241">
        <f t="shared" si="204"/>
        <v>162.27025001897198</v>
      </c>
      <c r="AK73" s="242">
        <f t="shared" si="199"/>
        <v>160.62442291737943</v>
      </c>
      <c r="AL73" s="243">
        <f t="shared" si="200"/>
        <v>162.27025001897198</v>
      </c>
      <c r="AM73" s="242">
        <f t="shared" si="201"/>
        <v>160.62442291737943</v>
      </c>
    </row>
    <row r="74" spans="1:39" x14ac:dyDescent="0.25">
      <c r="A74" s="1131"/>
      <c r="B74" s="1074" t="s">
        <v>140</v>
      </c>
      <c r="C74" s="1074" t="s">
        <v>74</v>
      </c>
      <c r="D74" s="266">
        <f t="shared" ref="D74:I74" si="207">D$6*D14+D32+D56</f>
        <v>177.82507729823442</v>
      </c>
      <c r="E74" s="266">
        <f t="shared" si="207"/>
        <v>175.89906720881777</v>
      </c>
      <c r="F74" s="266">
        <f t="shared" si="207"/>
        <v>177.82507729823442</v>
      </c>
      <c r="G74" s="266">
        <f t="shared" si="207"/>
        <v>175.89906720881777</v>
      </c>
      <c r="H74" s="266">
        <f t="shared" si="207"/>
        <v>177.82507729823442</v>
      </c>
      <c r="I74" s="266">
        <f t="shared" si="207"/>
        <v>175.89906720881777</v>
      </c>
      <c r="K74" s="1122"/>
      <c r="L74" s="129" t="s">
        <v>140</v>
      </c>
      <c r="M74" s="129" t="s">
        <v>74</v>
      </c>
      <c r="N74" s="266">
        <f>N$6*N14+N32+N56</f>
        <v>177.82507729823442</v>
      </c>
      <c r="O74" s="266">
        <f t="shared" ref="O74:S74" si="208">O$6*O14+O32+O56</f>
        <v>175.89906720881777</v>
      </c>
      <c r="P74" s="266">
        <f t="shared" si="208"/>
        <v>177.82507729823442</v>
      </c>
      <c r="Q74" s="266">
        <f t="shared" si="208"/>
        <v>175.89906720881777</v>
      </c>
      <c r="R74" s="266">
        <f t="shared" si="208"/>
        <v>177.82507729823442</v>
      </c>
      <c r="S74" s="266">
        <f t="shared" si="208"/>
        <v>175.89906720881777</v>
      </c>
      <c r="U74" s="1122"/>
      <c r="V74" s="129" t="s">
        <v>140</v>
      </c>
      <c r="W74" s="129" t="s">
        <v>74</v>
      </c>
      <c r="X74" s="267">
        <f t="shared" si="197"/>
        <v>177.82507729823442</v>
      </c>
      <c r="Y74" s="268">
        <f t="shared" si="197"/>
        <v>175.89906720881777</v>
      </c>
      <c r="Z74" s="267">
        <f t="shared" si="197"/>
        <v>177.82507729823442</v>
      </c>
      <c r="AA74" s="268">
        <f t="shared" si="197"/>
        <v>175.89906720881777</v>
      </c>
      <c r="AB74" s="269">
        <f t="shared" si="197"/>
        <v>177.82507729823442</v>
      </c>
      <c r="AC74" s="268">
        <f t="shared" si="197"/>
        <v>175.89906720881777</v>
      </c>
      <c r="AE74" s="1122"/>
      <c r="AF74" s="129" t="s">
        <v>140</v>
      </c>
      <c r="AG74" s="129" t="s">
        <v>74</v>
      </c>
      <c r="AH74" s="267">
        <f t="shared" ref="AH74" si="209">X74</f>
        <v>177.82507729823442</v>
      </c>
      <c r="AI74" s="268">
        <f t="shared" si="198"/>
        <v>175.89906720881777</v>
      </c>
      <c r="AJ74" s="267">
        <f t="shared" si="204"/>
        <v>177.82507729823442</v>
      </c>
      <c r="AK74" s="268">
        <f t="shared" si="199"/>
        <v>175.89906720881777</v>
      </c>
      <c r="AL74" s="269">
        <f t="shared" si="200"/>
        <v>177.82507729823442</v>
      </c>
      <c r="AM74" s="268">
        <f t="shared" si="201"/>
        <v>175.89906720881777</v>
      </c>
    </row>
    <row r="75" spans="1:39" x14ac:dyDescent="0.25">
      <c r="A75" s="1131"/>
      <c r="B75" s="1075" t="s">
        <v>188</v>
      </c>
      <c r="C75" s="1075" t="s">
        <v>74</v>
      </c>
      <c r="D75" s="263">
        <f>SUMPRODUCT(D71:D74,D36:D39)/D40</f>
        <v>173.15819104151814</v>
      </c>
      <c r="E75" s="264">
        <f t="shared" ref="E75" si="210">SUMPRODUCT(E71:E74,E36:E39)/E40</f>
        <v>171.42802777145798</v>
      </c>
      <c r="F75" s="263">
        <f t="shared" ref="F75" si="211">SUMPRODUCT(F71:F74,F36:F39)/F40</f>
        <v>173.15819104151814</v>
      </c>
      <c r="G75" s="264">
        <f t="shared" ref="G75" si="212">SUMPRODUCT(G71:G74,G36:G39)/G40</f>
        <v>171.42802777145798</v>
      </c>
      <c r="H75" s="265">
        <f t="shared" ref="H75" si="213">SUMPRODUCT(H71:H74,H36:H39)/H40</f>
        <v>173.15819104151814</v>
      </c>
      <c r="I75" s="264">
        <f t="shared" ref="I75" si="214">SUMPRODUCT(I71:I74,I36:I39)/I40</f>
        <v>171.42802777145798</v>
      </c>
      <c r="K75" s="1122"/>
      <c r="L75" s="180" t="s">
        <v>188</v>
      </c>
      <c r="M75" s="180" t="s">
        <v>74</v>
      </c>
      <c r="N75" s="263">
        <f>SUMPRODUCT(N71:N74,N36:N39)/N40</f>
        <v>173.15819104151814</v>
      </c>
      <c r="O75" s="264">
        <f t="shared" ref="O75:S75" si="215">SUMPRODUCT(O71:O74,O36:O39)/O40</f>
        <v>171.42802777145798</v>
      </c>
      <c r="P75" s="263">
        <f t="shared" si="215"/>
        <v>173.15819104151814</v>
      </c>
      <c r="Q75" s="264">
        <f t="shared" si="215"/>
        <v>171.42802777145798</v>
      </c>
      <c r="R75" s="265">
        <f t="shared" si="215"/>
        <v>173.15819104151814</v>
      </c>
      <c r="S75" s="264">
        <f t="shared" si="215"/>
        <v>171.42802777145798</v>
      </c>
      <c r="U75" s="1122"/>
      <c r="V75" s="180" t="s">
        <v>188</v>
      </c>
      <c r="W75" s="180" t="s">
        <v>74</v>
      </c>
      <c r="X75" s="263">
        <f>SUMPRODUCT(X71:X74,X36:X39)/X40</f>
        <v>173.15819104151814</v>
      </c>
      <c r="Y75" s="264">
        <f t="shared" ref="Y75" si="216">SUMPRODUCT(Y71:Y74,Y36:Y39)/Y40</f>
        <v>171.42802777145798</v>
      </c>
      <c r="Z75" s="263">
        <f t="shared" ref="Z75" si="217">SUMPRODUCT(Z71:Z74,Z36:Z39)/Z40</f>
        <v>173.15819104151814</v>
      </c>
      <c r="AA75" s="264">
        <f t="shared" ref="AA75" si="218">SUMPRODUCT(AA71:AA74,AA36:AA39)/AA40</f>
        <v>171.42802777145798</v>
      </c>
      <c r="AB75" s="265">
        <f t="shared" ref="AB75" si="219">SUMPRODUCT(AB71:AB74,AB36:AB39)/AB40</f>
        <v>173.15819104151814</v>
      </c>
      <c r="AC75" s="264">
        <f t="shared" ref="AC75" si="220">SUMPRODUCT(AC71:AC74,AC36:AC39)/AC40</f>
        <v>171.42802777145798</v>
      </c>
      <c r="AE75" s="1122"/>
      <c r="AF75" s="180" t="s">
        <v>188</v>
      </c>
      <c r="AG75" s="180" t="s">
        <v>74</v>
      </c>
      <c r="AH75" s="263">
        <f>SUMPRODUCT(AH71:AH74,AH36:AH39)/AH40</f>
        <v>173.15819104151814</v>
      </c>
      <c r="AI75" s="264">
        <f t="shared" ref="AI75" si="221">SUMPRODUCT(AI71:AI74,AI36:AI39)/AI40</f>
        <v>171.42802777145798</v>
      </c>
      <c r="AJ75" s="263">
        <f>SUMPRODUCT(AJ71:AJ74,AJ36:AJ39)/AJ40</f>
        <v>173.15819104151814</v>
      </c>
      <c r="AK75" s="264">
        <f t="shared" ref="AK75" si="222">SUMPRODUCT(AK71:AK74,AK36:AK39)/AK40</f>
        <v>171.42802777145798</v>
      </c>
      <c r="AL75" s="265">
        <f t="shared" ref="AL75" si="223">SUMPRODUCT(AL71:AL74,AL36:AL39)/AL40</f>
        <v>173.15819104151814</v>
      </c>
      <c r="AM75" s="264">
        <f t="shared" ref="AM75" si="224">SUMPRODUCT(AM71:AM74,AM36:AM39)/AM40</f>
        <v>171.42802777145798</v>
      </c>
    </row>
    <row r="76" spans="1:39" x14ac:dyDescent="0.25">
      <c r="A76" s="1131"/>
      <c r="B76" s="1074" t="s">
        <v>142</v>
      </c>
      <c r="C76" s="1074" t="s">
        <v>74</v>
      </c>
      <c r="D76" s="267">
        <f>D$7*D16+D29+D58</f>
        <v>182.10919972655253</v>
      </c>
      <c r="E76" s="267">
        <f t="shared" ref="E76:I76" si="225">E$7*E16+E29+E58</f>
        <v>183.85358449241139</v>
      </c>
      <c r="F76" s="267">
        <f t="shared" si="225"/>
        <v>182.10919972655253</v>
      </c>
      <c r="G76" s="267">
        <f t="shared" si="225"/>
        <v>183.85358449241139</v>
      </c>
      <c r="H76" s="267">
        <f t="shared" si="225"/>
        <v>182.10919972655253</v>
      </c>
      <c r="I76" s="267">
        <f t="shared" si="225"/>
        <v>183.85358449241139</v>
      </c>
      <c r="K76" s="1122"/>
      <c r="L76" s="129" t="s">
        <v>142</v>
      </c>
      <c r="M76" s="129" t="s">
        <v>74</v>
      </c>
      <c r="N76" s="267">
        <f>N$7*N16+N29+N58</f>
        <v>182.10919972655253</v>
      </c>
      <c r="O76" s="267">
        <f t="shared" ref="O76:S76" si="226">O$7*O16+O29+O58</f>
        <v>183.85358449241139</v>
      </c>
      <c r="P76" s="267">
        <f t="shared" si="226"/>
        <v>182.10919972655253</v>
      </c>
      <c r="Q76" s="267">
        <f t="shared" si="226"/>
        <v>183.85358449241139</v>
      </c>
      <c r="R76" s="267">
        <f t="shared" si="226"/>
        <v>182.10919972655253</v>
      </c>
      <c r="S76" s="267">
        <f t="shared" si="226"/>
        <v>183.85358449241139</v>
      </c>
      <c r="U76" s="1122"/>
      <c r="V76" s="129" t="s">
        <v>142</v>
      </c>
      <c r="W76" s="129" t="s">
        <v>74</v>
      </c>
      <c r="X76" s="267">
        <f t="shared" ref="X76:AC79" si="227">N76</f>
        <v>182.10919972655253</v>
      </c>
      <c r="Y76" s="268">
        <f t="shared" si="227"/>
        <v>183.85358449241139</v>
      </c>
      <c r="Z76" s="267">
        <f t="shared" si="227"/>
        <v>182.10919972655253</v>
      </c>
      <c r="AA76" s="268">
        <f t="shared" si="227"/>
        <v>183.85358449241139</v>
      </c>
      <c r="AB76" s="269">
        <f t="shared" si="227"/>
        <v>182.10919972655253</v>
      </c>
      <c r="AC76" s="268">
        <f t="shared" si="227"/>
        <v>183.85358449241139</v>
      </c>
      <c r="AE76" s="1122"/>
      <c r="AF76" s="129" t="s">
        <v>142</v>
      </c>
      <c r="AG76" s="129" t="s">
        <v>74</v>
      </c>
      <c r="AH76" s="267">
        <f>X76</f>
        <v>182.10919972655253</v>
      </c>
      <c r="AI76" s="268">
        <f t="shared" ref="AI76:AI79" si="228">Y76</f>
        <v>183.85358449241139</v>
      </c>
      <c r="AJ76" s="267">
        <f>Z76</f>
        <v>182.10919972655253</v>
      </c>
      <c r="AK76" s="268">
        <f t="shared" ref="AK76:AK79" si="229">AA76</f>
        <v>183.85358449241139</v>
      </c>
      <c r="AL76" s="269">
        <f>AB76</f>
        <v>182.10919972655253</v>
      </c>
      <c r="AM76" s="268">
        <f t="shared" ref="AM76:AM79" si="230">AC76</f>
        <v>183.85358449241139</v>
      </c>
    </row>
    <row r="77" spans="1:39" x14ac:dyDescent="0.25">
      <c r="A77" s="1131"/>
      <c r="B77" s="1074" t="s">
        <v>143</v>
      </c>
      <c r="C77" s="1074" t="s">
        <v>74</v>
      </c>
      <c r="D77" s="267">
        <f t="shared" ref="D77:I77" si="231">D$7*D17+D30+D59</f>
        <v>161.62031083766357</v>
      </c>
      <c r="E77" s="267">
        <f t="shared" si="231"/>
        <v>163.36469560352242</v>
      </c>
      <c r="F77" s="267">
        <f t="shared" si="231"/>
        <v>161.62031083766357</v>
      </c>
      <c r="G77" s="267">
        <f t="shared" si="231"/>
        <v>163.36469560352242</v>
      </c>
      <c r="H77" s="267">
        <f t="shared" si="231"/>
        <v>161.62031083766357</v>
      </c>
      <c r="I77" s="267">
        <f t="shared" si="231"/>
        <v>163.36469560352242</v>
      </c>
      <c r="K77" s="1122"/>
      <c r="L77" s="129" t="s">
        <v>143</v>
      </c>
      <c r="M77" s="129" t="s">
        <v>74</v>
      </c>
      <c r="N77" s="267">
        <f t="shared" ref="N77:S77" si="232">N$7*N17+N30+N59</f>
        <v>161.62031083766357</v>
      </c>
      <c r="O77" s="267">
        <f t="shared" si="232"/>
        <v>163.36469560352242</v>
      </c>
      <c r="P77" s="267">
        <f t="shared" si="232"/>
        <v>161.62031083766357</v>
      </c>
      <c r="Q77" s="267">
        <f t="shared" si="232"/>
        <v>163.36469560352242</v>
      </c>
      <c r="R77" s="267">
        <f t="shared" si="232"/>
        <v>161.62031083766357</v>
      </c>
      <c r="S77" s="267">
        <f t="shared" si="232"/>
        <v>163.36469560352242</v>
      </c>
      <c r="U77" s="1122"/>
      <c r="V77" s="129" t="s">
        <v>143</v>
      </c>
      <c r="W77" s="129" t="s">
        <v>74</v>
      </c>
      <c r="X77" s="267">
        <f t="shared" si="227"/>
        <v>161.62031083766357</v>
      </c>
      <c r="Y77" s="268">
        <f t="shared" si="227"/>
        <v>163.36469560352242</v>
      </c>
      <c r="Z77" s="267">
        <f t="shared" si="227"/>
        <v>161.62031083766357</v>
      </c>
      <c r="AA77" s="268">
        <f t="shared" si="227"/>
        <v>163.36469560352242</v>
      </c>
      <c r="AB77" s="269">
        <f t="shared" si="227"/>
        <v>161.62031083766357</v>
      </c>
      <c r="AC77" s="268">
        <f t="shared" si="227"/>
        <v>163.36469560352242</v>
      </c>
      <c r="AE77" s="1122"/>
      <c r="AF77" s="129" t="s">
        <v>143</v>
      </c>
      <c r="AG77" s="129" t="s">
        <v>74</v>
      </c>
      <c r="AH77" s="267">
        <f>X77</f>
        <v>161.62031083766357</v>
      </c>
      <c r="AI77" s="268">
        <f t="shared" si="228"/>
        <v>163.36469560352242</v>
      </c>
      <c r="AJ77" s="267">
        <f t="shared" ref="AJ77:AJ79" si="233">Z77</f>
        <v>161.62031083766357</v>
      </c>
      <c r="AK77" s="268">
        <f t="shared" si="229"/>
        <v>163.36469560352242</v>
      </c>
      <c r="AL77" s="269">
        <f t="shared" ref="AL77:AL79" si="234">AB77</f>
        <v>161.62031083766357</v>
      </c>
      <c r="AM77" s="268">
        <f t="shared" si="230"/>
        <v>163.36469560352242</v>
      </c>
    </row>
    <row r="78" spans="1:39" x14ac:dyDescent="0.25">
      <c r="A78" s="1131"/>
      <c r="B78" s="1074" t="s">
        <v>144</v>
      </c>
      <c r="C78" s="1074" t="s">
        <v>74</v>
      </c>
      <c r="D78" s="267">
        <f t="shared" ref="D78:I78" si="235">D$7*D18+D31+D60</f>
        <v>147.62870710368779</v>
      </c>
      <c r="E78" s="267">
        <f t="shared" si="235"/>
        <v>150.38204538492755</v>
      </c>
      <c r="F78" s="267">
        <f t="shared" si="235"/>
        <v>147.62870710368779</v>
      </c>
      <c r="G78" s="267">
        <f t="shared" si="235"/>
        <v>150.38204538492755</v>
      </c>
      <c r="H78" s="267">
        <f t="shared" si="235"/>
        <v>147.62870710368779</v>
      </c>
      <c r="I78" s="267">
        <f t="shared" si="235"/>
        <v>150.38204538492755</v>
      </c>
      <c r="K78" s="1122"/>
      <c r="L78" s="129" t="s">
        <v>144</v>
      </c>
      <c r="M78" s="129" t="s">
        <v>74</v>
      </c>
      <c r="N78" s="267">
        <f>N$7*N18+N31+N60</f>
        <v>147.62870710368779</v>
      </c>
      <c r="O78" s="267">
        <f t="shared" ref="O78:S78" si="236">O$7*O18+O31+O60</f>
        <v>150.38204538492755</v>
      </c>
      <c r="P78" s="267">
        <f t="shared" si="236"/>
        <v>147.62870710368779</v>
      </c>
      <c r="Q78" s="267">
        <f t="shared" si="236"/>
        <v>150.38204538492755</v>
      </c>
      <c r="R78" s="267">
        <f t="shared" si="236"/>
        <v>147.62870710368779</v>
      </c>
      <c r="S78" s="267">
        <f t="shared" si="236"/>
        <v>150.38204538492755</v>
      </c>
      <c r="U78" s="1122"/>
      <c r="V78" s="129" t="s">
        <v>144</v>
      </c>
      <c r="W78" s="129" t="s">
        <v>74</v>
      </c>
      <c r="X78" s="267">
        <f t="shared" si="227"/>
        <v>147.62870710368779</v>
      </c>
      <c r="Y78" s="268">
        <f t="shared" si="227"/>
        <v>150.38204538492755</v>
      </c>
      <c r="Z78" s="267">
        <f t="shared" si="227"/>
        <v>147.62870710368779</v>
      </c>
      <c r="AA78" s="268">
        <f t="shared" si="227"/>
        <v>150.38204538492755</v>
      </c>
      <c r="AB78" s="269">
        <f t="shared" si="227"/>
        <v>147.62870710368779</v>
      </c>
      <c r="AC78" s="268">
        <f t="shared" si="227"/>
        <v>150.38204538492755</v>
      </c>
      <c r="AE78" s="1122"/>
      <c r="AF78" s="129" t="s">
        <v>144</v>
      </c>
      <c r="AG78" s="129" t="s">
        <v>74</v>
      </c>
      <c r="AH78" s="267">
        <f>X78</f>
        <v>147.62870710368779</v>
      </c>
      <c r="AI78" s="268">
        <f t="shared" si="228"/>
        <v>150.38204538492755</v>
      </c>
      <c r="AJ78" s="267">
        <f t="shared" si="233"/>
        <v>147.62870710368779</v>
      </c>
      <c r="AK78" s="268">
        <f t="shared" si="229"/>
        <v>150.38204538492755</v>
      </c>
      <c r="AL78" s="269">
        <f t="shared" si="234"/>
        <v>147.62870710368779</v>
      </c>
      <c r="AM78" s="268">
        <f t="shared" si="230"/>
        <v>150.38204538492755</v>
      </c>
    </row>
    <row r="79" spans="1:39" x14ac:dyDescent="0.25">
      <c r="A79" s="1131"/>
      <c r="B79" s="1074" t="s">
        <v>145</v>
      </c>
      <c r="C79" s="1074" t="s">
        <v>74</v>
      </c>
      <c r="D79" s="267">
        <f t="shared" ref="D79:I79" si="237">D$7*D19+D32+D61</f>
        <v>156.46187669078199</v>
      </c>
      <c r="E79" s="267">
        <f t="shared" si="237"/>
        <v>159.58748079343013</v>
      </c>
      <c r="F79" s="267">
        <f t="shared" si="237"/>
        <v>156.46187669078199</v>
      </c>
      <c r="G79" s="267">
        <f t="shared" si="237"/>
        <v>159.58748079343013</v>
      </c>
      <c r="H79" s="267">
        <f t="shared" si="237"/>
        <v>156.46187669078199</v>
      </c>
      <c r="I79" s="267">
        <f t="shared" si="237"/>
        <v>159.58748079343013</v>
      </c>
      <c r="K79" s="1122"/>
      <c r="L79" s="129" t="s">
        <v>145</v>
      </c>
      <c r="M79" s="129" t="s">
        <v>74</v>
      </c>
      <c r="N79" s="267">
        <f t="shared" ref="N79:S79" si="238">N$7*N19+N32+N61</f>
        <v>156.46187669078199</v>
      </c>
      <c r="O79" s="267">
        <f t="shared" si="238"/>
        <v>159.58748079343013</v>
      </c>
      <c r="P79" s="267">
        <f t="shared" si="238"/>
        <v>156.46187669078199</v>
      </c>
      <c r="Q79" s="267">
        <f t="shared" si="238"/>
        <v>159.58748079343013</v>
      </c>
      <c r="R79" s="267">
        <f t="shared" si="238"/>
        <v>156.46187669078199</v>
      </c>
      <c r="S79" s="267">
        <f t="shared" si="238"/>
        <v>159.58748079343013</v>
      </c>
      <c r="U79" s="1122"/>
      <c r="V79" s="129" t="s">
        <v>145</v>
      </c>
      <c r="W79" s="129" t="s">
        <v>74</v>
      </c>
      <c r="X79" s="267">
        <f t="shared" si="227"/>
        <v>156.46187669078199</v>
      </c>
      <c r="Y79" s="268">
        <f t="shared" si="227"/>
        <v>159.58748079343013</v>
      </c>
      <c r="Z79" s="267">
        <f t="shared" si="227"/>
        <v>156.46187669078199</v>
      </c>
      <c r="AA79" s="268">
        <f t="shared" si="227"/>
        <v>159.58748079343013</v>
      </c>
      <c r="AB79" s="269">
        <f t="shared" si="227"/>
        <v>156.46187669078199</v>
      </c>
      <c r="AC79" s="268">
        <f t="shared" si="227"/>
        <v>159.58748079343013</v>
      </c>
      <c r="AE79" s="1122"/>
      <c r="AF79" s="129" t="s">
        <v>145</v>
      </c>
      <c r="AG79" s="129" t="s">
        <v>74</v>
      </c>
      <c r="AH79" s="267">
        <f t="shared" ref="AH79" si="239">X79</f>
        <v>156.46187669078199</v>
      </c>
      <c r="AI79" s="268">
        <f t="shared" si="228"/>
        <v>159.58748079343013</v>
      </c>
      <c r="AJ79" s="267">
        <f t="shared" si="233"/>
        <v>156.46187669078199</v>
      </c>
      <c r="AK79" s="268">
        <f t="shared" si="229"/>
        <v>159.58748079343013</v>
      </c>
      <c r="AL79" s="269">
        <f t="shared" si="234"/>
        <v>156.46187669078199</v>
      </c>
      <c r="AM79" s="268">
        <f t="shared" si="230"/>
        <v>159.58748079343013</v>
      </c>
    </row>
    <row r="80" spans="1:39" x14ac:dyDescent="0.25">
      <c r="A80" s="1131"/>
      <c r="B80" s="1075" t="s">
        <v>189</v>
      </c>
      <c r="C80" s="1075" t="s">
        <v>74</v>
      </c>
      <c r="D80" s="263">
        <f>SUMPRODUCT(D76:D79,D41:D44)/D45</f>
        <v>158.70165078298615</v>
      </c>
      <c r="E80" s="264">
        <f t="shared" ref="E80" si="240">SUMPRODUCT(E76:E79,E41:E44)/E45</f>
        <v>160.98562019883911</v>
      </c>
      <c r="F80" s="263">
        <f>SUMPRODUCT(F76:F79,F41:F44)/F45</f>
        <v>158.70165078298615</v>
      </c>
      <c r="G80" s="264">
        <f t="shared" ref="G80" si="241">SUMPRODUCT(G76:G79,G41:G44)/G45</f>
        <v>160.98562019883911</v>
      </c>
      <c r="H80" s="265">
        <f t="shared" ref="H80" si="242">SUMPRODUCT(H76:H79,H41:H44)/H45</f>
        <v>158.70165078298615</v>
      </c>
      <c r="I80" s="264">
        <f t="shared" ref="I80" si="243">SUMPRODUCT(I76:I79,I41:I44)/I45</f>
        <v>160.98562019883911</v>
      </c>
      <c r="K80" s="1122"/>
      <c r="L80" s="180" t="s">
        <v>189</v>
      </c>
      <c r="M80" s="180" t="s">
        <v>74</v>
      </c>
      <c r="N80" s="263">
        <f>SUMPRODUCT(N76:N79,N41:N44)/N45</f>
        <v>158.70165078298615</v>
      </c>
      <c r="O80" s="264">
        <f t="shared" ref="O80" si="244">SUMPRODUCT(O76:O79,O41:O44)/O45</f>
        <v>160.98562019883911</v>
      </c>
      <c r="P80" s="263">
        <f>SUMPRODUCT(P76:P79,P41:P44)/P45</f>
        <v>158.70165078298615</v>
      </c>
      <c r="Q80" s="264">
        <f t="shared" ref="Q80:S80" si="245">SUMPRODUCT(Q76:Q79,Q41:Q44)/Q45</f>
        <v>160.98562019883911</v>
      </c>
      <c r="R80" s="265">
        <f t="shared" si="245"/>
        <v>158.70165078298615</v>
      </c>
      <c r="S80" s="264">
        <f t="shared" si="245"/>
        <v>160.98562019883911</v>
      </c>
      <c r="U80" s="1122"/>
      <c r="V80" s="180" t="s">
        <v>189</v>
      </c>
      <c r="W80" s="180" t="s">
        <v>74</v>
      </c>
      <c r="X80" s="263">
        <f>SUMPRODUCT(X76:X79,X41:X44)/X45</f>
        <v>158.70165078298615</v>
      </c>
      <c r="Y80" s="264">
        <f t="shared" ref="Y80" si="246">SUMPRODUCT(Y76:Y79,Y41:Y44)/Y45</f>
        <v>160.98562019883911</v>
      </c>
      <c r="Z80" s="263">
        <f t="shared" ref="Z80" si="247">SUMPRODUCT(Z76:Z79,Z41:Z44)/Z45</f>
        <v>158.70165078298615</v>
      </c>
      <c r="AA80" s="264">
        <f t="shared" ref="AA80" si="248">SUMPRODUCT(AA76:AA79,AA41:AA44)/AA45</f>
        <v>160.98562019883911</v>
      </c>
      <c r="AB80" s="265">
        <f t="shared" ref="AB80" si="249">SUMPRODUCT(AB76:AB79,AB41:AB44)/AB45</f>
        <v>158.70165078298615</v>
      </c>
      <c r="AC80" s="264">
        <f t="shared" ref="AC80" si="250">SUMPRODUCT(AC76:AC79,AC41:AC44)/AC45</f>
        <v>160.98562019883911</v>
      </c>
      <c r="AE80" s="1122"/>
      <c r="AF80" s="180" t="s">
        <v>189</v>
      </c>
      <c r="AG80" s="180" t="s">
        <v>74</v>
      </c>
      <c r="AH80" s="263">
        <f>SUMPRODUCT(AH76:AH79,AH41:AH44)/AH45</f>
        <v>158.70165078298615</v>
      </c>
      <c r="AI80" s="264">
        <f t="shared" ref="AI80" si="251">SUMPRODUCT(AI76:AI79,AI41:AI44)/AI45</f>
        <v>160.98562019883911</v>
      </c>
      <c r="AJ80" s="263">
        <f>SUMPRODUCT(AJ76:AJ79,AJ41:AJ44)/AJ45</f>
        <v>158.70165078298615</v>
      </c>
      <c r="AK80" s="264">
        <f t="shared" ref="AK80" si="252">SUMPRODUCT(AK76:AK79,AK41:AK44)/AK45</f>
        <v>160.98562019883911</v>
      </c>
      <c r="AL80" s="265">
        <f>SUMPRODUCT(AL76:AL79,AL41:AL44)/AL45</f>
        <v>158.70165078298615</v>
      </c>
      <c r="AM80" s="264">
        <f t="shared" ref="AM80" si="253">SUMPRODUCT(AM76:AM79,AM41:AM44)/AM45</f>
        <v>160.98562019883911</v>
      </c>
    </row>
    <row r="81" spans="1:39" x14ac:dyDescent="0.25">
      <c r="A81" s="1131"/>
      <c r="B81" s="1074" t="s">
        <v>165</v>
      </c>
      <c r="C81" s="1074" t="s">
        <v>74</v>
      </c>
      <c r="D81" s="267">
        <f>(1-D23)*(D$6*D11+D53)+D23*(D$7*D16+D58)+D29</f>
        <v>189.61981211849027</v>
      </c>
      <c r="E81" s="267">
        <f t="shared" ref="E81:I81" si="254">(1-E23)*(E$6*E11+E53)+E23*(E$7*E16+E58)+E29</f>
        <v>186.27502379152082</v>
      </c>
      <c r="F81" s="267">
        <f t="shared" si="254"/>
        <v>189.61981211849027</v>
      </c>
      <c r="G81" s="267">
        <f t="shared" si="254"/>
        <v>186.27502379152082</v>
      </c>
      <c r="H81" s="267">
        <f t="shared" si="254"/>
        <v>189.61981211849027</v>
      </c>
      <c r="I81" s="267">
        <f t="shared" si="254"/>
        <v>186.27502379152082</v>
      </c>
      <c r="K81" s="1122"/>
      <c r="L81" s="129" t="s">
        <v>165</v>
      </c>
      <c r="M81" s="129" t="s">
        <v>74</v>
      </c>
      <c r="N81" s="267">
        <f>(1-N23)*(N$6*N11+N53)+N23*(N$7*N16+N58)+N29</f>
        <v>189.61981211849027</v>
      </c>
      <c r="O81" s="267">
        <f t="shared" ref="O81:S81" si="255">(1-O23)*(O$6*O11+O53)+O23*(O$7*O16+O58)+O29</f>
        <v>186.27502379152082</v>
      </c>
      <c r="P81" s="267">
        <f t="shared" si="255"/>
        <v>189.61981211849027</v>
      </c>
      <c r="Q81" s="267">
        <f t="shared" si="255"/>
        <v>186.27502379152082</v>
      </c>
      <c r="R81" s="267">
        <f t="shared" si="255"/>
        <v>189.61981211849027</v>
      </c>
      <c r="S81" s="267">
        <f t="shared" si="255"/>
        <v>186.27502379152082</v>
      </c>
      <c r="U81" s="1122"/>
      <c r="V81" s="129" t="s">
        <v>165</v>
      </c>
      <c r="W81" s="129" t="s">
        <v>74</v>
      </c>
      <c r="X81" s="267">
        <f t="shared" ref="X81:AC84" si="256">N81</f>
        <v>189.61981211849027</v>
      </c>
      <c r="Y81" s="268">
        <f t="shared" si="256"/>
        <v>186.27502379152082</v>
      </c>
      <c r="Z81" s="267">
        <f t="shared" si="256"/>
        <v>189.61981211849027</v>
      </c>
      <c r="AA81" s="268">
        <f t="shared" si="256"/>
        <v>186.27502379152082</v>
      </c>
      <c r="AB81" s="269">
        <f t="shared" si="256"/>
        <v>189.61981211849027</v>
      </c>
      <c r="AC81" s="268">
        <f t="shared" si="256"/>
        <v>186.27502379152082</v>
      </c>
      <c r="AE81" s="1122"/>
      <c r="AF81" s="129" t="s">
        <v>165</v>
      </c>
      <c r="AG81" s="129" t="s">
        <v>74</v>
      </c>
      <c r="AH81" s="267">
        <f>X81</f>
        <v>189.61981211849027</v>
      </c>
      <c r="AI81" s="268">
        <f t="shared" ref="AI81:AI84" si="257">Y81</f>
        <v>186.27502379152082</v>
      </c>
      <c r="AJ81" s="267">
        <f>Z81</f>
        <v>189.61981211849027</v>
      </c>
      <c r="AK81" s="268">
        <f t="shared" ref="AK81:AK84" si="258">AA81</f>
        <v>186.27502379152082</v>
      </c>
      <c r="AL81" s="269">
        <f>AB81</f>
        <v>189.61981211849027</v>
      </c>
      <c r="AM81" s="268">
        <f t="shared" ref="AM81:AM84" si="259">AC81</f>
        <v>186.27502379152082</v>
      </c>
    </row>
    <row r="82" spans="1:39" x14ac:dyDescent="0.25">
      <c r="A82" s="1131"/>
      <c r="B82" s="1074" t="s">
        <v>166</v>
      </c>
      <c r="C82" s="1074" t="s">
        <v>74</v>
      </c>
      <c r="D82" s="267">
        <f t="shared" ref="D82:I84" si="260">(1-D24)*(D$6*D12+D54)+D24*(D$7*D17+D59)+D30</f>
        <v>174.19636046097665</v>
      </c>
      <c r="E82" s="267">
        <f t="shared" si="260"/>
        <v>167.96154490858956</v>
      </c>
      <c r="F82" s="267">
        <f t="shared" si="260"/>
        <v>174.19636046097665</v>
      </c>
      <c r="G82" s="267">
        <f t="shared" si="260"/>
        <v>167.96154490858956</v>
      </c>
      <c r="H82" s="267">
        <f t="shared" si="260"/>
        <v>174.19636046097665</v>
      </c>
      <c r="I82" s="267">
        <f t="shared" si="260"/>
        <v>167.96154490858956</v>
      </c>
      <c r="K82" s="1122"/>
      <c r="L82" s="129" t="s">
        <v>166</v>
      </c>
      <c r="M82" s="129" t="s">
        <v>74</v>
      </c>
      <c r="N82" s="267">
        <f t="shared" ref="N82:S82" si="261">(1-N24)*(N$6*N12+N54)+N24*(N$7*N17+N59)+N30</f>
        <v>174.19636046097665</v>
      </c>
      <c r="O82" s="267">
        <f t="shared" si="261"/>
        <v>167.96154490858956</v>
      </c>
      <c r="P82" s="267">
        <f t="shared" si="261"/>
        <v>174.19636046097665</v>
      </c>
      <c r="Q82" s="267">
        <f t="shared" si="261"/>
        <v>167.96154490858956</v>
      </c>
      <c r="R82" s="267">
        <f t="shared" si="261"/>
        <v>174.19636046097665</v>
      </c>
      <c r="S82" s="267">
        <f t="shared" si="261"/>
        <v>167.96154490858956</v>
      </c>
      <c r="U82" s="1122"/>
      <c r="V82" s="129" t="s">
        <v>166</v>
      </c>
      <c r="W82" s="129" t="s">
        <v>74</v>
      </c>
      <c r="X82" s="241">
        <f t="shared" si="256"/>
        <v>174.19636046097665</v>
      </c>
      <c r="Y82" s="242">
        <f t="shared" si="256"/>
        <v>167.96154490858956</v>
      </c>
      <c r="Z82" s="241">
        <f t="shared" si="256"/>
        <v>174.19636046097665</v>
      </c>
      <c r="AA82" s="242">
        <f t="shared" si="256"/>
        <v>167.96154490858956</v>
      </c>
      <c r="AB82" s="243">
        <f t="shared" si="256"/>
        <v>174.19636046097665</v>
      </c>
      <c r="AC82" s="242">
        <f t="shared" si="256"/>
        <v>167.96154490858956</v>
      </c>
      <c r="AE82" s="1122"/>
      <c r="AF82" s="129" t="s">
        <v>166</v>
      </c>
      <c r="AG82" s="129" t="s">
        <v>74</v>
      </c>
      <c r="AH82" s="241">
        <f>X82</f>
        <v>174.19636046097665</v>
      </c>
      <c r="AI82" s="242">
        <f t="shared" si="257"/>
        <v>167.96154490858956</v>
      </c>
      <c r="AJ82" s="241">
        <f t="shared" ref="AJ82:AJ84" si="262">Z82</f>
        <v>174.19636046097665</v>
      </c>
      <c r="AK82" s="242">
        <f t="shared" si="258"/>
        <v>167.96154490858956</v>
      </c>
      <c r="AL82" s="243">
        <f t="shared" ref="AL82:AL84" si="263">AB82</f>
        <v>174.19636046097665</v>
      </c>
      <c r="AM82" s="242">
        <f t="shared" si="259"/>
        <v>167.96154490858956</v>
      </c>
    </row>
    <row r="83" spans="1:39" x14ac:dyDescent="0.25">
      <c r="A83" s="1131"/>
      <c r="B83" s="1074" t="s">
        <v>167</v>
      </c>
      <c r="C83" s="1074" t="s">
        <v>74</v>
      </c>
      <c r="D83" s="267">
        <f t="shared" si="260"/>
        <v>161.67832238066717</v>
      </c>
      <c r="E83" s="267">
        <f t="shared" si="260"/>
        <v>158.96810940493347</v>
      </c>
      <c r="F83" s="267">
        <f t="shared" si="260"/>
        <v>161.67832238066717</v>
      </c>
      <c r="G83" s="267">
        <f t="shared" si="260"/>
        <v>158.96810940493347</v>
      </c>
      <c r="H83" s="267">
        <f t="shared" si="260"/>
        <v>161.67832238066717</v>
      </c>
      <c r="I83" s="267">
        <f t="shared" si="260"/>
        <v>158.96810940493347</v>
      </c>
      <c r="K83" s="1122"/>
      <c r="L83" s="129" t="s">
        <v>167</v>
      </c>
      <c r="M83" s="129" t="s">
        <v>74</v>
      </c>
      <c r="N83" s="267">
        <f t="shared" ref="N83:S83" si="264">(1-N25)*(N$6*N13+N55)+N25*(N$7*N18+N60)+N31</f>
        <v>161.67832238066717</v>
      </c>
      <c r="O83" s="267">
        <f t="shared" si="264"/>
        <v>158.96810940493347</v>
      </c>
      <c r="P83" s="267">
        <f t="shared" si="264"/>
        <v>161.67832238066717</v>
      </c>
      <c r="Q83" s="267">
        <f t="shared" si="264"/>
        <v>158.96810940493347</v>
      </c>
      <c r="R83" s="267">
        <f t="shared" si="264"/>
        <v>161.67832238066717</v>
      </c>
      <c r="S83" s="267">
        <f t="shared" si="264"/>
        <v>158.96810940493347</v>
      </c>
      <c r="U83" s="1122"/>
      <c r="V83" s="129" t="s">
        <v>167</v>
      </c>
      <c r="W83" s="129" t="s">
        <v>74</v>
      </c>
      <c r="X83" s="241">
        <f t="shared" si="256"/>
        <v>161.67832238066717</v>
      </c>
      <c r="Y83" s="242">
        <f t="shared" si="256"/>
        <v>158.96810940493347</v>
      </c>
      <c r="Z83" s="241">
        <f t="shared" si="256"/>
        <v>161.67832238066717</v>
      </c>
      <c r="AA83" s="242">
        <f t="shared" si="256"/>
        <v>158.96810940493347</v>
      </c>
      <c r="AB83" s="243">
        <f t="shared" si="256"/>
        <v>161.67832238066717</v>
      </c>
      <c r="AC83" s="242">
        <f t="shared" si="256"/>
        <v>158.96810940493347</v>
      </c>
      <c r="AE83" s="1122"/>
      <c r="AF83" s="129" t="s">
        <v>167</v>
      </c>
      <c r="AG83" s="129" t="s">
        <v>74</v>
      </c>
      <c r="AH83" s="241">
        <f>X83</f>
        <v>161.67832238066717</v>
      </c>
      <c r="AI83" s="242">
        <f t="shared" si="257"/>
        <v>158.96810940493347</v>
      </c>
      <c r="AJ83" s="241">
        <f t="shared" si="262"/>
        <v>161.67832238066717</v>
      </c>
      <c r="AK83" s="242">
        <f t="shared" si="258"/>
        <v>158.96810940493347</v>
      </c>
      <c r="AL83" s="243">
        <f t="shared" si="263"/>
        <v>161.67832238066717</v>
      </c>
      <c r="AM83" s="242">
        <f t="shared" si="259"/>
        <v>158.96810940493347</v>
      </c>
    </row>
    <row r="84" spans="1:39" x14ac:dyDescent="0.25">
      <c r="A84" s="1131"/>
      <c r="B84" s="1074" t="s">
        <v>168</v>
      </c>
      <c r="C84" s="1074" t="s">
        <v>74</v>
      </c>
      <c r="D84" s="267">
        <f t="shared" si="260"/>
        <v>177.82507729823442</v>
      </c>
      <c r="E84" s="267">
        <f t="shared" si="260"/>
        <v>175.89906720881777</v>
      </c>
      <c r="F84" s="267">
        <f t="shared" si="260"/>
        <v>177.82507729823442</v>
      </c>
      <c r="G84" s="267">
        <f t="shared" si="260"/>
        <v>175.89906720881777</v>
      </c>
      <c r="H84" s="267">
        <f t="shared" si="260"/>
        <v>177.82507729823442</v>
      </c>
      <c r="I84" s="267">
        <f t="shared" si="260"/>
        <v>175.89906720881777</v>
      </c>
      <c r="K84" s="1122"/>
      <c r="L84" s="129" t="s">
        <v>168</v>
      </c>
      <c r="M84" s="129" t="s">
        <v>74</v>
      </c>
      <c r="N84" s="267">
        <f t="shared" ref="N84:S84" si="265">(1-N26)*(N$6*N14+N56)+N26*(N$7*N19+N61)+N32</f>
        <v>177.82507729823442</v>
      </c>
      <c r="O84" s="267">
        <f t="shared" si="265"/>
        <v>175.89906720881777</v>
      </c>
      <c r="P84" s="267">
        <f t="shared" si="265"/>
        <v>177.82507729823442</v>
      </c>
      <c r="Q84" s="267">
        <f t="shared" si="265"/>
        <v>175.89906720881777</v>
      </c>
      <c r="R84" s="267">
        <f t="shared" si="265"/>
        <v>177.82507729823442</v>
      </c>
      <c r="S84" s="267">
        <f t="shared" si="265"/>
        <v>175.89906720881777</v>
      </c>
      <c r="U84" s="1122"/>
      <c r="V84" s="129" t="s">
        <v>168</v>
      </c>
      <c r="W84" s="129" t="s">
        <v>74</v>
      </c>
      <c r="X84" s="267">
        <f t="shared" si="256"/>
        <v>177.82507729823442</v>
      </c>
      <c r="Y84" s="268">
        <f t="shared" si="256"/>
        <v>175.89906720881777</v>
      </c>
      <c r="Z84" s="267">
        <f t="shared" si="256"/>
        <v>177.82507729823442</v>
      </c>
      <c r="AA84" s="268">
        <f t="shared" si="256"/>
        <v>175.89906720881777</v>
      </c>
      <c r="AB84" s="269">
        <f t="shared" si="256"/>
        <v>177.82507729823442</v>
      </c>
      <c r="AC84" s="268">
        <f t="shared" si="256"/>
        <v>175.89906720881777</v>
      </c>
      <c r="AE84" s="1122"/>
      <c r="AF84" s="129" t="s">
        <v>168</v>
      </c>
      <c r="AG84" s="129" t="s">
        <v>74</v>
      </c>
      <c r="AH84" s="267">
        <f t="shared" ref="AH84" si="266">X84</f>
        <v>177.82507729823442</v>
      </c>
      <c r="AI84" s="268">
        <f t="shared" si="257"/>
        <v>175.89906720881777</v>
      </c>
      <c r="AJ84" s="267">
        <f t="shared" si="262"/>
        <v>177.82507729823442</v>
      </c>
      <c r="AK84" s="268">
        <f t="shared" si="258"/>
        <v>175.89906720881777</v>
      </c>
      <c r="AL84" s="269">
        <f t="shared" si="263"/>
        <v>177.82507729823442</v>
      </c>
      <c r="AM84" s="268">
        <f t="shared" si="259"/>
        <v>175.89906720881777</v>
      </c>
    </row>
    <row r="85" spans="1:39" x14ac:dyDescent="0.25">
      <c r="A85" s="1131"/>
      <c r="B85" s="1075" t="s">
        <v>190</v>
      </c>
      <c r="C85" s="1075" t="s">
        <v>74</v>
      </c>
      <c r="D85" s="191">
        <f>SUMPRODUCT(D81:D84,D46:D49)/D50</f>
        <v>172.79834480680643</v>
      </c>
      <c r="E85" s="192">
        <f t="shared" ref="E85:I85" si="267">SUMPRODUCT(E81:E84,E46:E49)/E50</f>
        <v>170.38831537025212</v>
      </c>
      <c r="F85" s="191">
        <f t="shared" si="267"/>
        <v>172.79834480680643</v>
      </c>
      <c r="G85" s="192">
        <f t="shared" si="267"/>
        <v>170.38831537025212</v>
      </c>
      <c r="H85" s="193">
        <f t="shared" si="267"/>
        <v>172.79834480680643</v>
      </c>
      <c r="I85" s="192">
        <f t="shared" si="267"/>
        <v>170.38831537025212</v>
      </c>
      <c r="K85" s="1122"/>
      <c r="L85" s="180" t="s">
        <v>190</v>
      </c>
      <c r="M85" s="180" t="s">
        <v>74</v>
      </c>
      <c r="N85" s="191">
        <f>SUMPRODUCT(N81:N84,N46:N49)/N50</f>
        <v>172.79834480680643</v>
      </c>
      <c r="O85" s="192">
        <f t="shared" ref="O85:S85" si="268">SUMPRODUCT(O81:O84,O46:O49)/O50</f>
        <v>170.38831537025212</v>
      </c>
      <c r="P85" s="191">
        <f t="shared" si="268"/>
        <v>172.79834480680643</v>
      </c>
      <c r="Q85" s="192">
        <f t="shared" si="268"/>
        <v>170.38831537025212</v>
      </c>
      <c r="R85" s="193">
        <f t="shared" si="268"/>
        <v>172.79834480680643</v>
      </c>
      <c r="S85" s="192">
        <f t="shared" si="268"/>
        <v>170.38831537025212</v>
      </c>
      <c r="U85" s="1122"/>
      <c r="V85" s="180" t="s">
        <v>190</v>
      </c>
      <c r="W85" s="180" t="s">
        <v>74</v>
      </c>
      <c r="X85" s="191">
        <f>SUMPRODUCT(X81:X84,X46:X49)/X50</f>
        <v>172.79834480680643</v>
      </c>
      <c r="Y85" s="192">
        <f t="shared" ref="Y85:AC85" si="269">SUMPRODUCT(Y81:Y84,Y46:Y49)/Y50</f>
        <v>170.38831537025212</v>
      </c>
      <c r="Z85" s="191">
        <f t="shared" si="269"/>
        <v>172.79834480680643</v>
      </c>
      <c r="AA85" s="192">
        <f t="shared" si="269"/>
        <v>170.38831537025212</v>
      </c>
      <c r="AB85" s="193">
        <f t="shared" si="269"/>
        <v>172.79834480680643</v>
      </c>
      <c r="AC85" s="192">
        <f t="shared" si="269"/>
        <v>170.38831537025212</v>
      </c>
      <c r="AE85" s="1122"/>
      <c r="AF85" s="180" t="s">
        <v>190</v>
      </c>
      <c r="AG85" s="180" t="s">
        <v>74</v>
      </c>
      <c r="AH85" s="191">
        <f t="shared" ref="AH85:AM85" si="270">SUMPRODUCT(AH81:AH84,AH46:AH49)/AH50</f>
        <v>172.79834480680643</v>
      </c>
      <c r="AI85" s="192">
        <f t="shared" si="270"/>
        <v>170.38831537025212</v>
      </c>
      <c r="AJ85" s="191">
        <f>SUMPRODUCT(AJ81:AJ84,AJ46:AJ49)/AJ50</f>
        <v>172.79834480680643</v>
      </c>
      <c r="AK85" s="192">
        <f t="shared" si="270"/>
        <v>170.38831537025212</v>
      </c>
      <c r="AL85" s="193">
        <f>SUMPRODUCT(AL81:AL84,AL46:AL49)/AL50</f>
        <v>172.79834480680643</v>
      </c>
      <c r="AM85" s="192">
        <f t="shared" si="270"/>
        <v>170.38831537025212</v>
      </c>
    </row>
    <row r="86" spans="1:39" ht="15.75" thickBot="1" x14ac:dyDescent="0.3">
      <c r="A86" s="1132"/>
      <c r="B86" s="1076" t="s">
        <v>234</v>
      </c>
      <c r="C86" s="1076" t="s">
        <v>25</v>
      </c>
      <c r="D86" s="217" t="s">
        <v>78</v>
      </c>
      <c r="E86" s="218" t="s">
        <v>78</v>
      </c>
      <c r="F86" s="217" t="s">
        <v>78</v>
      </c>
      <c r="G86" s="218" t="s">
        <v>78</v>
      </c>
      <c r="H86" s="219" t="s">
        <v>78</v>
      </c>
      <c r="I86" s="218" t="s">
        <v>78</v>
      </c>
      <c r="K86" s="1123"/>
      <c r="L86" s="181" t="s">
        <v>234</v>
      </c>
      <c r="M86" s="181" t="s">
        <v>25</v>
      </c>
      <c r="N86" s="217">
        <f>N85/D85-1</f>
        <v>0</v>
      </c>
      <c r="O86" s="218">
        <f t="shared" ref="O86" si="271">O85/E85-1</f>
        <v>0</v>
      </c>
      <c r="P86" s="217">
        <f>P85/D85-1</f>
        <v>0</v>
      </c>
      <c r="Q86" s="218">
        <f>Q85/E85-1</f>
        <v>0</v>
      </c>
      <c r="R86" s="219">
        <f>R85/D85-1</f>
        <v>0</v>
      </c>
      <c r="S86" s="218">
        <f>S85/E85-1</f>
        <v>0</v>
      </c>
      <c r="U86" s="1123"/>
      <c r="V86" s="181" t="s">
        <v>234</v>
      </c>
      <c r="W86" s="181" t="s">
        <v>25</v>
      </c>
      <c r="X86" s="217">
        <f>X85/D85-1</f>
        <v>0</v>
      </c>
      <c r="Y86" s="218">
        <f>Y85/E85-1</f>
        <v>0</v>
      </c>
      <c r="Z86" s="217">
        <f>Z85/D85-1</f>
        <v>0</v>
      </c>
      <c r="AA86" s="218">
        <f>AA85/E85-1</f>
        <v>0</v>
      </c>
      <c r="AB86" s="219">
        <f>AB85/D85-1</f>
        <v>0</v>
      </c>
      <c r="AC86" s="218">
        <f>AC85/E85-1</f>
        <v>0</v>
      </c>
      <c r="AE86" s="1123"/>
      <c r="AF86" s="181" t="s">
        <v>234</v>
      </c>
      <c r="AG86" s="181" t="s">
        <v>25</v>
      </c>
      <c r="AH86" s="217">
        <f>AH85/D85-1</f>
        <v>0</v>
      </c>
      <c r="AI86" s="218">
        <f>AI85/E85-1</f>
        <v>0</v>
      </c>
      <c r="AJ86" s="217">
        <f>AJ85/D85-1</f>
        <v>0</v>
      </c>
      <c r="AK86" s="218">
        <f>AK85/E85-1</f>
        <v>0</v>
      </c>
      <c r="AL86" s="219">
        <f>AL85/D85-1</f>
        <v>0</v>
      </c>
      <c r="AM86" s="218">
        <f>AM85/E85-1</f>
        <v>0</v>
      </c>
    </row>
    <row r="87" spans="1:39" x14ac:dyDescent="0.25">
      <c r="A87" s="26"/>
      <c r="B87" s="26"/>
      <c r="C87" s="26"/>
      <c r="D87" s="26"/>
      <c r="E87" s="26"/>
      <c r="F87" s="26"/>
      <c r="G87" s="26"/>
      <c r="H87" s="26"/>
      <c r="I87" s="26"/>
      <c r="K87" s="26"/>
      <c r="L87" s="26"/>
      <c r="M87" s="26"/>
      <c r="N87" s="26"/>
      <c r="O87" s="26"/>
      <c r="P87" s="26"/>
      <c r="Q87" s="26"/>
      <c r="R87" s="26"/>
      <c r="S87" s="26"/>
      <c r="U87" s="26"/>
      <c r="V87" s="26"/>
      <c r="W87" s="26"/>
      <c r="X87" s="26"/>
      <c r="Y87" s="26"/>
      <c r="Z87" s="26"/>
      <c r="AA87" s="26"/>
      <c r="AB87" s="26"/>
      <c r="AC87" s="26"/>
    </row>
    <row r="88" spans="1:39" ht="15.75" thickBot="1" x14ac:dyDescent="0.3">
      <c r="AE88" s="393" t="s">
        <v>267</v>
      </c>
      <c r="AF88" s="394"/>
      <c r="AG88" s="394"/>
      <c r="AH88" s="40"/>
      <c r="AI88" s="40"/>
      <c r="AJ88" s="40"/>
      <c r="AK88" s="40"/>
      <c r="AL88" s="40"/>
      <c r="AM88" s="40"/>
    </row>
    <row r="89" spans="1:39" x14ac:dyDescent="0.25">
      <c r="AE89" s="1121" t="s">
        <v>265</v>
      </c>
      <c r="AF89" s="128" t="s">
        <v>9</v>
      </c>
      <c r="AG89" s="128" t="s">
        <v>128</v>
      </c>
      <c r="AH89" s="238">
        <f>(1-Indata!D$11-Indata!D$12)*'Indata - Effektsamband-Faktorer'!$D$11*'Modell - Tunga fordon'!AH$15*'Modell - Tunga fordon'!AH$40/10</f>
        <v>2.6531104436628112</v>
      </c>
      <c r="AI89" s="239">
        <f>(1-Indata!E$11-Indata!E$12)*'Indata - Effektsamband-Faktorer'!$E$11*'Modell - Tunga fordon'!AI$15*'Modell - Tunga fordon'!AI$40/10</f>
        <v>2.3066951315773201</v>
      </c>
      <c r="AJ89" s="238">
        <f>(1-Indata!F$11-Indata!F$12)*'Indata - Effektsamband-Faktorer'!$D$11*'Modell - Tunga fordon'!AJ$15*'Modell - Tunga fordon'!AJ$40/10</f>
        <v>2.6531104436628112</v>
      </c>
      <c r="AK89" s="239">
        <f>(1-Indata!G$11-Indata!G$12)*'Indata - Effektsamband-Faktorer'!$E$11*'Modell - Tunga fordon'!AK$15*'Modell - Tunga fordon'!AK$40/10</f>
        <v>2.3066951315773201</v>
      </c>
      <c r="AL89" s="238">
        <f>(1-Indata!H$11-Indata!H$12)*'Indata - Effektsamband-Faktorer'!$D$11*'Modell - Tunga fordon'!AL$15*'Modell - Tunga fordon'!AL$40/10</f>
        <v>2.6531104436628112</v>
      </c>
      <c r="AM89" s="239">
        <f>(1-Indata!I$11-Indata!I$12)*'Indata - Effektsamband-Faktorer'!$E$11*'Modell - Tunga fordon'!AM$15*'Modell - Tunga fordon'!AM$40/10</f>
        <v>2.3066951315773201</v>
      </c>
    </row>
    <row r="90" spans="1:39" x14ac:dyDescent="0.25">
      <c r="AE90" s="1122"/>
      <c r="AF90" s="129" t="s">
        <v>7</v>
      </c>
      <c r="AG90" s="129" t="s">
        <v>128</v>
      </c>
      <c r="AH90" s="391">
        <f>'Indata - Effektsamband-Faktorer'!$D$12*'Modell - Tunga fordon'!AH$20*'Modell - Tunga fordon'!AH$45/10</f>
        <v>0</v>
      </c>
      <c r="AI90" s="392">
        <f>'Indata - Effektsamband-Faktorer'!$E$12*'Modell - Tunga fordon'!AI$20*'Modell - Tunga fordon'!AI$45/10</f>
        <v>0</v>
      </c>
      <c r="AJ90" s="391">
        <f>'Indata - Effektsamband-Faktorer'!$D$12*'Modell - Tunga fordon'!AJ$20*'Modell - Tunga fordon'!AJ$45/10</f>
        <v>0</v>
      </c>
      <c r="AK90" s="392">
        <f>'Indata - Effektsamband-Faktorer'!$E$12*'Modell - Tunga fordon'!AK$20*'Modell - Tunga fordon'!AK$45/10</f>
        <v>0</v>
      </c>
      <c r="AL90" s="391">
        <f>'Indata - Effektsamband-Faktorer'!$D$12*'Modell - Tunga fordon'!AL$20*'Modell - Tunga fordon'!AL$45/10</f>
        <v>0</v>
      </c>
      <c r="AM90" s="392">
        <f>'Indata - Effektsamband-Faktorer'!$E$12*'Modell - Tunga fordon'!AM$20*'Modell - Tunga fordon'!AM$45/10</f>
        <v>0</v>
      </c>
    </row>
    <row r="91" spans="1:39" ht="15.75" thickBot="1" x14ac:dyDescent="0.3">
      <c r="AE91" s="1123"/>
      <c r="AF91" s="182" t="s">
        <v>16</v>
      </c>
      <c r="AG91" s="182" t="s">
        <v>128</v>
      </c>
      <c r="AH91" s="214">
        <f>SUM(AH89:AH90)</f>
        <v>2.6531104436628112</v>
      </c>
      <c r="AI91" s="215">
        <f t="shared" ref="AI91:AM91" si="272">SUM(AI89:AI90)</f>
        <v>2.3066951315773201</v>
      </c>
      <c r="AJ91" s="214">
        <f t="shared" si="272"/>
        <v>2.6531104436628112</v>
      </c>
      <c r="AK91" s="215">
        <f>SUM(AK89:AK90)</f>
        <v>2.3066951315773201</v>
      </c>
      <c r="AL91" s="214">
        <f t="shared" si="272"/>
        <v>2.6531104436628112</v>
      </c>
      <c r="AM91" s="215">
        <f t="shared" si="272"/>
        <v>2.3066951315773201</v>
      </c>
    </row>
    <row r="92" spans="1:39" x14ac:dyDescent="0.25">
      <c r="AE92" s="1121" t="s">
        <v>276</v>
      </c>
      <c r="AF92" s="128" t="s">
        <v>9</v>
      </c>
      <c r="AG92" s="128" t="s">
        <v>325</v>
      </c>
      <c r="AH92" s="238">
        <f>'Indata - Effektsamband-Faktorer'!$D$15*'Modell - Tunga fordon'!AH$40</f>
        <v>1.9535949121051688</v>
      </c>
      <c r="AI92" s="239">
        <f>'Indata - Effektsamband-Faktorer'!$E$15*'Modell - Tunga fordon'!AI$40</f>
        <v>1.8174256876650472</v>
      </c>
      <c r="AJ92" s="238">
        <f>'Indata - Effektsamband-Faktorer'!$D$15*'Modell - Tunga fordon'!AJ$40</f>
        <v>1.9535949121051688</v>
      </c>
      <c r="AK92" s="239">
        <f>'Indata - Effektsamband-Faktorer'!$E$15*'Modell - Tunga fordon'!AK$40</f>
        <v>1.8174256876650472</v>
      </c>
      <c r="AL92" s="238">
        <f>'Indata - Effektsamband-Faktorer'!$D$15*'Modell - Tunga fordon'!AL$40</f>
        <v>1.9535949121051688</v>
      </c>
      <c r="AM92" s="239">
        <f>'Indata - Effektsamband-Faktorer'!$E$15*'Modell - Tunga fordon'!AM$40</f>
        <v>1.8174256876650472</v>
      </c>
    </row>
    <row r="93" spans="1:39" x14ac:dyDescent="0.25">
      <c r="AE93" s="1122"/>
      <c r="AF93" s="129" t="s">
        <v>7</v>
      </c>
      <c r="AG93" s="129" t="s">
        <v>325</v>
      </c>
      <c r="AH93" s="391">
        <v>0</v>
      </c>
      <c r="AI93" s="392">
        <v>0</v>
      </c>
      <c r="AJ93" s="391">
        <v>0</v>
      </c>
      <c r="AK93" s="392">
        <v>0</v>
      </c>
      <c r="AL93" s="391">
        <v>0</v>
      </c>
      <c r="AM93" s="392">
        <v>0</v>
      </c>
    </row>
    <row r="94" spans="1:39" ht="15.75" thickBot="1" x14ac:dyDescent="0.3">
      <c r="AE94" s="1123"/>
      <c r="AF94" s="182" t="s">
        <v>16</v>
      </c>
      <c r="AG94" s="182" t="s">
        <v>325</v>
      </c>
      <c r="AH94" s="214">
        <f t="shared" ref="AH94:AM94" si="273">SUM(AH92:AH93)</f>
        <v>1.9535949121051688</v>
      </c>
      <c r="AI94" s="215">
        <f t="shared" si="273"/>
        <v>1.8174256876650472</v>
      </c>
      <c r="AJ94" s="214">
        <f t="shared" si="273"/>
        <v>1.9535949121051688</v>
      </c>
      <c r="AK94" s="215">
        <f t="shared" si="273"/>
        <v>1.8174256876650472</v>
      </c>
      <c r="AL94" s="214">
        <f t="shared" si="273"/>
        <v>1.9535949121051688</v>
      </c>
      <c r="AM94" s="215">
        <f t="shared" si="273"/>
        <v>1.8174256876650472</v>
      </c>
    </row>
    <row r="95" spans="1:39" x14ac:dyDescent="0.25">
      <c r="AE95" s="1121" t="s">
        <v>270</v>
      </c>
      <c r="AF95" s="128" t="s">
        <v>9</v>
      </c>
      <c r="AG95" s="128" t="s">
        <v>325</v>
      </c>
      <c r="AH95" s="238">
        <f>'Indata - Effektsamband-Faktorer'!$D$18*'Modell - Tunga fordon'!AH$40</f>
        <v>3.1735896971207704E-2</v>
      </c>
      <c r="AI95" s="239">
        <f>'Indata - Effektsamband-Faktorer'!$E$18*'Modell - Tunga fordon'!AI$40</f>
        <v>2.9309268796168835E-2</v>
      </c>
      <c r="AJ95" s="238">
        <f>'Indata - Effektsamband-Faktorer'!$D$18*'Modell - Tunga fordon'!AJ$40</f>
        <v>3.1735896971207704E-2</v>
      </c>
      <c r="AK95" s="239">
        <f>'Indata - Effektsamband-Faktorer'!$E$18*'Modell - Tunga fordon'!AK$40</f>
        <v>2.9309268796168835E-2</v>
      </c>
      <c r="AL95" s="238">
        <f>'Indata - Effektsamband-Faktorer'!$D$18*'Modell - Tunga fordon'!AL$40</f>
        <v>3.1735896971207704E-2</v>
      </c>
      <c r="AM95" s="239">
        <f>'Indata - Effektsamband-Faktorer'!$E$18*'Modell - Tunga fordon'!AM$40</f>
        <v>2.9309268796168835E-2</v>
      </c>
    </row>
    <row r="96" spans="1:39" x14ac:dyDescent="0.25">
      <c r="AE96" s="1122"/>
      <c r="AF96" s="129" t="s">
        <v>7</v>
      </c>
      <c r="AG96" s="129" t="s">
        <v>325</v>
      </c>
      <c r="AH96" s="391">
        <v>0</v>
      </c>
      <c r="AI96" s="392">
        <v>0</v>
      </c>
      <c r="AJ96" s="391">
        <v>0</v>
      </c>
      <c r="AK96" s="392">
        <v>0</v>
      </c>
      <c r="AL96" s="391">
        <v>0</v>
      </c>
      <c r="AM96" s="392">
        <v>0</v>
      </c>
    </row>
    <row r="97" spans="31:39" ht="15.75" thickBot="1" x14ac:dyDescent="0.3">
      <c r="AE97" s="1123"/>
      <c r="AF97" s="182" t="s">
        <v>16</v>
      </c>
      <c r="AG97" s="182" t="s">
        <v>325</v>
      </c>
      <c r="AH97" s="214">
        <f t="shared" ref="AH97:AM97" si="274">SUM(AH95:AH96)</f>
        <v>3.1735896971207704E-2</v>
      </c>
      <c r="AI97" s="215">
        <f t="shared" si="274"/>
        <v>2.9309268796168835E-2</v>
      </c>
      <c r="AJ97" s="214">
        <f t="shared" si="274"/>
        <v>3.1735896971207704E-2</v>
      </c>
      <c r="AK97" s="215">
        <f t="shared" si="274"/>
        <v>2.9309268796168835E-2</v>
      </c>
      <c r="AL97" s="214">
        <f t="shared" si="274"/>
        <v>3.1735896971207704E-2</v>
      </c>
      <c r="AM97" s="215">
        <f t="shared" si="274"/>
        <v>2.9309268796168835E-2</v>
      </c>
    </row>
    <row r="98" spans="31:39" ht="15" customHeight="1" x14ac:dyDescent="0.25">
      <c r="AE98" s="377" t="s">
        <v>271</v>
      </c>
      <c r="AF98" s="128" t="s">
        <v>16</v>
      </c>
      <c r="AG98" s="128" t="s">
        <v>325</v>
      </c>
      <c r="AH98" s="454">
        <f>'Indata - Effektsamband-Faktorer'!$D$20*'Modell - Tunga fordon'!AH$50</f>
        <v>1.1954746781289414</v>
      </c>
      <c r="AI98" s="455">
        <f>'Indata - Effektsamband-Faktorer'!$E$20*'Modell - Tunga fordon'!AI$50</f>
        <v>1.4097925146582579</v>
      </c>
      <c r="AJ98" s="454">
        <f>'Indata - Effektsamband-Faktorer'!$D$20*'Modell - Tunga fordon'!AJ$50</f>
        <v>1.1954746781289414</v>
      </c>
      <c r="AK98" s="455">
        <f>'Indata - Effektsamband-Faktorer'!$E$20*'Modell - Tunga fordon'!AK$50</f>
        <v>1.4097925146582579</v>
      </c>
      <c r="AL98" s="454">
        <f>'Indata - Effektsamband-Faktorer'!$D$20*'Modell - Tunga fordon'!AL$50</f>
        <v>1.1954746781289414</v>
      </c>
      <c r="AM98" s="455">
        <f>'Indata - Effektsamband-Faktorer'!$E$20*'Modell - Tunga fordon'!AM$50</f>
        <v>1.4097925146582579</v>
      </c>
    </row>
    <row r="100" spans="31:39" ht="15.75" thickBot="1" x14ac:dyDescent="0.3">
      <c r="AE100" s="42" t="s">
        <v>268</v>
      </c>
      <c r="AF100" s="40"/>
      <c r="AG100" s="40"/>
      <c r="AH100" s="40"/>
      <c r="AI100" s="40"/>
      <c r="AJ100" s="40"/>
      <c r="AK100" s="40"/>
      <c r="AL100" s="40"/>
      <c r="AM100" s="40"/>
    </row>
    <row r="101" spans="31:39" x14ac:dyDescent="0.25">
      <c r="AE101" s="1121" t="s">
        <v>130</v>
      </c>
      <c r="AF101" s="128" t="s">
        <v>97</v>
      </c>
      <c r="AG101" s="183" t="s">
        <v>129</v>
      </c>
      <c r="AH101" s="238">
        <f>(1-Indata!D$11-Indata!D$12)*'Indata - Effektsamband-Faktorer'!$D22*'Modell - Tunga fordon'!AH$15*'Modell - Tunga fordon'!AH$40/10</f>
        <v>10.236410373187224</v>
      </c>
      <c r="AI101" s="239">
        <f>(1-Indata!E$11-Indata!E$12)*'Indata - Effektsamband-Faktorer'!$E22*'Modell - Tunga fordon'!AI$15*'Modell - Tunga fordon'!AI$40/10</f>
        <v>8.8998473580542274</v>
      </c>
      <c r="AJ101" s="238">
        <f>(1-Indata!F$11-Indata!F$12)*'Indata - Effektsamband-Faktorer'!$D22*'Modell - Tunga fordon'!AJ$15*'Modell - Tunga fordon'!AJ$40/10</f>
        <v>10.236410373187224</v>
      </c>
      <c r="AK101" s="239">
        <f>(1-Indata!G$11-Indata!G$12)*'Indata - Effektsamband-Faktorer'!$E22*'Modell - Tunga fordon'!AK$15*'Modell - Tunga fordon'!AK$40/10</f>
        <v>8.8998473580542274</v>
      </c>
      <c r="AL101" s="240">
        <f>(1-Indata!H$11-Indata!H$12)*'Indata - Effektsamband-Faktorer'!$D22*'Modell - Tunga fordon'!AL$15*'Modell - Tunga fordon'!AL$40/10</f>
        <v>10.236410373187224</v>
      </c>
      <c r="AM101" s="239">
        <f>(1-Indata!I$11-Indata!I$12)*'Indata - Effektsamband-Faktorer'!$E22*'Modell - Tunga fordon'!AM$15*'Modell - Tunga fordon'!AM$40/10</f>
        <v>8.8998473580542274</v>
      </c>
    </row>
    <row r="102" spans="31:39" x14ac:dyDescent="0.25">
      <c r="AE102" s="1122"/>
      <c r="AF102" s="129" t="s">
        <v>100</v>
      </c>
      <c r="AG102" s="184" t="s">
        <v>129</v>
      </c>
      <c r="AH102" s="241">
        <f>(Indata!D$11*'Indata - Effektsamband-Faktorer'!$D$25+Indata!D$12*'Indata - Effektsamband-Faktorer'!$D$26)*'Modell - Tunga fordon'!AH$15*'Modell - Tunga fordon'!AH$40/10</f>
        <v>4.6111465034920069</v>
      </c>
      <c r="AI102" s="242">
        <f>(Indata!E$11*'Indata - Effektsamband-Faktorer'!$E$25+Indata!E$12*'Indata - Effektsamband-Faktorer'!$E$26)*'Modell - Tunga fordon'!AI$15*'Modell - Tunga fordon'!AI$40/10</f>
        <v>4.0090713961799205</v>
      </c>
      <c r="AJ102" s="241">
        <f>(Indata!F$11*'Indata - Effektsamband-Faktorer'!$D$25+Indata!F$12*'Indata - Effektsamband-Faktorer'!$D$26)*'Modell - Tunga fordon'!AJ$15*'Modell - Tunga fordon'!AJ$40/10</f>
        <v>4.6111465034920069</v>
      </c>
      <c r="AK102" s="242">
        <f>(Indata!G$11*'Indata - Effektsamband-Faktorer'!$E$25+Indata!G$12*'Indata - Effektsamband-Faktorer'!$E$26)*'Modell - Tunga fordon'!AK$15*'Modell - Tunga fordon'!AK$40/10</f>
        <v>4.0090713961799205</v>
      </c>
      <c r="AL102" s="243">
        <f>(Indata!H$11*'Indata - Effektsamband-Faktorer'!$D$25+Indata!H$12*'Indata - Effektsamband-Faktorer'!$D$26)*'Modell - Tunga fordon'!AL$15*'Modell - Tunga fordon'!AL$40/10</f>
        <v>4.6111465034920069</v>
      </c>
      <c r="AM102" s="242">
        <f>(Indata!I$11*'Indata - Effektsamband-Faktorer'!$E$25+Indata!I$12*'Indata - Effektsamband-Faktorer'!$E$26)*'Modell - Tunga fordon'!AM$15*'Modell - Tunga fordon'!AM$40/10</f>
        <v>4.0090713961799205</v>
      </c>
    </row>
    <row r="103" spans="31:39" ht="15.75" thickBot="1" x14ac:dyDescent="0.3">
      <c r="AE103" s="1123"/>
      <c r="AF103" s="130" t="s">
        <v>7</v>
      </c>
      <c r="AG103" s="186" t="s">
        <v>129</v>
      </c>
      <c r="AH103" s="244">
        <f t="shared" ref="AH103:AM103" si="275">AH20*AH45/10</f>
        <v>0.1650673257837407</v>
      </c>
      <c r="AI103" s="245">
        <f t="shared" si="275"/>
        <v>0.77863859289363913</v>
      </c>
      <c r="AJ103" s="244">
        <f t="shared" si="275"/>
        <v>0.1650673257837407</v>
      </c>
      <c r="AK103" s="245">
        <f t="shared" si="275"/>
        <v>0.77863859289363913</v>
      </c>
      <c r="AL103" s="246">
        <f t="shared" si="275"/>
        <v>0.1650673257837407</v>
      </c>
      <c r="AM103" s="245">
        <f t="shared" si="275"/>
        <v>0.77863859289363913</v>
      </c>
    </row>
    <row r="105" spans="31:39" ht="15.75" thickBot="1" x14ac:dyDescent="0.3">
      <c r="AE105" s="42" t="s">
        <v>275</v>
      </c>
      <c r="AF105" s="40"/>
      <c r="AG105" s="40"/>
      <c r="AH105" s="40"/>
      <c r="AI105" s="40"/>
      <c r="AJ105" s="40"/>
      <c r="AK105" s="40"/>
      <c r="AL105" s="40"/>
      <c r="AM105" s="40"/>
    </row>
    <row r="106" spans="31:39" ht="14.45" customHeight="1" x14ac:dyDescent="0.25">
      <c r="AE106" s="1121" t="s">
        <v>243</v>
      </c>
      <c r="AF106" s="128" t="s">
        <v>97</v>
      </c>
      <c r="AG106" s="128" t="s">
        <v>136</v>
      </c>
      <c r="AH106" s="238">
        <f>(1-Indata!D$11-Indata!D$12)*'Modell - Drivmedelpriser'!E$57*'Modell - Tunga fordon'!AH$15*'Modell - Tunga fordon'!AH$40/10</f>
        <v>5.8833096119358101</v>
      </c>
      <c r="AI106" s="458">
        <f>(1-Indata!E$11-Indata!E$12)*'Modell - Drivmedelpriser'!F$57*'Modell - Tunga fordon'!AI$15*'Modell - Tunga fordon'!AI$40/10</f>
        <v>6.2353134645035979</v>
      </c>
      <c r="AJ106" s="238">
        <f>(1-Indata!F$11-Indata!F$12)*'Modell - Drivmedelpriser'!G$57*'Modell - Tunga fordon'!AJ$15*'Modell - Tunga fordon'!AJ$40/10</f>
        <v>5.8833096119358101</v>
      </c>
      <c r="AK106" s="458">
        <f>(1-Indata!G$11-Indata!G$12)*'Modell - Drivmedelpriser'!H$57*'Modell - Tunga fordon'!AK$15*'Modell - Tunga fordon'!AK$40/10</f>
        <v>6.2353134645035979</v>
      </c>
      <c r="AL106" s="238">
        <f>(1-Indata!H$11-Indata!H$12)*'Modell - Drivmedelpriser'!I$57*'Modell - Tunga fordon'!AL$15*'Modell - Tunga fordon'!AL$40/10</f>
        <v>5.8833096119358101</v>
      </c>
      <c r="AM106" s="239">
        <f>(1-Indata!I$11-Indata!I$12)*'Modell - Drivmedelpriser'!J$57*'Modell - Tunga fordon'!AM$15*'Modell - Tunga fordon'!AM$40/10</f>
        <v>6.2353134645035979</v>
      </c>
    </row>
    <row r="107" spans="31:39" x14ac:dyDescent="0.25">
      <c r="AE107" s="1122"/>
      <c r="AF107" s="129" t="s">
        <v>100</v>
      </c>
      <c r="AG107" s="129" t="s">
        <v>136</v>
      </c>
      <c r="AH107" s="241">
        <f>(Indata!D$11+Indata!D$12)*'Modell - Drivmedelpriser'!E$57*'Modell - Tunga fordon'!AH$15*'Modell - Tunga fordon'!AH$40/10</f>
        <v>2.768616287969794</v>
      </c>
      <c r="AI107" s="459">
        <f>(Indata!E$11+Indata!E$12)*'Modell - Drivmedelpriser'!F$57*'Modell - Tunga fordon'!AI$15*'Modell - Tunga fordon'!AI$40/10</f>
        <v>2.9342651597663996</v>
      </c>
      <c r="AJ107" s="241">
        <f>(Indata!F$11+Indata!F$12)*'Modell - Drivmedelpriser'!G$57*'Modell - Tunga fordon'!AJ$15*'Modell - Tunga fordon'!AJ$40/10</f>
        <v>2.768616287969794</v>
      </c>
      <c r="AK107" s="459">
        <f>(Indata!G$11+Indata!G$12)*'Modell - Drivmedelpriser'!H$57*'Modell - Tunga fordon'!AK$15*'Modell - Tunga fordon'!AK$40/10</f>
        <v>2.9342651597663996</v>
      </c>
      <c r="AL107" s="241">
        <f>(Indata!H$11+Indata!H$12)*'Modell - Drivmedelpriser'!I$57*'Modell - Tunga fordon'!AL$15*'Modell - Tunga fordon'!AL$40/10</f>
        <v>2.768616287969794</v>
      </c>
      <c r="AM107" s="242">
        <f>(Indata!I$11+Indata!I$12)*'Modell - Drivmedelpriser'!J$57*'Modell - Tunga fordon'!AM$15*'Modell - Tunga fordon'!AM$40/10</f>
        <v>2.9342651597663996</v>
      </c>
    </row>
    <row r="108" spans="31:39" x14ac:dyDescent="0.25">
      <c r="AE108" s="1122"/>
      <c r="AF108" s="129" t="s">
        <v>7</v>
      </c>
      <c r="AG108" s="129" t="s">
        <v>136</v>
      </c>
      <c r="AH108" s="241">
        <f>'Modell - Drivmedelpriser'!E83*'Modell - Tunga fordon'!AH$20*'Modell - Tunga fordon'!AH$45/10</f>
        <v>5.5561661858807121E-2</v>
      </c>
      <c r="AI108" s="459">
        <f>'Modell - Drivmedelpriser'!F83*'Modell - Tunga fordon'!AI$20*'Modell - Tunga fordon'!AI$45/10</f>
        <v>0.26208975036799892</v>
      </c>
      <c r="AJ108" s="241">
        <f>'Modell - Drivmedelpriser'!G83*'Modell - Tunga fordon'!AJ$20*'Modell - Tunga fordon'!AJ$45/10</f>
        <v>5.5561661858807121E-2</v>
      </c>
      <c r="AK108" s="459">
        <f>'Modell - Drivmedelpriser'!H83*'Modell - Tunga fordon'!AK$20*'Modell - Tunga fordon'!AK$45/10</f>
        <v>0.26208975036799892</v>
      </c>
      <c r="AL108" s="241">
        <f>'Modell - Drivmedelpriser'!I83*'Modell - Tunga fordon'!AL$20*'Modell - Tunga fordon'!AL$45/10</f>
        <v>5.5561661858807121E-2</v>
      </c>
      <c r="AM108" s="242">
        <f>'Modell - Drivmedelpriser'!J83*'Modell - Tunga fordon'!AM$20*'Modell - Tunga fordon'!AM$45/10</f>
        <v>0.26208975036799892</v>
      </c>
    </row>
    <row r="109" spans="31:39" ht="15.75" thickBot="1" x14ac:dyDescent="0.3">
      <c r="AE109" s="1122"/>
      <c r="AF109" s="180" t="s">
        <v>16</v>
      </c>
      <c r="AG109" s="180" t="s">
        <v>136</v>
      </c>
      <c r="AH109" s="214">
        <f>SUM(AH106:AH108)</f>
        <v>8.7074875617644114</v>
      </c>
      <c r="AI109" s="460">
        <f t="shared" ref="AI109:AM109" si="276">SUM(AI106:AI108)</f>
        <v>9.4316683746379955</v>
      </c>
      <c r="AJ109" s="214">
        <f t="shared" si="276"/>
        <v>8.7074875617644114</v>
      </c>
      <c r="AK109" s="460">
        <f t="shared" si="276"/>
        <v>9.4316683746379955</v>
      </c>
      <c r="AL109" s="214">
        <f t="shared" si="276"/>
        <v>8.7074875617644114</v>
      </c>
      <c r="AM109" s="215">
        <f t="shared" si="276"/>
        <v>9.4316683746379955</v>
      </c>
    </row>
    <row r="110" spans="31:39" ht="14.45" customHeight="1" x14ac:dyDescent="0.25">
      <c r="AE110" s="1121" t="s">
        <v>201</v>
      </c>
      <c r="AF110" s="128" t="s">
        <v>116</v>
      </c>
      <c r="AG110" s="128" t="s">
        <v>136</v>
      </c>
      <c r="AH110" s="456">
        <f t="shared" ref="AH110:AM113" si="277">AH46/10*AH29</f>
        <v>0</v>
      </c>
      <c r="AI110" s="457">
        <f t="shared" si="277"/>
        <v>0</v>
      </c>
      <c r="AJ110" s="456">
        <f t="shared" si="277"/>
        <v>0</v>
      </c>
      <c r="AK110" s="457">
        <f t="shared" si="277"/>
        <v>0</v>
      </c>
      <c r="AL110" s="461">
        <f t="shared" si="277"/>
        <v>0</v>
      </c>
      <c r="AM110" s="457">
        <f t="shared" si="277"/>
        <v>0</v>
      </c>
    </row>
    <row r="111" spans="31:39" x14ac:dyDescent="0.25">
      <c r="AE111" s="1122"/>
      <c r="AF111" s="129" t="s">
        <v>117</v>
      </c>
      <c r="AG111" s="129" t="s">
        <v>136</v>
      </c>
      <c r="AH111" s="198">
        <f t="shared" si="277"/>
        <v>0</v>
      </c>
      <c r="AI111" s="199">
        <f t="shared" si="277"/>
        <v>0</v>
      </c>
      <c r="AJ111" s="198">
        <f t="shared" si="277"/>
        <v>0</v>
      </c>
      <c r="AK111" s="199">
        <f t="shared" si="277"/>
        <v>0</v>
      </c>
      <c r="AL111" s="200">
        <f t="shared" si="277"/>
        <v>0</v>
      </c>
      <c r="AM111" s="199">
        <f t="shared" si="277"/>
        <v>0</v>
      </c>
    </row>
    <row r="112" spans="31:39" x14ac:dyDescent="0.25">
      <c r="AE112" s="1122"/>
      <c r="AF112" s="129" t="s">
        <v>118</v>
      </c>
      <c r="AG112" s="129" t="s">
        <v>136</v>
      </c>
      <c r="AH112" s="198">
        <f t="shared" si="277"/>
        <v>0</v>
      </c>
      <c r="AI112" s="199">
        <f t="shared" si="277"/>
        <v>0</v>
      </c>
      <c r="AJ112" s="198">
        <f t="shared" si="277"/>
        <v>0</v>
      </c>
      <c r="AK112" s="199">
        <f t="shared" si="277"/>
        <v>0</v>
      </c>
      <c r="AL112" s="200">
        <f t="shared" si="277"/>
        <v>0</v>
      </c>
      <c r="AM112" s="199">
        <f t="shared" si="277"/>
        <v>0</v>
      </c>
    </row>
    <row r="113" spans="31:39" x14ac:dyDescent="0.25">
      <c r="AE113" s="1122"/>
      <c r="AF113" s="129" t="s">
        <v>119</v>
      </c>
      <c r="AG113" s="129" t="s">
        <v>136</v>
      </c>
      <c r="AH113" s="198">
        <f t="shared" si="277"/>
        <v>0</v>
      </c>
      <c r="AI113" s="199">
        <f t="shared" si="277"/>
        <v>0</v>
      </c>
      <c r="AJ113" s="198">
        <f t="shared" si="277"/>
        <v>0</v>
      </c>
      <c r="AK113" s="199">
        <f t="shared" si="277"/>
        <v>0</v>
      </c>
      <c r="AL113" s="200">
        <f t="shared" si="277"/>
        <v>0</v>
      </c>
      <c r="AM113" s="199">
        <f t="shared" si="277"/>
        <v>0</v>
      </c>
    </row>
    <row r="114" spans="31:39" ht="15.75" thickBot="1" x14ac:dyDescent="0.3">
      <c r="AE114" s="1123"/>
      <c r="AF114" s="182" t="s">
        <v>16</v>
      </c>
      <c r="AG114" s="182" t="s">
        <v>136</v>
      </c>
      <c r="AH114" s="201">
        <f>SUM(AH110:AH113)</f>
        <v>0</v>
      </c>
      <c r="AI114" s="203">
        <f t="shared" ref="AI114:AM114" si="278">SUM(AI110:AI113)</f>
        <v>0</v>
      </c>
      <c r="AJ114" s="201">
        <f t="shared" si="278"/>
        <v>0</v>
      </c>
      <c r="AK114" s="203">
        <f t="shared" si="278"/>
        <v>0</v>
      </c>
      <c r="AL114" s="204">
        <f t="shared" si="278"/>
        <v>0</v>
      </c>
      <c r="AM114" s="203">
        <f t="shared" si="278"/>
        <v>0</v>
      </c>
    </row>
    <row r="117" spans="31:39" x14ac:dyDescent="0.25">
      <c r="AG117" s="27"/>
    </row>
  </sheetData>
  <mergeCells count="54">
    <mergeCell ref="U23:U26"/>
    <mergeCell ref="AE23:AE26"/>
    <mergeCell ref="U6:U8"/>
    <mergeCell ref="AE106:AE109"/>
    <mergeCell ref="AE92:AE94"/>
    <mergeCell ref="AE95:AE97"/>
    <mergeCell ref="U53:U68"/>
    <mergeCell ref="AE53:AE68"/>
    <mergeCell ref="AE6:AE8"/>
    <mergeCell ref="A11:A20"/>
    <mergeCell ref="K11:K20"/>
    <mergeCell ref="AE89:AE91"/>
    <mergeCell ref="AE101:AE103"/>
    <mergeCell ref="A36:A50"/>
    <mergeCell ref="K36:K50"/>
    <mergeCell ref="U36:U50"/>
    <mergeCell ref="AE36:AE50"/>
    <mergeCell ref="A29:A32"/>
    <mergeCell ref="K29:K32"/>
    <mergeCell ref="U11:U20"/>
    <mergeCell ref="AE11:AE20"/>
    <mergeCell ref="U29:U32"/>
    <mergeCell ref="A53:A68"/>
    <mergeCell ref="K53:K68"/>
    <mergeCell ref="AE29:AE32"/>
    <mergeCell ref="AL3:AM3"/>
    <mergeCell ref="D3:E3"/>
    <mergeCell ref="F3:G3"/>
    <mergeCell ref="H3:I3"/>
    <mergeCell ref="N3:O3"/>
    <mergeCell ref="P3:Q3"/>
    <mergeCell ref="R3:S3"/>
    <mergeCell ref="AF3:AG4"/>
    <mergeCell ref="X3:Y3"/>
    <mergeCell ref="Z3:AA3"/>
    <mergeCell ref="AB3:AC3"/>
    <mergeCell ref="AH3:AI3"/>
    <mergeCell ref="AJ3:AK3"/>
    <mergeCell ref="AE110:AE114"/>
    <mergeCell ref="A3:A4"/>
    <mergeCell ref="B3:C4"/>
    <mergeCell ref="K3:K4"/>
    <mergeCell ref="L3:M4"/>
    <mergeCell ref="U3:U4"/>
    <mergeCell ref="V3:W4"/>
    <mergeCell ref="AE3:AE4"/>
    <mergeCell ref="K71:K86"/>
    <mergeCell ref="A71:A86"/>
    <mergeCell ref="U71:U86"/>
    <mergeCell ref="AE71:AE86"/>
    <mergeCell ref="A6:A8"/>
    <mergeCell ref="K6:K8"/>
    <mergeCell ref="A23:A26"/>
    <mergeCell ref="K23:K26"/>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8"/>
  <sheetViews>
    <sheetView topLeftCell="A4" workbookViewId="0">
      <selection activeCell="C3" sqref="C3:C6"/>
    </sheetView>
  </sheetViews>
  <sheetFormatPr defaultRowHeight="15" x14ac:dyDescent="0.25"/>
  <cols>
    <col min="3" max="3" width="16" customWidth="1"/>
    <col min="4" max="4" width="16.42578125" customWidth="1"/>
    <col min="5" max="5" width="21.42578125" customWidth="1"/>
  </cols>
  <sheetData>
    <row r="2" spans="2:5" x14ac:dyDescent="0.25">
      <c r="B2" s="1034" t="s">
        <v>822</v>
      </c>
      <c r="C2" s="1034"/>
    </row>
    <row r="3" spans="2:5" ht="25.5" x14ac:dyDescent="0.25">
      <c r="B3" s="1040" t="s">
        <v>636</v>
      </c>
      <c r="C3" s="1034">
        <v>171.96222222222224</v>
      </c>
    </row>
    <row r="4" spans="2:5" ht="25.5" x14ac:dyDescent="0.25">
      <c r="B4" s="1040" t="s">
        <v>637</v>
      </c>
      <c r="C4" s="1034">
        <v>151.47333333333327</v>
      </c>
    </row>
    <row r="5" spans="2:5" ht="25.5" x14ac:dyDescent="0.25">
      <c r="B5" s="1040" t="s">
        <v>638</v>
      </c>
      <c r="C5" s="1034">
        <v>131.61270986021509</v>
      </c>
    </row>
    <row r="6" spans="2:5" ht="25.5" x14ac:dyDescent="0.25">
      <c r="B6" s="1040" t="s">
        <v>639</v>
      </c>
      <c r="C6" s="1034">
        <v>138.28043235708435</v>
      </c>
    </row>
    <row r="8" spans="2:5" x14ac:dyDescent="0.25">
      <c r="C8" t="s">
        <v>807</v>
      </c>
    </row>
    <row r="9" spans="2:5" x14ac:dyDescent="0.25">
      <c r="C9" t="s">
        <v>779</v>
      </c>
      <c r="D9" t="s">
        <v>779</v>
      </c>
      <c r="E9" t="s">
        <v>780</v>
      </c>
    </row>
    <row r="10" spans="2:5" x14ac:dyDescent="0.25">
      <c r="C10" t="s">
        <v>778</v>
      </c>
      <c r="D10" t="s">
        <v>777</v>
      </c>
      <c r="E10" t="s">
        <v>806</v>
      </c>
    </row>
    <row r="11" spans="2:5" ht="25.5" x14ac:dyDescent="0.25">
      <c r="B11" s="1040" t="s">
        <v>636</v>
      </c>
      <c r="C11" s="1034">
        <v>45000</v>
      </c>
      <c r="D11" s="1034">
        <v>2000</v>
      </c>
      <c r="E11" s="1034">
        <f t="shared" ref="E11:E14" si="0">C11/D11</f>
        <v>22.5</v>
      </c>
    </row>
    <row r="12" spans="2:5" ht="25.5" x14ac:dyDescent="0.25">
      <c r="B12" s="1040" t="s">
        <v>637</v>
      </c>
      <c r="C12" s="1034">
        <v>60000</v>
      </c>
      <c r="D12" s="1034">
        <v>2000</v>
      </c>
      <c r="E12" s="1034">
        <f t="shared" si="0"/>
        <v>30</v>
      </c>
    </row>
    <row r="13" spans="2:5" ht="25.5" x14ac:dyDescent="0.25">
      <c r="B13" s="1040" t="s">
        <v>638</v>
      </c>
      <c r="C13" s="1034">
        <v>125000</v>
      </c>
      <c r="D13" s="1034">
        <v>3500</v>
      </c>
      <c r="E13" s="1034">
        <f t="shared" si="0"/>
        <v>35.714285714285715</v>
      </c>
    </row>
    <row r="14" spans="2:5" ht="25.5" x14ac:dyDescent="0.25">
      <c r="B14" s="1040" t="s">
        <v>639</v>
      </c>
      <c r="C14" s="1034">
        <v>125000</v>
      </c>
      <c r="D14" s="1034">
        <v>3500</v>
      </c>
      <c r="E14" s="1034">
        <f t="shared" si="0"/>
        <v>35.714285714285715</v>
      </c>
    </row>
    <row r="16" spans="2:5" x14ac:dyDescent="0.25">
      <c r="C16" t="s">
        <v>820</v>
      </c>
    </row>
    <row r="17" spans="2:5" x14ac:dyDescent="0.25">
      <c r="C17" s="768" t="s">
        <v>817</v>
      </c>
      <c r="D17" s="768" t="s">
        <v>818</v>
      </c>
      <c r="E17" s="768" t="s">
        <v>819</v>
      </c>
    </row>
    <row r="18" spans="2:5" ht="25.5" x14ac:dyDescent="0.25">
      <c r="B18" s="1040" t="s">
        <v>636</v>
      </c>
      <c r="C18" s="1034">
        <v>0</v>
      </c>
      <c r="D18" s="1041">
        <v>-0.1</v>
      </c>
      <c r="E18" s="1041">
        <v>-0.2</v>
      </c>
    </row>
    <row r="19" spans="2:5" ht="25.5" x14ac:dyDescent="0.25">
      <c r="B19" s="1040" t="s">
        <v>637</v>
      </c>
      <c r="C19" s="1034">
        <v>0</v>
      </c>
      <c r="D19" s="1041">
        <v>-0.1</v>
      </c>
      <c r="E19" s="1041">
        <v>-0.2</v>
      </c>
    </row>
    <row r="20" spans="2:5" ht="25.5" x14ac:dyDescent="0.25">
      <c r="B20" s="1040" t="s">
        <v>638</v>
      </c>
      <c r="C20" s="1034">
        <v>0</v>
      </c>
      <c r="D20" s="1041">
        <v>-0.1</v>
      </c>
      <c r="E20" s="1041">
        <v>-0.2</v>
      </c>
    </row>
    <row r="21" spans="2:5" ht="25.5" x14ac:dyDescent="0.25">
      <c r="B21" s="1040" t="s">
        <v>639</v>
      </c>
      <c r="C21" s="1034">
        <v>0</v>
      </c>
      <c r="D21" s="1041">
        <v>-0.1</v>
      </c>
      <c r="E21" s="1041">
        <v>-0.2</v>
      </c>
    </row>
    <row r="22" spans="2:5" x14ac:dyDescent="0.25">
      <c r="D22" s="1030"/>
      <c r="E22" s="1030"/>
    </row>
    <row r="23" spans="2:5" x14ac:dyDescent="0.25">
      <c r="C23" t="s">
        <v>821</v>
      </c>
    </row>
    <row r="24" spans="2:5" x14ac:dyDescent="0.25">
      <c r="C24" s="768" t="s">
        <v>817</v>
      </c>
      <c r="D24" s="768" t="s">
        <v>818</v>
      </c>
      <c r="E24" s="768" t="s">
        <v>819</v>
      </c>
    </row>
    <row r="25" spans="2:5" ht="25.5" x14ac:dyDescent="0.25">
      <c r="B25" s="1040" t="s">
        <v>636</v>
      </c>
      <c r="C25" s="1042">
        <v>-0.31814855471261938</v>
      </c>
      <c r="D25" s="1042">
        <v>-0.63701837372949288</v>
      </c>
      <c r="E25" s="1042">
        <v>-0.70234109926266086</v>
      </c>
    </row>
    <row r="26" spans="2:5" ht="25.5" x14ac:dyDescent="0.25">
      <c r="B26" s="1040" t="s">
        <v>637</v>
      </c>
      <c r="C26" s="1042">
        <v>-0.22629127942102728</v>
      </c>
      <c r="D26" s="1042">
        <v>-0.53753674303844723</v>
      </c>
      <c r="E26" s="1042">
        <v>-0.60931390999190138</v>
      </c>
    </row>
    <row r="27" spans="2:5" ht="25.5" x14ac:dyDescent="0.25">
      <c r="B27" s="1040" t="s">
        <v>638</v>
      </c>
      <c r="C27" s="1042">
        <v>-0.20532650551320625</v>
      </c>
      <c r="D27" s="1042">
        <v>-0.51447918799022407</v>
      </c>
      <c r="E27" s="1042">
        <v>-0.56767493168413941</v>
      </c>
    </row>
    <row r="28" spans="2:5" ht="25.5" x14ac:dyDescent="0.25">
      <c r="B28" s="1040" t="s">
        <v>639</v>
      </c>
      <c r="C28" s="1042">
        <v>-0.19547055537784488</v>
      </c>
      <c r="D28" s="1042">
        <v>-0.50870458391552376</v>
      </c>
      <c r="E28" s="1042">
        <v>-0.54719500059252391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sheetPr>
  <dimension ref="A1:Q87"/>
  <sheetViews>
    <sheetView zoomScale="80" zoomScaleNormal="80" workbookViewId="0">
      <pane xSplit="3" ySplit="6" topLeftCell="D7" activePane="bottomRight" state="frozen"/>
      <selection pane="topRight" activeCell="D1" sqref="D1"/>
      <selection pane="bottomLeft" activeCell="A6" sqref="A6"/>
      <selection pane="bottomRight" activeCell="B37" sqref="B37"/>
    </sheetView>
  </sheetViews>
  <sheetFormatPr defaultColWidth="8.85546875" defaultRowHeight="15" x14ac:dyDescent="0.25"/>
  <cols>
    <col min="1" max="1" width="31" style="26" customWidth="1"/>
    <col min="2" max="2" width="37" style="26" bestFit="1" customWidth="1"/>
    <col min="3" max="3" width="33.42578125" style="26" customWidth="1"/>
    <col min="4" max="9" width="20.5703125" style="26" customWidth="1"/>
    <col min="10" max="16384" width="8.85546875" style="26"/>
  </cols>
  <sheetData>
    <row r="1" spans="1:17" ht="18" x14ac:dyDescent="0.25">
      <c r="A1" s="121" t="s">
        <v>180</v>
      </c>
      <c r="B1" s="40"/>
      <c r="C1" s="40"/>
      <c r="D1" s="40"/>
      <c r="E1" s="40"/>
      <c r="F1" s="40"/>
      <c r="G1" s="40"/>
      <c r="H1" s="40"/>
      <c r="I1" s="40"/>
      <c r="J1" s="40"/>
      <c r="K1" s="40"/>
      <c r="L1" s="40"/>
      <c r="M1" s="40"/>
      <c r="N1" s="40"/>
      <c r="O1" s="40"/>
      <c r="P1" s="40"/>
      <c r="Q1" s="40"/>
    </row>
    <row r="2" spans="1:17" x14ac:dyDescent="0.25">
      <c r="A2" s="78" t="s">
        <v>280</v>
      </c>
      <c r="B2" s="40"/>
      <c r="C2" s="40"/>
      <c r="D2" s="40"/>
      <c r="E2" s="40"/>
      <c r="F2" s="40"/>
      <c r="G2" s="40"/>
      <c r="H2" s="40"/>
      <c r="I2" s="40"/>
      <c r="J2" s="40"/>
      <c r="K2" s="40"/>
      <c r="L2" s="40"/>
      <c r="M2" s="40"/>
      <c r="N2" s="40"/>
      <c r="O2" s="40"/>
      <c r="P2" s="40"/>
      <c r="Q2" s="40"/>
    </row>
    <row r="3" spans="1:17" ht="16.5" thickBot="1" x14ac:dyDescent="0.3">
      <c r="A3" s="39"/>
      <c r="B3" s="40"/>
      <c r="C3" s="40"/>
      <c r="D3" s="40"/>
      <c r="E3" s="40"/>
      <c r="F3" s="40"/>
      <c r="G3" s="40"/>
      <c r="H3" s="40"/>
      <c r="I3" s="40"/>
      <c r="J3" s="40"/>
      <c r="K3" s="40"/>
      <c r="L3" s="40"/>
      <c r="M3" s="40"/>
      <c r="N3" s="40"/>
      <c r="O3" s="40"/>
      <c r="P3" s="40"/>
      <c r="Q3" s="40"/>
    </row>
    <row r="4" spans="1:17" ht="16.5" thickBot="1" x14ac:dyDescent="0.3">
      <c r="A4" s="124" t="s">
        <v>260</v>
      </c>
      <c r="B4" s="125" t="s">
        <v>18</v>
      </c>
      <c r="C4" s="125" t="s">
        <v>14</v>
      </c>
      <c r="D4" s="1091" t="s">
        <v>64</v>
      </c>
      <c r="E4" s="1092"/>
      <c r="F4" s="1091" t="s">
        <v>65</v>
      </c>
      <c r="G4" s="1092"/>
      <c r="H4" s="1091" t="s">
        <v>66</v>
      </c>
      <c r="I4" s="1092"/>
      <c r="J4" s="40"/>
      <c r="K4" s="40"/>
      <c r="L4" s="40"/>
      <c r="M4" s="40"/>
      <c r="N4" s="40"/>
      <c r="O4" s="40"/>
      <c r="P4" s="40"/>
      <c r="Q4" s="40"/>
    </row>
    <row r="5" spans="1:17" s="67" customFormat="1" ht="61.9" customHeight="1" thickBot="1" x14ac:dyDescent="0.3">
      <c r="A5" s="282" t="s">
        <v>207</v>
      </c>
      <c r="B5" s="283"/>
      <c r="C5" s="284"/>
      <c r="D5" s="1152" t="str">
        <f>Indata!D6</f>
        <v>Beslutad politik - Trafikverkets basscenario, ändras ej av EMA!</v>
      </c>
      <c r="E5" s="1153"/>
      <c r="F5" s="1152" t="str">
        <f>Indata!F6</f>
        <v>Policy scenario (EMA)</v>
      </c>
      <c r="G5" s="1153"/>
      <c r="H5" s="1152" t="str">
        <f>Indata!H6</f>
        <v>Reference scenario (EMA -beslutad politik, varierande X)</v>
      </c>
      <c r="I5" s="1153"/>
      <c r="J5" s="66"/>
      <c r="K5" s="66"/>
      <c r="L5" s="66"/>
      <c r="M5" s="66"/>
      <c r="N5" s="66"/>
      <c r="O5" s="66"/>
      <c r="P5" s="66"/>
      <c r="Q5" s="66"/>
    </row>
    <row r="6" spans="1:17" s="123" customFormat="1" ht="16.5" thickBot="1" x14ac:dyDescent="0.3">
      <c r="A6" s="124" t="s">
        <v>182</v>
      </c>
      <c r="B6" s="125" t="s">
        <v>18</v>
      </c>
      <c r="C6" s="125" t="s">
        <v>14</v>
      </c>
      <c r="D6" s="126">
        <v>2030</v>
      </c>
      <c r="E6" s="127">
        <v>2040</v>
      </c>
      <c r="F6" s="126">
        <v>2030</v>
      </c>
      <c r="G6" s="127">
        <v>2040</v>
      </c>
      <c r="H6" s="126">
        <v>2030</v>
      </c>
      <c r="I6" s="127">
        <v>2040</v>
      </c>
      <c r="J6" s="122"/>
      <c r="K6" s="122"/>
      <c r="L6" s="122"/>
      <c r="M6" s="122"/>
      <c r="N6" s="122"/>
      <c r="O6" s="122"/>
      <c r="P6" s="122"/>
      <c r="Q6" s="122"/>
    </row>
    <row r="7" spans="1:17" x14ac:dyDescent="0.25">
      <c r="A7" s="1149" t="s">
        <v>0</v>
      </c>
      <c r="B7" s="285" t="s">
        <v>102</v>
      </c>
      <c r="C7" s="285" t="s">
        <v>209</v>
      </c>
      <c r="D7" s="462">
        <f>'Modell - Lätta fordon'!AH6</f>
        <v>17.911754192557677</v>
      </c>
      <c r="E7" s="463">
        <f>'Modell - Lätta fordon'!AI6</f>
        <v>21.293751803814949</v>
      </c>
      <c r="F7" s="462">
        <f>'Modell - Lätta fordon'!AJ6</f>
        <v>17.911754192557677</v>
      </c>
      <c r="G7" s="464">
        <f>'Modell - Lätta fordon'!AK6</f>
        <v>21.293751803814949</v>
      </c>
      <c r="H7" s="465">
        <f>'Modell - Lätta fordon'!AL6</f>
        <v>17.911754192557677</v>
      </c>
      <c r="I7" s="464">
        <f>'Modell - Lätta fordon'!AM6</f>
        <v>21.293751803814949</v>
      </c>
    </row>
    <row r="8" spans="1:17" x14ac:dyDescent="0.25">
      <c r="A8" s="1150"/>
      <c r="B8" s="286" t="s">
        <v>103</v>
      </c>
      <c r="C8" s="286" t="s">
        <v>209</v>
      </c>
      <c r="D8" s="466">
        <f>'Modell - Lätta fordon'!AH7</f>
        <v>19.069168234099362</v>
      </c>
      <c r="E8" s="467">
        <f>'Modell - Lätta fordon'!AI7</f>
        <v>22.557131724953557</v>
      </c>
      <c r="F8" s="466">
        <f>'Modell - Lätta fordon'!AJ7</f>
        <v>19.069168234099362</v>
      </c>
      <c r="G8" s="468">
        <f>'Modell - Lätta fordon'!AK7</f>
        <v>22.557131724953557</v>
      </c>
      <c r="H8" s="469">
        <f>'Modell - Lätta fordon'!AL7</f>
        <v>19.069168234099362</v>
      </c>
      <c r="I8" s="468">
        <f>'Modell - Lätta fordon'!AM7</f>
        <v>22.557131724953557</v>
      </c>
    </row>
    <row r="9" spans="1:17" x14ac:dyDescent="0.25">
      <c r="A9" s="1150"/>
      <c r="B9" s="286" t="s">
        <v>104</v>
      </c>
      <c r="C9" s="286" t="s">
        <v>186</v>
      </c>
      <c r="D9" s="466">
        <f>'Modell - Lätta fordon'!AH8</f>
        <v>3.4709076086956521</v>
      </c>
      <c r="E9" s="467">
        <f>'Modell - Lätta fordon'!AI8</f>
        <v>4.1598749999999995</v>
      </c>
      <c r="F9" s="466">
        <f>'Modell - Lätta fordon'!AJ8</f>
        <v>3.4709076086956521</v>
      </c>
      <c r="G9" s="468">
        <f>'Modell - Lätta fordon'!AK8</f>
        <v>4.1598749999999995</v>
      </c>
      <c r="H9" s="469">
        <f>'Modell - Lätta fordon'!AL8</f>
        <v>3.4709076086956521</v>
      </c>
      <c r="I9" s="468">
        <f>'Modell - Lätta fordon'!AM8</f>
        <v>4.1598749999999995</v>
      </c>
    </row>
    <row r="10" spans="1:17" x14ac:dyDescent="0.25">
      <c r="A10" s="1150"/>
      <c r="B10" s="286" t="s">
        <v>184</v>
      </c>
      <c r="C10" s="286" t="s">
        <v>262</v>
      </c>
      <c r="D10" s="466">
        <f>'Modell - Tunga fordon'!AH6</f>
        <v>13.466674098111907</v>
      </c>
      <c r="E10" s="467">
        <f>'Modell - Tunga fordon'!AI6</f>
        <v>16.350158148247193</v>
      </c>
      <c r="F10" s="466">
        <f>'Modell - Tunga fordon'!AJ6</f>
        <v>13.466674098111907</v>
      </c>
      <c r="G10" s="468">
        <f>'Modell - Tunga fordon'!AK6</f>
        <v>16.350158148247193</v>
      </c>
      <c r="H10" s="469">
        <f>'Modell - Tunga fordon'!AL6</f>
        <v>13.466674098111907</v>
      </c>
      <c r="I10" s="468">
        <f>'Modell - Tunga fordon'!AM6</f>
        <v>16.350158148247193</v>
      </c>
    </row>
    <row r="11" spans="1:17" ht="15.75" thickBot="1" x14ac:dyDescent="0.3">
      <c r="A11" s="1151"/>
      <c r="B11" s="287" t="s">
        <v>185</v>
      </c>
      <c r="C11" s="287" t="s">
        <v>263</v>
      </c>
      <c r="D11" s="470">
        <f>'Modell - Tunga fordon'!AH7</f>
        <v>1.1975304347826086</v>
      </c>
      <c r="E11" s="471">
        <f>'Modell - Tunga fordon'!AI7</f>
        <v>1.4034</v>
      </c>
      <c r="F11" s="470">
        <f>'Modell - Tunga fordon'!AJ7</f>
        <v>1.1975304347826086</v>
      </c>
      <c r="G11" s="472">
        <f>'Modell - Tunga fordon'!AK7</f>
        <v>1.4034</v>
      </c>
      <c r="H11" s="473">
        <f>'Modell - Tunga fordon'!AL7</f>
        <v>1.1975304347826086</v>
      </c>
      <c r="I11" s="472">
        <f>'Modell - Tunga fordon'!AM7</f>
        <v>1.4034</v>
      </c>
    </row>
    <row r="12" spans="1:17" x14ac:dyDescent="0.25">
      <c r="A12" s="1149" t="s">
        <v>38</v>
      </c>
      <c r="B12" s="285" t="s">
        <v>102</v>
      </c>
      <c r="C12" s="285" t="s">
        <v>39</v>
      </c>
      <c r="D12" s="462">
        <f>'Modell - Lätta fordon'!AH13</f>
        <v>0.60765334265455651</v>
      </c>
      <c r="E12" s="463">
        <f>'Modell - Lätta fordon'!AI13</f>
        <v>0.49219920755019081</v>
      </c>
      <c r="F12" s="462">
        <f>'Modell - Lätta fordon'!AJ13</f>
        <v>0.60765334265455651</v>
      </c>
      <c r="G12" s="464">
        <f>'Modell - Lätta fordon'!AK13</f>
        <v>0.49219920755019081</v>
      </c>
      <c r="H12" s="465">
        <f>'Modell - Lätta fordon'!AL13</f>
        <v>0.60765334265455651</v>
      </c>
      <c r="I12" s="464">
        <f>'Modell - Lätta fordon'!AM13</f>
        <v>0.49219920755019081</v>
      </c>
    </row>
    <row r="13" spans="1:17" x14ac:dyDescent="0.25">
      <c r="A13" s="1150"/>
      <c r="B13" s="286" t="s">
        <v>103</v>
      </c>
      <c r="C13" s="286" t="s">
        <v>39</v>
      </c>
      <c r="D13" s="466">
        <f>'Modell - Lätta fordon'!AH14</f>
        <v>0.60691454404542722</v>
      </c>
      <c r="E13" s="467">
        <f>'Modell - Lätta fordon'!AI14</f>
        <v>0.49160078067679608</v>
      </c>
      <c r="F13" s="466">
        <f>'Modell - Lätta fordon'!AJ14</f>
        <v>0.60691454404542722</v>
      </c>
      <c r="G13" s="468">
        <f>'Modell - Lätta fordon'!AK14</f>
        <v>0.49160078067679608</v>
      </c>
      <c r="H13" s="469">
        <f>'Modell - Lätta fordon'!AL14</f>
        <v>0.60691454404542722</v>
      </c>
      <c r="I13" s="468">
        <f>'Modell - Lätta fordon'!AM14</f>
        <v>0.49160078067679608</v>
      </c>
      <c r="J13" s="372"/>
    </row>
    <row r="14" spans="1:17" x14ac:dyDescent="0.25">
      <c r="A14" s="1150"/>
      <c r="B14" s="286" t="s">
        <v>104</v>
      </c>
      <c r="C14" s="286" t="s">
        <v>40</v>
      </c>
      <c r="D14" s="466">
        <f>'Modell - Lätta fordon'!AH15</f>
        <v>1.6150000000000002</v>
      </c>
      <c r="E14" s="467">
        <f>'Modell - Lätta fordon'!AI15</f>
        <v>1.6150000000000002</v>
      </c>
      <c r="F14" s="466">
        <f>'Modell - Lätta fordon'!AJ15</f>
        <v>1.6150000000000002</v>
      </c>
      <c r="G14" s="468">
        <f>'Modell - Lätta fordon'!AK15</f>
        <v>1.6150000000000002</v>
      </c>
      <c r="H14" s="469">
        <f>'Modell - Lätta fordon'!AL15</f>
        <v>1.6150000000000002</v>
      </c>
      <c r="I14" s="468">
        <f>'Modell - Lätta fordon'!AM15</f>
        <v>1.6150000000000002</v>
      </c>
    </row>
    <row r="15" spans="1:17" x14ac:dyDescent="0.25">
      <c r="A15" s="1150"/>
      <c r="B15" s="286" t="s">
        <v>357</v>
      </c>
      <c r="C15" s="286" t="s">
        <v>39</v>
      </c>
      <c r="D15" s="474">
        <f>'Modell - Tunga fordon'!AH15</f>
        <v>2.635417410126252</v>
      </c>
      <c r="E15" s="467">
        <f>'Modell - Tunga fordon'!AI15</f>
        <v>2.1041206963133314</v>
      </c>
      <c r="F15" s="466">
        <f>'Modell - Tunga fordon'!AJ15</f>
        <v>2.635417410126252</v>
      </c>
      <c r="G15" s="468">
        <f>'Modell - Tunga fordon'!AK15</f>
        <v>2.1041206963133314</v>
      </c>
      <c r="H15" s="469">
        <f>'Modell - Tunga fordon'!AL15</f>
        <v>2.635417410126252</v>
      </c>
      <c r="I15" s="468">
        <f>'Modell - Tunga fordon'!AM15</f>
        <v>2.1041206963133314</v>
      </c>
    </row>
    <row r="16" spans="1:17" ht="15.75" thickBot="1" x14ac:dyDescent="0.3">
      <c r="A16" s="1151"/>
      <c r="B16" s="287" t="s">
        <v>323</v>
      </c>
      <c r="C16" s="287" t="s">
        <v>40</v>
      </c>
      <c r="D16" s="470">
        <f>'Modell - Tunga fordon'!AH16</f>
        <v>8.4732522945626005</v>
      </c>
      <c r="E16" s="471">
        <f>'Modell - Tunga fordon'!AI16</f>
        <v>8.4732522945626005</v>
      </c>
      <c r="F16" s="470">
        <f>'Modell - Tunga fordon'!AJ16</f>
        <v>8.4732522945626005</v>
      </c>
      <c r="G16" s="472">
        <f>'Modell - Tunga fordon'!AK16</f>
        <v>8.4732522945626005</v>
      </c>
      <c r="H16" s="473">
        <f>'Modell - Tunga fordon'!AL16</f>
        <v>8.4732522945626005</v>
      </c>
      <c r="I16" s="472">
        <f>'Modell - Tunga fordon'!AM16</f>
        <v>8.4732522945626005</v>
      </c>
    </row>
    <row r="17" spans="1:11" x14ac:dyDescent="0.25">
      <c r="A17" s="1149" t="s">
        <v>21</v>
      </c>
      <c r="B17" s="285" t="s">
        <v>187</v>
      </c>
      <c r="C17" s="285" t="s">
        <v>74</v>
      </c>
      <c r="D17" s="462">
        <f>'Modell - Lätta fordon'!AH24</f>
        <v>0</v>
      </c>
      <c r="E17" s="463">
        <f>'Modell - Lätta fordon'!AI24</f>
        <v>0</v>
      </c>
      <c r="F17" s="462">
        <f>'Modell - Lätta fordon'!AJ24</f>
        <v>0</v>
      </c>
      <c r="G17" s="464">
        <f>'Modell - Lätta fordon'!AK24</f>
        <v>0</v>
      </c>
      <c r="H17" s="465">
        <f>'Modell - Lätta fordon'!AL24</f>
        <v>0</v>
      </c>
      <c r="I17" s="464">
        <f>'Modell - Lätta fordon'!AM24</f>
        <v>0</v>
      </c>
    </row>
    <row r="18" spans="1:11" ht="15.75" thickBot="1" x14ac:dyDescent="0.3">
      <c r="A18" s="1151"/>
      <c r="B18" s="287" t="s">
        <v>324</v>
      </c>
      <c r="C18" s="287" t="s">
        <v>74</v>
      </c>
      <c r="D18" s="470">
        <f>'Modell - Tunga fordon'!AH29</f>
        <v>0</v>
      </c>
      <c r="E18" s="471">
        <f>'Modell - Tunga fordon'!AI29</f>
        <v>0</v>
      </c>
      <c r="F18" s="470">
        <f>'Modell - Tunga fordon'!AJ29</f>
        <v>0</v>
      </c>
      <c r="G18" s="472">
        <f>'Modell - Tunga fordon'!AK29</f>
        <v>0</v>
      </c>
      <c r="H18" s="473">
        <f>'Modell - Tunga fordon'!AL29</f>
        <v>0</v>
      </c>
      <c r="I18" s="472">
        <f>'Modell - Tunga fordon'!AM29</f>
        <v>0</v>
      </c>
    </row>
    <row r="19" spans="1:11" ht="15.75" thickBot="1" x14ac:dyDescent="0.3">
      <c r="A19" s="375" t="s">
        <v>75</v>
      </c>
      <c r="B19" s="285" t="s">
        <v>187</v>
      </c>
      <c r="C19" s="285" t="s">
        <v>74</v>
      </c>
      <c r="D19" s="462">
        <f>'Modell - Lätta fordon'!AH29</f>
        <v>10.009999999999998</v>
      </c>
      <c r="E19" s="463">
        <f>'Modell - Lätta fordon'!AI29</f>
        <v>10.009999999999998</v>
      </c>
      <c r="F19" s="462">
        <f>'Modell - Lätta fordon'!AJ29</f>
        <v>10.009999999999998</v>
      </c>
      <c r="G19" s="464">
        <f>'Modell - Lätta fordon'!AK29</f>
        <v>10.009999999999998</v>
      </c>
      <c r="H19" s="465">
        <f>'Modell - Lätta fordon'!AL29</f>
        <v>10.009999999999998</v>
      </c>
      <c r="I19" s="464">
        <f>'Modell - Lätta fordon'!AM29</f>
        <v>10.009999999999998</v>
      </c>
    </row>
    <row r="20" spans="1:11" x14ac:dyDescent="0.25">
      <c r="A20" s="1149" t="s">
        <v>77</v>
      </c>
      <c r="B20" s="285" t="s">
        <v>102</v>
      </c>
      <c r="C20" s="285" t="s">
        <v>74</v>
      </c>
      <c r="D20" s="475">
        <f>'Modell - Lätta fordon'!AH40</f>
        <v>20.894137307914438</v>
      </c>
      <c r="E20" s="476">
        <f>'Modell - Lätta fordon'!AI40</f>
        <v>20.490767763608162</v>
      </c>
      <c r="F20" s="462">
        <f>'Modell - Lätta fordon'!AJ40</f>
        <v>20.894137307914438</v>
      </c>
      <c r="G20" s="464">
        <f>'Modell - Lätta fordon'!AK40</f>
        <v>20.490767763608162</v>
      </c>
      <c r="H20" s="465">
        <f>'Modell - Lätta fordon'!AL40</f>
        <v>20.894137307914438</v>
      </c>
      <c r="I20" s="464">
        <f>'Modell - Lätta fordon'!AM40</f>
        <v>20.490767763608162</v>
      </c>
      <c r="J20" s="386"/>
      <c r="K20" s="419"/>
    </row>
    <row r="21" spans="1:11" x14ac:dyDescent="0.25">
      <c r="A21" s="1150"/>
      <c r="B21" s="286" t="s">
        <v>103</v>
      </c>
      <c r="C21" s="286" t="s">
        <v>74</v>
      </c>
      <c r="D21" s="474">
        <f>'Modell - Lätta fordon'!AH41</f>
        <v>21.583355544123954</v>
      </c>
      <c r="E21" s="477">
        <f>'Modell - Lätta fordon'!AI41</f>
        <v>21.099103565816492</v>
      </c>
      <c r="F21" s="466">
        <f>'Modell - Lätta fordon'!AJ41</f>
        <v>21.583355544123954</v>
      </c>
      <c r="G21" s="468">
        <f>'Modell - Lätta fordon'!AK41</f>
        <v>21.099103565816492</v>
      </c>
      <c r="H21" s="469">
        <f>'Modell - Lätta fordon'!AL41</f>
        <v>21.583355544123954</v>
      </c>
      <c r="I21" s="468">
        <f>'Modell - Lätta fordon'!AM41</f>
        <v>21.099103565816492</v>
      </c>
    </row>
    <row r="22" spans="1:11" x14ac:dyDescent="0.25">
      <c r="A22" s="1150"/>
      <c r="B22" s="286" t="s">
        <v>104</v>
      </c>
      <c r="C22" s="286" t="s">
        <v>74</v>
      </c>
      <c r="D22" s="474">
        <f>'Modell - Lätta fordon'!AH42</f>
        <v>15.615515788043478</v>
      </c>
      <c r="E22" s="477">
        <f>'Modell - Lätta fordon'!AI42</f>
        <v>16.728198124999999</v>
      </c>
      <c r="F22" s="466">
        <f>'Modell - Lätta fordon'!AJ42</f>
        <v>15.615515788043478</v>
      </c>
      <c r="G22" s="468">
        <f>'Modell - Lätta fordon'!AK42</f>
        <v>16.728198124999999</v>
      </c>
      <c r="H22" s="469">
        <f>'Modell - Lätta fordon'!AL42</f>
        <v>15.615515788043478</v>
      </c>
      <c r="I22" s="468">
        <f>'Modell - Lätta fordon'!AM42</f>
        <v>16.728198124999999</v>
      </c>
    </row>
    <row r="23" spans="1:11" x14ac:dyDescent="0.25">
      <c r="A23" s="1150"/>
      <c r="B23" s="382" t="s">
        <v>183</v>
      </c>
      <c r="C23" s="382" t="s">
        <v>74</v>
      </c>
      <c r="D23" s="478">
        <f>'Modell - Lätta fordon'!AH43</f>
        <v>20.74</v>
      </c>
      <c r="E23" s="479">
        <f>'Modell - Lätta fordon'!AI43</f>
        <v>19.655019213344737</v>
      </c>
      <c r="F23" s="478">
        <f>'Modell - Lätta fordon'!AJ43</f>
        <v>20.236024700220387</v>
      </c>
      <c r="G23" s="480">
        <f>'Modell - Lätta fordon'!AK43</f>
        <v>19.250316494987011</v>
      </c>
      <c r="H23" s="481">
        <f>'Modell - Lätta fordon'!AL43</f>
        <v>20.236024700220387</v>
      </c>
      <c r="I23" s="480">
        <f>'Modell - Lätta fordon'!AM43</f>
        <v>19.250316494987011</v>
      </c>
    </row>
    <row r="24" spans="1:11" x14ac:dyDescent="0.25">
      <c r="A24" s="1150"/>
      <c r="B24" s="286" t="s">
        <v>357</v>
      </c>
      <c r="C24" s="286" t="s">
        <v>74</v>
      </c>
      <c r="D24" s="466">
        <f>'Modell - Tunga fordon'!AH75</f>
        <v>173.15819104151814</v>
      </c>
      <c r="E24" s="467">
        <f>'Modell - Tunga fordon'!AI75</f>
        <v>171.42802777145798</v>
      </c>
      <c r="F24" s="466">
        <f>'Modell - Tunga fordon'!AJ75</f>
        <v>173.15819104151814</v>
      </c>
      <c r="G24" s="468">
        <f>'Modell - Tunga fordon'!AK75</f>
        <v>171.42802777145798</v>
      </c>
      <c r="H24" s="469">
        <f>'Modell - Tunga fordon'!AL75</f>
        <v>173.15819104151814</v>
      </c>
      <c r="I24" s="468">
        <f>'Modell - Tunga fordon'!AM75</f>
        <v>171.42802777145798</v>
      </c>
    </row>
    <row r="25" spans="1:11" x14ac:dyDescent="0.25">
      <c r="A25" s="1150"/>
      <c r="B25" s="286" t="s">
        <v>323</v>
      </c>
      <c r="C25" s="286" t="s">
        <v>74</v>
      </c>
      <c r="D25" s="482">
        <f>'Modell - Tunga fordon'!AH80</f>
        <v>158.70165078298615</v>
      </c>
      <c r="E25" s="483">
        <f>'Modell - Tunga fordon'!AI80</f>
        <v>160.98562019883911</v>
      </c>
      <c r="F25" s="482">
        <f>'Modell - Tunga fordon'!AJ80</f>
        <v>158.70165078298615</v>
      </c>
      <c r="G25" s="484">
        <f>'Modell - Tunga fordon'!AK80</f>
        <v>160.98562019883911</v>
      </c>
      <c r="H25" s="485">
        <f>'Modell - Tunga fordon'!AL80</f>
        <v>158.70165078298615</v>
      </c>
      <c r="I25" s="484">
        <f>'Modell - Tunga fordon'!AM80</f>
        <v>160.98562019883911</v>
      </c>
    </row>
    <row r="26" spans="1:11" ht="15.75" thickBot="1" x14ac:dyDescent="0.3">
      <c r="A26" s="1151"/>
      <c r="B26" s="383" t="s">
        <v>358</v>
      </c>
      <c r="C26" s="383" t="s">
        <v>74</v>
      </c>
      <c r="D26" s="486">
        <f>'Modell - Tunga fordon'!AH85</f>
        <v>172.79834480680643</v>
      </c>
      <c r="E26" s="487">
        <f>'Modell - Tunga fordon'!AI85</f>
        <v>170.38831537025212</v>
      </c>
      <c r="F26" s="486">
        <f>'Modell - Tunga fordon'!AJ85</f>
        <v>172.79834480680643</v>
      </c>
      <c r="G26" s="420">
        <f>'Modell - Tunga fordon'!AK85</f>
        <v>170.38831537025212</v>
      </c>
      <c r="H26" s="418">
        <f>'Modell - Tunga fordon'!AL85</f>
        <v>172.79834480680643</v>
      </c>
      <c r="I26" s="420">
        <f>'Modell - Tunga fordon'!AM85</f>
        <v>170.38831537025212</v>
      </c>
    </row>
    <row r="27" spans="1:11" x14ac:dyDescent="0.25">
      <c r="A27" s="1149" t="s">
        <v>17</v>
      </c>
      <c r="B27" s="285" t="s">
        <v>102</v>
      </c>
      <c r="C27" s="285" t="s">
        <v>36</v>
      </c>
      <c r="D27" s="462">
        <f>'Modell - Lätta fordon'!AH34</f>
        <v>34.972878293330716</v>
      </c>
      <c r="E27" s="463">
        <f>'Modell - Lätta fordon'!AI34</f>
        <v>30.959435389109224</v>
      </c>
      <c r="F27" s="462">
        <f>'Modell - Lätta fordon'!AJ34</f>
        <v>35.228240198326176</v>
      </c>
      <c r="G27" s="464">
        <f>'Modell - Lätta fordon'!AK34</f>
        <v>31.150937108128581</v>
      </c>
      <c r="H27" s="465">
        <f>'Modell - Lätta fordon'!AL34</f>
        <v>35.228240198326176</v>
      </c>
      <c r="I27" s="464">
        <f>'Modell - Lätta fordon'!AM34</f>
        <v>31.150937108128581</v>
      </c>
      <c r="J27" s="372"/>
    </row>
    <row r="28" spans="1:11" x14ac:dyDescent="0.25">
      <c r="A28" s="1150"/>
      <c r="B28" s="286" t="s">
        <v>103</v>
      </c>
      <c r="C28" s="286" t="s">
        <v>36</v>
      </c>
      <c r="D28" s="550">
        <f>'Modell - Lätta fordon'!AH35</f>
        <v>37.395523495653713</v>
      </c>
      <c r="E28" s="551">
        <f>'Modell - Lätta fordon'!AI35</f>
        <v>31.203723370836126</v>
      </c>
      <c r="F28" s="550">
        <f>'Modell - Lätta fordon'!AJ35</f>
        <v>37.668574859572288</v>
      </c>
      <c r="G28" s="552">
        <f>'Modell - Lätta fordon'!AK35</f>
        <v>31.396736149984601</v>
      </c>
      <c r="H28" s="553">
        <f>'Modell - Lätta fordon'!AL35</f>
        <v>37.668574859572288</v>
      </c>
      <c r="I28" s="552">
        <f>'Modell - Lätta fordon'!AM35</f>
        <v>31.396736149984601</v>
      </c>
      <c r="J28" s="372"/>
    </row>
    <row r="29" spans="1:11" x14ac:dyDescent="0.25">
      <c r="A29" s="1150"/>
      <c r="B29" s="286" t="s">
        <v>104</v>
      </c>
      <c r="C29" s="286" t="s">
        <v>36</v>
      </c>
      <c r="D29" s="550">
        <f>'Modell - Lätta fordon'!AH36</f>
        <v>15.885746734167313</v>
      </c>
      <c r="E29" s="551">
        <f>'Modell - Lätta fordon'!AI36</f>
        <v>38.100000530289087</v>
      </c>
      <c r="F29" s="550">
        <f>'Modell - Lätta fordon'!AJ36</f>
        <v>16.001739890758198</v>
      </c>
      <c r="G29" s="552">
        <f>'Modell - Lätta fordon'!AK36</f>
        <v>38.335670706585496</v>
      </c>
      <c r="H29" s="553">
        <f>'Modell - Lätta fordon'!AL36</f>
        <v>16.001739890758198</v>
      </c>
      <c r="I29" s="552">
        <f>'Modell - Lätta fordon'!AM36</f>
        <v>38.335670706585496</v>
      </c>
      <c r="J29" s="372"/>
    </row>
    <row r="30" spans="1:11" x14ac:dyDescent="0.25">
      <c r="A30" s="1150"/>
      <c r="B30" s="382" t="s">
        <v>105</v>
      </c>
      <c r="C30" s="382" t="s">
        <v>36</v>
      </c>
      <c r="D30" s="549">
        <f>'Modell - Lätta fordon'!AH37</f>
        <v>88.254148523151741</v>
      </c>
      <c r="E30" s="554">
        <f>'Modell - Lätta fordon'!AI37</f>
        <v>100.26315929023443</v>
      </c>
      <c r="F30" s="555">
        <f>'Modell - Lätta fordon'!AJ37</f>
        <v>88.898554948656667</v>
      </c>
      <c r="G30" s="556">
        <f>'Modell - Lätta fordon'!AK37</f>
        <v>100.88334396469867</v>
      </c>
      <c r="H30" s="557">
        <f>'Modell - Lätta fordon'!AL37</f>
        <v>88.898554948656667</v>
      </c>
      <c r="I30" s="556">
        <f>'Modell - Lätta fordon'!AM37</f>
        <v>100.88334396469867</v>
      </c>
    </row>
    <row r="31" spans="1:11" x14ac:dyDescent="0.25">
      <c r="A31" s="1150"/>
      <c r="B31" s="286" t="s">
        <v>359</v>
      </c>
      <c r="C31" s="286" t="s">
        <v>36</v>
      </c>
      <c r="D31" s="550">
        <f>'Modell - Tunga fordon'!AH40</f>
        <v>5.82858707873166</v>
      </c>
      <c r="E31" s="551">
        <f>'Modell - Tunga fordon'!AI40</f>
        <v>6.347123102640456</v>
      </c>
      <c r="F31" s="550">
        <f>'Modell - Tunga fordon'!AJ40</f>
        <v>5.82858707873166</v>
      </c>
      <c r="G31" s="552">
        <f>'Modell - Tunga fordon'!AK40</f>
        <v>6.347123102640456</v>
      </c>
      <c r="H31" s="553">
        <f>'Modell - Tunga fordon'!AL40</f>
        <v>5.82858707873166</v>
      </c>
      <c r="I31" s="552">
        <f>'Modell - Tunga fordon'!AM40</f>
        <v>6.347123102640456</v>
      </c>
      <c r="J31" s="372"/>
    </row>
    <row r="32" spans="1:11" x14ac:dyDescent="0.25">
      <c r="A32" s="1150"/>
      <c r="B32" s="286" t="s">
        <v>323</v>
      </c>
      <c r="C32" s="286" t="s">
        <v>36</v>
      </c>
      <c r="D32" s="558">
        <f>'Modell - Tunga fordon'!AH45</f>
        <v>0.14878631191304731</v>
      </c>
      <c r="E32" s="559">
        <f>'Modell - Tunga fordon'!AI45</f>
        <v>0.70183947065083352</v>
      </c>
      <c r="F32" s="558">
        <f>'Modell - Tunga fordon'!AJ45</f>
        <v>0.14878631191304731</v>
      </c>
      <c r="G32" s="560">
        <f>'Modell - Tunga fordon'!AK45</f>
        <v>0.70183947065083352</v>
      </c>
      <c r="H32" s="561">
        <f>'Modell - Tunga fordon'!AL45</f>
        <v>0.14878631191304731</v>
      </c>
      <c r="I32" s="560">
        <f>'Modell - Tunga fordon'!AM45</f>
        <v>0.70183947065083352</v>
      </c>
      <c r="J32" s="372"/>
    </row>
    <row r="33" spans="1:10" x14ac:dyDescent="0.25">
      <c r="A33" s="1150"/>
      <c r="B33" s="382" t="s">
        <v>360</v>
      </c>
      <c r="C33" s="382" t="s">
        <v>36</v>
      </c>
      <c r="D33" s="549">
        <f>'Modell - Tunga fordon'!AH50</f>
        <v>5.9773733906447069</v>
      </c>
      <c r="E33" s="554">
        <f>'Modell - Tunga fordon'!AI50</f>
        <v>7.0489625732912895</v>
      </c>
      <c r="F33" s="549">
        <f>'Modell - Tunga fordon'!AJ50</f>
        <v>5.9773733906447069</v>
      </c>
      <c r="G33" s="556">
        <f>'Modell - Tunga fordon'!AK50</f>
        <v>7.0489625732912895</v>
      </c>
      <c r="H33" s="557">
        <f>'Modell - Tunga fordon'!AL50</f>
        <v>5.9773733906447069</v>
      </c>
      <c r="I33" s="556">
        <f>'Modell - Tunga fordon'!AM50</f>
        <v>7.0489625732912895</v>
      </c>
      <c r="J33" s="372"/>
    </row>
    <row r="34" spans="1:10" ht="15.75" thickBot="1" x14ac:dyDescent="0.3">
      <c r="A34" s="1151"/>
      <c r="B34" s="383" t="s">
        <v>337</v>
      </c>
      <c r="C34" s="383" t="s">
        <v>36</v>
      </c>
      <c r="D34" s="562">
        <f>D30+D33</f>
        <v>94.231521913796442</v>
      </c>
      <c r="E34" s="563">
        <f t="shared" ref="E34:I34" si="0">E30+E33</f>
        <v>107.31212186352572</v>
      </c>
      <c r="F34" s="562">
        <f t="shared" si="0"/>
        <v>94.875928339301367</v>
      </c>
      <c r="G34" s="564">
        <f>G30+G33</f>
        <v>107.93230653798996</v>
      </c>
      <c r="H34" s="565">
        <f t="shared" si="0"/>
        <v>94.875928339301367</v>
      </c>
      <c r="I34" s="564">
        <f t="shared" si="0"/>
        <v>107.93230653798996</v>
      </c>
      <c r="J34" s="372"/>
    </row>
    <row r="35" spans="1:10" x14ac:dyDescent="0.25">
      <c r="A35" s="1150" t="s">
        <v>290</v>
      </c>
      <c r="B35" s="286" t="s">
        <v>187</v>
      </c>
      <c r="C35" s="286" t="s">
        <v>19</v>
      </c>
      <c r="D35" s="101">
        <f>D29/D30</f>
        <v>0.18</v>
      </c>
      <c r="E35" s="102">
        <f t="shared" ref="E35:I35" si="1">E29/E30</f>
        <v>0.38000000000000006</v>
      </c>
      <c r="F35" s="101">
        <f t="shared" si="1"/>
        <v>0.18</v>
      </c>
      <c r="G35" s="103">
        <f t="shared" si="1"/>
        <v>0.38</v>
      </c>
      <c r="H35" s="104">
        <f t="shared" si="1"/>
        <v>0.18</v>
      </c>
      <c r="I35" s="103">
        <f t="shared" si="1"/>
        <v>0.38</v>
      </c>
    </row>
    <row r="36" spans="1:10" ht="15.75" thickBot="1" x14ac:dyDescent="0.3">
      <c r="A36" s="1151"/>
      <c r="B36" s="287" t="s">
        <v>324</v>
      </c>
      <c r="C36" s="287" t="s">
        <v>19</v>
      </c>
      <c r="D36" s="503">
        <f t="shared" ref="D36:I36" si="2">D32/D33</f>
        <v>2.4891587356064355E-2</v>
      </c>
      <c r="E36" s="504">
        <f>E32/E33</f>
        <v>9.9566349424257447E-2</v>
      </c>
      <c r="F36" s="98">
        <f t="shared" si="2"/>
        <v>2.4891587356064355E-2</v>
      </c>
      <c r="G36" s="99">
        <f t="shared" si="2"/>
        <v>9.9566349424257447E-2</v>
      </c>
      <c r="H36" s="100">
        <f t="shared" si="2"/>
        <v>2.4891587356064355E-2</v>
      </c>
      <c r="I36" s="99">
        <f t="shared" si="2"/>
        <v>9.9566349424257447E-2</v>
      </c>
    </row>
    <row r="37" spans="1:10" x14ac:dyDescent="0.25">
      <c r="A37" s="1147" t="s">
        <v>279</v>
      </c>
      <c r="B37" s="285" t="s">
        <v>187</v>
      </c>
      <c r="C37" s="285" t="s">
        <v>191</v>
      </c>
      <c r="D37" s="489">
        <f>'Modell - Lätta fordon'!AH56</f>
        <v>8.5592112689865587</v>
      </c>
      <c r="E37" s="490">
        <f>'Modell - Lätta fordon'!AI56</f>
        <v>5.9759870461019826</v>
      </c>
      <c r="F37" s="489">
        <f>'Modell - Lätta fordon'!AJ56</f>
        <v>8.6217081694868458</v>
      </c>
      <c r="G37" s="490">
        <f>'Modell - Lätta fordon'!AK56</f>
        <v>6.0129519253958907</v>
      </c>
      <c r="H37" s="489">
        <f>'Modell - Lätta fordon'!AL56</f>
        <v>8.6217081694868458</v>
      </c>
      <c r="I37" s="490">
        <f>'Modell - Lätta fordon'!AM56</f>
        <v>6.0129519253958907</v>
      </c>
    </row>
    <row r="38" spans="1:10" x14ac:dyDescent="0.25">
      <c r="A38" s="1148"/>
      <c r="B38" s="286" t="s">
        <v>324</v>
      </c>
      <c r="C38" s="286" t="s">
        <v>191</v>
      </c>
      <c r="D38" s="491">
        <f>'Modell - Tunga fordon'!AH91</f>
        <v>2.6531104436628112</v>
      </c>
      <c r="E38" s="492">
        <f>'Modell - Tunga fordon'!AI91</f>
        <v>2.3066951315773201</v>
      </c>
      <c r="F38" s="491">
        <f>'Modell - Tunga fordon'!AJ91</f>
        <v>2.6531104436628112</v>
      </c>
      <c r="G38" s="492">
        <f>'Modell - Tunga fordon'!AK91</f>
        <v>2.3066951315773201</v>
      </c>
      <c r="H38" s="491">
        <f>'Modell - Tunga fordon'!AL91</f>
        <v>2.6531104436628112</v>
      </c>
      <c r="I38" s="492">
        <f>'Modell - Tunga fordon'!AM91</f>
        <v>2.3066951315773201</v>
      </c>
    </row>
    <row r="39" spans="1:10" x14ac:dyDescent="0.25">
      <c r="A39" s="1148"/>
      <c r="B39" s="286" t="s">
        <v>315</v>
      </c>
      <c r="C39" s="286" t="s">
        <v>191</v>
      </c>
      <c r="D39" s="505">
        <v>0</v>
      </c>
      <c r="E39" s="506">
        <v>0</v>
      </c>
      <c r="F39" s="505">
        <v>0</v>
      </c>
      <c r="G39" s="506">
        <v>0</v>
      </c>
      <c r="H39" s="505">
        <v>0</v>
      </c>
      <c r="I39" s="506">
        <v>0</v>
      </c>
    </row>
    <row r="40" spans="1:10" x14ac:dyDescent="0.25">
      <c r="A40" s="1148"/>
      <c r="B40" s="382" t="s">
        <v>16</v>
      </c>
      <c r="C40" s="382" t="s">
        <v>191</v>
      </c>
      <c r="D40" s="493">
        <f>SUM(D37:D39)</f>
        <v>11.21232171264937</v>
      </c>
      <c r="E40" s="494">
        <f t="shared" ref="E40:I40" si="3">SUM(E37:E39)</f>
        <v>8.2826821776793018</v>
      </c>
      <c r="F40" s="493">
        <f t="shared" si="3"/>
        <v>11.274818613149657</v>
      </c>
      <c r="G40" s="494">
        <f>SUM(G37:G39)</f>
        <v>8.3196470569732099</v>
      </c>
      <c r="H40" s="493">
        <f t="shared" si="3"/>
        <v>11.274818613149657</v>
      </c>
      <c r="I40" s="494">
        <f t="shared" si="3"/>
        <v>8.3196470569732099</v>
      </c>
    </row>
    <row r="41" spans="1:10" ht="15.75" thickBot="1" x14ac:dyDescent="0.3">
      <c r="A41" s="1148"/>
      <c r="B41" s="509" t="s">
        <v>361</v>
      </c>
      <c r="C41" s="509" t="s">
        <v>25</v>
      </c>
      <c r="D41" s="510">
        <f>D40/SUM('Indata - Utsläpp'!$B$15:$B$17)-1</f>
        <v>-0.40662988396224764</v>
      </c>
      <c r="E41" s="511">
        <f>E40/SUM('Indata - Utsläpp'!$B$15:$B$17)-1</f>
        <v>-0.56167007950469405</v>
      </c>
      <c r="F41" s="507">
        <f>F40/SUM('Indata - Utsläpp'!$B$15:$B$17)-1</f>
        <v>-0.40332246966820195</v>
      </c>
      <c r="G41" s="508">
        <f>G40/SUM('Indata - Utsläpp'!$B$15:$B$17)-1</f>
        <v>-0.55971385176898769</v>
      </c>
      <c r="H41" s="507">
        <f>H40/SUM('Indata - Utsläpp'!$B$15:$B$17)-1</f>
        <v>-0.40332246966820195</v>
      </c>
      <c r="I41" s="508">
        <f>I40/SUM('Indata - Utsläpp'!$B$15:$B$17)-1</f>
        <v>-0.55971385176898769</v>
      </c>
    </row>
    <row r="42" spans="1:10" x14ac:dyDescent="0.25">
      <c r="A42" s="1149" t="s">
        <v>276</v>
      </c>
      <c r="B42" s="285" t="s">
        <v>187</v>
      </c>
      <c r="C42" s="285" t="s">
        <v>325</v>
      </c>
      <c r="D42" s="489">
        <f>'Modell - Lätta fordon'!AH60</f>
        <v>7.8686899346495895</v>
      </c>
      <c r="E42" s="490">
        <f>'Modell - Lätta fordon'!AI60</f>
        <v>4.5136452357014782</v>
      </c>
      <c r="F42" s="489">
        <f>'Modell - Lätta fordon'!AJ60</f>
        <v>7.9261448468440436</v>
      </c>
      <c r="G42" s="490">
        <f>'Modell - Lätta fordon'!AK60</f>
        <v>4.5415646990513956</v>
      </c>
      <c r="H42" s="489">
        <f>'Modell - Lätta fordon'!AL60</f>
        <v>7.9261448468440436</v>
      </c>
      <c r="I42" s="490">
        <f>'Modell - Lätta fordon'!AM60</f>
        <v>4.5415646990513956</v>
      </c>
    </row>
    <row r="43" spans="1:10" x14ac:dyDescent="0.25">
      <c r="A43" s="1150"/>
      <c r="B43" s="286" t="s">
        <v>324</v>
      </c>
      <c r="C43" s="286" t="s">
        <v>325</v>
      </c>
      <c r="D43" s="491">
        <f>'Modell - Tunga fordon'!AH94</f>
        <v>1.9535949121051688</v>
      </c>
      <c r="E43" s="492">
        <f>'Modell - Tunga fordon'!AI94</f>
        <v>1.8174256876650472</v>
      </c>
      <c r="F43" s="491">
        <f>'Modell - Tunga fordon'!AJ94</f>
        <v>1.9535949121051688</v>
      </c>
      <c r="G43" s="492">
        <f>'Modell - Tunga fordon'!AK94</f>
        <v>1.8174256876650472</v>
      </c>
      <c r="H43" s="491">
        <f>'Modell - Tunga fordon'!AL94</f>
        <v>1.9535949121051688</v>
      </c>
      <c r="I43" s="492">
        <f>'Modell - Tunga fordon'!AM94</f>
        <v>1.8174256876650472</v>
      </c>
      <c r="J43" s="372"/>
    </row>
    <row r="44" spans="1:10" x14ac:dyDescent="0.25">
      <c r="A44" s="1150"/>
      <c r="B44" s="382" t="s">
        <v>16</v>
      </c>
      <c r="C44" s="382" t="s">
        <v>325</v>
      </c>
      <c r="D44" s="493">
        <f t="shared" ref="D44:I44" si="4">SUM(D42:D43)</f>
        <v>9.8222848467547585</v>
      </c>
      <c r="E44" s="494">
        <f t="shared" si="4"/>
        <v>6.331070923366525</v>
      </c>
      <c r="F44" s="493">
        <f t="shared" si="4"/>
        <v>9.8797397589492117</v>
      </c>
      <c r="G44" s="494">
        <f t="shared" si="4"/>
        <v>6.3589903867164423</v>
      </c>
      <c r="H44" s="493">
        <f t="shared" si="4"/>
        <v>9.8797397589492117</v>
      </c>
      <c r="I44" s="494">
        <f t="shared" si="4"/>
        <v>6.3589903867164423</v>
      </c>
      <c r="J44" s="372"/>
    </row>
    <row r="45" spans="1:10" s="372" customFormat="1" ht="15.75" thickBot="1" x14ac:dyDescent="0.3">
      <c r="A45" s="421"/>
      <c r="B45" s="379" t="s">
        <v>361</v>
      </c>
      <c r="C45" s="379" t="s">
        <v>25</v>
      </c>
      <c r="D45" s="507">
        <f>D44/'Indata - Utsläpp'!$B$26-1</f>
        <v>-0.83589785185198895</v>
      </c>
      <c r="E45" s="508">
        <f>E44/'Indata - Utsläpp'!$B$26-1</f>
        <v>-0.89422600191185442</v>
      </c>
      <c r="F45" s="507">
        <f>F44/'Indata - Utsläpp'!$B$26-1</f>
        <v>-0.83493794540864441</v>
      </c>
      <c r="G45" s="508">
        <f>G44/'Indata - Utsläpp'!$B$26-1</f>
        <v>-0.8937595479266216</v>
      </c>
      <c r="H45" s="507">
        <f>H44/'Indata - Utsläpp'!$B$26-1</f>
        <v>-0.83493794540864441</v>
      </c>
      <c r="I45" s="508">
        <f>I44/'Indata - Utsläpp'!$B$26-1</f>
        <v>-0.8937595479266216</v>
      </c>
    </row>
    <row r="46" spans="1:10" x14ac:dyDescent="0.25">
      <c r="A46" s="1150" t="s">
        <v>270</v>
      </c>
      <c r="B46" s="286" t="s">
        <v>187</v>
      </c>
      <c r="C46" s="289" t="s">
        <v>325</v>
      </c>
      <c r="D46" s="489">
        <f>'Modell - Lätta fordon'!AH64</f>
        <v>0.12869512966322685</v>
      </c>
      <c r="E46" s="490">
        <f>'Modell - Lätta fordon'!AI64</f>
        <v>0.10441146007308007</v>
      </c>
      <c r="F46" s="489">
        <f>'Modell - Lätta fordon'!AJ64</f>
        <v>0.12963482450900987</v>
      </c>
      <c r="G46" s="490">
        <f>'Modell - Lätta fordon'!AK64</f>
        <v>0.10505730434762875</v>
      </c>
      <c r="H46" s="489">
        <f>'Modell - Lätta fordon'!AL64</f>
        <v>0.12963482450900987</v>
      </c>
      <c r="I46" s="490">
        <f>'Modell - Lätta fordon'!AM64</f>
        <v>0.10505730434762875</v>
      </c>
      <c r="J46" s="372"/>
    </row>
    <row r="47" spans="1:10" x14ac:dyDescent="0.25">
      <c r="A47" s="1150"/>
      <c r="B47" s="286" t="s">
        <v>324</v>
      </c>
      <c r="C47" s="289" t="s">
        <v>325</v>
      </c>
      <c r="D47" s="491">
        <f>'Modell - Tunga fordon'!AH97</f>
        <v>3.1735896971207704E-2</v>
      </c>
      <c r="E47" s="492">
        <f>'Modell - Tunga fordon'!AI97</f>
        <v>2.9309268796168835E-2</v>
      </c>
      <c r="F47" s="491">
        <f>'Modell - Tunga fordon'!AJ97</f>
        <v>3.1735896971207704E-2</v>
      </c>
      <c r="G47" s="492">
        <f>'Modell - Tunga fordon'!AK97</f>
        <v>2.9309268796168835E-2</v>
      </c>
      <c r="H47" s="491">
        <f>'Modell - Tunga fordon'!AL97</f>
        <v>3.1735896971207704E-2</v>
      </c>
      <c r="I47" s="492">
        <f>'Modell - Tunga fordon'!AM97</f>
        <v>2.9309268796168835E-2</v>
      </c>
      <c r="J47" s="372"/>
    </row>
    <row r="48" spans="1:10" x14ac:dyDescent="0.25">
      <c r="A48" s="1150"/>
      <c r="B48" s="382" t="s">
        <v>16</v>
      </c>
      <c r="C48" s="384" t="s">
        <v>325</v>
      </c>
      <c r="D48" s="493">
        <f t="shared" ref="D48:I48" si="5">SUM(D46:D47)</f>
        <v>0.16043102663443456</v>
      </c>
      <c r="E48" s="494">
        <f t="shared" si="5"/>
        <v>0.13372072886924891</v>
      </c>
      <c r="F48" s="493">
        <f t="shared" si="5"/>
        <v>0.16137072148021758</v>
      </c>
      <c r="G48" s="494">
        <f t="shared" si="5"/>
        <v>0.13436657314379757</v>
      </c>
      <c r="H48" s="493">
        <f t="shared" si="5"/>
        <v>0.16137072148021758</v>
      </c>
      <c r="I48" s="494">
        <f t="shared" si="5"/>
        <v>0.13436657314379757</v>
      </c>
      <c r="J48" s="372"/>
    </row>
    <row r="49" spans="1:15" s="372" customFormat="1" ht="15.75" thickBot="1" x14ac:dyDescent="0.3">
      <c r="A49" s="422"/>
      <c r="B49" s="379" t="s">
        <v>361</v>
      </c>
      <c r="C49" s="384"/>
      <c r="D49" s="507">
        <f>D48/'Indata - Utsläpp'!$B$24-1</f>
        <v>-0.88501216554297979</v>
      </c>
      <c r="E49" s="508">
        <f>E48/'Indata - Utsläpp'!$B$24-1</f>
        <v>-0.90415658767972418</v>
      </c>
      <c r="F49" s="507">
        <f>F48/'Indata - Utsläpp'!$B$24-1</f>
        <v>-0.88433864572805509</v>
      </c>
      <c r="G49" s="508">
        <f>G48/'Indata - Utsläpp'!$B$24-1</f>
        <v>-0.90369368323982402</v>
      </c>
      <c r="H49" s="507">
        <f>H48/'Indata - Utsläpp'!$B$24-1</f>
        <v>-0.88433864572805509</v>
      </c>
      <c r="I49" s="508">
        <f>I48/'Indata - Utsläpp'!$B$24-1</f>
        <v>-0.90369368323982402</v>
      </c>
    </row>
    <row r="50" spans="1:15" x14ac:dyDescent="0.25">
      <c r="A50" s="1149" t="s">
        <v>271</v>
      </c>
      <c r="B50" s="285" t="s">
        <v>187</v>
      </c>
      <c r="C50" s="288" t="s">
        <v>325</v>
      </c>
      <c r="D50" s="489">
        <f>'Modell - Lätta fordon'!AH65</f>
        <v>17.65082970463035</v>
      </c>
      <c r="E50" s="490">
        <f>'Modell - Lätta fordon'!AI65</f>
        <v>20.052631858046887</v>
      </c>
      <c r="F50" s="489">
        <f>'Modell - Lätta fordon'!AJ65</f>
        <v>17.779710989731335</v>
      </c>
      <c r="G50" s="490">
        <f>'Modell - Lätta fordon'!AK65</f>
        <v>20.176668792939736</v>
      </c>
      <c r="H50" s="489">
        <f>'Modell - Lätta fordon'!AL65</f>
        <v>17.779710989731335</v>
      </c>
      <c r="I50" s="490">
        <f>'Modell - Lätta fordon'!AM65</f>
        <v>20.176668792939736</v>
      </c>
      <c r="J50" s="372"/>
    </row>
    <row r="51" spans="1:15" x14ac:dyDescent="0.25">
      <c r="A51" s="1150"/>
      <c r="B51" s="286" t="s">
        <v>324</v>
      </c>
      <c r="C51" s="289" t="s">
        <v>325</v>
      </c>
      <c r="D51" s="491">
        <f>'Modell - Tunga fordon'!AH98</f>
        <v>1.1954746781289414</v>
      </c>
      <c r="E51" s="492">
        <f>'Modell - Tunga fordon'!AI98</f>
        <v>1.4097925146582579</v>
      </c>
      <c r="F51" s="491">
        <f>'Modell - Tunga fordon'!AJ98</f>
        <v>1.1954746781289414</v>
      </c>
      <c r="G51" s="492">
        <f>'Modell - Tunga fordon'!AK98</f>
        <v>1.4097925146582579</v>
      </c>
      <c r="H51" s="491">
        <f>'Modell - Tunga fordon'!AL98</f>
        <v>1.1954746781289414</v>
      </c>
      <c r="I51" s="492">
        <f>'Modell - Tunga fordon'!AM98</f>
        <v>1.4097925146582579</v>
      </c>
      <c r="J51" s="372"/>
    </row>
    <row r="52" spans="1:15" x14ac:dyDescent="0.25">
      <c r="A52" s="1150"/>
      <c r="B52" s="382" t="s">
        <v>16</v>
      </c>
      <c r="C52" s="384" t="s">
        <v>325</v>
      </c>
      <c r="D52" s="493">
        <f t="shared" ref="D52:I52" si="6">SUM(D50:D51)</f>
        <v>18.846304382759293</v>
      </c>
      <c r="E52" s="494">
        <f t="shared" si="6"/>
        <v>21.462424372705144</v>
      </c>
      <c r="F52" s="493">
        <f t="shared" si="6"/>
        <v>18.975185667860277</v>
      </c>
      <c r="G52" s="494">
        <f t="shared" si="6"/>
        <v>21.586461307597993</v>
      </c>
      <c r="H52" s="493">
        <f>SUM(H50:H51)</f>
        <v>18.975185667860277</v>
      </c>
      <c r="I52" s="494">
        <f t="shared" si="6"/>
        <v>21.586461307597993</v>
      </c>
    </row>
    <row r="53" spans="1:15" s="372" customFormat="1" ht="15.75" thickBot="1" x14ac:dyDescent="0.3">
      <c r="A53" s="422"/>
      <c r="B53" s="509" t="s">
        <v>361</v>
      </c>
      <c r="C53" s="382"/>
      <c r="D53" s="510">
        <f>D52/'Indata - Utsläpp'!$B$25-1</f>
        <v>0.35023459160894221</v>
      </c>
      <c r="E53" s="511">
        <f>E52/'Indata - Utsläpp'!$B$25-1</f>
        <v>0.53766527480728654</v>
      </c>
      <c r="F53" s="510">
        <f>F52/'Indata - Utsläpp'!$B$25-1</f>
        <v>0.35946823051342469</v>
      </c>
      <c r="G53" s="511">
        <f>G52/'Indata - Utsläpp'!$B$25-1</f>
        <v>0.54655184252518274</v>
      </c>
      <c r="H53" s="510">
        <f>H52/'Indata - Utsläpp'!$B$25-1</f>
        <v>0.35946823051342469</v>
      </c>
      <c r="I53" s="511">
        <f>I52/'Indata - Utsläpp'!$B$25-1</f>
        <v>0.54655184252518274</v>
      </c>
    </row>
    <row r="54" spans="1:15" x14ac:dyDescent="0.25">
      <c r="A54" s="1144" t="s">
        <v>130</v>
      </c>
      <c r="B54" s="285" t="s">
        <v>196</v>
      </c>
      <c r="C54" s="285" t="s">
        <v>129</v>
      </c>
      <c r="D54" s="489">
        <f>'Modell - Lätta fordon'!AH73</f>
        <v>33.012893657749572</v>
      </c>
      <c r="E54" s="490">
        <f>'Modell - Lätta fordon'!AI73</f>
        <v>23.049188807249266</v>
      </c>
      <c r="F54" s="489">
        <f>'Modell - Lätta fordon'!AJ73</f>
        <v>33.253944318297087</v>
      </c>
      <c r="G54" s="490">
        <f>'Modell - Lätta fordon'!AK73</f>
        <v>23.191761151451082</v>
      </c>
      <c r="H54" s="489">
        <f>'Modell - Lätta fordon'!AL73</f>
        <v>33.253944318297087</v>
      </c>
      <c r="I54" s="490">
        <f>'Modell - Lätta fordon'!AM73</f>
        <v>23.191761151451082</v>
      </c>
      <c r="J54" s="372"/>
    </row>
    <row r="55" spans="1:15" x14ac:dyDescent="0.25">
      <c r="A55" s="1145"/>
      <c r="B55" s="286" t="s">
        <v>320</v>
      </c>
      <c r="C55" s="286" t="s">
        <v>129</v>
      </c>
      <c r="D55" s="491">
        <f>'Modell - Lätta fordon'!AH74</f>
        <v>7.7470767782154928</v>
      </c>
      <c r="E55" s="492">
        <f>'Modell - Lätta fordon'!AI74</f>
        <v>5.2745662983133652</v>
      </c>
      <c r="F55" s="491">
        <f>'Modell - Lätta fordon'!AJ74</f>
        <v>7.8036437060971027</v>
      </c>
      <c r="G55" s="492">
        <f>'Modell - Lätta fordon'!AK74</f>
        <v>5.3071924912821133</v>
      </c>
      <c r="H55" s="491">
        <f>'Modell - Lätta fordon'!AL74</f>
        <v>7.8036437060971027</v>
      </c>
      <c r="I55" s="492">
        <f>'Modell - Lätta fordon'!AM74</f>
        <v>5.3071924912821133</v>
      </c>
      <c r="J55" s="372"/>
      <c r="K55" s="372"/>
    </row>
    <row r="56" spans="1:15" x14ac:dyDescent="0.25">
      <c r="A56" s="1145"/>
      <c r="B56" s="286" t="s">
        <v>104</v>
      </c>
      <c r="C56" s="286" t="s">
        <v>129</v>
      </c>
      <c r="D56" s="491">
        <f>'Modell - Lätta fordon'!AH75</f>
        <v>2.5655480975680214</v>
      </c>
      <c r="E56" s="492">
        <f>'Modell - Lätta fordon'!AI75</f>
        <v>6.1531500856416885</v>
      </c>
      <c r="F56" s="491">
        <f>'Modell - Lätta fordon'!AJ75</f>
        <v>2.5842809923574492</v>
      </c>
      <c r="G56" s="492">
        <f>'Modell - Lätta fordon'!AK75</f>
        <v>6.1912108191135591</v>
      </c>
      <c r="H56" s="491">
        <f>'Modell - Lätta fordon'!AL75</f>
        <v>2.5842809923574492</v>
      </c>
      <c r="I56" s="492">
        <f>'Modell - Lätta fordon'!AM75</f>
        <v>6.1912108191135591</v>
      </c>
      <c r="J56" s="372"/>
      <c r="K56" s="372"/>
    </row>
    <row r="57" spans="1:15" x14ac:dyDescent="0.25">
      <c r="A57" s="1145"/>
      <c r="B57" s="286" t="s">
        <v>317</v>
      </c>
      <c r="C57" s="286" t="s">
        <v>129</v>
      </c>
      <c r="D57" s="491">
        <f>'Modell - Tunga fordon'!AH101</f>
        <v>10.236410373187224</v>
      </c>
      <c r="E57" s="492">
        <f>'Modell - Tunga fordon'!AI101</f>
        <v>8.8998473580542274</v>
      </c>
      <c r="F57" s="491">
        <f>'Modell - Tunga fordon'!AJ101</f>
        <v>10.236410373187224</v>
      </c>
      <c r="G57" s="492">
        <f>'Modell - Tunga fordon'!AK101</f>
        <v>8.8998473580542274</v>
      </c>
      <c r="H57" s="491">
        <f>'Modell - Tunga fordon'!AL101</f>
        <v>10.236410373187224</v>
      </c>
      <c r="I57" s="492">
        <f>'Modell - Tunga fordon'!AM101</f>
        <v>8.8998473580542274</v>
      </c>
      <c r="J57" s="372"/>
      <c r="K57" s="372"/>
      <c r="L57" s="512"/>
      <c r="M57" s="512"/>
      <c r="N57" s="512"/>
      <c r="O57" s="512"/>
    </row>
    <row r="58" spans="1:15" x14ac:dyDescent="0.25">
      <c r="A58" s="1145"/>
      <c r="B58" s="286" t="s">
        <v>318</v>
      </c>
      <c r="C58" s="286" t="s">
        <v>129</v>
      </c>
      <c r="D58" s="491">
        <f>'Modell - Tunga fordon'!AH102+Indata!D67</f>
        <v>7.651146503492007</v>
      </c>
      <c r="E58" s="492">
        <f>'Modell - Tunga fordon'!AI102+Indata!E67</f>
        <v>5.8990713961799202</v>
      </c>
      <c r="F58" s="491">
        <f>'Modell - Tunga fordon'!AJ102+Indata!F67</f>
        <v>7.651146503492007</v>
      </c>
      <c r="G58" s="492">
        <f>'Modell - Tunga fordon'!AK102+Indata!G67</f>
        <v>4.9790713961799202</v>
      </c>
      <c r="H58" s="491">
        <f>'Modell - Tunga fordon'!AL102+Indata!H67</f>
        <v>7.651146503492007</v>
      </c>
      <c r="I58" s="492">
        <f>'Modell - Tunga fordon'!AM102+Indata!I67</f>
        <v>5.8990713961799202</v>
      </c>
      <c r="J58" s="372"/>
      <c r="K58" s="372"/>
    </row>
    <row r="59" spans="1:15" x14ac:dyDescent="0.25">
      <c r="A59" s="1145"/>
      <c r="B59" s="286" t="s">
        <v>319</v>
      </c>
      <c r="C59" s="286" t="s">
        <v>129</v>
      </c>
      <c r="D59" s="491">
        <f>'Modell - Tunga fordon'!AH103+Indata!D68</f>
        <v>0.42506732578374073</v>
      </c>
      <c r="E59" s="492">
        <f>'Modell - Tunga fordon'!AI103+Indata!E68</f>
        <v>1.3386385928936391</v>
      </c>
      <c r="F59" s="491">
        <f>'Modell - Tunga fordon'!AJ103+Indata!F68</f>
        <v>0.42506732578374073</v>
      </c>
      <c r="G59" s="492">
        <f>'Modell - Tunga fordon'!AK103+Indata!G68</f>
        <v>1.8986385928936391</v>
      </c>
      <c r="H59" s="491">
        <f>'Modell - Tunga fordon'!AL103+Indata!H68</f>
        <v>0.42506732578374073</v>
      </c>
      <c r="I59" s="492">
        <f>'Modell - Tunga fordon'!AM103+Indata!I68</f>
        <v>1.3386385928936391</v>
      </c>
      <c r="J59" s="372"/>
      <c r="K59" s="372"/>
      <c r="O59" s="372"/>
    </row>
    <row r="60" spans="1:15" x14ac:dyDescent="0.25">
      <c r="A60" s="1145"/>
      <c r="B60" s="382" t="s">
        <v>198</v>
      </c>
      <c r="C60" s="382" t="s">
        <v>129</v>
      </c>
      <c r="D60" s="493">
        <f>D54+D57</f>
        <v>43.249304030936798</v>
      </c>
      <c r="E60" s="494">
        <f t="shared" ref="E60:I60" si="7">E54+E57</f>
        <v>31.949036165303493</v>
      </c>
      <c r="F60" s="493">
        <f t="shared" si="7"/>
        <v>43.490354691484313</v>
      </c>
      <c r="G60" s="494">
        <f>G54+G57</f>
        <v>32.091608509505306</v>
      </c>
      <c r="H60" s="493">
        <f t="shared" si="7"/>
        <v>43.490354691484313</v>
      </c>
      <c r="I60" s="494">
        <f t="shared" si="7"/>
        <v>32.091608509505306</v>
      </c>
      <c r="J60" s="372"/>
      <c r="K60" s="372"/>
      <c r="L60" s="512"/>
      <c r="M60" s="512"/>
      <c r="N60" s="512"/>
      <c r="O60" s="512"/>
    </row>
    <row r="61" spans="1:15" x14ac:dyDescent="0.25">
      <c r="A61" s="1145"/>
      <c r="B61" s="382" t="s">
        <v>199</v>
      </c>
      <c r="C61" s="382" t="s">
        <v>129</v>
      </c>
      <c r="D61" s="493">
        <f>D55+D58</f>
        <v>15.3982232817075</v>
      </c>
      <c r="E61" s="494">
        <f t="shared" ref="E61:I61" si="8">E55+E58</f>
        <v>11.173637694493285</v>
      </c>
      <c r="F61" s="493">
        <f>F55+F58</f>
        <v>15.45479020958911</v>
      </c>
      <c r="G61" s="494">
        <f>G55+G58</f>
        <v>10.286263887462034</v>
      </c>
      <c r="H61" s="493">
        <f t="shared" si="8"/>
        <v>15.45479020958911</v>
      </c>
      <c r="I61" s="494">
        <f t="shared" si="8"/>
        <v>11.206263887462033</v>
      </c>
      <c r="J61" s="372"/>
      <c r="K61" s="372"/>
    </row>
    <row r="62" spans="1:15" s="372" customFormat="1" x14ac:dyDescent="0.25">
      <c r="A62" s="1145"/>
      <c r="B62" s="382" t="s">
        <v>200</v>
      </c>
      <c r="C62" s="382" t="s">
        <v>129</v>
      </c>
      <c r="D62" s="493">
        <f>D56+D59</f>
        <v>2.9906154233517621</v>
      </c>
      <c r="E62" s="494">
        <f>E56+E59</f>
        <v>7.4917886785353272</v>
      </c>
      <c r="F62" s="493">
        <f>F56+F59</f>
        <v>3.00934831814119</v>
      </c>
      <c r="G62" s="494">
        <f>G56+G59</f>
        <v>8.0898494120071973</v>
      </c>
      <c r="H62" s="493">
        <f>H56+H59</f>
        <v>3.00934831814119</v>
      </c>
      <c r="I62" s="494">
        <f>I56+I59</f>
        <v>7.5298494120071986</v>
      </c>
    </row>
    <row r="63" spans="1:15" ht="15.75" thickBot="1" x14ac:dyDescent="0.3">
      <c r="A63" s="1146"/>
      <c r="B63" s="383" t="s">
        <v>363</v>
      </c>
      <c r="C63" s="383" t="s">
        <v>129</v>
      </c>
      <c r="D63" s="495">
        <f>SUM(D60:D62)</f>
        <v>61.638142735996063</v>
      </c>
      <c r="E63" s="496">
        <f t="shared" ref="E63:I63" si="9">SUM(E60:E62)</f>
        <v>50.614462538332106</v>
      </c>
      <c r="F63" s="495">
        <f t="shared" si="9"/>
        <v>61.954493219214612</v>
      </c>
      <c r="G63" s="496">
        <f t="shared" si="9"/>
        <v>50.467721808974538</v>
      </c>
      <c r="H63" s="495">
        <f t="shared" si="9"/>
        <v>61.954493219214612</v>
      </c>
      <c r="I63" s="496">
        <f t="shared" si="9"/>
        <v>50.82772180897453</v>
      </c>
      <c r="J63" s="372"/>
      <c r="K63" s="372"/>
    </row>
    <row r="64" spans="1:15" x14ac:dyDescent="0.25">
      <c r="A64" s="1145" t="s">
        <v>245</v>
      </c>
      <c r="B64" s="286" t="s">
        <v>196</v>
      </c>
      <c r="C64" s="289" t="s">
        <v>136</v>
      </c>
      <c r="D64" s="497">
        <f>'Modell - Lätta fordon'!AH83</f>
        <v>24.335398812970908</v>
      </c>
      <c r="E64" s="498">
        <f>'Modell - Lätta fordon'!AI83</f>
        <v>20.834780440177909</v>
      </c>
      <c r="F64" s="497">
        <f>'Modell - Lätta fordon'!AJ83</f>
        <v>24.513088900346119</v>
      </c>
      <c r="G64" s="513">
        <f>'Modell - Lätta fordon'!AK83</f>
        <v>20.963655408972997</v>
      </c>
      <c r="H64" s="514">
        <f>'Modell - Lätta fordon'!AL83</f>
        <v>24.513088900346119</v>
      </c>
      <c r="I64" s="513">
        <f>'Modell - Lätta fordon'!AM83</f>
        <v>20.963655408972997</v>
      </c>
    </row>
    <row r="65" spans="1:9" x14ac:dyDescent="0.25">
      <c r="A65" s="1145"/>
      <c r="B65" s="286" t="s">
        <v>197</v>
      </c>
      <c r="C65" s="289" t="s">
        <v>136</v>
      </c>
      <c r="D65" s="466">
        <f>'Modell - Lätta fordon'!AH84</f>
        <v>5.3590207809846397</v>
      </c>
      <c r="E65" s="467">
        <f>'Modell - Lätta fordon'!AI84</f>
        <v>4.4789271363329846</v>
      </c>
      <c r="F65" s="466">
        <f>'Modell - Lätta fordon'!AJ84</f>
        <v>5.398150810376686</v>
      </c>
      <c r="G65" s="468">
        <f>'Modell - Lätta fordon'!AK84</f>
        <v>4.5066318484890706</v>
      </c>
      <c r="H65" s="469">
        <f>'Modell - Lätta fordon'!AL84</f>
        <v>5.398150810376686</v>
      </c>
      <c r="I65" s="468">
        <f>'Modell - Lätta fordon'!AM84</f>
        <v>4.5066318484890706</v>
      </c>
    </row>
    <row r="66" spans="1:9" x14ac:dyDescent="0.25">
      <c r="A66" s="1145"/>
      <c r="B66" s="286" t="s">
        <v>104</v>
      </c>
      <c r="C66" s="289" t="s">
        <v>136</v>
      </c>
      <c r="D66" s="466">
        <f>'Modell - Lätta fordon'!AH85</f>
        <v>0.86356348964139595</v>
      </c>
      <c r="E66" s="467">
        <f>'Modell - Lätta fordon'!AI85</f>
        <v>2.0711503188269917</v>
      </c>
      <c r="F66" s="466">
        <f>'Modell - Lätta fordon'!AJ85</f>
        <v>0.86986898202751739</v>
      </c>
      <c r="G66" s="468">
        <f>'Modell - Lätta fordon'!AK85</f>
        <v>2.0839615617136236</v>
      </c>
      <c r="H66" s="469">
        <f>'Modell - Lätta fordon'!AL85</f>
        <v>0.86986898202751739</v>
      </c>
      <c r="I66" s="468">
        <f>'Modell - Lätta fordon'!AM85</f>
        <v>2.0839615617136236</v>
      </c>
    </row>
    <row r="67" spans="1:9" x14ac:dyDescent="0.25">
      <c r="A67" s="1145"/>
      <c r="B67" s="286" t="s">
        <v>322</v>
      </c>
      <c r="C67" s="289" t="s">
        <v>136</v>
      </c>
      <c r="D67" s="466">
        <f>'Modell - Tunga fordon'!AH106</f>
        <v>5.8833096119358101</v>
      </c>
      <c r="E67" s="467">
        <f>'Modell - Tunga fordon'!AI106</f>
        <v>6.2353134645035979</v>
      </c>
      <c r="F67" s="466">
        <f>'Modell - Tunga fordon'!AJ106</f>
        <v>5.8833096119358101</v>
      </c>
      <c r="G67" s="468">
        <f>'Modell - Tunga fordon'!AK106</f>
        <v>6.2353134645035979</v>
      </c>
      <c r="H67" s="469">
        <f>'Modell - Tunga fordon'!AL106</f>
        <v>5.8833096119358101</v>
      </c>
      <c r="I67" s="468">
        <f>'Modell - Tunga fordon'!AM106</f>
        <v>6.2353134645035979</v>
      </c>
    </row>
    <row r="68" spans="1:9" x14ac:dyDescent="0.25">
      <c r="A68" s="1145"/>
      <c r="B68" s="286" t="s">
        <v>321</v>
      </c>
      <c r="C68" s="289" t="s">
        <v>136</v>
      </c>
      <c r="D68" s="466">
        <f>'Modell - Tunga fordon'!AH107</f>
        <v>2.768616287969794</v>
      </c>
      <c r="E68" s="467">
        <f>'Modell - Tunga fordon'!AI107</f>
        <v>2.9342651597663996</v>
      </c>
      <c r="F68" s="466">
        <f>'Modell - Tunga fordon'!AJ107</f>
        <v>2.768616287969794</v>
      </c>
      <c r="G68" s="468">
        <f>'Modell - Tunga fordon'!AK107</f>
        <v>2.9342651597663996</v>
      </c>
      <c r="H68" s="469">
        <f>'Modell - Tunga fordon'!AL107</f>
        <v>2.768616287969794</v>
      </c>
      <c r="I68" s="468">
        <f>'Modell - Tunga fordon'!AM107</f>
        <v>2.9342651597663996</v>
      </c>
    </row>
    <row r="69" spans="1:9" x14ac:dyDescent="0.25">
      <c r="A69" s="1145"/>
      <c r="B69" s="286" t="s">
        <v>323</v>
      </c>
      <c r="C69" s="289" t="s">
        <v>136</v>
      </c>
      <c r="D69" s="466">
        <f>'Modell - Tunga fordon'!AH108</f>
        <v>5.5561661858807121E-2</v>
      </c>
      <c r="E69" s="467">
        <f>'Modell - Tunga fordon'!AI108</f>
        <v>0.26208975036799892</v>
      </c>
      <c r="F69" s="466">
        <f>'Modell - Tunga fordon'!AJ108</f>
        <v>5.5561661858807121E-2</v>
      </c>
      <c r="G69" s="468">
        <f>'Modell - Tunga fordon'!AK108</f>
        <v>0.26208975036799892</v>
      </c>
      <c r="H69" s="469">
        <f>'Modell - Tunga fordon'!AL108</f>
        <v>5.5561661858807121E-2</v>
      </c>
      <c r="I69" s="468">
        <f>'Modell - Tunga fordon'!AM108</f>
        <v>0.26208975036799892</v>
      </c>
    </row>
    <row r="70" spans="1:9" x14ac:dyDescent="0.25">
      <c r="A70" s="1145"/>
      <c r="B70" s="382" t="s">
        <v>198</v>
      </c>
      <c r="C70" s="384" t="s">
        <v>136</v>
      </c>
      <c r="D70" s="478">
        <f>D64+D67</f>
        <v>30.218708424906719</v>
      </c>
      <c r="E70" s="488">
        <f t="shared" ref="E70:I70" si="10">E64+E67</f>
        <v>27.070093904681507</v>
      </c>
      <c r="F70" s="478">
        <f t="shared" si="10"/>
        <v>30.39639851228193</v>
      </c>
      <c r="G70" s="480">
        <f t="shared" si="10"/>
        <v>27.198968873476595</v>
      </c>
      <c r="H70" s="481">
        <f t="shared" si="10"/>
        <v>30.39639851228193</v>
      </c>
      <c r="I70" s="480">
        <f t="shared" si="10"/>
        <v>27.198968873476595</v>
      </c>
    </row>
    <row r="71" spans="1:9" x14ac:dyDescent="0.25">
      <c r="A71" s="1145"/>
      <c r="B71" s="382" t="s">
        <v>199</v>
      </c>
      <c r="C71" s="384" t="s">
        <v>136</v>
      </c>
      <c r="D71" s="478">
        <f>D65+D68</f>
        <v>8.1276370689544333</v>
      </c>
      <c r="E71" s="488">
        <f t="shared" ref="E71:I71" si="11">E65+E68</f>
        <v>7.4131922960993837</v>
      </c>
      <c r="F71" s="478">
        <f t="shared" si="11"/>
        <v>8.1667670983464795</v>
      </c>
      <c r="G71" s="480">
        <f t="shared" si="11"/>
        <v>7.4408970082554706</v>
      </c>
      <c r="H71" s="481">
        <f t="shared" si="11"/>
        <v>8.1667670983464795</v>
      </c>
      <c r="I71" s="480">
        <f t="shared" si="11"/>
        <v>7.4408970082554706</v>
      </c>
    </row>
    <row r="72" spans="1:9" ht="15.75" thickBot="1" x14ac:dyDescent="0.3">
      <c r="A72" s="1146"/>
      <c r="B72" s="383" t="s">
        <v>200</v>
      </c>
      <c r="C72" s="385" t="s">
        <v>136</v>
      </c>
      <c r="D72" s="499">
        <f>D66+D69</f>
        <v>0.91912515150020302</v>
      </c>
      <c r="E72" s="500">
        <f t="shared" ref="E72:I72" si="12">E66+E69</f>
        <v>2.3332400691949906</v>
      </c>
      <c r="F72" s="499">
        <f>F66+F69</f>
        <v>0.92543064388632446</v>
      </c>
      <c r="G72" s="501">
        <f t="shared" si="12"/>
        <v>2.3460513120816224</v>
      </c>
      <c r="H72" s="502">
        <f t="shared" si="12"/>
        <v>0.92543064388632446</v>
      </c>
      <c r="I72" s="501">
        <f t="shared" si="12"/>
        <v>2.3460513120816224</v>
      </c>
    </row>
    <row r="73" spans="1:9" x14ac:dyDescent="0.25">
      <c r="A73" s="1144" t="s">
        <v>203</v>
      </c>
      <c r="B73" s="285" t="s">
        <v>187</v>
      </c>
      <c r="C73" s="285" t="s">
        <v>136</v>
      </c>
      <c r="D73" s="462">
        <f>'Modell - Lätta fordon'!AH89</f>
        <v>0</v>
      </c>
      <c r="E73" s="463">
        <f>'Modell - Lätta fordon'!AI89</f>
        <v>0</v>
      </c>
      <c r="F73" s="462">
        <f>'Modell - Lätta fordon'!AJ89</f>
        <v>0</v>
      </c>
      <c r="G73" s="464">
        <f>'Modell - Lätta fordon'!AK89</f>
        <v>0</v>
      </c>
      <c r="H73" s="465">
        <f>'Modell - Lätta fordon'!AL89</f>
        <v>0</v>
      </c>
      <c r="I73" s="464">
        <f>'Modell - Lätta fordon'!AM89</f>
        <v>0</v>
      </c>
    </row>
    <row r="74" spans="1:9" x14ac:dyDescent="0.25">
      <c r="A74" s="1145"/>
      <c r="B74" s="286" t="s">
        <v>324</v>
      </c>
      <c r="C74" s="289" t="s">
        <v>136</v>
      </c>
      <c r="D74" s="466">
        <f>'Modell - Tunga fordon'!AH114</f>
        <v>0</v>
      </c>
      <c r="E74" s="467">
        <f>'Modell - Tunga fordon'!AI114</f>
        <v>0</v>
      </c>
      <c r="F74" s="466">
        <f>'Modell - Tunga fordon'!AJ114</f>
        <v>0</v>
      </c>
      <c r="G74" s="468">
        <f>'Modell - Tunga fordon'!AK114</f>
        <v>0</v>
      </c>
      <c r="H74" s="469">
        <f>'Modell - Tunga fordon'!AL114</f>
        <v>0</v>
      </c>
      <c r="I74" s="468">
        <f>'Modell - Tunga fordon'!AM114</f>
        <v>0</v>
      </c>
    </row>
    <row r="75" spans="1:9" ht="15.75" thickBot="1" x14ac:dyDescent="0.3">
      <c r="A75" s="1146"/>
      <c r="B75" s="383" t="s">
        <v>278</v>
      </c>
      <c r="C75" s="383" t="s">
        <v>136</v>
      </c>
      <c r="D75" s="486">
        <f>SUM(D73:D74)</f>
        <v>0</v>
      </c>
      <c r="E75" s="487">
        <f t="shared" ref="E75:I75" si="13">SUM(E73:E74)</f>
        <v>0</v>
      </c>
      <c r="F75" s="486">
        <f t="shared" si="13"/>
        <v>0</v>
      </c>
      <c r="G75" s="420">
        <f t="shared" si="13"/>
        <v>0</v>
      </c>
      <c r="H75" s="418">
        <f t="shared" si="13"/>
        <v>0</v>
      </c>
      <c r="I75" s="420">
        <f t="shared" si="13"/>
        <v>0</v>
      </c>
    </row>
    <row r="76" spans="1:9" x14ac:dyDescent="0.25">
      <c r="A76" s="1144" t="s">
        <v>204</v>
      </c>
      <c r="B76" s="285" t="s">
        <v>187</v>
      </c>
      <c r="C76" s="285" t="s">
        <v>136</v>
      </c>
      <c r="D76" s="462">
        <f>SUM(D64:D66,D73)</f>
        <v>30.557983083596945</v>
      </c>
      <c r="E76" s="463">
        <f t="shared" ref="E76:I76" si="14">SUM(E64:E66,E73)</f>
        <v>27.384857895337884</v>
      </c>
      <c r="F76" s="462">
        <f t="shared" si="14"/>
        <v>30.781108692750323</v>
      </c>
      <c r="G76" s="464">
        <f t="shared" si="14"/>
        <v>27.55424881917569</v>
      </c>
      <c r="H76" s="465">
        <f t="shared" si="14"/>
        <v>30.781108692750323</v>
      </c>
      <c r="I76" s="464">
        <f t="shared" si="14"/>
        <v>27.55424881917569</v>
      </c>
    </row>
    <row r="77" spans="1:9" x14ac:dyDescent="0.25">
      <c r="A77" s="1145"/>
      <c r="B77" s="286" t="s">
        <v>324</v>
      </c>
      <c r="C77" s="289" t="s">
        <v>136</v>
      </c>
      <c r="D77" s="466">
        <f>SUM(D67:D69,D74)</f>
        <v>8.7074875617644114</v>
      </c>
      <c r="E77" s="467">
        <f t="shared" ref="E77:I77" si="15">SUM(E67:E69,E74)</f>
        <v>9.4316683746379955</v>
      </c>
      <c r="F77" s="466">
        <f t="shared" si="15"/>
        <v>8.7074875617644114</v>
      </c>
      <c r="G77" s="468">
        <f t="shared" si="15"/>
        <v>9.4316683746379955</v>
      </c>
      <c r="H77" s="469">
        <f t="shared" si="15"/>
        <v>8.7074875617644114</v>
      </c>
      <c r="I77" s="468">
        <f t="shared" si="15"/>
        <v>9.4316683746379955</v>
      </c>
    </row>
    <row r="78" spans="1:9" ht="15.75" thickBot="1" x14ac:dyDescent="0.3">
      <c r="A78" s="1145"/>
      <c r="B78" s="382" t="s">
        <v>278</v>
      </c>
      <c r="C78" s="382" t="s">
        <v>136</v>
      </c>
      <c r="D78" s="573">
        <f>SUM(D76:D77)</f>
        <v>39.265470645361354</v>
      </c>
      <c r="E78" s="574">
        <f t="shared" ref="E78" si="16">SUM(E76:E77)</f>
        <v>36.816526269975881</v>
      </c>
      <c r="F78" s="573">
        <f t="shared" ref="F78" si="17">SUM(F76:F77)</f>
        <v>39.488596254514732</v>
      </c>
      <c r="G78" s="575">
        <f t="shared" ref="G78" si="18">SUM(G76:G77)</f>
        <v>36.985917193813684</v>
      </c>
      <c r="H78" s="576">
        <f t="shared" ref="H78" si="19">SUM(H76:H77)</f>
        <v>39.488596254514732</v>
      </c>
      <c r="I78" s="575">
        <f t="shared" ref="I78" si="20">SUM(I76:I77)</f>
        <v>36.985917193813684</v>
      </c>
    </row>
    <row r="79" spans="1:9" x14ac:dyDescent="0.25">
      <c r="A79" s="1138" t="s">
        <v>511</v>
      </c>
      <c r="B79" s="285" t="s">
        <v>187</v>
      </c>
      <c r="C79" s="285" t="s">
        <v>136</v>
      </c>
      <c r="D79" s="579"/>
      <c r="E79" s="584"/>
      <c r="F79" s="589">
        <f>'Beräkningar konsumentöverskott'!G29</f>
        <v>0</v>
      </c>
      <c r="G79" s="577">
        <f>'Beräkningar konsumentöverskott'!H29</f>
        <v>0</v>
      </c>
      <c r="H79" s="602"/>
      <c r="I79" s="577"/>
    </row>
    <row r="80" spans="1:9" x14ac:dyDescent="0.25">
      <c r="A80" s="1139"/>
      <c r="B80" s="286" t="s">
        <v>324</v>
      </c>
      <c r="C80" s="286" t="s">
        <v>136</v>
      </c>
      <c r="D80" s="581"/>
      <c r="E80" s="585"/>
      <c r="F80" s="590">
        <f>'Beräkningar konsumentöverskott'!G30</f>
        <v>0</v>
      </c>
      <c r="G80" s="578">
        <f>'Beräkningar konsumentöverskott'!H30</f>
        <v>0</v>
      </c>
      <c r="H80" s="603"/>
      <c r="I80" s="578"/>
    </row>
    <row r="81" spans="1:9" ht="15.75" thickBot="1" x14ac:dyDescent="0.3">
      <c r="A81" s="1140"/>
      <c r="B81" s="383" t="s">
        <v>278</v>
      </c>
      <c r="C81" s="383" t="s">
        <v>136</v>
      </c>
      <c r="D81" s="607"/>
      <c r="E81" s="586"/>
      <c r="F81" s="593">
        <f>SUM(F79:F80)</f>
        <v>0</v>
      </c>
      <c r="G81" s="594">
        <f>SUM(G79:G80)</f>
        <v>0</v>
      </c>
      <c r="H81" s="608"/>
      <c r="I81" s="594"/>
    </row>
    <row r="82" spans="1:9" x14ac:dyDescent="0.25">
      <c r="A82" s="1141" t="s">
        <v>512</v>
      </c>
      <c r="B82" s="285" t="s">
        <v>187</v>
      </c>
      <c r="C82" s="285" t="s">
        <v>136</v>
      </c>
      <c r="D82" s="579"/>
      <c r="E82" s="584"/>
      <c r="F82" s="591">
        <f t="shared" ref="F82:G84" si="21">F76-H76</f>
        <v>0</v>
      </c>
      <c r="G82" s="580">
        <f t="shared" si="21"/>
        <v>0</v>
      </c>
      <c r="H82" s="610"/>
      <c r="I82" s="580"/>
    </row>
    <row r="83" spans="1:9" x14ac:dyDescent="0.25">
      <c r="A83" s="1142"/>
      <c r="B83" s="286" t="s">
        <v>324</v>
      </c>
      <c r="C83" s="286" t="s">
        <v>136</v>
      </c>
      <c r="D83" s="581"/>
      <c r="E83" s="587"/>
      <c r="F83" s="592">
        <f t="shared" si="21"/>
        <v>0</v>
      </c>
      <c r="G83" s="582">
        <f t="shared" si="21"/>
        <v>0</v>
      </c>
      <c r="H83" s="604"/>
      <c r="I83" s="582"/>
    </row>
    <row r="84" spans="1:9" ht="15.75" thickBot="1" x14ac:dyDescent="0.3">
      <c r="A84" s="1143"/>
      <c r="B84" s="383" t="s">
        <v>278</v>
      </c>
      <c r="C84" s="383" t="s">
        <v>136</v>
      </c>
      <c r="D84" s="583"/>
      <c r="E84" s="588"/>
      <c r="F84" s="606">
        <f t="shared" si="21"/>
        <v>0</v>
      </c>
      <c r="G84" s="601">
        <f t="shared" si="21"/>
        <v>0</v>
      </c>
      <c r="H84" s="605"/>
      <c r="I84" s="601"/>
    </row>
    <row r="85" spans="1:9" x14ac:dyDescent="0.25">
      <c r="A85" s="1138" t="s">
        <v>513</v>
      </c>
      <c r="B85" s="285" t="s">
        <v>187</v>
      </c>
      <c r="C85" s="285" t="s">
        <v>136</v>
      </c>
      <c r="D85" s="597"/>
      <c r="E85" s="598"/>
      <c r="F85" s="599">
        <f t="shared" ref="F85:G87" si="22">F82+F79</f>
        <v>0</v>
      </c>
      <c r="G85" s="600">
        <f t="shared" si="22"/>
        <v>0</v>
      </c>
      <c r="H85" s="609"/>
      <c r="I85" s="600"/>
    </row>
    <row r="86" spans="1:9" x14ac:dyDescent="0.25">
      <c r="A86" s="1139"/>
      <c r="B86" s="286" t="s">
        <v>324</v>
      </c>
      <c r="C86" s="286" t="s">
        <v>136</v>
      </c>
      <c r="D86" s="581"/>
      <c r="E86" s="587"/>
      <c r="F86" s="592">
        <f t="shared" si="22"/>
        <v>0</v>
      </c>
      <c r="G86" s="582">
        <f t="shared" si="22"/>
        <v>0</v>
      </c>
      <c r="H86" s="604"/>
      <c r="I86" s="582"/>
    </row>
    <row r="87" spans="1:9" ht="15.75" thickBot="1" x14ac:dyDescent="0.3">
      <c r="A87" s="1140"/>
      <c r="B87" s="383" t="s">
        <v>278</v>
      </c>
      <c r="C87" s="383" t="s">
        <v>136</v>
      </c>
      <c r="D87" s="583"/>
      <c r="E87" s="588"/>
      <c r="F87" s="606">
        <f t="shared" si="22"/>
        <v>0</v>
      </c>
      <c r="G87" s="601">
        <f t="shared" si="22"/>
        <v>0</v>
      </c>
      <c r="H87" s="605"/>
      <c r="I87" s="601"/>
    </row>
  </sheetData>
  <mergeCells count="23">
    <mergeCell ref="D4:E4"/>
    <mergeCell ref="F4:G4"/>
    <mergeCell ref="H4:I4"/>
    <mergeCell ref="D5:E5"/>
    <mergeCell ref="F5:G5"/>
    <mergeCell ref="H5:I5"/>
    <mergeCell ref="A17:A18"/>
    <mergeCell ref="A20:A26"/>
    <mergeCell ref="A35:A36"/>
    <mergeCell ref="A7:A11"/>
    <mergeCell ref="A12:A16"/>
    <mergeCell ref="A27:A34"/>
    <mergeCell ref="A37:A41"/>
    <mergeCell ref="A54:A63"/>
    <mergeCell ref="A64:A72"/>
    <mergeCell ref="A42:A44"/>
    <mergeCell ref="A46:A48"/>
    <mergeCell ref="A50:A52"/>
    <mergeCell ref="A79:A81"/>
    <mergeCell ref="A82:A84"/>
    <mergeCell ref="A85:A87"/>
    <mergeCell ref="A73:A75"/>
    <mergeCell ref="A76:A78"/>
  </mergeCell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C1"/>
  <sheetViews>
    <sheetView zoomScaleNormal="100" workbookViewId="0">
      <selection activeCell="S23" sqref="S23"/>
    </sheetView>
  </sheetViews>
  <sheetFormatPr defaultRowHeight="15" x14ac:dyDescent="0.25"/>
  <sheetData>
    <row r="1" spans="1:3" x14ac:dyDescent="0.25">
      <c r="A1" t="str">
        <f>Resultat!D4</f>
        <v>Referensscenario</v>
      </c>
      <c r="B1" t="str">
        <f>Resultat!F4</f>
        <v>Scenario 1</v>
      </c>
      <c r="C1" t="str">
        <f>Resultat!H4</f>
        <v>Scenario 2</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31"/>
  <sheetViews>
    <sheetView topLeftCell="B1" zoomScale="115" zoomScaleNormal="115" workbookViewId="0">
      <selection activeCell="H20" sqref="H20"/>
    </sheetView>
  </sheetViews>
  <sheetFormatPr defaultRowHeight="15" x14ac:dyDescent="0.25"/>
  <cols>
    <col min="1" max="1" width="58.42578125" customWidth="1"/>
    <col min="2" max="2" width="29.42578125" customWidth="1"/>
    <col min="3" max="4" width="14.140625" customWidth="1"/>
    <col min="5" max="6" width="12" bestFit="1" customWidth="1"/>
    <col min="7" max="7" width="11" bestFit="1" customWidth="1"/>
    <col min="8" max="10" width="12" bestFit="1" customWidth="1"/>
  </cols>
  <sheetData>
    <row r="2" spans="1:10" x14ac:dyDescent="0.25">
      <c r="B2" s="567"/>
      <c r="C2" s="567"/>
      <c r="D2" s="567"/>
      <c r="E2" s="567"/>
      <c r="F2" s="567"/>
      <c r="G2" s="567"/>
      <c r="H2" s="567"/>
    </row>
    <row r="3" spans="1:10" ht="15.75" thickBot="1" x14ac:dyDescent="0.3"/>
    <row r="4" spans="1:10" ht="16.5" thickBot="1" x14ac:dyDescent="0.3">
      <c r="E4" s="1154" t="s">
        <v>64</v>
      </c>
      <c r="F4" s="1155"/>
      <c r="G4" s="1091" t="s">
        <v>65</v>
      </c>
      <c r="H4" s="1092"/>
      <c r="I4" s="1091" t="s">
        <v>66</v>
      </c>
      <c r="J4" s="1092"/>
    </row>
    <row r="5" spans="1:10" ht="48" customHeight="1" thickBot="1" x14ac:dyDescent="0.4">
      <c r="A5" s="568" t="s">
        <v>391</v>
      </c>
      <c r="B5" s="568"/>
      <c r="C5" s="568"/>
      <c r="E5" s="1152" t="str">
        <f>Indata!D6</f>
        <v>Beslutad politik - Trafikverkets basscenario, ändras ej av EMA!</v>
      </c>
      <c r="F5" s="1153"/>
      <c r="G5" s="1152" t="str">
        <f>Indata!F6</f>
        <v>Policy scenario (EMA)</v>
      </c>
      <c r="H5" s="1153"/>
      <c r="I5" s="1152" t="str">
        <f>Indata!H6</f>
        <v>Reference scenario (EMA -beslutad politik, varierande X)</v>
      </c>
      <c r="J5" s="1153"/>
    </row>
    <row r="6" spans="1:10" ht="16.5" thickBot="1" x14ac:dyDescent="0.3">
      <c r="A6" s="124" t="s">
        <v>182</v>
      </c>
      <c r="B6" s="125" t="s">
        <v>18</v>
      </c>
      <c r="C6" s="125" t="s">
        <v>14</v>
      </c>
      <c r="D6" s="125" t="s">
        <v>394</v>
      </c>
      <c r="E6" s="126">
        <v>2030</v>
      </c>
      <c r="F6" s="127">
        <v>2040</v>
      </c>
      <c r="G6" s="126">
        <v>2030</v>
      </c>
      <c r="H6" s="127">
        <v>2040</v>
      </c>
      <c r="I6" s="126">
        <v>2030</v>
      </c>
      <c r="J6" s="127">
        <v>2040</v>
      </c>
    </row>
    <row r="7" spans="1:10" x14ac:dyDescent="0.25">
      <c r="A7" t="s">
        <v>392</v>
      </c>
      <c r="B7" t="str">
        <f>Resultat!B23</f>
        <v>Lätta fordon - Sammanvägd</v>
      </c>
      <c r="C7" t="str">
        <f>Resultat!C23</f>
        <v>kr/mil</v>
      </c>
      <c r="D7" t="s">
        <v>395</v>
      </c>
      <c r="E7" s="570">
        <f>Resultat!D23</f>
        <v>20.74</v>
      </c>
      <c r="F7" s="570">
        <f>Resultat!E23</f>
        <v>19.655019213344737</v>
      </c>
      <c r="G7" s="570">
        <f>Resultat!F23</f>
        <v>20.236024700220387</v>
      </c>
      <c r="H7" s="570">
        <f>Resultat!G23</f>
        <v>19.250316494987011</v>
      </c>
      <c r="I7" s="570">
        <f>Resultat!H23</f>
        <v>20.236024700220387</v>
      </c>
      <c r="J7" s="570">
        <f>Resultat!I23</f>
        <v>19.250316494987011</v>
      </c>
    </row>
    <row r="8" spans="1:10" x14ac:dyDescent="0.25">
      <c r="A8" t="s">
        <v>392</v>
      </c>
      <c r="B8" t="str">
        <f>Resultat!B26</f>
        <v>Tunga lastbilar - Sammanvägd</v>
      </c>
      <c r="C8" t="str">
        <f>Resultat!C26</f>
        <v>kr/mil</v>
      </c>
      <c r="D8" t="s">
        <v>395</v>
      </c>
      <c r="E8" s="570">
        <f>Resultat!D26</f>
        <v>172.79834480680643</v>
      </c>
      <c r="F8" s="570">
        <f>Resultat!E26</f>
        <v>170.38831537025212</v>
      </c>
      <c r="G8" s="570">
        <f>Resultat!F26</f>
        <v>172.79834480680643</v>
      </c>
      <c r="H8" s="570">
        <f>Resultat!G26</f>
        <v>170.38831537025212</v>
      </c>
      <c r="I8" s="570">
        <f>Resultat!H26</f>
        <v>172.79834480680643</v>
      </c>
      <c r="J8" s="570">
        <f>Resultat!I26</f>
        <v>170.38831537025212</v>
      </c>
    </row>
    <row r="9" spans="1:10" x14ac:dyDescent="0.25">
      <c r="A9" t="s">
        <v>17</v>
      </c>
      <c r="B9" t="str">
        <f>Resultat!B30</f>
        <v>Lätta fordon - Totalt</v>
      </c>
      <c r="C9" t="str">
        <f>Resultat!C30</f>
        <v>miljarder fordonskilometer per år</v>
      </c>
      <c r="D9" t="s">
        <v>396</v>
      </c>
      <c r="E9" s="570">
        <f>Resultat!D30</f>
        <v>88.254148523151741</v>
      </c>
      <c r="F9" s="570">
        <f>Resultat!E30</f>
        <v>100.26315929023443</v>
      </c>
      <c r="G9" s="570">
        <f>Resultat!F30</f>
        <v>88.898554948656667</v>
      </c>
      <c r="H9" s="570">
        <f>Resultat!G30</f>
        <v>100.88334396469867</v>
      </c>
      <c r="I9" s="570">
        <f>Resultat!H30</f>
        <v>88.898554948656667</v>
      </c>
      <c r="J9" s="570">
        <f>Resultat!I30</f>
        <v>100.88334396469867</v>
      </c>
    </row>
    <row r="10" spans="1:10" x14ac:dyDescent="0.25">
      <c r="A10" t="s">
        <v>17</v>
      </c>
      <c r="B10" t="str">
        <f>Resultat!B33</f>
        <v>Tunga lastbilar - Totalt</v>
      </c>
      <c r="C10" t="str">
        <f>Resultat!C33</f>
        <v>miljarder fordonskilometer per år</v>
      </c>
      <c r="D10" t="s">
        <v>396</v>
      </c>
      <c r="E10" s="570">
        <f>Resultat!D33</f>
        <v>5.9773733906447069</v>
      </c>
      <c r="F10" s="570">
        <f>Resultat!E33</f>
        <v>7.0489625732912895</v>
      </c>
      <c r="G10" s="570">
        <f>Resultat!F33</f>
        <v>5.9773733906447069</v>
      </c>
      <c r="H10" s="570">
        <f>Resultat!G33</f>
        <v>7.0489625732912895</v>
      </c>
      <c r="I10" s="570">
        <f>Resultat!H33</f>
        <v>5.9773733906447069</v>
      </c>
      <c r="J10" s="570">
        <f>Resultat!I33</f>
        <v>7.0489625732912895</v>
      </c>
    </row>
    <row r="11" spans="1:10" x14ac:dyDescent="0.25">
      <c r="A11" t="s">
        <v>23</v>
      </c>
      <c r="B11" t="str">
        <f>Indata!B21</f>
        <v>Lätta fordon</v>
      </c>
      <c r="C11" t="str">
        <f>Indata!C21</f>
        <v>procent</v>
      </c>
      <c r="E11" s="570">
        <f>Indata!D21</f>
        <v>0</v>
      </c>
      <c r="F11" s="570">
        <f>Indata!E21</f>
        <v>0</v>
      </c>
      <c r="G11" s="570">
        <f>Indata!F21</f>
        <v>0</v>
      </c>
      <c r="H11" s="570">
        <f>Indata!G21</f>
        <v>0</v>
      </c>
      <c r="I11" s="570">
        <f>Indata!H21</f>
        <v>0</v>
      </c>
      <c r="J11" s="570">
        <f>Indata!I21</f>
        <v>0</v>
      </c>
    </row>
    <row r="12" spans="1:10" x14ac:dyDescent="0.25">
      <c r="A12" t="s">
        <v>23</v>
      </c>
      <c r="B12" t="str">
        <f>Indata!B22</f>
        <v>Tunga lastbilar</v>
      </c>
      <c r="C12" t="str">
        <f>Indata!C22</f>
        <v>procent</v>
      </c>
      <c r="E12" s="570">
        <f>Indata!D22</f>
        <v>0</v>
      </c>
      <c r="F12" s="570">
        <f>Indata!E22</f>
        <v>0</v>
      </c>
      <c r="G12" s="570">
        <f>Indata!F22</f>
        <v>0</v>
      </c>
      <c r="H12" s="570">
        <f>Indata!G22</f>
        <v>0</v>
      </c>
      <c r="I12" s="570">
        <f>Indata!H22</f>
        <v>0</v>
      </c>
      <c r="J12" s="570">
        <f>Indata!I22</f>
        <v>0</v>
      </c>
    </row>
    <row r="15" spans="1:10" ht="15.75" thickBot="1" x14ac:dyDescent="0.3"/>
    <row r="16" spans="1:10" ht="16.5" thickBot="1" x14ac:dyDescent="0.3">
      <c r="G16" s="1091" t="s">
        <v>65</v>
      </c>
      <c r="H16" s="1092"/>
      <c r="I16" s="1091" t="s">
        <v>66</v>
      </c>
      <c r="J16" s="1092"/>
    </row>
    <row r="17" spans="1:10" ht="24" thickBot="1" x14ac:dyDescent="0.4">
      <c r="A17" s="568" t="s">
        <v>497</v>
      </c>
      <c r="G17" s="1152" t="str">
        <f>G5</f>
        <v>Policy scenario (EMA)</v>
      </c>
      <c r="H17" s="1153"/>
      <c r="I17" s="1152" t="str">
        <f>I5</f>
        <v>Reference scenario (EMA -beslutad politik, varierande X)</v>
      </c>
      <c r="J17" s="1153"/>
    </row>
    <row r="18" spans="1:10" ht="16.5" thickBot="1" x14ac:dyDescent="0.3">
      <c r="G18" s="126">
        <v>2030</v>
      </c>
      <c r="H18" s="127">
        <v>2040</v>
      </c>
      <c r="I18" s="126">
        <v>2030</v>
      </c>
      <c r="J18" s="127">
        <v>2040</v>
      </c>
    </row>
    <row r="19" spans="1:10" x14ac:dyDescent="0.25">
      <c r="A19" t="s">
        <v>393</v>
      </c>
      <c r="B19" t="s">
        <v>105</v>
      </c>
      <c r="C19" t="s">
        <v>36</v>
      </c>
      <c r="D19" t="s">
        <v>397</v>
      </c>
      <c r="G19" s="571">
        <f>I9*(1+I11)</f>
        <v>88.898554948656667</v>
      </c>
      <c r="H19" s="571">
        <f>J9*(1+J11)</f>
        <v>100.88334396469867</v>
      </c>
      <c r="I19" s="571">
        <f>I9*(1+I11)</f>
        <v>88.898554948656667</v>
      </c>
      <c r="J19" s="571">
        <f>F9*(1+J11)</f>
        <v>100.26315929023443</v>
      </c>
    </row>
    <row r="20" spans="1:10" x14ac:dyDescent="0.25">
      <c r="A20" t="s">
        <v>393</v>
      </c>
      <c r="B20" t="s">
        <v>360</v>
      </c>
      <c r="C20" t="s">
        <v>36</v>
      </c>
      <c r="D20" t="s">
        <v>397</v>
      </c>
      <c r="G20" s="571">
        <f>I10*(1+I12)</f>
        <v>5.9773733906447069</v>
      </c>
      <c r="H20" s="571">
        <f>J10*(1+J12)</f>
        <v>7.0489625732912895</v>
      </c>
      <c r="I20" s="571">
        <f>I10*(1+I12)</f>
        <v>5.9773733906447069</v>
      </c>
      <c r="J20" s="571">
        <f>F10*(1+J12)</f>
        <v>7.0489625732912895</v>
      </c>
    </row>
    <row r="21" spans="1:10" x14ac:dyDescent="0.25">
      <c r="A21" t="s">
        <v>399</v>
      </c>
      <c r="B21" t="s">
        <v>105</v>
      </c>
      <c r="C21" t="s">
        <v>36</v>
      </c>
      <c r="D21" t="s">
        <v>398</v>
      </c>
      <c r="G21" s="571">
        <f>G9-G19</f>
        <v>0</v>
      </c>
      <c r="H21" s="571">
        <f>H9-H19</f>
        <v>0</v>
      </c>
      <c r="I21" s="571">
        <f>I9-I19</f>
        <v>0</v>
      </c>
      <c r="J21" s="571">
        <f>J9-J19</f>
        <v>0.62018467446424097</v>
      </c>
    </row>
    <row r="22" spans="1:10" x14ac:dyDescent="0.25">
      <c r="A22" t="s">
        <v>399</v>
      </c>
      <c r="B22" t="s">
        <v>360</v>
      </c>
      <c r="C22" t="s">
        <v>36</v>
      </c>
      <c r="D22" t="s">
        <v>398</v>
      </c>
      <c r="G22" s="571">
        <f>G10-G20</f>
        <v>0</v>
      </c>
      <c r="H22" s="571">
        <f>H10-H20</f>
        <v>0</v>
      </c>
      <c r="I22" s="571">
        <f>I10-I20</f>
        <v>0</v>
      </c>
      <c r="J22" s="571">
        <f t="shared" ref="J22" si="0">J10-J20</f>
        <v>0</v>
      </c>
    </row>
    <row r="23" spans="1:10" x14ac:dyDescent="0.25">
      <c r="A23" t="s">
        <v>400</v>
      </c>
      <c r="B23" t="s">
        <v>183</v>
      </c>
      <c r="C23" t="s">
        <v>74</v>
      </c>
      <c r="D23" t="s">
        <v>401</v>
      </c>
      <c r="G23" s="571">
        <f>G7-I7</f>
        <v>0</v>
      </c>
      <c r="H23" s="571">
        <f>H7-J7</f>
        <v>0</v>
      </c>
      <c r="I23" s="571">
        <f>I7-I7</f>
        <v>0</v>
      </c>
      <c r="J23" s="571">
        <f>J7-F7</f>
        <v>-0.40470271835772564</v>
      </c>
    </row>
    <row r="24" spans="1:10" x14ac:dyDescent="0.25">
      <c r="A24" t="s">
        <v>400</v>
      </c>
      <c r="B24" t="s">
        <v>358</v>
      </c>
      <c r="C24" t="s">
        <v>74</v>
      </c>
      <c r="D24" t="s">
        <v>401</v>
      </c>
      <c r="G24" s="571">
        <f>G8-I8</f>
        <v>0</v>
      </c>
      <c r="H24" s="571">
        <f>H8-J8</f>
        <v>0</v>
      </c>
      <c r="I24" s="571">
        <f>I8-I8</f>
        <v>0</v>
      </c>
      <c r="J24" s="571">
        <f>J8-F8</f>
        <v>0</v>
      </c>
    </row>
    <row r="25" spans="1:10" x14ac:dyDescent="0.25">
      <c r="A25" t="s">
        <v>402</v>
      </c>
      <c r="B25" t="s">
        <v>183</v>
      </c>
      <c r="C25" t="s">
        <v>404</v>
      </c>
      <c r="G25" s="569">
        <f>IF(G21&lt;0,-G9*G23,-G19*G23)/10</f>
        <v>0</v>
      </c>
      <c r="H25" s="569">
        <f t="shared" ref="H25:I26" si="1">IF(H21&lt;0,-H9*H23,-H19*H23)/10</f>
        <v>0</v>
      </c>
      <c r="I25" s="569">
        <f t="shared" si="1"/>
        <v>0</v>
      </c>
      <c r="J25" s="569">
        <f t="shared" ref="J25:J26" si="2">IF(J21&lt;0,-J9*J23,-J19*J23)/10</f>
        <v>4.0576773115891527</v>
      </c>
    </row>
    <row r="26" spans="1:10" x14ac:dyDescent="0.25">
      <c r="A26" t="s">
        <v>402</v>
      </c>
      <c r="B26" t="s">
        <v>358</v>
      </c>
      <c r="C26" t="s">
        <v>404</v>
      </c>
      <c r="G26" s="569">
        <f>IF(G22&lt;0,-G10*G24,-G20*G24)/10</f>
        <v>0</v>
      </c>
      <c r="H26" s="569">
        <f t="shared" si="1"/>
        <v>0</v>
      </c>
      <c r="I26" s="569">
        <f t="shared" si="1"/>
        <v>0</v>
      </c>
      <c r="J26" s="569">
        <f t="shared" si="2"/>
        <v>0</v>
      </c>
    </row>
    <row r="27" spans="1:10" x14ac:dyDescent="0.25">
      <c r="A27" t="s">
        <v>403</v>
      </c>
      <c r="B27" t="s">
        <v>183</v>
      </c>
      <c r="C27" t="s">
        <v>404</v>
      </c>
      <c r="G27" s="569">
        <f>G21*G23/2/10</f>
        <v>0</v>
      </c>
      <c r="H27" s="569">
        <f t="shared" ref="H27:I28" si="3">H21*H23/2/10</f>
        <v>0</v>
      </c>
      <c r="I27" s="569">
        <f t="shared" si="3"/>
        <v>0</v>
      </c>
      <c r="J27" s="569">
        <f t="shared" ref="J27:J28" si="4">J21*J23/2/10</f>
        <v>-1.2549521181973975E-2</v>
      </c>
    </row>
    <row r="28" spans="1:10" x14ac:dyDescent="0.25">
      <c r="A28" t="s">
        <v>403</v>
      </c>
      <c r="B28" t="s">
        <v>358</v>
      </c>
      <c r="C28" t="s">
        <v>404</v>
      </c>
      <c r="G28" s="569">
        <f>G22*G24/2/10</f>
        <v>0</v>
      </c>
      <c r="H28" s="569">
        <f t="shared" si="3"/>
        <v>0</v>
      </c>
      <c r="I28" s="569">
        <f t="shared" si="3"/>
        <v>0</v>
      </c>
      <c r="J28" s="569">
        <f t="shared" si="4"/>
        <v>0</v>
      </c>
    </row>
    <row r="29" spans="1:10" x14ac:dyDescent="0.25">
      <c r="A29" t="s">
        <v>405</v>
      </c>
      <c r="B29" t="s">
        <v>183</v>
      </c>
      <c r="C29" t="s">
        <v>404</v>
      </c>
      <c r="G29" s="569">
        <f>G25+G27</f>
        <v>0</v>
      </c>
      <c r="H29" s="569">
        <f>H25+H27</f>
        <v>0</v>
      </c>
      <c r="I29" s="569">
        <f t="shared" ref="I29:J30" si="5">I25+I27</f>
        <v>0</v>
      </c>
      <c r="J29" s="569">
        <f t="shared" si="5"/>
        <v>4.0451277904071787</v>
      </c>
    </row>
    <row r="30" spans="1:10" x14ac:dyDescent="0.25">
      <c r="A30" t="s">
        <v>405</v>
      </c>
      <c r="B30" t="s">
        <v>358</v>
      </c>
      <c r="C30" t="s">
        <v>404</v>
      </c>
      <c r="G30" s="569">
        <f>G26+G28</f>
        <v>0</v>
      </c>
      <c r="H30" s="569">
        <f>H26+H28</f>
        <v>0</v>
      </c>
      <c r="I30" s="569">
        <f>I26+I28</f>
        <v>0</v>
      </c>
      <c r="J30" s="569">
        <f t="shared" si="5"/>
        <v>0</v>
      </c>
    </row>
    <row r="31" spans="1:10" x14ac:dyDescent="0.25">
      <c r="A31" t="s">
        <v>406</v>
      </c>
      <c r="C31" t="s">
        <v>404</v>
      </c>
      <c r="G31" s="572">
        <f>G29+G30</f>
        <v>0</v>
      </c>
      <c r="H31" s="572">
        <f>H29+H30</f>
        <v>0</v>
      </c>
      <c r="I31" s="572">
        <f t="shared" ref="I31:J31" si="6">I29+I30</f>
        <v>0</v>
      </c>
      <c r="J31" s="572">
        <f t="shared" si="6"/>
        <v>4.0451277904071787</v>
      </c>
    </row>
  </sheetData>
  <mergeCells count="10">
    <mergeCell ref="G16:H16"/>
    <mergeCell ref="I16:J16"/>
    <mergeCell ref="G17:H17"/>
    <mergeCell ref="I17:J17"/>
    <mergeCell ref="E4:F4"/>
    <mergeCell ref="G4:H4"/>
    <mergeCell ref="I4:J4"/>
    <mergeCell ref="E5:F5"/>
    <mergeCell ref="G5:H5"/>
    <mergeCell ref="I5:J5"/>
  </mergeCell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W14"/>
  <sheetViews>
    <sheetView workbookViewId="0">
      <selection activeCell="D8" sqref="D8"/>
    </sheetView>
  </sheetViews>
  <sheetFormatPr defaultRowHeight="15" x14ac:dyDescent="0.25"/>
  <cols>
    <col min="1" max="1" width="11.42578125" customWidth="1"/>
  </cols>
  <sheetData>
    <row r="4" spans="1:23" x14ac:dyDescent="0.25">
      <c r="B4" t="s">
        <v>482</v>
      </c>
    </row>
    <row r="5" spans="1:23" x14ac:dyDescent="0.25">
      <c r="A5" t="s">
        <v>483</v>
      </c>
      <c r="B5">
        <v>0</v>
      </c>
      <c r="C5">
        <v>1</v>
      </c>
      <c r="D5">
        <v>100</v>
      </c>
      <c r="E5">
        <v>200</v>
      </c>
      <c r="F5">
        <v>300</v>
      </c>
      <c r="G5">
        <v>400</v>
      </c>
      <c r="H5">
        <v>500</v>
      </c>
      <c r="I5">
        <v>600</v>
      </c>
      <c r="J5">
        <v>700</v>
      </c>
      <c r="K5">
        <v>800</v>
      </c>
      <c r="L5">
        <v>900</v>
      </c>
      <c r="M5">
        <v>1000</v>
      </c>
      <c r="N5">
        <v>1100</v>
      </c>
      <c r="O5">
        <v>1200</v>
      </c>
      <c r="P5">
        <v>1300</v>
      </c>
      <c r="Q5">
        <v>1400</v>
      </c>
      <c r="R5">
        <v>1500</v>
      </c>
      <c r="S5">
        <v>1600</v>
      </c>
      <c r="T5">
        <v>1700</v>
      </c>
      <c r="U5">
        <v>1800</v>
      </c>
      <c r="V5">
        <v>1900</v>
      </c>
      <c r="W5">
        <v>2000</v>
      </c>
    </row>
    <row r="6" spans="1:23" x14ac:dyDescent="0.25">
      <c r="A6" t="s">
        <v>484</v>
      </c>
      <c r="B6">
        <v>0</v>
      </c>
      <c r="F6">
        <v>1900</v>
      </c>
      <c r="M6">
        <v>6000</v>
      </c>
      <c r="Q6">
        <v>8200</v>
      </c>
      <c r="S6">
        <v>9000</v>
      </c>
    </row>
    <row r="7" spans="1:23" x14ac:dyDescent="0.25">
      <c r="A7" t="s">
        <v>485</v>
      </c>
      <c r="B7">
        <v>0.1</v>
      </c>
      <c r="C7">
        <v>1</v>
      </c>
      <c r="E7">
        <v>2500</v>
      </c>
      <c r="H7">
        <v>4100</v>
      </c>
      <c r="J7">
        <v>4600</v>
      </c>
      <c r="M7">
        <v>5600</v>
      </c>
      <c r="N7">
        <v>5800</v>
      </c>
      <c r="O7">
        <v>6000</v>
      </c>
      <c r="W7">
        <v>7800</v>
      </c>
    </row>
    <row r="8" spans="1:23" x14ac:dyDescent="0.25">
      <c r="B8" t="e">
        <f xml:space="preserve"> 892.26*LN(B5) - 654.62</f>
        <v>#NUM!</v>
      </c>
      <c r="C8">
        <f>$C$10*LOG(C5,$C$12) +$C$11</f>
        <v>0</v>
      </c>
      <c r="D8">
        <f>$C$10*LOG(D5,$C$12) +$C$11</f>
        <v>4000</v>
      </c>
      <c r="E8">
        <f t="shared" ref="E8:W8" si="0">$C$10*LOG(E5,$C$12) +$C$11</f>
        <v>4602.0599913279621</v>
      </c>
      <c r="F8">
        <f t="shared" si="0"/>
        <v>4954.2425094393247</v>
      </c>
      <c r="G8">
        <f t="shared" si="0"/>
        <v>5204.1199826559241</v>
      </c>
      <c r="H8">
        <f t="shared" si="0"/>
        <v>5397.940008672037</v>
      </c>
      <c r="I8">
        <f t="shared" si="0"/>
        <v>5556.3025007672868</v>
      </c>
      <c r="J8">
        <f t="shared" si="0"/>
        <v>5690.1960800285133</v>
      </c>
      <c r="K8">
        <f t="shared" si="0"/>
        <v>5806.1799739838871</v>
      </c>
      <c r="L8">
        <f t="shared" si="0"/>
        <v>5908.4850188786495</v>
      </c>
      <c r="M8">
        <f t="shared" si="0"/>
        <v>5999.9999999999991</v>
      </c>
      <c r="N8">
        <f t="shared" si="0"/>
        <v>6082.7853703164492</v>
      </c>
      <c r="O8">
        <f t="shared" si="0"/>
        <v>6158.3624920952498</v>
      </c>
      <c r="P8">
        <f t="shared" si="0"/>
        <v>6227.8867046136729</v>
      </c>
      <c r="Q8">
        <f t="shared" si="0"/>
        <v>6292.2560713564753</v>
      </c>
      <c r="R8">
        <f t="shared" si="0"/>
        <v>6352.1825181113618</v>
      </c>
      <c r="S8">
        <f t="shared" si="0"/>
        <v>6408.2399653118491</v>
      </c>
      <c r="T8">
        <f t="shared" si="0"/>
        <v>6460.8978427565471</v>
      </c>
      <c r="U8">
        <f t="shared" si="0"/>
        <v>6510.5450102066125</v>
      </c>
      <c r="V8">
        <f t="shared" si="0"/>
        <v>6557.5072019056579</v>
      </c>
      <c r="W8">
        <f t="shared" si="0"/>
        <v>6602.0599913279621</v>
      </c>
    </row>
    <row r="9" spans="1:23" x14ac:dyDescent="0.25">
      <c r="C9">
        <v>600</v>
      </c>
    </row>
    <row r="10" spans="1:23" x14ac:dyDescent="0.25">
      <c r="A10" t="s">
        <v>486</v>
      </c>
      <c r="B10" t="s">
        <v>487</v>
      </c>
      <c r="C10">
        <v>2000</v>
      </c>
    </row>
    <row r="11" spans="1:23" x14ac:dyDescent="0.25">
      <c r="B11" t="s">
        <v>488</v>
      </c>
      <c r="C11">
        <v>0</v>
      </c>
    </row>
    <row r="12" spans="1:23" x14ac:dyDescent="0.25">
      <c r="B12" t="s">
        <v>489</v>
      </c>
      <c r="C12">
        <v>10</v>
      </c>
    </row>
    <row r="14" spans="1:23" x14ac:dyDescent="0.25">
      <c r="C14">
        <v>2</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D2D2D2"/>
  </sheetPr>
  <dimension ref="A1:J33"/>
  <sheetViews>
    <sheetView workbookViewId="0">
      <selection activeCell="B16" sqref="B16"/>
    </sheetView>
  </sheetViews>
  <sheetFormatPr defaultColWidth="8.85546875" defaultRowHeight="15" x14ac:dyDescent="0.25"/>
  <cols>
    <col min="1" max="1" width="18.28515625" style="26" customWidth="1"/>
    <col min="2" max="16384" width="8.85546875" style="26"/>
  </cols>
  <sheetData>
    <row r="1" spans="1:10" ht="18" x14ac:dyDescent="0.25">
      <c r="A1" s="121" t="s">
        <v>382</v>
      </c>
    </row>
    <row r="2" spans="1:10" x14ac:dyDescent="0.25">
      <c r="A2" s="40" t="s">
        <v>341</v>
      </c>
      <c r="B2" s="40"/>
    </row>
    <row r="3" spans="1:10" x14ac:dyDescent="0.25">
      <c r="A3" s="40" t="s">
        <v>340</v>
      </c>
      <c r="B3" s="40"/>
    </row>
    <row r="5" spans="1:10" s="40" customFormat="1" ht="12" x14ac:dyDescent="0.2">
      <c r="A5" s="298" t="s">
        <v>367</v>
      </c>
      <c r="B5" s="298">
        <v>2010</v>
      </c>
      <c r="C5" s="298">
        <v>2011</v>
      </c>
      <c r="D5" s="298">
        <v>2012</v>
      </c>
      <c r="E5" s="298">
        <v>2013</v>
      </c>
      <c r="F5" s="298">
        <v>2014</v>
      </c>
      <c r="G5" s="298">
        <v>2015</v>
      </c>
      <c r="H5" s="298">
        <v>2016</v>
      </c>
      <c r="I5" s="298">
        <v>2017</v>
      </c>
      <c r="J5" s="298">
        <v>2018</v>
      </c>
    </row>
    <row r="6" spans="1:10" s="40" customFormat="1" ht="12" x14ac:dyDescent="0.2">
      <c r="A6" s="40" t="s">
        <v>338</v>
      </c>
      <c r="B6" s="427">
        <v>11892</v>
      </c>
      <c r="C6" s="427">
        <v>11545</v>
      </c>
      <c r="D6" s="427">
        <v>10994</v>
      </c>
      <c r="E6" s="427">
        <v>10775</v>
      </c>
      <c r="F6" s="427">
        <v>10646</v>
      </c>
      <c r="G6" s="427">
        <v>10764</v>
      </c>
      <c r="H6" s="427">
        <v>10508</v>
      </c>
      <c r="I6" s="427">
        <v>10252</v>
      </c>
      <c r="J6" s="427">
        <v>10007</v>
      </c>
    </row>
    <row r="7" spans="1:10" s="40" customFormat="1" ht="12" x14ac:dyDescent="0.2">
      <c r="A7" s="40" t="s">
        <v>339</v>
      </c>
      <c r="B7" s="427">
        <v>1656</v>
      </c>
      <c r="C7" s="427">
        <v>1701</v>
      </c>
      <c r="D7" s="427">
        <v>1653</v>
      </c>
      <c r="E7" s="427">
        <v>1630</v>
      </c>
      <c r="F7" s="427">
        <v>1587</v>
      </c>
      <c r="G7" s="427">
        <v>1600</v>
      </c>
      <c r="H7" s="427">
        <v>1526</v>
      </c>
      <c r="I7" s="427">
        <v>1536</v>
      </c>
      <c r="J7" s="427">
        <v>1471</v>
      </c>
    </row>
    <row r="8" spans="1:10" s="40" customFormat="1" ht="12" x14ac:dyDescent="0.2">
      <c r="A8" s="40" t="s">
        <v>192</v>
      </c>
      <c r="B8" s="427">
        <v>764</v>
      </c>
      <c r="C8" s="427">
        <v>757</v>
      </c>
      <c r="D8" s="427">
        <v>593</v>
      </c>
      <c r="E8" s="427">
        <v>512</v>
      </c>
      <c r="F8" s="427">
        <v>458</v>
      </c>
      <c r="G8" s="427">
        <v>381</v>
      </c>
      <c r="H8" s="427">
        <v>256</v>
      </c>
      <c r="I8" s="427">
        <v>188</v>
      </c>
      <c r="J8" s="427">
        <v>213</v>
      </c>
    </row>
    <row r="9" spans="1:10" s="40" customFormat="1" ht="12" x14ac:dyDescent="0.2">
      <c r="A9" s="40" t="s">
        <v>193</v>
      </c>
      <c r="B9" s="427">
        <v>4488</v>
      </c>
      <c r="C9" s="427">
        <v>4365</v>
      </c>
      <c r="D9" s="427">
        <v>4065</v>
      </c>
      <c r="E9" s="427">
        <v>3928</v>
      </c>
      <c r="F9" s="427">
        <v>3793</v>
      </c>
      <c r="G9" s="427">
        <v>3707</v>
      </c>
      <c r="H9" s="427">
        <v>3448</v>
      </c>
      <c r="I9" s="427">
        <v>3338</v>
      </c>
      <c r="J9" s="427">
        <v>3211</v>
      </c>
    </row>
    <row r="10" spans="1:10" s="40" customFormat="1" ht="12" x14ac:dyDescent="0.2">
      <c r="A10" s="40" t="s">
        <v>194</v>
      </c>
      <c r="B10" s="427">
        <v>96</v>
      </c>
      <c r="C10" s="427">
        <v>91</v>
      </c>
      <c r="D10" s="427">
        <v>79</v>
      </c>
      <c r="E10" s="427">
        <v>85</v>
      </c>
      <c r="F10" s="427">
        <v>83</v>
      </c>
      <c r="G10" s="427">
        <v>85</v>
      </c>
      <c r="H10" s="427">
        <v>80</v>
      </c>
      <c r="I10" s="427">
        <v>77</v>
      </c>
      <c r="J10" s="427">
        <v>79</v>
      </c>
    </row>
    <row r="11" spans="1:10" s="40" customFormat="1" ht="12" x14ac:dyDescent="0.2">
      <c r="A11" s="40" t="s">
        <v>343</v>
      </c>
      <c r="B11" s="427">
        <f>SUM(B6:B10)</f>
        <v>18896</v>
      </c>
      <c r="C11" s="427">
        <f t="shared" ref="C11:J11" si="0">SUM(C6:C10)</f>
        <v>18459</v>
      </c>
      <c r="D11" s="427">
        <f t="shared" si="0"/>
        <v>17384</v>
      </c>
      <c r="E11" s="427">
        <f t="shared" si="0"/>
        <v>16930</v>
      </c>
      <c r="F11" s="427">
        <f t="shared" si="0"/>
        <v>16567</v>
      </c>
      <c r="G11" s="427">
        <f t="shared" si="0"/>
        <v>16537</v>
      </c>
      <c r="H11" s="427">
        <f t="shared" si="0"/>
        <v>15818</v>
      </c>
      <c r="I11" s="427">
        <f t="shared" si="0"/>
        <v>15391</v>
      </c>
      <c r="J11" s="427">
        <f t="shared" si="0"/>
        <v>14981</v>
      </c>
    </row>
    <row r="12" spans="1:10" s="40" customFormat="1" ht="12" x14ac:dyDescent="0.2">
      <c r="A12" s="42" t="s">
        <v>342</v>
      </c>
      <c r="B12" s="426">
        <f>B11/1000</f>
        <v>18.896000000000001</v>
      </c>
      <c r="C12" s="426">
        <f t="shared" ref="C12:J12" si="1">C11/1000</f>
        <v>18.459</v>
      </c>
      <c r="D12" s="426">
        <f t="shared" si="1"/>
        <v>17.384</v>
      </c>
      <c r="E12" s="426">
        <f t="shared" si="1"/>
        <v>16.93</v>
      </c>
      <c r="F12" s="426">
        <f t="shared" si="1"/>
        <v>16.567</v>
      </c>
      <c r="G12" s="426">
        <f t="shared" si="1"/>
        <v>16.536999999999999</v>
      </c>
      <c r="H12" s="426">
        <f t="shared" si="1"/>
        <v>15.818</v>
      </c>
      <c r="I12" s="426">
        <f t="shared" si="1"/>
        <v>15.391</v>
      </c>
      <c r="J12" s="426">
        <f t="shared" si="1"/>
        <v>14.981</v>
      </c>
    </row>
    <row r="13" spans="1:10" s="40" customFormat="1" ht="12" x14ac:dyDescent="0.2">
      <c r="B13" s="297"/>
      <c r="C13" s="297"/>
      <c r="D13" s="297"/>
      <c r="E13" s="297"/>
      <c r="F13" s="297"/>
      <c r="G13" s="297"/>
      <c r="H13" s="297"/>
      <c r="I13" s="297"/>
      <c r="J13" s="297"/>
    </row>
    <row r="14" spans="1:10" s="40" customFormat="1" ht="12" x14ac:dyDescent="0.2">
      <c r="A14" s="298" t="s">
        <v>367</v>
      </c>
      <c r="B14" s="298">
        <v>2010</v>
      </c>
      <c r="C14" s="298">
        <v>2011</v>
      </c>
      <c r="D14" s="298">
        <v>2012</v>
      </c>
      <c r="E14" s="298">
        <v>2013</v>
      </c>
      <c r="F14" s="298">
        <v>2014</v>
      </c>
      <c r="G14" s="298">
        <v>2015</v>
      </c>
      <c r="H14" s="298">
        <v>2016</v>
      </c>
      <c r="I14" s="298">
        <v>2017</v>
      </c>
      <c r="J14" s="298">
        <v>2018</v>
      </c>
    </row>
    <row r="15" spans="1:10" s="40" customFormat="1" ht="12" x14ac:dyDescent="0.2">
      <c r="A15" s="40" t="s">
        <v>187</v>
      </c>
      <c r="B15" s="297">
        <f>(B6+B7+B10)/1000</f>
        <v>13.644</v>
      </c>
      <c r="C15" s="297">
        <f t="shared" ref="C15:J15" si="2">(C6+C7+C10)/1000</f>
        <v>13.337</v>
      </c>
      <c r="D15" s="297">
        <f t="shared" si="2"/>
        <v>12.726000000000001</v>
      </c>
      <c r="E15" s="297">
        <f t="shared" si="2"/>
        <v>12.49</v>
      </c>
      <c r="F15" s="297">
        <f t="shared" si="2"/>
        <v>12.316000000000001</v>
      </c>
      <c r="G15" s="297">
        <f t="shared" si="2"/>
        <v>12.449</v>
      </c>
      <c r="H15" s="297">
        <f t="shared" si="2"/>
        <v>12.114000000000001</v>
      </c>
      <c r="I15" s="297">
        <f t="shared" si="2"/>
        <v>11.865</v>
      </c>
      <c r="J15" s="297">
        <f t="shared" si="2"/>
        <v>11.557</v>
      </c>
    </row>
    <row r="16" spans="1:10" s="40" customFormat="1" ht="12" x14ac:dyDescent="0.2">
      <c r="A16" s="40" t="s">
        <v>257</v>
      </c>
      <c r="B16" s="297">
        <f>B9/1000</f>
        <v>4.4880000000000004</v>
      </c>
      <c r="C16" s="297">
        <f t="shared" ref="C16:J16" si="3">C9/1000</f>
        <v>4.3650000000000002</v>
      </c>
      <c r="D16" s="297">
        <f t="shared" si="3"/>
        <v>4.0650000000000004</v>
      </c>
      <c r="E16" s="297">
        <f t="shared" si="3"/>
        <v>3.9279999999999999</v>
      </c>
      <c r="F16" s="297">
        <f t="shared" si="3"/>
        <v>3.7930000000000001</v>
      </c>
      <c r="G16" s="297">
        <f t="shared" si="3"/>
        <v>3.7069999999999999</v>
      </c>
      <c r="H16" s="297">
        <f t="shared" si="3"/>
        <v>3.448</v>
      </c>
      <c r="I16" s="297">
        <f t="shared" si="3"/>
        <v>3.3380000000000001</v>
      </c>
      <c r="J16" s="297">
        <f t="shared" si="3"/>
        <v>3.2109999999999999</v>
      </c>
    </row>
    <row r="17" spans="1:10" s="40" customFormat="1" ht="12" x14ac:dyDescent="0.2">
      <c r="A17" s="40" t="s">
        <v>195</v>
      </c>
      <c r="B17" s="297">
        <f>B8/1000</f>
        <v>0.76400000000000001</v>
      </c>
      <c r="C17" s="297">
        <f t="shared" ref="C17:J17" si="4">C8/1000</f>
        <v>0.75700000000000001</v>
      </c>
      <c r="D17" s="297">
        <f t="shared" si="4"/>
        <v>0.59299999999999997</v>
      </c>
      <c r="E17" s="297">
        <f t="shared" si="4"/>
        <v>0.51200000000000001</v>
      </c>
      <c r="F17" s="297">
        <f t="shared" si="4"/>
        <v>0.45800000000000002</v>
      </c>
      <c r="G17" s="297">
        <f t="shared" si="4"/>
        <v>0.38100000000000001</v>
      </c>
      <c r="H17" s="297">
        <f t="shared" si="4"/>
        <v>0.25600000000000001</v>
      </c>
      <c r="I17" s="297">
        <f t="shared" si="4"/>
        <v>0.188</v>
      </c>
      <c r="J17" s="297">
        <f t="shared" si="4"/>
        <v>0.21299999999999999</v>
      </c>
    </row>
    <row r="18" spans="1:10" s="40" customFormat="1" ht="12" x14ac:dyDescent="0.2">
      <c r="A18" s="42" t="s">
        <v>16</v>
      </c>
      <c r="B18" s="299">
        <f>SUM(B15:B17)</f>
        <v>18.896000000000001</v>
      </c>
      <c r="C18" s="299">
        <f t="shared" ref="C18:J18" si="5">SUM(C15:C17)</f>
        <v>18.459</v>
      </c>
      <c r="D18" s="299">
        <f t="shared" si="5"/>
        <v>17.384</v>
      </c>
      <c r="E18" s="299">
        <f t="shared" si="5"/>
        <v>16.93</v>
      </c>
      <c r="F18" s="299">
        <f t="shared" si="5"/>
        <v>16.567</v>
      </c>
      <c r="G18" s="299">
        <f t="shared" si="5"/>
        <v>16.536999999999999</v>
      </c>
      <c r="H18" s="299">
        <f t="shared" si="5"/>
        <v>15.818000000000001</v>
      </c>
      <c r="I18" s="299">
        <f t="shared" si="5"/>
        <v>15.391</v>
      </c>
      <c r="J18" s="299">
        <f t="shared" si="5"/>
        <v>14.981</v>
      </c>
    </row>
    <row r="19" spans="1:10" ht="12" customHeight="1" x14ac:dyDescent="0.25"/>
    <row r="20" spans="1:10" s="372" customFormat="1" ht="12" customHeight="1" x14ac:dyDescent="0.25">
      <c r="A20" s="40" t="s">
        <v>370</v>
      </c>
    </row>
    <row r="21" spans="1:10" s="372" customFormat="1" ht="12" customHeight="1" x14ac:dyDescent="0.25">
      <c r="A21" s="40" t="s">
        <v>371</v>
      </c>
    </row>
    <row r="22" spans="1:10" s="372" customFormat="1" ht="12" customHeight="1" x14ac:dyDescent="0.25"/>
    <row r="23" spans="1:10" ht="12" customHeight="1" x14ac:dyDescent="0.25">
      <c r="A23" s="298" t="s">
        <v>368</v>
      </c>
      <c r="B23" s="298">
        <v>2010</v>
      </c>
      <c r="C23" s="298">
        <v>2011</v>
      </c>
      <c r="D23" s="298">
        <v>2012</v>
      </c>
      <c r="E23" s="298">
        <v>2013</v>
      </c>
      <c r="F23" s="298">
        <v>2014</v>
      </c>
      <c r="G23" s="298">
        <v>2015</v>
      </c>
      <c r="H23" s="298">
        <v>2016</v>
      </c>
      <c r="I23" s="298">
        <v>2017</v>
      </c>
      <c r="J23" s="298">
        <v>2018</v>
      </c>
    </row>
    <row r="24" spans="1:10" ht="12" customHeight="1" x14ac:dyDescent="0.25">
      <c r="A24" s="40" t="s">
        <v>355</v>
      </c>
      <c r="B24" s="297">
        <f>B31/1000</f>
        <v>1.3952000000000002</v>
      </c>
      <c r="C24" s="297">
        <f t="shared" ref="C24:J24" si="6">C31/1000</f>
        <v>1.2692000000000019</v>
      </c>
      <c r="D24" s="297">
        <f t="shared" si="6"/>
        <v>1.0711999999999995</v>
      </c>
      <c r="E24" s="297">
        <f t="shared" si="6"/>
        <v>0.96049999999999935</v>
      </c>
      <c r="F24" s="297">
        <f t="shared" si="6"/>
        <v>0.87380000000000113</v>
      </c>
      <c r="G24" s="297">
        <f t="shared" si="6"/>
        <v>0.74280000000000079</v>
      </c>
      <c r="H24" s="297">
        <f t="shared" si="6"/>
        <v>0.65099999999999969</v>
      </c>
      <c r="I24" s="297">
        <f t="shared" si="6"/>
        <v>0.57449999999999934</v>
      </c>
      <c r="J24" s="297">
        <f t="shared" si="6"/>
        <v>0.50379999999999991</v>
      </c>
    </row>
    <row r="25" spans="1:10" ht="12" customHeight="1" x14ac:dyDescent="0.25">
      <c r="A25" s="40" t="s">
        <v>369</v>
      </c>
      <c r="B25" s="297">
        <f>B28/1000-B24</f>
        <v>13.957799999999999</v>
      </c>
      <c r="C25" s="297">
        <f t="shared" ref="C25:J25" si="7">C28/1000-C24</f>
        <v>16.1812</v>
      </c>
      <c r="D25" s="297">
        <f t="shared" si="7"/>
        <v>14.269300000000001</v>
      </c>
      <c r="E25" s="297">
        <f t="shared" si="7"/>
        <v>16.5778</v>
      </c>
      <c r="F25" s="297">
        <f t="shared" si="7"/>
        <v>15.182399999999999</v>
      </c>
      <c r="G25" s="297">
        <f t="shared" si="7"/>
        <v>15.541400000000001</v>
      </c>
      <c r="H25" s="297">
        <f t="shared" si="7"/>
        <v>16.030799999999999</v>
      </c>
      <c r="I25" s="297">
        <f t="shared" si="7"/>
        <v>16.3413</v>
      </c>
      <c r="J25" s="297">
        <f t="shared" si="7"/>
        <v>16.589200000000002</v>
      </c>
    </row>
    <row r="26" spans="1:10" ht="12" customHeight="1" x14ac:dyDescent="0.25">
      <c r="A26" s="40" t="s">
        <v>356</v>
      </c>
      <c r="B26" s="297">
        <v>59.854699999999994</v>
      </c>
      <c r="C26" s="297">
        <v>55.862499999999997</v>
      </c>
      <c r="D26" s="297">
        <v>53.195500000000003</v>
      </c>
      <c r="E26" s="297">
        <v>51.203099999999999</v>
      </c>
      <c r="F26" s="297">
        <v>50.199599999999997</v>
      </c>
      <c r="G26" s="297">
        <v>47.358699999999999</v>
      </c>
      <c r="H26" s="297">
        <v>44.657699999999998</v>
      </c>
      <c r="I26" s="297">
        <v>41.268900000000002</v>
      </c>
      <c r="J26" s="297">
        <v>38.866199999999999</v>
      </c>
    </row>
    <row r="27" spans="1:10" ht="12" customHeight="1" x14ac:dyDescent="0.25">
      <c r="A27" s="40"/>
      <c r="B27" s="297"/>
      <c r="C27" s="297"/>
      <c r="D27" s="297"/>
      <c r="E27" s="297"/>
      <c r="F27" s="297"/>
      <c r="G27" s="297"/>
      <c r="H27" s="297"/>
      <c r="I27" s="297"/>
      <c r="J27" s="297"/>
    </row>
    <row r="28" spans="1:10" ht="12" customHeight="1" x14ac:dyDescent="0.25">
      <c r="A28" s="40" t="s">
        <v>366</v>
      </c>
      <c r="B28" s="427">
        <v>15353</v>
      </c>
      <c r="C28" s="427">
        <v>17450.400000000001</v>
      </c>
      <c r="D28" s="427">
        <v>15340.5</v>
      </c>
      <c r="E28" s="427">
        <v>17538.3</v>
      </c>
      <c r="F28" s="427">
        <v>16056.2</v>
      </c>
      <c r="G28" s="427">
        <v>16284.2</v>
      </c>
      <c r="H28" s="427">
        <v>16681.8</v>
      </c>
      <c r="I28" s="427">
        <v>16915.8</v>
      </c>
      <c r="J28" s="427">
        <v>17093</v>
      </c>
    </row>
    <row r="29" spans="1:10" ht="12" customHeight="1" x14ac:dyDescent="0.25">
      <c r="A29" s="40" t="s">
        <v>364</v>
      </c>
      <c r="B29" s="427">
        <v>13189.4</v>
      </c>
      <c r="C29" s="427">
        <v>15403.4</v>
      </c>
      <c r="D29" s="427">
        <v>13497.1</v>
      </c>
      <c r="E29" s="427">
        <v>15805</v>
      </c>
      <c r="F29" s="427">
        <v>14397.4</v>
      </c>
      <c r="G29" s="427">
        <v>14740</v>
      </c>
      <c r="H29" s="427">
        <v>15207.9</v>
      </c>
      <c r="I29" s="427">
        <v>15507</v>
      </c>
      <c r="J29" s="427">
        <v>15751</v>
      </c>
    </row>
    <row r="30" spans="1:10" ht="12" customHeight="1" x14ac:dyDescent="0.25">
      <c r="A30" s="40" t="s">
        <v>365</v>
      </c>
      <c r="B30" s="427">
        <v>768.4</v>
      </c>
      <c r="C30" s="427">
        <v>777.8</v>
      </c>
      <c r="D30" s="427">
        <v>772.2</v>
      </c>
      <c r="E30" s="427">
        <v>772.8</v>
      </c>
      <c r="F30" s="427">
        <v>785</v>
      </c>
      <c r="G30" s="427">
        <v>801.4</v>
      </c>
      <c r="H30" s="427">
        <v>822.9</v>
      </c>
      <c r="I30" s="427">
        <v>834.3</v>
      </c>
      <c r="J30" s="427">
        <v>838.2</v>
      </c>
    </row>
    <row r="31" spans="1:10" ht="12" customHeight="1" x14ac:dyDescent="0.25">
      <c r="A31" s="40" t="s">
        <v>355</v>
      </c>
      <c r="B31" s="427">
        <f>B28-B29-B30</f>
        <v>1395.2000000000003</v>
      </c>
      <c r="C31" s="427">
        <f t="shared" ref="C31:J31" si="8">C28-C29-C30</f>
        <v>1269.2000000000019</v>
      </c>
      <c r="D31" s="427">
        <f t="shared" si="8"/>
        <v>1071.1999999999996</v>
      </c>
      <c r="E31" s="427">
        <f t="shared" si="8"/>
        <v>960.49999999999932</v>
      </c>
      <c r="F31" s="427">
        <f t="shared" si="8"/>
        <v>873.80000000000109</v>
      </c>
      <c r="G31" s="427">
        <f t="shared" si="8"/>
        <v>742.80000000000075</v>
      </c>
      <c r="H31" s="427">
        <f t="shared" si="8"/>
        <v>650.99999999999966</v>
      </c>
      <c r="I31" s="427">
        <f t="shared" si="8"/>
        <v>574.49999999999932</v>
      </c>
      <c r="J31" s="427">
        <f t="shared" si="8"/>
        <v>503.79999999999995</v>
      </c>
    </row>
    <row r="32" spans="1:10" x14ac:dyDescent="0.25">
      <c r="A32" s="40"/>
    </row>
    <row r="33" spans="7:9" x14ac:dyDescent="0.25">
      <c r="G33" s="372"/>
      <c r="H33" s="372"/>
      <c r="I33" s="37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D2D2D2"/>
  </sheetPr>
  <dimension ref="A1:T42"/>
  <sheetViews>
    <sheetView zoomScale="90" zoomScaleNormal="90" workbookViewId="0">
      <selection activeCell="H42" sqref="H42"/>
    </sheetView>
  </sheetViews>
  <sheetFormatPr defaultColWidth="8.85546875" defaultRowHeight="15" x14ac:dyDescent="0.25"/>
  <cols>
    <col min="1" max="1" width="37.85546875" style="26" customWidth="1"/>
    <col min="2" max="4" width="8.7109375" style="26" customWidth="1"/>
    <col min="5" max="5" width="11.7109375" style="96" customWidth="1"/>
    <col min="6" max="6" width="37.7109375" style="26" customWidth="1"/>
    <col min="7" max="10" width="8.85546875" style="26"/>
    <col min="11" max="11" width="28.140625" style="26" customWidth="1"/>
    <col min="12" max="12" width="8.85546875" style="26"/>
    <col min="13" max="13" width="11.28515625" style="26" customWidth="1"/>
    <col min="14" max="16384" width="8.85546875" style="26"/>
  </cols>
  <sheetData>
    <row r="1" spans="1:16" ht="18" x14ac:dyDescent="0.25">
      <c r="A1" s="121" t="s">
        <v>297</v>
      </c>
      <c r="B1" s="429"/>
      <c r="C1" s="429"/>
      <c r="D1" s="429"/>
      <c r="E1" s="430"/>
      <c r="F1" s="429"/>
      <c r="G1" s="36"/>
      <c r="H1" s="36"/>
      <c r="I1" s="36"/>
    </row>
    <row r="2" spans="1:16" x14ac:dyDescent="0.25">
      <c r="A2" s="428" t="s">
        <v>352</v>
      </c>
      <c r="B2" s="36"/>
      <c r="C2" s="36"/>
      <c r="D2" s="36"/>
      <c r="E2" s="175"/>
      <c r="F2" s="36"/>
      <c r="G2" s="36"/>
      <c r="H2" s="36"/>
      <c r="I2" s="36"/>
    </row>
    <row r="3" spans="1:16" ht="15.75" thickBot="1" x14ac:dyDescent="0.3">
      <c r="A3" s="1156" t="s">
        <v>61</v>
      </c>
      <c r="B3" s="1156"/>
      <c r="C3" s="1156"/>
      <c r="D3" s="1156"/>
      <c r="E3" s="83"/>
      <c r="F3" s="1156" t="s">
        <v>258</v>
      </c>
      <c r="G3" s="1156"/>
      <c r="H3" s="1156"/>
      <c r="I3" s="1156"/>
      <c r="M3" s="1156" t="s">
        <v>310</v>
      </c>
      <c r="N3" s="1157"/>
      <c r="O3" s="1157"/>
      <c r="P3" s="1157"/>
    </row>
    <row r="4" spans="1:16" s="41" customFormat="1" ht="13.5" thickBot="1" x14ac:dyDescent="0.25">
      <c r="A4" s="1158" t="s">
        <v>54</v>
      </c>
      <c r="B4" s="1158"/>
      <c r="C4" s="1158"/>
      <c r="D4" s="1158"/>
      <c r="E4" s="176"/>
      <c r="F4" s="1158" t="s">
        <v>259</v>
      </c>
      <c r="G4" s="1158"/>
      <c r="H4" s="1158"/>
      <c r="I4" s="1158"/>
      <c r="K4" s="64" t="s">
        <v>63</v>
      </c>
      <c r="M4" s="369" t="s">
        <v>311</v>
      </c>
      <c r="N4" s="357"/>
      <c r="O4" s="357"/>
      <c r="P4" s="357"/>
    </row>
    <row r="5" spans="1:16" ht="15.75" thickBot="1" x14ac:dyDescent="0.3">
      <c r="A5" s="1159" t="s">
        <v>55</v>
      </c>
      <c r="B5" s="1159"/>
      <c r="C5" s="1159"/>
      <c r="D5" s="1159"/>
      <c r="E5" s="44"/>
      <c r="F5" s="1159" t="s">
        <v>56</v>
      </c>
      <c r="G5" s="1159"/>
      <c r="H5" s="1159"/>
      <c r="I5" s="1159"/>
      <c r="K5" s="62" t="s">
        <v>61</v>
      </c>
      <c r="M5" s="358"/>
      <c r="N5" s="358"/>
      <c r="O5" s="358"/>
      <c r="P5" s="358"/>
    </row>
    <row r="6" spans="1:16" ht="15.75" thickBot="1" x14ac:dyDescent="0.3">
      <c r="A6" s="33" t="s">
        <v>127</v>
      </c>
      <c r="B6" s="33">
        <v>2017</v>
      </c>
      <c r="C6" s="37">
        <v>2030</v>
      </c>
      <c r="D6" s="38">
        <v>2040</v>
      </c>
      <c r="E6" s="97"/>
      <c r="F6" s="33" t="s">
        <v>127</v>
      </c>
      <c r="G6" s="33">
        <v>2017</v>
      </c>
      <c r="H6" s="37">
        <v>2030</v>
      </c>
      <c r="I6" s="38">
        <v>2040</v>
      </c>
      <c r="K6" s="63" t="s">
        <v>384</v>
      </c>
      <c r="M6" s="33" t="s">
        <v>309</v>
      </c>
      <c r="N6" s="33">
        <v>2017</v>
      </c>
      <c r="O6" s="37">
        <v>2030</v>
      </c>
      <c r="P6" s="38">
        <v>2040</v>
      </c>
    </row>
    <row r="7" spans="1:16" ht="15.75" thickBot="1" x14ac:dyDescent="0.3">
      <c r="A7" s="32" t="s">
        <v>102</v>
      </c>
      <c r="B7" s="154">
        <v>0.51897550619022437</v>
      </c>
      <c r="C7" s="155">
        <v>0.39627461007293346</v>
      </c>
      <c r="D7" s="156">
        <v>0.30878176598734658</v>
      </c>
      <c r="E7" s="44"/>
      <c r="F7" s="32" t="s">
        <v>8</v>
      </c>
      <c r="G7" s="154">
        <v>0.51897550619022437</v>
      </c>
      <c r="H7" s="155">
        <v>0.35761367250484238</v>
      </c>
      <c r="I7" s="156">
        <v>0.17452833971320139</v>
      </c>
      <c r="M7" s="32" t="s">
        <v>307</v>
      </c>
      <c r="N7" s="168"/>
      <c r="O7" s="169">
        <v>3.04</v>
      </c>
      <c r="P7" s="170">
        <v>1.89</v>
      </c>
    </row>
    <row r="8" spans="1:16" ht="15.75" thickBot="1" x14ac:dyDescent="0.3">
      <c r="A8" s="32" t="s">
        <v>103</v>
      </c>
      <c r="B8" s="154">
        <v>0.47713411257965044</v>
      </c>
      <c r="C8" s="155">
        <v>0.42372538992706654</v>
      </c>
      <c r="D8" s="156">
        <v>0.31121823401265342</v>
      </c>
      <c r="E8" s="44"/>
      <c r="F8" s="32" t="s">
        <v>9</v>
      </c>
      <c r="G8" s="154">
        <v>0.47713411257965044</v>
      </c>
      <c r="H8" s="155">
        <v>0.38238632749515761</v>
      </c>
      <c r="I8" s="156">
        <v>0.15547166028679862</v>
      </c>
      <c r="K8" s="371" t="s">
        <v>63</v>
      </c>
      <c r="M8" s="32" t="s">
        <v>7</v>
      </c>
      <c r="N8" s="168"/>
      <c r="O8" s="169">
        <v>0.26</v>
      </c>
      <c r="P8" s="170">
        <v>0.56000000000000005</v>
      </c>
    </row>
    <row r="9" spans="1:16" ht="15.75" thickBot="1" x14ac:dyDescent="0.3">
      <c r="A9" s="32" t="s">
        <v>104</v>
      </c>
      <c r="B9" s="154">
        <v>3.8903812301252496E-3</v>
      </c>
      <c r="C9" s="155">
        <v>0.18</v>
      </c>
      <c r="D9" s="380">
        <v>0.38</v>
      </c>
      <c r="E9" s="44"/>
      <c r="F9" s="32" t="s">
        <v>7</v>
      </c>
      <c r="G9" s="154">
        <v>3.8903812301252496E-3</v>
      </c>
      <c r="H9" s="155">
        <v>0.26</v>
      </c>
      <c r="I9" s="156">
        <v>0.67</v>
      </c>
      <c r="K9" s="370" t="s">
        <v>336</v>
      </c>
      <c r="M9" s="33" t="s">
        <v>16</v>
      </c>
      <c r="N9" s="162"/>
      <c r="O9" s="163">
        <f t="shared" ref="O9" si="0">SUM(O7:O8)</f>
        <v>3.3</v>
      </c>
      <c r="P9" s="164">
        <f t="shared" ref="P9" si="1">SUM(P7:P8)</f>
        <v>2.4500000000000002</v>
      </c>
    </row>
    <row r="10" spans="1:16" ht="15.75" thickBot="1" x14ac:dyDescent="0.3">
      <c r="A10" s="33" t="s">
        <v>16</v>
      </c>
      <c r="B10" s="157">
        <f t="shared" ref="B10:D10" si="2">SUM(B7:B9)</f>
        <v>1</v>
      </c>
      <c r="C10" s="158">
        <f>SUM(C7:C9)</f>
        <v>1</v>
      </c>
      <c r="D10" s="159">
        <f t="shared" si="2"/>
        <v>1</v>
      </c>
      <c r="F10" s="33" t="s">
        <v>16</v>
      </c>
      <c r="G10" s="157">
        <f>SUM(G7:G9)</f>
        <v>1</v>
      </c>
      <c r="H10" s="158">
        <f t="shared" ref="H10" si="3">SUM(H7:H9)</f>
        <v>1</v>
      </c>
      <c r="I10" s="159">
        <f t="shared" ref="I10" si="4">SUM(I7:I9)</f>
        <v>1</v>
      </c>
      <c r="K10" s="62" t="s">
        <v>385</v>
      </c>
    </row>
    <row r="11" spans="1:16" ht="15.75" thickBot="1" x14ac:dyDescent="0.3">
      <c r="A11" s="160"/>
      <c r="B11" s="161"/>
      <c r="C11" s="161"/>
      <c r="D11" s="161"/>
      <c r="F11" s="160"/>
      <c r="G11" s="161"/>
      <c r="H11" s="161"/>
      <c r="I11" s="161"/>
      <c r="K11" s="63" t="s">
        <v>386</v>
      </c>
      <c r="M11" s="1156" t="s">
        <v>335</v>
      </c>
      <c r="N11" s="1157"/>
      <c r="O11" s="1157"/>
      <c r="P11" s="1157"/>
    </row>
    <row r="12" spans="1:16" ht="15.75" thickBot="1" x14ac:dyDescent="0.3">
      <c r="A12" s="33" t="s">
        <v>213</v>
      </c>
      <c r="B12" s="33">
        <v>2017</v>
      </c>
      <c r="C12" s="37">
        <v>2030</v>
      </c>
      <c r="D12" s="38">
        <v>2040</v>
      </c>
      <c r="F12" s="33" t="s">
        <v>213</v>
      </c>
      <c r="G12" s="33">
        <v>2017</v>
      </c>
      <c r="H12" s="37">
        <v>2030</v>
      </c>
      <c r="I12" s="38">
        <v>2040</v>
      </c>
      <c r="M12" s="369" t="s">
        <v>308</v>
      </c>
      <c r="N12" s="357"/>
      <c r="O12" s="357"/>
      <c r="P12" s="357"/>
    </row>
    <row r="13" spans="1:16" ht="15.75" thickBot="1" x14ac:dyDescent="0.3">
      <c r="A13" s="33" t="s">
        <v>105</v>
      </c>
      <c r="B13" s="329">
        <v>77.971587143204999</v>
      </c>
      <c r="C13" s="330">
        <f>86.10160831527*1.025</f>
        <v>88.254148523151741</v>
      </c>
      <c r="D13" s="331">
        <f>95.4887231335566*1.05</f>
        <v>100.26315929023444</v>
      </c>
      <c r="E13" s="44"/>
      <c r="F13" s="33" t="s">
        <v>105</v>
      </c>
      <c r="G13" s="329">
        <f>B13</f>
        <v>77.971587143204999</v>
      </c>
      <c r="H13" s="330">
        <f>C13</f>
        <v>88.254148523151741</v>
      </c>
      <c r="I13" s="331">
        <f>D13</f>
        <v>100.26315929023444</v>
      </c>
      <c r="M13" s="358"/>
      <c r="N13" s="358"/>
      <c r="O13" s="358"/>
      <c r="P13" s="358"/>
    </row>
    <row r="14" spans="1:16" ht="15.75" thickBot="1" x14ac:dyDescent="0.3">
      <c r="A14" s="37"/>
      <c r="B14" s="163"/>
      <c r="C14" s="163"/>
      <c r="D14" s="163"/>
      <c r="F14" s="40"/>
      <c r="G14" s="40"/>
      <c r="H14" s="40"/>
      <c r="I14" s="40"/>
      <c r="M14" s="33" t="s">
        <v>309</v>
      </c>
      <c r="N14" s="33">
        <v>2017</v>
      </c>
      <c r="O14" s="37">
        <v>2030</v>
      </c>
      <c r="P14" s="38">
        <v>2040</v>
      </c>
    </row>
    <row r="15" spans="1:16" ht="15.75" thickBot="1" x14ac:dyDescent="0.3">
      <c r="A15" s="33" t="s">
        <v>126</v>
      </c>
      <c r="B15" s="33">
        <v>2017</v>
      </c>
      <c r="C15" s="37">
        <v>2030</v>
      </c>
      <c r="D15" s="38">
        <v>2040</v>
      </c>
      <c r="F15" s="33" t="s">
        <v>126</v>
      </c>
      <c r="G15" s="33">
        <v>2017</v>
      </c>
      <c r="H15" s="37">
        <v>2030</v>
      </c>
      <c r="I15" s="38">
        <v>2040</v>
      </c>
      <c r="M15" s="32" t="s">
        <v>307</v>
      </c>
      <c r="N15" s="168"/>
      <c r="O15" s="169">
        <v>1.33</v>
      </c>
      <c r="P15" s="170">
        <v>0.97</v>
      </c>
    </row>
    <row r="16" spans="1:16" ht="15.75" thickBot="1" x14ac:dyDescent="0.3">
      <c r="A16" s="29" t="s">
        <v>102</v>
      </c>
      <c r="B16" s="165">
        <f>0.716252875334414</f>
        <v>0.71625287533441395</v>
      </c>
      <c r="C16" s="166">
        <v>0.60765334265455651</v>
      </c>
      <c r="D16" s="167">
        <v>0.49219920755019081</v>
      </c>
      <c r="E16" s="44"/>
      <c r="F16" s="29" t="s">
        <v>102</v>
      </c>
      <c r="G16" s="165">
        <f t="shared" ref="G16:H18" si="5">B16</f>
        <v>0.71625287533441395</v>
      </c>
      <c r="H16" s="166">
        <f t="shared" si="5"/>
        <v>0.60765334265455651</v>
      </c>
      <c r="I16" s="167">
        <f t="shared" ref="I16" si="6">D16</f>
        <v>0.49219920755019081</v>
      </c>
      <c r="L16" s="372"/>
      <c r="M16" s="32" t="s">
        <v>7</v>
      </c>
      <c r="N16" s="168"/>
      <c r="O16" s="169">
        <v>0.88</v>
      </c>
      <c r="P16" s="170">
        <v>1.1200000000000001</v>
      </c>
    </row>
    <row r="17" spans="1:20" ht="15.75" thickBot="1" x14ac:dyDescent="0.3">
      <c r="A17" s="32" t="s">
        <v>103</v>
      </c>
      <c r="B17" s="168">
        <v>0.723548191862601</v>
      </c>
      <c r="C17" s="169">
        <v>0.60691454404542722</v>
      </c>
      <c r="D17" s="170">
        <v>0.49160078067679608</v>
      </c>
      <c r="E17" s="44"/>
      <c r="F17" s="32" t="s">
        <v>103</v>
      </c>
      <c r="G17" s="168">
        <f t="shared" si="5"/>
        <v>0.723548191862601</v>
      </c>
      <c r="H17" s="169">
        <f t="shared" si="5"/>
        <v>0.60691454404542722</v>
      </c>
      <c r="I17" s="170">
        <f>D17</f>
        <v>0.49160078067679608</v>
      </c>
      <c r="M17" s="33" t="s">
        <v>16</v>
      </c>
      <c r="N17" s="162"/>
      <c r="O17" s="163">
        <f t="shared" ref="O17:P17" si="7">SUM(O15:O16)</f>
        <v>2.21</v>
      </c>
      <c r="P17" s="164">
        <f t="shared" si="7"/>
        <v>2.09</v>
      </c>
    </row>
    <row r="18" spans="1:20" ht="15.75" thickBot="1" x14ac:dyDescent="0.3">
      <c r="A18" s="30" t="s">
        <v>104</v>
      </c>
      <c r="B18" s="171">
        <v>1.615</v>
      </c>
      <c r="C18" s="172">
        <v>1.6150000000000002</v>
      </c>
      <c r="D18" s="173">
        <v>1.6150000000000002</v>
      </c>
      <c r="E18" s="44"/>
      <c r="F18" s="30" t="s">
        <v>104</v>
      </c>
      <c r="G18" s="171">
        <f t="shared" si="5"/>
        <v>1.615</v>
      </c>
      <c r="H18" s="172">
        <f>C18</f>
        <v>1.6150000000000002</v>
      </c>
      <c r="I18" s="173">
        <f>D18</f>
        <v>1.6150000000000002</v>
      </c>
    </row>
    <row r="19" spans="1:20" ht="15.75" thickBot="1" x14ac:dyDescent="0.3">
      <c r="E19" s="105"/>
      <c r="F19" s="179"/>
      <c r="G19" s="179"/>
      <c r="H19" s="179"/>
      <c r="I19" s="179"/>
      <c r="M19" s="1156" t="s">
        <v>334</v>
      </c>
      <c r="N19" s="1157"/>
      <c r="O19" s="1157"/>
      <c r="P19" s="1157"/>
    </row>
    <row r="20" spans="1:20" ht="15.75" thickBot="1" x14ac:dyDescent="0.3">
      <c r="A20" s="33" t="s">
        <v>277</v>
      </c>
      <c r="B20" s="33">
        <v>2017</v>
      </c>
      <c r="C20" s="37">
        <v>2030</v>
      </c>
      <c r="D20" s="38">
        <v>2040</v>
      </c>
      <c r="E20" s="177"/>
      <c r="F20" s="33" t="s">
        <v>277</v>
      </c>
      <c r="G20" s="33">
        <v>2017</v>
      </c>
      <c r="H20" s="37">
        <v>2030</v>
      </c>
      <c r="I20" s="38">
        <v>2040</v>
      </c>
      <c r="M20" s="369" t="s">
        <v>308</v>
      </c>
      <c r="N20" s="357"/>
      <c r="O20" s="357"/>
      <c r="P20" s="357"/>
    </row>
    <row r="21" spans="1:20" ht="15.75" thickBot="1" x14ac:dyDescent="0.3">
      <c r="A21" s="29" t="s">
        <v>107</v>
      </c>
      <c r="B21" s="165"/>
      <c r="C21" s="304">
        <v>0.15</v>
      </c>
      <c r="D21" s="305">
        <v>0.6</v>
      </c>
      <c r="E21" s="178"/>
      <c r="F21" s="29" t="s">
        <v>107</v>
      </c>
      <c r="G21" s="165"/>
      <c r="H21" s="304">
        <v>0.5</v>
      </c>
      <c r="I21" s="305">
        <v>0.85</v>
      </c>
      <c r="M21" s="358"/>
      <c r="N21" s="358"/>
      <c r="O21" s="358"/>
      <c r="P21" s="358"/>
    </row>
    <row r="22" spans="1:20" ht="15.75" thickBot="1" x14ac:dyDescent="0.3">
      <c r="A22" s="32" t="s">
        <v>108</v>
      </c>
      <c r="B22" s="168"/>
      <c r="C22" s="306">
        <v>0.15</v>
      </c>
      <c r="D22" s="307">
        <v>0.6</v>
      </c>
      <c r="E22" s="178"/>
      <c r="F22" s="32" t="s">
        <v>108</v>
      </c>
      <c r="G22" s="168"/>
      <c r="H22" s="306">
        <v>0.5</v>
      </c>
      <c r="I22" s="307">
        <v>0.85</v>
      </c>
      <c r="M22" s="33" t="s">
        <v>309</v>
      </c>
      <c r="N22" s="33">
        <v>2017</v>
      </c>
      <c r="O22" s="37">
        <v>2030</v>
      </c>
      <c r="P22" s="38">
        <v>2040</v>
      </c>
    </row>
    <row r="23" spans="1:20" x14ac:dyDescent="0.25">
      <c r="A23" s="32" t="s">
        <v>109</v>
      </c>
      <c r="B23" s="168"/>
      <c r="C23" s="306">
        <v>4.0427955013328291E-2</v>
      </c>
      <c r="D23" s="307">
        <v>0.16171182005331317</v>
      </c>
      <c r="E23" s="178"/>
      <c r="F23" s="32" t="s">
        <v>109</v>
      </c>
      <c r="G23" s="168"/>
      <c r="H23" s="306">
        <v>0.14936945604265053</v>
      </c>
      <c r="I23" s="307">
        <v>0.36423060055908874</v>
      </c>
      <c r="M23" s="32" t="s">
        <v>307</v>
      </c>
      <c r="N23" s="168"/>
      <c r="O23" s="169">
        <v>2.0649999999999999</v>
      </c>
      <c r="P23" s="170">
        <v>1.6099999999999999</v>
      </c>
    </row>
    <row r="24" spans="1:20" ht="15.75" thickBot="1" x14ac:dyDescent="0.3">
      <c r="A24" s="174" t="s">
        <v>110</v>
      </c>
      <c r="B24" s="168"/>
      <c r="C24" s="306">
        <v>0</v>
      </c>
      <c r="D24" s="308">
        <v>0</v>
      </c>
      <c r="E24" s="178"/>
      <c r="F24" s="174" t="s">
        <v>110</v>
      </c>
      <c r="G24" s="168"/>
      <c r="H24" s="306">
        <v>0.02</v>
      </c>
      <c r="I24" s="308">
        <v>0.185</v>
      </c>
      <c r="M24" s="32" t="s">
        <v>7</v>
      </c>
      <c r="N24" s="168"/>
      <c r="O24" s="169">
        <v>1.365</v>
      </c>
      <c r="P24" s="170">
        <v>2.17</v>
      </c>
    </row>
    <row r="25" spans="1:20" ht="15.75" thickBot="1" x14ac:dyDescent="0.3">
      <c r="A25" s="33" t="s">
        <v>106</v>
      </c>
      <c r="B25" s="162"/>
      <c r="C25" s="309">
        <v>2.4891587356064358E-2</v>
      </c>
      <c r="D25" s="310">
        <v>9.9566349424257433E-2</v>
      </c>
      <c r="E25" s="178"/>
      <c r="F25" s="33" t="s">
        <v>106</v>
      </c>
      <c r="G25" s="162"/>
      <c r="H25" s="309">
        <v>9.9653079539405998E-2</v>
      </c>
      <c r="I25" s="310">
        <v>0.29535270394521862</v>
      </c>
      <c r="K25" s="372"/>
      <c r="L25" s="373"/>
      <c r="M25" s="33" t="s">
        <v>16</v>
      </c>
      <c r="N25" s="162"/>
      <c r="O25" s="163">
        <f t="shared" ref="O25" si="8">SUM(O23:O24)</f>
        <v>3.4299999999999997</v>
      </c>
      <c r="P25" s="164">
        <f t="shared" ref="P25" si="9">SUM(P23:P24)</f>
        <v>3.78</v>
      </c>
    </row>
    <row r="26" spans="1:20" ht="15.75" thickBot="1" x14ac:dyDescent="0.3">
      <c r="E26" s="105"/>
      <c r="F26" s="179"/>
      <c r="G26" s="179"/>
      <c r="H26" s="179"/>
      <c r="I26" s="179"/>
      <c r="K26" s="372"/>
      <c r="L26" s="373"/>
      <c r="M26" s="373"/>
      <c r="N26" s="373"/>
      <c r="O26" s="373"/>
      <c r="P26" s="373"/>
      <c r="Q26" s="373"/>
      <c r="R26" s="373"/>
      <c r="S26" s="373"/>
      <c r="T26" s="373"/>
    </row>
    <row r="27" spans="1:20" ht="15.75" thickBot="1" x14ac:dyDescent="0.3">
      <c r="A27" s="33" t="s">
        <v>213</v>
      </c>
      <c r="B27" s="33">
        <v>2017</v>
      </c>
      <c r="C27" s="37">
        <v>2030</v>
      </c>
      <c r="D27" s="38">
        <v>2040</v>
      </c>
      <c r="E27" s="177"/>
      <c r="F27" s="33" t="s">
        <v>213</v>
      </c>
      <c r="G27" s="332">
        <v>2017</v>
      </c>
      <c r="H27" s="333">
        <v>2030</v>
      </c>
      <c r="I27" s="334">
        <v>2040</v>
      </c>
      <c r="K27" s="372"/>
      <c r="L27" s="374"/>
      <c r="M27" s="374"/>
      <c r="N27" s="372"/>
    </row>
    <row r="28" spans="1:20" x14ac:dyDescent="0.25">
      <c r="A28" s="29" t="s">
        <v>107</v>
      </c>
      <c r="B28" s="165"/>
      <c r="C28" s="338">
        <v>0.22095243940171372</v>
      </c>
      <c r="D28" s="341">
        <v>0.26056352414887451</v>
      </c>
      <c r="E28" s="44"/>
      <c r="F28" s="29" t="s">
        <v>107</v>
      </c>
      <c r="G28" s="165"/>
      <c r="H28" s="338">
        <f>C28</f>
        <v>0.22095243940171372</v>
      </c>
      <c r="I28" s="341">
        <f>D28</f>
        <v>0.26056352414887451</v>
      </c>
      <c r="K28" s="372"/>
      <c r="L28" s="374"/>
      <c r="M28" s="374"/>
      <c r="N28" s="372"/>
    </row>
    <row r="29" spans="1:20" x14ac:dyDescent="0.25">
      <c r="A29" s="32" t="s">
        <v>108</v>
      </c>
      <c r="B29" s="168"/>
      <c r="C29" s="339">
        <v>0.24048713697194765</v>
      </c>
      <c r="D29" s="342">
        <v>0.28360029014188726</v>
      </c>
      <c r="E29" s="44"/>
      <c r="F29" s="32" t="s">
        <v>108</v>
      </c>
      <c r="G29" s="168"/>
      <c r="H29" s="339">
        <f t="shared" ref="H29:I31" si="10">C29</f>
        <v>0.24048713697194765</v>
      </c>
      <c r="I29" s="342">
        <f t="shared" si="10"/>
        <v>0.28360029014188726</v>
      </c>
      <c r="K29" s="372"/>
      <c r="L29" s="372"/>
      <c r="M29" s="372"/>
      <c r="N29" s="372"/>
    </row>
    <row r="30" spans="1:20" x14ac:dyDescent="0.25">
      <c r="A30" s="32" t="s">
        <v>109</v>
      </c>
      <c r="B30" s="168"/>
      <c r="C30" s="339">
        <v>1.9682018403049411</v>
      </c>
      <c r="D30" s="342">
        <v>2.3210497658899261</v>
      </c>
      <c r="E30" s="44"/>
      <c r="F30" s="32" t="s">
        <v>109</v>
      </c>
      <c r="G30" s="168"/>
      <c r="H30" s="339">
        <f t="shared" si="10"/>
        <v>1.9682018403049411</v>
      </c>
      <c r="I30" s="342">
        <f t="shared" si="10"/>
        <v>2.3210497658899261</v>
      </c>
      <c r="K30" s="372"/>
      <c r="L30" s="372"/>
      <c r="M30" s="372"/>
      <c r="N30" s="372"/>
      <c r="O30" s="372"/>
    </row>
    <row r="31" spans="1:20" ht="15.75" thickBot="1" x14ac:dyDescent="0.3">
      <c r="A31" s="174" t="s">
        <v>110</v>
      </c>
      <c r="B31" s="168"/>
      <c r="C31" s="339">
        <v>3.5477319739661044</v>
      </c>
      <c r="D31" s="343">
        <v>4.1837489931106022</v>
      </c>
      <c r="E31" s="44"/>
      <c r="F31" s="30" t="s">
        <v>110</v>
      </c>
      <c r="G31" s="171"/>
      <c r="H31" s="340">
        <f t="shared" si="10"/>
        <v>3.5477319739661044</v>
      </c>
      <c r="I31" s="343">
        <f t="shared" si="10"/>
        <v>4.1837489931106022</v>
      </c>
      <c r="K31" s="372"/>
      <c r="L31" s="372"/>
      <c r="M31" s="372"/>
      <c r="N31" s="372"/>
      <c r="O31" s="372"/>
    </row>
    <row r="32" spans="1:20" ht="15.75" thickBot="1" x14ac:dyDescent="0.3">
      <c r="A32" s="33" t="s">
        <v>106</v>
      </c>
      <c r="B32" s="162"/>
      <c r="C32" s="330">
        <f t="shared" ref="C32" si="11">SUM(C28:C31)</f>
        <v>5.9773733906447069</v>
      </c>
      <c r="D32" s="331">
        <f>SUM(D28:D31)</f>
        <v>7.0489625732912895</v>
      </c>
      <c r="E32" s="178"/>
      <c r="F32" s="33" t="s">
        <v>106</v>
      </c>
      <c r="G32" s="335"/>
      <c r="H32" s="336">
        <f t="shared" ref="H32" si="12">SUM(H28:H31)</f>
        <v>5.9773733906447069</v>
      </c>
      <c r="I32" s="337">
        <f>SUM(I28:I31)</f>
        <v>7.0489625732912895</v>
      </c>
      <c r="K32" s="372"/>
      <c r="L32" s="372"/>
      <c r="M32" s="372"/>
      <c r="N32" s="372"/>
      <c r="O32" s="372"/>
    </row>
    <row r="33" spans="1:15" ht="15.75" thickBot="1" x14ac:dyDescent="0.3">
      <c r="C33" s="538"/>
      <c r="D33" s="538"/>
      <c r="K33" s="372"/>
      <c r="L33" s="372"/>
      <c r="M33" s="372"/>
      <c r="N33" s="372"/>
      <c r="O33" s="372"/>
    </row>
    <row r="34" spans="1:15" ht="15.75" thickBot="1" x14ac:dyDescent="0.3">
      <c r="A34" s="33" t="s">
        <v>126</v>
      </c>
      <c r="B34" s="33">
        <v>2017</v>
      </c>
      <c r="C34" s="330">
        <v>2030</v>
      </c>
      <c r="D34" s="331">
        <v>2040</v>
      </c>
      <c r="F34" s="33" t="s">
        <v>126</v>
      </c>
      <c r="G34" s="332">
        <v>2017</v>
      </c>
      <c r="H34" s="333">
        <v>2030</v>
      </c>
      <c r="I34" s="334">
        <v>2040</v>
      </c>
    </row>
    <row r="35" spans="1:15" x14ac:dyDescent="0.25">
      <c r="A35" s="29" t="s">
        <v>112</v>
      </c>
      <c r="B35" s="165"/>
      <c r="C35" s="338">
        <v>1.409627347092486</v>
      </c>
      <c r="D35" s="341">
        <v>1.0975404858629165</v>
      </c>
      <c r="E35" s="177"/>
      <c r="F35" s="29" t="s">
        <v>112</v>
      </c>
      <c r="G35" s="165"/>
      <c r="H35" s="338">
        <f>C35</f>
        <v>1.409627347092486</v>
      </c>
      <c r="I35" s="341">
        <f>D35</f>
        <v>1.0975404858629165</v>
      </c>
    </row>
    <row r="36" spans="1:15" x14ac:dyDescent="0.25">
      <c r="A36" s="32" t="s">
        <v>113</v>
      </c>
      <c r="B36" s="168"/>
      <c r="C36" s="339">
        <v>1.8521521959043132</v>
      </c>
      <c r="D36" s="342">
        <v>1.4301687678393367</v>
      </c>
      <c r="E36" s="177"/>
      <c r="F36" s="32" t="s">
        <v>113</v>
      </c>
      <c r="G36" s="168"/>
      <c r="H36" s="339">
        <f t="shared" ref="H36:I38" si="13">C36</f>
        <v>1.8521521959043132</v>
      </c>
      <c r="I36" s="342">
        <f t="shared" si="13"/>
        <v>1.4301687678393367</v>
      </c>
    </row>
    <row r="37" spans="1:15" x14ac:dyDescent="0.25">
      <c r="A37" s="32" t="s">
        <v>114</v>
      </c>
      <c r="B37" s="168"/>
      <c r="C37" s="339">
        <v>2.2765487554982271</v>
      </c>
      <c r="D37" s="342">
        <v>1.7743995375527619</v>
      </c>
      <c r="E37" s="177"/>
      <c r="F37" s="32" t="s">
        <v>114</v>
      </c>
      <c r="G37" s="168"/>
      <c r="H37" s="339">
        <f t="shared" si="13"/>
        <v>2.2765487554982271</v>
      </c>
      <c r="I37" s="342">
        <f t="shared" si="13"/>
        <v>1.7743995375527619</v>
      </c>
    </row>
    <row r="38" spans="1:15" ht="15.75" thickBot="1" x14ac:dyDescent="0.3">
      <c r="A38" s="174" t="s">
        <v>115</v>
      </c>
      <c r="B38" s="171"/>
      <c r="C38" s="340">
        <v>2.9364819147657566</v>
      </c>
      <c r="D38" s="343">
        <v>2.3008116808806713</v>
      </c>
      <c r="E38" s="177"/>
      <c r="F38" s="30" t="s">
        <v>115</v>
      </c>
      <c r="G38" s="171"/>
      <c r="H38" s="340">
        <f t="shared" si="13"/>
        <v>2.9364819147657566</v>
      </c>
      <c r="I38" s="343">
        <f t="shared" si="13"/>
        <v>2.3008116808806713</v>
      </c>
    </row>
    <row r="39" spans="1:15" x14ac:dyDescent="0.25">
      <c r="A39" s="29" t="s">
        <v>122</v>
      </c>
      <c r="B39" s="165"/>
      <c r="C39" s="338">
        <v>8.4732522945626005</v>
      </c>
      <c r="D39" s="341">
        <v>8.4732522945626005</v>
      </c>
      <c r="E39" s="177"/>
      <c r="F39" s="29" t="s">
        <v>122</v>
      </c>
      <c r="G39" s="168"/>
      <c r="H39" s="339">
        <v>8.4732522945626005</v>
      </c>
      <c r="I39" s="342">
        <v>8.4732522945626005</v>
      </c>
    </row>
    <row r="40" spans="1:15" x14ac:dyDescent="0.25">
      <c r="A40" s="32" t="s">
        <v>123</v>
      </c>
      <c r="B40" s="168"/>
      <c r="C40" s="339">
        <v>8.4732522945626005</v>
      </c>
      <c r="D40" s="342">
        <v>8.4732522945626005</v>
      </c>
      <c r="E40" s="177"/>
      <c r="F40" s="32" t="s">
        <v>123</v>
      </c>
      <c r="G40" s="168"/>
      <c r="H40" s="339">
        <v>8.4732522945626005</v>
      </c>
      <c r="I40" s="342">
        <v>8.4732522945626005</v>
      </c>
    </row>
    <row r="41" spans="1:15" x14ac:dyDescent="0.25">
      <c r="A41" s="32" t="s">
        <v>124</v>
      </c>
      <c r="B41" s="168"/>
      <c r="C41" s="339">
        <v>13.374188060932356</v>
      </c>
      <c r="D41" s="342">
        <v>13.374188060932356</v>
      </c>
      <c r="E41" s="177"/>
      <c r="F41" s="32" t="s">
        <v>124</v>
      </c>
      <c r="G41" s="168"/>
      <c r="H41" s="339">
        <v>13.374188060932356</v>
      </c>
      <c r="I41" s="342">
        <v>13.374188060932356</v>
      </c>
    </row>
    <row r="42" spans="1:15" ht="15.75" thickBot="1" x14ac:dyDescent="0.3">
      <c r="A42" s="174" t="s">
        <v>125</v>
      </c>
      <c r="B42" s="171"/>
      <c r="C42" s="340">
        <v>15.182448650666799</v>
      </c>
      <c r="D42" s="343">
        <v>15.182448650666799</v>
      </c>
      <c r="E42" s="177"/>
      <c r="F42" s="174" t="s">
        <v>125</v>
      </c>
      <c r="G42" s="171"/>
      <c r="H42" s="340">
        <v>15.182448650666799</v>
      </c>
      <c r="I42" s="343">
        <v>15.182448650666799</v>
      </c>
    </row>
  </sheetData>
  <mergeCells count="9">
    <mergeCell ref="M19:P19"/>
    <mergeCell ref="M11:P11"/>
    <mergeCell ref="M3:P3"/>
    <mergeCell ref="A4:D4"/>
    <mergeCell ref="A5:D5"/>
    <mergeCell ref="F4:I4"/>
    <mergeCell ref="F5:I5"/>
    <mergeCell ref="A3:D3"/>
    <mergeCell ref="F3:I3"/>
  </mergeCells>
  <pageMargins left="0.7" right="0.7" top="0.75" bottom="0.75"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D2D2D2"/>
  </sheetPr>
  <dimension ref="A1:O27"/>
  <sheetViews>
    <sheetView zoomScale="130" zoomScaleNormal="130" workbookViewId="0">
      <selection activeCell="E8" sqref="E8"/>
    </sheetView>
  </sheetViews>
  <sheetFormatPr defaultColWidth="8.85546875" defaultRowHeight="15" x14ac:dyDescent="0.25"/>
  <cols>
    <col min="1" max="1" width="35.28515625" style="26" customWidth="1"/>
    <col min="2" max="2" width="45.42578125" style="26" customWidth="1"/>
    <col min="3" max="3" width="25.28515625" style="26" customWidth="1"/>
    <col min="4" max="5" width="11.7109375" style="26" customWidth="1"/>
    <col min="6" max="6" width="118" style="26" customWidth="1"/>
    <col min="7" max="16384" width="8.85546875" style="26"/>
  </cols>
  <sheetData>
    <row r="1" spans="1:15" ht="18" x14ac:dyDescent="0.25">
      <c r="A1" s="121" t="s">
        <v>264</v>
      </c>
      <c r="C1" s="372"/>
      <c r="D1" s="210"/>
      <c r="E1" s="210"/>
      <c r="F1" s="321"/>
    </row>
    <row r="2" spans="1:15" ht="15.75" thickBot="1" x14ac:dyDescent="0.3">
      <c r="A2" s="428" t="s">
        <v>353</v>
      </c>
    </row>
    <row r="3" spans="1:15" s="123" customFormat="1" ht="16.5" thickBot="1" x14ac:dyDescent="0.3">
      <c r="A3" s="313" t="s">
        <v>264</v>
      </c>
      <c r="B3" s="314" t="s">
        <v>18</v>
      </c>
      <c r="C3" s="315" t="s">
        <v>14</v>
      </c>
      <c r="D3" s="126">
        <v>2030</v>
      </c>
      <c r="E3" s="127">
        <v>2040</v>
      </c>
      <c r="F3" s="327" t="s">
        <v>15</v>
      </c>
      <c r="G3" s="27"/>
      <c r="H3" s="122"/>
      <c r="I3" s="122"/>
      <c r="J3" s="122"/>
      <c r="K3" s="122"/>
      <c r="L3" s="122"/>
      <c r="M3" s="122"/>
      <c r="N3" s="122"/>
      <c r="O3" s="122"/>
    </row>
    <row r="4" spans="1:15" ht="15" customHeight="1" x14ac:dyDescent="0.25">
      <c r="A4" s="1102" t="s">
        <v>294</v>
      </c>
      <c r="B4" s="1162" t="s">
        <v>210</v>
      </c>
      <c r="C4" s="1163"/>
      <c r="D4" s="319">
        <f>EMA!B19</f>
        <v>7.0000000000000007E-2</v>
      </c>
      <c r="E4" s="319">
        <f>EMA!C19</f>
        <v>0.19</v>
      </c>
      <c r="F4" s="29" t="s">
        <v>329</v>
      </c>
      <c r="G4" s="43"/>
      <c r="H4" s="40"/>
      <c r="I4" s="40"/>
      <c r="J4" s="40"/>
      <c r="K4" s="40"/>
      <c r="L4" s="40"/>
      <c r="M4" s="40"/>
      <c r="N4" s="40"/>
      <c r="O4" s="40"/>
    </row>
    <row r="5" spans="1:15" ht="15" customHeight="1" x14ac:dyDescent="0.25">
      <c r="A5" s="1166"/>
      <c r="B5" s="1164" t="s">
        <v>175</v>
      </c>
      <c r="C5" s="1165"/>
      <c r="D5" s="319">
        <v>-0.05</v>
      </c>
      <c r="E5" s="319">
        <v>-0.05</v>
      </c>
      <c r="F5" s="32" t="s">
        <v>70</v>
      </c>
      <c r="G5" s="43"/>
      <c r="H5" s="40"/>
      <c r="I5" s="40"/>
      <c r="J5" s="40"/>
      <c r="K5" s="40"/>
      <c r="L5" s="40"/>
      <c r="M5" s="40"/>
      <c r="N5" s="40"/>
      <c r="O5" s="40"/>
    </row>
    <row r="6" spans="1:15" ht="15" customHeight="1" x14ac:dyDescent="0.25">
      <c r="A6" s="1166"/>
      <c r="B6" s="1164" t="s">
        <v>176</v>
      </c>
      <c r="C6" s="1165"/>
      <c r="D6" s="319">
        <v>0</v>
      </c>
      <c r="E6" s="319">
        <v>0</v>
      </c>
      <c r="F6" s="32" t="s">
        <v>71</v>
      </c>
      <c r="G6" s="43"/>
      <c r="H6" s="40"/>
      <c r="I6" s="40"/>
      <c r="J6" s="40"/>
      <c r="K6" s="40"/>
      <c r="L6" s="40"/>
      <c r="M6" s="40"/>
      <c r="N6" s="40"/>
      <c r="O6" s="40"/>
    </row>
    <row r="7" spans="1:15" ht="15" customHeight="1" x14ac:dyDescent="0.25">
      <c r="A7" s="1166"/>
      <c r="B7" s="1164" t="s">
        <v>177</v>
      </c>
      <c r="C7" s="1165"/>
      <c r="D7" s="319">
        <f>EMA!B20</f>
        <v>-0.1</v>
      </c>
      <c r="E7" s="319">
        <f>EMA!C20</f>
        <v>-0.1</v>
      </c>
      <c r="F7" s="32" t="s">
        <v>69</v>
      </c>
      <c r="G7" s="43"/>
      <c r="H7" s="40"/>
      <c r="I7" s="40"/>
      <c r="J7" s="40"/>
      <c r="K7" s="40"/>
      <c r="L7" s="40"/>
      <c r="M7" s="40"/>
      <c r="N7" s="40"/>
      <c r="O7" s="40"/>
    </row>
    <row r="8" spans="1:15" ht="15" customHeight="1" x14ac:dyDescent="0.25">
      <c r="A8" s="1166"/>
      <c r="B8" s="1164" t="s">
        <v>178</v>
      </c>
      <c r="C8" s="1165"/>
      <c r="D8" s="319">
        <f>EMA!B21</f>
        <v>-0.2</v>
      </c>
      <c r="E8" s="319">
        <f>EMA!C21</f>
        <v>-0.2</v>
      </c>
      <c r="F8" s="32" t="s">
        <v>211</v>
      </c>
      <c r="G8" s="43"/>
      <c r="H8" s="40"/>
      <c r="I8" s="40"/>
      <c r="J8" s="40"/>
      <c r="K8" s="40"/>
      <c r="L8" s="40"/>
      <c r="M8" s="40"/>
      <c r="N8" s="40"/>
      <c r="O8" s="40"/>
    </row>
    <row r="9" spans="1:15" ht="15" customHeight="1" thickBot="1" x14ac:dyDescent="0.3">
      <c r="A9" s="1106"/>
      <c r="B9" s="1160" t="s">
        <v>179</v>
      </c>
      <c r="C9" s="1161"/>
      <c r="D9" s="319">
        <f>EMA!B22</f>
        <v>-0.22</v>
      </c>
      <c r="E9" s="319">
        <f>EMA!C22</f>
        <v>-0.22</v>
      </c>
      <c r="F9" s="32" t="s">
        <v>328</v>
      </c>
      <c r="G9" s="43"/>
      <c r="H9" s="40"/>
      <c r="I9" s="40"/>
      <c r="J9" s="40"/>
      <c r="K9" s="40"/>
      <c r="L9" s="40"/>
      <c r="M9" s="40"/>
      <c r="N9" s="40"/>
      <c r="O9" s="40"/>
    </row>
    <row r="10" spans="1:15" ht="15" customHeight="1" x14ac:dyDescent="0.25">
      <c r="A10" s="1093" t="s">
        <v>265</v>
      </c>
      <c r="B10" s="106" t="s">
        <v>8</v>
      </c>
      <c r="C10" s="140" t="s">
        <v>94</v>
      </c>
      <c r="D10" s="54">
        <v>2.36</v>
      </c>
      <c r="E10" s="55">
        <v>2.36</v>
      </c>
      <c r="F10" s="328" t="s">
        <v>291</v>
      </c>
      <c r="G10" s="43"/>
      <c r="H10" s="40"/>
      <c r="I10" s="40"/>
      <c r="J10" s="40"/>
      <c r="K10" s="40"/>
      <c r="L10" s="40"/>
      <c r="M10" s="40"/>
      <c r="N10" s="40"/>
      <c r="O10" s="40"/>
    </row>
    <row r="11" spans="1:15" ht="15" customHeight="1" x14ac:dyDescent="0.25">
      <c r="A11" s="1094"/>
      <c r="B11" s="43" t="s">
        <v>9</v>
      </c>
      <c r="C11" s="136" t="s">
        <v>94</v>
      </c>
      <c r="D11" s="316">
        <v>2.54</v>
      </c>
      <c r="E11" s="317">
        <v>2.54</v>
      </c>
      <c r="F11" s="402" t="s">
        <v>292</v>
      </c>
      <c r="G11" s="43"/>
      <c r="H11" s="40"/>
      <c r="I11" s="40"/>
      <c r="J11" s="40"/>
      <c r="K11" s="40"/>
      <c r="L11" s="40"/>
      <c r="M11" s="40"/>
      <c r="N11" s="40"/>
      <c r="O11" s="40"/>
    </row>
    <row r="12" spans="1:15" ht="15" customHeight="1" thickBot="1" x14ac:dyDescent="0.3">
      <c r="A12" s="1094" t="s">
        <v>68</v>
      </c>
      <c r="B12" s="43" t="s">
        <v>7</v>
      </c>
      <c r="C12" s="322" t="s">
        <v>274</v>
      </c>
      <c r="D12" s="58">
        <v>0</v>
      </c>
      <c r="E12" s="59">
        <v>0</v>
      </c>
      <c r="F12" s="402" t="s">
        <v>293</v>
      </c>
      <c r="G12" s="43"/>
      <c r="H12" s="40"/>
      <c r="I12" s="40"/>
      <c r="J12" s="40"/>
      <c r="K12" s="40"/>
      <c r="L12" s="40"/>
      <c r="M12" s="40"/>
      <c r="N12" s="40"/>
      <c r="O12" s="40"/>
    </row>
    <row r="13" spans="1:15" ht="15" customHeight="1" x14ac:dyDescent="0.25">
      <c r="A13" s="1093" t="s">
        <v>266</v>
      </c>
      <c r="B13" s="106" t="s">
        <v>285</v>
      </c>
      <c r="C13" s="140" t="s">
        <v>284</v>
      </c>
      <c r="D13" s="395">
        <v>4.5343745220062293E-2</v>
      </c>
      <c r="E13" s="398">
        <v>4.305849450376794E-2</v>
      </c>
      <c r="F13" s="402" t="s">
        <v>327</v>
      </c>
      <c r="G13" s="43"/>
      <c r="H13" s="40"/>
      <c r="I13" s="40"/>
      <c r="J13" s="40"/>
      <c r="K13" s="40"/>
      <c r="L13" s="40"/>
      <c r="M13" s="40"/>
      <c r="N13" s="40"/>
      <c r="O13" s="40"/>
    </row>
    <row r="14" spans="1:15" ht="15" customHeight="1" x14ac:dyDescent="0.25">
      <c r="A14" s="1094"/>
      <c r="B14" s="43" t="s">
        <v>286</v>
      </c>
      <c r="C14" s="136" t="s">
        <v>284</v>
      </c>
      <c r="D14" s="396">
        <v>0.16801178495160743</v>
      </c>
      <c r="E14" s="401">
        <v>0.10192945628188775</v>
      </c>
      <c r="F14" s="402" t="s">
        <v>327</v>
      </c>
      <c r="G14" s="43"/>
      <c r="H14" s="40"/>
      <c r="I14" s="40"/>
      <c r="J14" s="40"/>
      <c r="K14" s="40"/>
      <c r="L14" s="40"/>
      <c r="M14" s="40"/>
      <c r="N14" s="40"/>
      <c r="O14" s="40"/>
    </row>
    <row r="15" spans="1:15" ht="15" customHeight="1" thickBot="1" x14ac:dyDescent="0.3">
      <c r="A15" s="1094" t="s">
        <v>68</v>
      </c>
      <c r="B15" s="43" t="s">
        <v>287</v>
      </c>
      <c r="C15" s="322" t="s">
        <v>284</v>
      </c>
      <c r="D15" s="320">
        <v>0.33517469769539487</v>
      </c>
      <c r="E15" s="85">
        <v>0.28633849671341383</v>
      </c>
      <c r="F15" s="402" t="s">
        <v>327</v>
      </c>
      <c r="G15" s="43"/>
      <c r="H15" s="40"/>
      <c r="I15" s="40"/>
      <c r="J15" s="40"/>
      <c r="K15" s="40"/>
      <c r="L15" s="40"/>
      <c r="M15" s="40"/>
      <c r="N15" s="40"/>
      <c r="O15" s="40"/>
    </row>
    <row r="16" spans="1:15" ht="15" customHeight="1" x14ac:dyDescent="0.25">
      <c r="A16" s="1093" t="s">
        <v>272</v>
      </c>
      <c r="B16" s="106" t="s">
        <v>285</v>
      </c>
      <c r="C16" s="140" t="s">
        <v>284</v>
      </c>
      <c r="D16" s="403">
        <v>1.3642232621532513E-3</v>
      </c>
      <c r="E16" s="399">
        <v>1.3330213232088282E-3</v>
      </c>
      <c r="F16" s="402" t="s">
        <v>327</v>
      </c>
      <c r="G16" s="43"/>
      <c r="H16" s="40"/>
      <c r="I16" s="40"/>
      <c r="J16" s="40"/>
      <c r="K16" s="40"/>
      <c r="L16" s="40"/>
      <c r="M16" s="40"/>
      <c r="N16" s="40"/>
      <c r="O16" s="40"/>
    </row>
    <row r="17" spans="1:15" ht="15" customHeight="1" x14ac:dyDescent="0.25">
      <c r="A17" s="1094"/>
      <c r="B17" s="43" t="s">
        <v>286</v>
      </c>
      <c r="C17" s="136" t="s">
        <v>284</v>
      </c>
      <c r="D17" s="404">
        <v>2.1656152389582938E-3</v>
      </c>
      <c r="E17" s="400">
        <v>2.0235364797492605E-3</v>
      </c>
      <c r="F17" s="402" t="s">
        <v>327</v>
      </c>
      <c r="G17" s="43"/>
      <c r="H17" s="40"/>
      <c r="I17" s="40"/>
      <c r="J17" s="40"/>
      <c r="K17" s="40"/>
      <c r="L17" s="40"/>
      <c r="M17" s="40"/>
      <c r="N17" s="40"/>
      <c r="O17" s="40"/>
    </row>
    <row r="18" spans="1:15" ht="15" customHeight="1" thickBot="1" x14ac:dyDescent="0.3">
      <c r="A18" s="1099" t="s">
        <v>68</v>
      </c>
      <c r="B18" s="107" t="s">
        <v>287</v>
      </c>
      <c r="C18" s="406" t="s">
        <v>284</v>
      </c>
      <c r="D18" s="405">
        <v>5.4448696643841941E-3</v>
      </c>
      <c r="E18" s="397">
        <v>4.6177249632949353E-3</v>
      </c>
      <c r="F18" s="402" t="s">
        <v>327</v>
      </c>
      <c r="G18" s="43"/>
      <c r="H18" s="40"/>
      <c r="I18" s="40"/>
      <c r="J18" s="40"/>
      <c r="K18" s="40"/>
      <c r="L18" s="40"/>
      <c r="M18" s="40"/>
      <c r="N18" s="40"/>
      <c r="O18" s="40"/>
    </row>
    <row r="19" spans="1:15" ht="15" customHeight="1" x14ac:dyDescent="0.25">
      <c r="A19" s="1145" t="s">
        <v>273</v>
      </c>
      <c r="B19" s="286" t="s">
        <v>295</v>
      </c>
      <c r="C19" s="286" t="s">
        <v>284</v>
      </c>
      <c r="D19" s="323">
        <v>0.2</v>
      </c>
      <c r="E19" s="324">
        <v>0.2</v>
      </c>
      <c r="F19" s="286" t="s">
        <v>326</v>
      </c>
      <c r="G19" s="43"/>
      <c r="H19" s="40"/>
      <c r="I19" s="40"/>
      <c r="J19" s="40"/>
      <c r="K19" s="40"/>
      <c r="L19" s="40"/>
      <c r="M19" s="40"/>
      <c r="N19" s="40"/>
      <c r="O19" s="40"/>
    </row>
    <row r="20" spans="1:15" ht="15" customHeight="1" thickBot="1" x14ac:dyDescent="0.3">
      <c r="A20" s="1145"/>
      <c r="B20" s="286" t="s">
        <v>296</v>
      </c>
      <c r="C20" s="286" t="s">
        <v>284</v>
      </c>
      <c r="D20" s="325">
        <v>0.2</v>
      </c>
      <c r="E20" s="326">
        <v>0.2</v>
      </c>
      <c r="F20" s="286" t="s">
        <v>326</v>
      </c>
      <c r="G20" s="43"/>
      <c r="H20" s="40"/>
      <c r="I20" s="40"/>
      <c r="J20" s="40"/>
      <c r="K20" s="40"/>
      <c r="L20" s="40"/>
      <c r="M20" s="40"/>
      <c r="N20" s="40"/>
      <c r="O20" s="40"/>
    </row>
    <row r="21" spans="1:15" x14ac:dyDescent="0.25">
      <c r="A21" s="1100" t="s">
        <v>95</v>
      </c>
      <c r="B21" s="106" t="s">
        <v>96</v>
      </c>
      <c r="C21" s="140" t="s">
        <v>99</v>
      </c>
      <c r="D21" s="79">
        <v>9.1</v>
      </c>
      <c r="E21" s="80">
        <v>9.1</v>
      </c>
      <c r="F21" s="402" t="s">
        <v>288</v>
      </c>
      <c r="G21" s="43"/>
      <c r="H21" s="40"/>
      <c r="I21" s="40"/>
      <c r="J21" s="40"/>
      <c r="K21" s="40"/>
      <c r="L21" s="40"/>
      <c r="M21" s="40"/>
      <c r="N21" s="40"/>
      <c r="O21" s="40"/>
    </row>
    <row r="22" spans="1:15" ht="15" customHeight="1" x14ac:dyDescent="0.25">
      <c r="A22" s="1105"/>
      <c r="B22" s="43" t="s">
        <v>97</v>
      </c>
      <c r="C22" s="136" t="s">
        <v>99</v>
      </c>
      <c r="D22" s="56">
        <v>9.8000000000000007</v>
      </c>
      <c r="E22" s="57">
        <v>9.8000000000000007</v>
      </c>
      <c r="F22" s="402" t="s">
        <v>288</v>
      </c>
      <c r="G22" s="43"/>
      <c r="H22" s="40"/>
      <c r="I22" s="40"/>
      <c r="J22" s="40"/>
      <c r="K22" s="40"/>
      <c r="L22" s="40"/>
      <c r="M22" s="40"/>
      <c r="N22" s="40"/>
      <c r="O22" s="40"/>
    </row>
    <row r="23" spans="1:15" ht="15" customHeight="1" x14ac:dyDescent="0.25">
      <c r="A23" s="1105"/>
      <c r="B23" s="43" t="s">
        <v>134</v>
      </c>
      <c r="C23" s="136" t="s">
        <v>99</v>
      </c>
      <c r="D23" s="56">
        <v>5.86</v>
      </c>
      <c r="E23" s="57">
        <v>5.86</v>
      </c>
      <c r="F23" s="402" t="s">
        <v>288</v>
      </c>
      <c r="G23" s="43"/>
      <c r="H23" s="40"/>
      <c r="I23" s="40"/>
      <c r="J23" s="40"/>
      <c r="K23" s="40"/>
      <c r="L23" s="40"/>
      <c r="M23" s="40"/>
      <c r="N23" s="40"/>
      <c r="O23" s="40"/>
    </row>
    <row r="24" spans="1:15" x14ac:dyDescent="0.25">
      <c r="A24" s="1105"/>
      <c r="B24" s="43" t="s">
        <v>98</v>
      </c>
      <c r="C24" s="136" t="s">
        <v>99</v>
      </c>
      <c r="D24" s="56">
        <v>8.9600000000000009</v>
      </c>
      <c r="E24" s="57">
        <v>8.9600000000000009</v>
      </c>
      <c r="F24" s="402" t="s">
        <v>288</v>
      </c>
      <c r="G24" s="43"/>
      <c r="H24" s="40"/>
      <c r="I24" s="40"/>
      <c r="J24" s="40"/>
      <c r="K24" s="40"/>
      <c r="L24" s="40"/>
      <c r="M24" s="40"/>
      <c r="N24" s="40"/>
      <c r="O24" s="40"/>
    </row>
    <row r="25" spans="1:15" x14ac:dyDescent="0.25">
      <c r="A25" s="1105"/>
      <c r="B25" s="43" t="s">
        <v>135</v>
      </c>
      <c r="C25" s="136" t="s">
        <v>99</v>
      </c>
      <c r="D25" s="56">
        <v>9.17</v>
      </c>
      <c r="E25" s="57">
        <v>9.17</v>
      </c>
      <c r="F25" s="402" t="s">
        <v>288</v>
      </c>
      <c r="G25" s="43"/>
      <c r="H25" s="40"/>
      <c r="I25" s="40"/>
      <c r="J25" s="40"/>
      <c r="K25" s="40"/>
      <c r="L25" s="40"/>
      <c r="M25" s="40"/>
      <c r="N25" s="40"/>
      <c r="O25" s="40"/>
    </row>
    <row r="26" spans="1:15" ht="15.75" thickBot="1" x14ac:dyDescent="0.3">
      <c r="A26" s="1101"/>
      <c r="B26" s="107" t="s">
        <v>100</v>
      </c>
      <c r="C26" s="137" t="s">
        <v>99</v>
      </c>
      <c r="D26" s="60">
        <v>9.44</v>
      </c>
      <c r="E26" s="61">
        <v>9.44</v>
      </c>
      <c r="F26" s="328" t="s">
        <v>288</v>
      </c>
      <c r="G26" s="43"/>
      <c r="H26" s="40"/>
      <c r="I26" s="40"/>
      <c r="J26" s="40"/>
      <c r="K26" s="40"/>
      <c r="L26" s="40"/>
      <c r="M26" s="40"/>
      <c r="N26" s="40"/>
      <c r="O26" s="40"/>
    </row>
    <row r="27" spans="1:15" x14ac:dyDescent="0.25">
      <c r="C27" s="26" t="s">
        <v>480</v>
      </c>
      <c r="F27" s="26" t="s">
        <v>481</v>
      </c>
    </row>
  </sheetData>
  <mergeCells count="12">
    <mergeCell ref="A13:A15"/>
    <mergeCell ref="A19:A20"/>
    <mergeCell ref="A16:A18"/>
    <mergeCell ref="A21:A26"/>
    <mergeCell ref="A4:A9"/>
    <mergeCell ref="B9:C9"/>
    <mergeCell ref="A10:A12"/>
    <mergeCell ref="B4:C4"/>
    <mergeCell ref="B5:C5"/>
    <mergeCell ref="B6:C6"/>
    <mergeCell ref="B7:C7"/>
    <mergeCell ref="B8:C8"/>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5" tint="0.39997558519241921"/>
  </sheetPr>
  <dimension ref="A1:N88"/>
  <sheetViews>
    <sheetView zoomScale="90" zoomScaleNormal="90" workbookViewId="0">
      <selection activeCell="G13" sqref="G13"/>
    </sheetView>
  </sheetViews>
  <sheetFormatPr defaultColWidth="8.85546875" defaultRowHeight="15" x14ac:dyDescent="0.25"/>
  <cols>
    <col min="1" max="1" width="63.42578125" style="36" bestFit="1" customWidth="1"/>
    <col min="2" max="10" width="8.85546875" style="36"/>
    <col min="11" max="16384" width="8.85546875" style="26"/>
  </cols>
  <sheetData>
    <row r="1" spans="1:14" ht="18" x14ac:dyDescent="0.25">
      <c r="A1" s="121" t="s">
        <v>212</v>
      </c>
      <c r="B1" s="40"/>
      <c r="C1" s="40"/>
      <c r="D1" s="40"/>
      <c r="E1" s="40"/>
      <c r="F1" s="40"/>
      <c r="G1" s="40"/>
      <c r="H1" s="40"/>
      <c r="I1" s="40"/>
      <c r="J1" s="40"/>
      <c r="K1" s="40"/>
      <c r="L1" s="40"/>
      <c r="M1" s="40"/>
      <c r="N1" s="40"/>
    </row>
    <row r="2" spans="1:14" x14ac:dyDescent="0.25">
      <c r="A2" s="1167" t="s">
        <v>44</v>
      </c>
      <c r="B2" s="1167"/>
      <c r="C2" s="1167"/>
      <c r="D2" s="1167"/>
      <c r="E2" s="1167"/>
      <c r="F2" s="1167"/>
      <c r="G2" s="1167"/>
      <c r="H2" s="1167"/>
      <c r="I2" s="1167"/>
      <c r="J2" s="1167"/>
    </row>
    <row r="3" spans="1:14" x14ac:dyDescent="0.25">
      <c r="A3" s="1168" t="s">
        <v>354</v>
      </c>
      <c r="B3" s="1169"/>
      <c r="C3" s="1169"/>
      <c r="D3" s="190"/>
      <c r="E3" s="190"/>
      <c r="F3" s="190"/>
      <c r="G3" s="611">
        <v>2030</v>
      </c>
      <c r="H3" s="611">
        <v>2040</v>
      </c>
      <c r="I3" s="190"/>
      <c r="J3" s="190"/>
    </row>
    <row r="4" spans="1:14" s="372" customFormat="1" ht="18" x14ac:dyDescent="0.25">
      <c r="A4" s="121" t="s">
        <v>389</v>
      </c>
      <c r="B4" s="566"/>
      <c r="C4" s="566"/>
      <c r="D4" s="190"/>
      <c r="E4" s="190"/>
      <c r="F4" s="190"/>
      <c r="G4" s="190">
        <f>EMA!B9</f>
        <v>1</v>
      </c>
      <c r="H4" s="190">
        <f>EMA!C9</f>
        <v>1</v>
      </c>
      <c r="I4" s="190"/>
      <c r="J4" s="190"/>
    </row>
    <row r="5" spans="1:14" ht="18" x14ac:dyDescent="0.25">
      <c r="A5" s="121" t="s">
        <v>387</v>
      </c>
      <c r="B5" s="40"/>
      <c r="C5" s="40"/>
      <c r="D5" s="40"/>
      <c r="E5" s="40"/>
      <c r="F5" s="40"/>
      <c r="G5" s="40">
        <f>EMA!B7</f>
        <v>1</v>
      </c>
      <c r="H5" s="40">
        <f>EMA!C7</f>
        <v>1</v>
      </c>
      <c r="I5" s="40"/>
      <c r="J5" s="40"/>
      <c r="K5" s="40"/>
      <c r="L5" s="40"/>
      <c r="M5" s="40"/>
      <c r="N5" s="40"/>
    </row>
    <row r="6" spans="1:14" ht="18.75" thickBot="1" x14ac:dyDescent="0.3">
      <c r="A6" s="121" t="s">
        <v>390</v>
      </c>
      <c r="B6" s="40"/>
      <c r="C6" s="40"/>
      <c r="D6" s="40"/>
      <c r="E6" s="40"/>
      <c r="F6" s="40"/>
      <c r="G6" s="40">
        <f>EMA!B8</f>
        <v>1</v>
      </c>
      <c r="H6" s="40">
        <f>EMA!C8</f>
        <v>1</v>
      </c>
      <c r="I6" s="40"/>
      <c r="J6" s="40"/>
      <c r="K6" s="40"/>
      <c r="L6" s="40"/>
      <c r="M6" s="40"/>
      <c r="N6" s="40"/>
    </row>
    <row r="7" spans="1:14" ht="15.75" thickBot="1" x14ac:dyDescent="0.3">
      <c r="B7" s="187"/>
      <c r="C7" s="187"/>
      <c r="D7" s="187"/>
      <c r="E7" s="1172" t="s">
        <v>64</v>
      </c>
      <c r="F7" s="1171"/>
      <c r="G7" s="1172" t="s">
        <v>65</v>
      </c>
      <c r="H7" s="1171"/>
      <c r="I7" s="1170" t="s">
        <v>66</v>
      </c>
      <c r="J7" s="1171"/>
    </row>
    <row r="8" spans="1:14" ht="15.75" thickBot="1" x14ac:dyDescent="0.3">
      <c r="A8" s="189" t="s">
        <v>45</v>
      </c>
      <c r="B8" s="110">
        <v>2017</v>
      </c>
      <c r="C8" s="111">
        <v>2019</v>
      </c>
      <c r="D8" s="111">
        <v>2020</v>
      </c>
      <c r="E8" s="363">
        <v>2030</v>
      </c>
      <c r="F8" s="364">
        <v>2040</v>
      </c>
      <c r="G8" s="110">
        <v>2030</v>
      </c>
      <c r="H8" s="188">
        <v>2040</v>
      </c>
      <c r="I8" s="111">
        <v>2030</v>
      </c>
      <c r="J8" s="188">
        <v>2040</v>
      </c>
    </row>
    <row r="9" spans="1:14" x14ac:dyDescent="0.25">
      <c r="A9" s="349" t="s">
        <v>298</v>
      </c>
      <c r="B9" s="87">
        <v>0.05</v>
      </c>
      <c r="C9" s="1"/>
      <c r="D9" s="1"/>
      <c r="E9" s="365">
        <f>Indata!D9</f>
        <v>7.4999999999999997E-2</v>
      </c>
      <c r="F9" s="366">
        <f>Indata!E9</f>
        <v>7.4999999999999997E-2</v>
      </c>
      <c r="G9" s="5">
        <f>Indata!F9</f>
        <v>7.4999999999999997E-2</v>
      </c>
      <c r="H9" s="4">
        <f>Indata!G9</f>
        <v>7.4999999999999997E-2</v>
      </c>
      <c r="I9" s="5">
        <f>Indata!H9</f>
        <v>7.4999999999999997E-2</v>
      </c>
      <c r="J9" s="4">
        <f>Indata!I9</f>
        <v>7.4999999999999997E-2</v>
      </c>
    </row>
    <row r="10" spans="1:14" ht="15.75" thickBot="1" x14ac:dyDescent="0.3">
      <c r="A10" s="30" t="s">
        <v>299</v>
      </c>
      <c r="B10" s="88">
        <v>0</v>
      </c>
      <c r="C10" s="6"/>
      <c r="D10" s="6"/>
      <c r="E10" s="367">
        <f>Indata!D10</f>
        <v>0</v>
      </c>
      <c r="F10" s="368">
        <f>Indata!E10</f>
        <v>0</v>
      </c>
      <c r="G10" s="5">
        <f>Indata!F10</f>
        <v>0</v>
      </c>
      <c r="H10" s="4">
        <f>Indata!G10</f>
        <v>0</v>
      </c>
      <c r="I10" s="5">
        <f>Indata!H10</f>
        <v>0</v>
      </c>
      <c r="J10" s="4">
        <f>Indata!I10</f>
        <v>0</v>
      </c>
    </row>
    <row r="11" spans="1:14" ht="15.75" thickBot="1" x14ac:dyDescent="0.3">
      <c r="A11" s="31" t="s">
        <v>172</v>
      </c>
      <c r="B11" s="8"/>
      <c r="C11" s="9">
        <v>1</v>
      </c>
      <c r="D11" s="86">
        <v>1.02</v>
      </c>
      <c r="E11" s="171">
        <f>$D$11*(1+Indata!D13)^(E8-$D$8)</f>
        <v>1.2433743083946522</v>
      </c>
      <c r="F11" s="173">
        <f>$D$11*(1+Indata!E13)^(F8-$D$8)</f>
        <v>1.5156663438979214</v>
      </c>
      <c r="G11" s="10">
        <f>$D$11*(1+Indata!F13)^(G8-$D$8)</f>
        <v>1.2433743083946522</v>
      </c>
      <c r="H11" s="11">
        <f>$D$11*(1+Indata!G13)^(H8-$D$8)</f>
        <v>1.5156663438979214</v>
      </c>
      <c r="I11" s="12">
        <f>$D$11*(1+Indata!H13)^(I8-$D$8)</f>
        <v>1.2433743083946522</v>
      </c>
      <c r="J11" s="11">
        <f>$D$11*(1+Indata!I13)^(J8-$D$8)</f>
        <v>1.5156663438979214</v>
      </c>
    </row>
    <row r="12" spans="1:14" x14ac:dyDescent="0.25">
      <c r="A12" s="32" t="s">
        <v>219</v>
      </c>
      <c r="B12" s="143">
        <v>5.0999999999999996</v>
      </c>
      <c r="C12" s="21"/>
      <c r="D12" s="25"/>
      <c r="E12" s="23">
        <f>$B12+(F12-$B12)/(F$8-$B$8)*(E$8-$B$8)</f>
        <v>6.3491304347826087</v>
      </c>
      <c r="F12" s="146">
        <v>7.31</v>
      </c>
      <c r="G12" s="23">
        <f>($B12+(H12-$B12)/(H$8-$B$8)*(G$8-$B$8))*G5</f>
        <v>6.3491304347826087</v>
      </c>
      <c r="H12" s="146">
        <f>7.31*H5</f>
        <v>7.31</v>
      </c>
      <c r="I12" s="23">
        <f>($B12+(J12-$B12)/(J$8-$B$8)*(I$8-$B$8))*G5</f>
        <v>6.3491304347826087</v>
      </c>
      <c r="J12" s="146">
        <f>7.31*H5</f>
        <v>7.31</v>
      </c>
      <c r="L12" s="355"/>
    </row>
    <row r="13" spans="1:14" x14ac:dyDescent="0.25">
      <c r="A13" s="32" t="s">
        <v>220</v>
      </c>
      <c r="B13" s="350">
        <f>(B12-0.05*B14)/(1-0.05)</f>
        <v>5.0599999999999996</v>
      </c>
      <c r="C13" s="25"/>
      <c r="D13" s="25"/>
      <c r="E13" s="17">
        <f>(E12-0.05*E14)/(1-0.05)</f>
        <v>6.303775743707094</v>
      </c>
      <c r="F13" s="20">
        <f>(F12-0.05*F14)/(1-0.05)</f>
        <v>7.2605263157894742</v>
      </c>
      <c r="G13" s="17">
        <f>((G12-0.05*G14)/(1-0.05))</f>
        <v>6.303775743707094</v>
      </c>
      <c r="H13" s="20">
        <f>(H12-0.05*H14)/(1-0.05)</f>
        <v>7.2605263157894742</v>
      </c>
      <c r="I13" s="17">
        <f>(I12-0.05*I14)/(1-0.05)</f>
        <v>6.303775743707094</v>
      </c>
      <c r="J13" s="20">
        <f>(J12-0.05*J14)/(1-0.05)</f>
        <v>7.2605263157894742</v>
      </c>
      <c r="K13" s="26">
        <f>G13/6.3</f>
        <v>1.0005993243979514</v>
      </c>
      <c r="L13" s="355" t="s">
        <v>388</v>
      </c>
    </row>
    <row r="14" spans="1:14" x14ac:dyDescent="0.25">
      <c r="A14" s="32" t="s">
        <v>221</v>
      </c>
      <c r="B14" s="17">
        <v>5.86</v>
      </c>
      <c r="C14" s="25"/>
      <c r="D14" s="25"/>
      <c r="E14" s="17">
        <f>$B14+(F14-$B14)/(F$8-$B$8)*(E$8-$B$8)</f>
        <v>7.2108695652173918</v>
      </c>
      <c r="F14" s="147">
        <v>8.25</v>
      </c>
      <c r="G14" s="17">
        <f>($B14+(H14-$B14)/(H$8-$B$8)*(G$8-$B$8))*G6</f>
        <v>7.2108695652173918</v>
      </c>
      <c r="H14" s="147">
        <f>8.25*H6</f>
        <v>8.25</v>
      </c>
      <c r="I14" s="17">
        <f>$B14+(J14-$B14)/(J$8-$B$8)*(I$8-$B$8)*G6</f>
        <v>7.2108695652173918</v>
      </c>
      <c r="J14" s="147">
        <f>8.25*H6</f>
        <v>8.25</v>
      </c>
      <c r="L14" s="355"/>
    </row>
    <row r="15" spans="1:14" ht="15.75" thickBot="1" x14ac:dyDescent="0.3">
      <c r="A15" s="32" t="s">
        <v>222</v>
      </c>
      <c r="B15" s="24">
        <v>10.59</v>
      </c>
      <c r="C15" s="22"/>
      <c r="D15" s="25"/>
      <c r="E15" s="24">
        <f>$B15+(F15-$B15)/(F$8-$B$8)*(E$8-$B$8)</f>
        <v>13.031739130434783</v>
      </c>
      <c r="F15" s="147">
        <v>14.91</v>
      </c>
      <c r="G15" s="24">
        <f>($B15+(H15-$B15)/(H$8-$B$8)*(G$8-$B$8))*G6</f>
        <v>13.031739130434783</v>
      </c>
      <c r="H15" s="147">
        <f>14.91*H6</f>
        <v>14.91</v>
      </c>
      <c r="I15" s="24">
        <f>$B15+(J15-$B15)/(J$8-$B$8)*(I$8-$B$8)*G6</f>
        <v>13.031739130434783</v>
      </c>
      <c r="J15" s="147">
        <f>14.91*H6</f>
        <v>14.91</v>
      </c>
      <c r="L15" s="355"/>
    </row>
    <row r="16" spans="1:14" ht="15.75" thickBot="1" x14ac:dyDescent="0.3">
      <c r="A16" s="33" t="s">
        <v>2</v>
      </c>
      <c r="B16" s="13">
        <f>B13*(1-B9-B10)+B14*B9+B15*B10</f>
        <v>5.0999999999999996</v>
      </c>
      <c r="C16" s="14"/>
      <c r="D16" s="15"/>
      <c r="E16" s="13">
        <f t="shared" ref="E16:J16" si="0">E13*(1-E9-E10)+E14*E9+E15*E10</f>
        <v>6.371807780320367</v>
      </c>
      <c r="F16" s="16">
        <f>F13*(1-F9-F10)+F14*F9+F15*F10</f>
        <v>7.3347368421052641</v>
      </c>
      <c r="G16" s="13">
        <f>G13*(1-G9-G10)+G14*G9+G15*G10</f>
        <v>6.371807780320367</v>
      </c>
      <c r="H16" s="16">
        <f t="shared" si="0"/>
        <v>7.3347368421052641</v>
      </c>
      <c r="I16" s="13">
        <f>I13*(1-I9-I10)+I14*I9+I15*I10</f>
        <v>6.371807780320367</v>
      </c>
      <c r="J16" s="16">
        <f t="shared" si="0"/>
        <v>7.3347368421052641</v>
      </c>
      <c r="L16" s="355"/>
    </row>
    <row r="17" spans="1:11" x14ac:dyDescent="0.25">
      <c r="A17" s="32" t="s">
        <v>170</v>
      </c>
      <c r="B17" s="144">
        <v>3.71</v>
      </c>
      <c r="C17" s="311">
        <v>3.86</v>
      </c>
      <c r="D17" s="19"/>
      <c r="E17" s="17">
        <f t="shared" ref="E17:J18" si="1">PRODUCT($C17,E$11)</f>
        <v>4.7994248304033578</v>
      </c>
      <c r="F17" s="147">
        <f t="shared" si="1"/>
        <v>5.8504720874459766</v>
      </c>
      <c r="G17" s="17">
        <f t="shared" si="1"/>
        <v>4.7994248304033578</v>
      </c>
      <c r="H17" s="147">
        <f t="shared" si="1"/>
        <v>5.8504720874459766</v>
      </c>
      <c r="I17" s="23">
        <f t="shared" si="1"/>
        <v>4.7994248304033578</v>
      </c>
      <c r="J17" s="147">
        <f t="shared" si="1"/>
        <v>5.8504720874459766</v>
      </c>
      <c r="K17" s="74"/>
    </row>
    <row r="18" spans="1:11" ht="15.75" thickBot="1" x14ac:dyDescent="0.3">
      <c r="A18" s="32" t="s">
        <v>171</v>
      </c>
      <c r="B18" s="144">
        <v>2.4900000000000002</v>
      </c>
      <c r="C18" s="312">
        <v>2.54</v>
      </c>
      <c r="D18" s="19"/>
      <c r="E18" s="17">
        <f t="shared" si="1"/>
        <v>3.1581707433224167</v>
      </c>
      <c r="F18" s="147">
        <f t="shared" si="1"/>
        <v>3.8497925135007205</v>
      </c>
      <c r="G18" s="17">
        <f t="shared" si="1"/>
        <v>3.1581707433224167</v>
      </c>
      <c r="H18" s="147">
        <f t="shared" si="1"/>
        <v>3.8497925135007205</v>
      </c>
      <c r="I18" s="24">
        <f t="shared" si="1"/>
        <v>3.1581707433224167</v>
      </c>
      <c r="J18" s="147">
        <f t="shared" si="1"/>
        <v>3.8497925135007205</v>
      </c>
      <c r="K18" s="74"/>
    </row>
    <row r="19" spans="1:11" ht="15.75" thickBot="1" x14ac:dyDescent="0.3">
      <c r="A19" s="33" t="s">
        <v>3</v>
      </c>
      <c r="B19" s="13">
        <f>SUM(B17,B18)</f>
        <v>6.2</v>
      </c>
      <c r="C19" s="28">
        <f>SUM(C17,C18)</f>
        <v>6.4</v>
      </c>
      <c r="D19" s="15"/>
      <c r="E19" s="13">
        <f>SUM(E17,E18)</f>
        <v>7.957595573725774</v>
      </c>
      <c r="F19" s="16">
        <f>SUM(F17,F18)</f>
        <v>9.7002646009466975</v>
      </c>
      <c r="G19" s="13">
        <f>SUM(G17,G18)</f>
        <v>7.957595573725774</v>
      </c>
      <c r="H19" s="16">
        <f t="shared" ref="H19:J19" si="2">SUM(H17,H18)</f>
        <v>9.7002646009466975</v>
      </c>
      <c r="I19" s="13">
        <f t="shared" si="2"/>
        <v>7.957595573725774</v>
      </c>
      <c r="J19" s="16">
        <f t="shared" si="2"/>
        <v>9.7002646009466975</v>
      </c>
    </row>
    <row r="20" spans="1:11" ht="15.75" thickBot="1" x14ac:dyDescent="0.3">
      <c r="A20" s="33" t="s">
        <v>214</v>
      </c>
      <c r="B20" s="13">
        <f xml:space="preserve"> B16+B19</f>
        <v>11.3</v>
      </c>
      <c r="C20" s="14"/>
      <c r="D20" s="15"/>
      <c r="E20" s="13">
        <f xml:space="preserve"> E16+E19</f>
        <v>14.329403354046141</v>
      </c>
      <c r="F20" s="16">
        <f xml:space="preserve"> F16+F19</f>
        <v>17.035001443051961</v>
      </c>
      <c r="G20" s="13">
        <f xml:space="preserve"> G16+G19</f>
        <v>14.329403354046141</v>
      </c>
      <c r="H20" s="16">
        <f t="shared" ref="H20:J20" si="3" xml:space="preserve"> H16+H19</f>
        <v>17.035001443051961</v>
      </c>
      <c r="I20" s="13">
        <f t="shared" si="3"/>
        <v>14.329403354046141</v>
      </c>
      <c r="J20" s="16">
        <f t="shared" si="3"/>
        <v>17.035001443051961</v>
      </c>
    </row>
    <row r="21" spans="1:11" x14ac:dyDescent="0.25">
      <c r="A21" s="32" t="s">
        <v>4</v>
      </c>
      <c r="B21" s="144">
        <f>PRODUCT(B16,0.25)</f>
        <v>1.2749999999999999</v>
      </c>
      <c r="C21" s="18"/>
      <c r="D21" s="19"/>
      <c r="E21" s="17">
        <f>PRODUCT(E16,0.25)</f>
        <v>1.5929519450800917</v>
      </c>
      <c r="F21" s="147">
        <f>PRODUCT(F16,0.25)</f>
        <v>1.833684210526316</v>
      </c>
      <c r="G21" s="17">
        <f>PRODUCT(G16,0.25)</f>
        <v>1.5929519450800917</v>
      </c>
      <c r="H21" s="147">
        <f t="shared" ref="H21:J21" si="4">PRODUCT(H16,0.25)</f>
        <v>1.833684210526316</v>
      </c>
      <c r="I21" s="17">
        <f t="shared" si="4"/>
        <v>1.5929519450800917</v>
      </c>
      <c r="J21" s="147">
        <f t="shared" si="4"/>
        <v>1.833684210526316</v>
      </c>
    </row>
    <row r="22" spans="1:11" ht="15.75" thickBot="1" x14ac:dyDescent="0.3">
      <c r="A22" s="32" t="s">
        <v>5</v>
      </c>
      <c r="B22" s="144">
        <f t="shared" ref="B22" si="5">PRODUCT(B19,0.25)</f>
        <v>1.55</v>
      </c>
      <c r="C22" s="18"/>
      <c r="D22" s="19"/>
      <c r="E22" s="17">
        <f t="shared" ref="E22:F22" si="6">PRODUCT(E19,0.25)</f>
        <v>1.9893988934314435</v>
      </c>
      <c r="F22" s="147">
        <f t="shared" si="6"/>
        <v>2.4250661502366744</v>
      </c>
      <c r="G22" s="17">
        <f t="shared" ref="G22:J22" si="7">PRODUCT(G19,0.25)</f>
        <v>1.9893988934314435</v>
      </c>
      <c r="H22" s="147">
        <f t="shared" si="7"/>
        <v>2.4250661502366744</v>
      </c>
      <c r="I22" s="17">
        <f t="shared" si="7"/>
        <v>1.9893988934314435</v>
      </c>
      <c r="J22" s="147">
        <f t="shared" si="7"/>
        <v>2.4250661502366744</v>
      </c>
    </row>
    <row r="23" spans="1:11" ht="15.75" thickBot="1" x14ac:dyDescent="0.3">
      <c r="A23" s="33" t="s">
        <v>6</v>
      </c>
      <c r="B23" s="13">
        <f t="shared" ref="B23" si="8">SUM(B21,B22)</f>
        <v>2.8250000000000002</v>
      </c>
      <c r="C23" s="14"/>
      <c r="D23" s="15"/>
      <c r="E23" s="13">
        <f>SUM(E21,E22)</f>
        <v>3.5823508385115352</v>
      </c>
      <c r="F23" s="16">
        <f t="shared" ref="F23" si="9">SUM(F21,F22)</f>
        <v>4.2587503607629902</v>
      </c>
      <c r="G23" s="13">
        <f t="shared" ref="G23:J23" si="10">SUM(G21,G22)</f>
        <v>3.5823508385115352</v>
      </c>
      <c r="H23" s="16">
        <f t="shared" si="10"/>
        <v>4.2587503607629902</v>
      </c>
      <c r="I23" s="13">
        <f t="shared" si="10"/>
        <v>3.5823508385115352</v>
      </c>
      <c r="J23" s="16">
        <f t="shared" si="10"/>
        <v>4.2587503607629902</v>
      </c>
    </row>
    <row r="24" spans="1:11" ht="15.75" thickBot="1" x14ac:dyDescent="0.3">
      <c r="A24" s="34" t="s">
        <v>215</v>
      </c>
      <c r="B24" s="148">
        <f>SUM(B20,B23)</f>
        <v>14.125</v>
      </c>
      <c r="C24" s="149"/>
      <c r="D24" s="149"/>
      <c r="E24" s="148">
        <f>SUM(E20,E23)</f>
        <v>17.911754192557677</v>
      </c>
      <c r="F24" s="150">
        <f>SUM(F20,F23)</f>
        <v>21.293751803814949</v>
      </c>
      <c r="G24" s="148">
        <f>SUM(G20,G23)</f>
        <v>17.911754192557677</v>
      </c>
      <c r="H24" s="150">
        <f t="shared" ref="H24:J24" si="11">SUM(H20,H23)</f>
        <v>21.293751803814949</v>
      </c>
      <c r="I24" s="148">
        <f t="shared" si="11"/>
        <v>17.911754192557677</v>
      </c>
      <c r="J24" s="150">
        <f t="shared" si="11"/>
        <v>21.293751803814949</v>
      </c>
    </row>
    <row r="25" spans="1:11" ht="15.75" thickBot="1" x14ac:dyDescent="0.3">
      <c r="B25" s="353"/>
      <c r="C25" s="354"/>
      <c r="D25" s="354"/>
      <c r="E25" s="354"/>
      <c r="F25" s="354"/>
      <c r="G25" s="354"/>
      <c r="H25" s="354"/>
    </row>
    <row r="26" spans="1:11" ht="15.75" thickBot="1" x14ac:dyDescent="0.3">
      <c r="B26" s="187"/>
      <c r="C26" s="187"/>
      <c r="D26" s="187"/>
      <c r="E26" s="1172" t="s">
        <v>64</v>
      </c>
      <c r="F26" s="1171"/>
      <c r="G26" s="1172" t="s">
        <v>65</v>
      </c>
      <c r="H26" s="1171"/>
      <c r="I26" s="1170" t="s">
        <v>66</v>
      </c>
      <c r="J26" s="1171"/>
    </row>
    <row r="27" spans="1:11" ht="15.75" thickBot="1" x14ac:dyDescent="0.3">
      <c r="A27" s="189" t="s">
        <v>46</v>
      </c>
      <c r="B27" s="110">
        <v>2017</v>
      </c>
      <c r="C27" s="111">
        <v>2019</v>
      </c>
      <c r="D27" s="111">
        <v>2020</v>
      </c>
      <c r="E27" s="110">
        <v>2030</v>
      </c>
      <c r="F27" s="188">
        <v>2040</v>
      </c>
      <c r="G27" s="110">
        <v>2030</v>
      </c>
      <c r="H27" s="188">
        <v>2040</v>
      </c>
      <c r="I27" s="111">
        <v>2030</v>
      </c>
      <c r="J27" s="188">
        <v>2040</v>
      </c>
    </row>
    <row r="28" spans="1:11" x14ac:dyDescent="0.25">
      <c r="A28" s="29" t="s">
        <v>301</v>
      </c>
      <c r="B28" s="87">
        <v>0.05</v>
      </c>
      <c r="C28" s="1"/>
      <c r="D28" s="2"/>
      <c r="E28" s="3">
        <f>Indata!D11</f>
        <v>7.0000000000000007E-2</v>
      </c>
      <c r="F28" s="4">
        <f>Indata!E11</f>
        <v>7.0000000000000007E-2</v>
      </c>
      <c r="G28" s="3">
        <f>Indata!F11</f>
        <v>7.0000000000000007E-2</v>
      </c>
      <c r="H28" s="4">
        <f>Indata!G11</f>
        <v>7.0000000000000007E-2</v>
      </c>
      <c r="I28" s="5">
        <f>Indata!H11</f>
        <v>7.0000000000000007E-2</v>
      </c>
      <c r="J28" s="4">
        <f>Indata!I11</f>
        <v>7.0000000000000007E-2</v>
      </c>
    </row>
    <row r="29" spans="1:11" ht="15.75" thickBot="1" x14ac:dyDescent="0.3">
      <c r="A29" s="30" t="s">
        <v>302</v>
      </c>
      <c r="B29" s="88">
        <v>0.18</v>
      </c>
      <c r="C29" s="6"/>
      <c r="D29" s="7"/>
      <c r="E29" s="3">
        <f>Indata!D12</f>
        <v>0.25</v>
      </c>
      <c r="F29" s="4">
        <f>Indata!E12</f>
        <v>0.25</v>
      </c>
      <c r="G29" s="3">
        <f>Indata!F12</f>
        <v>0.25</v>
      </c>
      <c r="H29" s="4">
        <f>Indata!G12</f>
        <v>0.25</v>
      </c>
      <c r="I29" s="5">
        <f>Indata!H12</f>
        <v>0.25</v>
      </c>
      <c r="J29" s="4">
        <f>Indata!I12</f>
        <v>0.25</v>
      </c>
    </row>
    <row r="30" spans="1:11" ht="15.75" thickBot="1" x14ac:dyDescent="0.3">
      <c r="A30" s="31" t="s">
        <v>172</v>
      </c>
      <c r="B30" s="8"/>
      <c r="C30" s="9">
        <v>1</v>
      </c>
      <c r="D30" s="86">
        <v>1.02</v>
      </c>
      <c r="E30" s="165">
        <f>$D$11*(1+Indata!D13)^(E27-$D$8)</f>
        <v>1.2433743083946522</v>
      </c>
      <c r="F30" s="167">
        <f>$D$11*(1+Indata!E13)^(F27-$D$8)</f>
        <v>1.5156663438979214</v>
      </c>
      <c r="G30" s="165">
        <f>$D$11*(1+Indata!F13)^(G27-$D$8)</f>
        <v>1.2433743083946522</v>
      </c>
      <c r="H30" s="167">
        <f>$D$11*(1+Indata!G13)^(H27-$D$8)</f>
        <v>1.5156663438979214</v>
      </c>
      <c r="I30" s="166">
        <f>$D$11*(1+Indata!H13)^(I27-$D$8)</f>
        <v>1.2433743083946522</v>
      </c>
      <c r="J30" s="167">
        <f>$D$11*(1+Indata!I13)^(J27-$D$8)</f>
        <v>1.5156663438979214</v>
      </c>
    </row>
    <row r="31" spans="1:11" x14ac:dyDescent="0.25">
      <c r="A31" s="32" t="s">
        <v>223</v>
      </c>
      <c r="B31" s="143">
        <v>6.59</v>
      </c>
      <c r="C31" s="21"/>
      <c r="D31" s="25"/>
      <c r="E31" s="23">
        <f>$B31+(F31-$B31)/(F$8-$B$8)*(E$8-$B$8)</f>
        <v>8.4891304347826093</v>
      </c>
      <c r="F31" s="361">
        <v>9.9499999999999993</v>
      </c>
      <c r="G31" s="23">
        <f>($B31+(H31-$B31)/(H$8-$B$8)*(G$8-$B$8))*G5</f>
        <v>8.4891304347826093</v>
      </c>
      <c r="H31" s="361">
        <f>9.95*H5</f>
        <v>9.9499999999999993</v>
      </c>
      <c r="I31" s="23">
        <f>$B31+(J31-$B31)/(J$8-$B$8)*(I$8-$B$8)*G5</f>
        <v>8.4891304347826093</v>
      </c>
      <c r="J31" s="146">
        <f>9.95*H5</f>
        <v>9.9499999999999993</v>
      </c>
    </row>
    <row r="32" spans="1:11" x14ac:dyDescent="0.25">
      <c r="A32" s="32" t="s">
        <v>224</v>
      </c>
      <c r="B32" s="350">
        <f>(B31-0.05*B33-0.18*B34)/(1-0.05-0.18)</f>
        <v>5.6380519480519471</v>
      </c>
      <c r="C32" s="25"/>
      <c r="D32" s="352"/>
      <c r="E32" s="17">
        <f>(E31-0.05*E33)/(1-0.05)</f>
        <v>8.4921052631578959</v>
      </c>
      <c r="F32" s="25">
        <f>(F31-0.05*F33)/(1-0.05)</f>
        <v>9.965789473684211</v>
      </c>
      <c r="G32" s="350">
        <f t="shared" ref="G32:J32" si="12">(G31-0.05*G33)/(1-0.05)</f>
        <v>8.4921052631578959</v>
      </c>
      <c r="H32" s="352">
        <f t="shared" si="12"/>
        <v>9.965789473684211</v>
      </c>
      <c r="I32" s="350">
        <f>(I31-0.05*I33)/(1-0.05)</f>
        <v>8.4921052631578959</v>
      </c>
      <c r="J32" s="351">
        <f t="shared" si="12"/>
        <v>9.965789473684211</v>
      </c>
    </row>
    <row r="33" spans="1:11" x14ac:dyDescent="0.25">
      <c r="A33" s="32" t="s">
        <v>225</v>
      </c>
      <c r="B33" s="17">
        <v>6.85</v>
      </c>
      <c r="C33" s="25"/>
      <c r="D33" s="25"/>
      <c r="E33" s="17">
        <f>$B33+(F33-$B33)/(F$8-$B$8)*(E$8-$B$8)</f>
        <v>8.4326086956521742</v>
      </c>
      <c r="F33" s="152">
        <v>9.65</v>
      </c>
      <c r="G33" s="17">
        <f>($B33+(H33-$B33)/(H$8-$B$8)*(G$8-$B$8))*G6</f>
        <v>8.4326086956521742</v>
      </c>
      <c r="H33" s="152">
        <f>9.65*H6</f>
        <v>9.65</v>
      </c>
      <c r="I33" s="17">
        <f>$B33+(J33-$B33)/(J$8-$B$8)*(I$8-$B$8)*G6</f>
        <v>8.4326086956521742</v>
      </c>
      <c r="J33" s="147">
        <f>9.65*H6</f>
        <v>9.65</v>
      </c>
    </row>
    <row r="34" spans="1:11" ht="15.75" thickBot="1" x14ac:dyDescent="0.3">
      <c r="A34" s="32" t="s">
        <v>300</v>
      </c>
      <c r="B34" s="24">
        <v>10.59</v>
      </c>
      <c r="C34" s="22"/>
      <c r="D34" s="25"/>
      <c r="E34" s="24">
        <f>$B34+(F34-$B34)/(F$8-$B$8)*(E$8-$B$8)</f>
        <v>13.031739130434783</v>
      </c>
      <c r="F34" s="362">
        <v>14.91</v>
      </c>
      <c r="G34" s="24">
        <f>($B34+(H34-$B34)/(H$8-$B$8)*(G$8-$B$8))*G6</f>
        <v>13.031739130434783</v>
      </c>
      <c r="H34" s="362">
        <f>14.91*H6</f>
        <v>14.91</v>
      </c>
      <c r="I34" s="24">
        <f>$B34+(J34-$B34)/(J$8-$B$8)*(I$8-$B$8)*G6</f>
        <v>13.031739130434783</v>
      </c>
      <c r="J34" s="153">
        <f>14.91*H6</f>
        <v>14.91</v>
      </c>
    </row>
    <row r="35" spans="1:11" ht="15.75" thickBot="1" x14ac:dyDescent="0.3">
      <c r="A35" s="33" t="s">
        <v>2</v>
      </c>
      <c r="B35" s="13">
        <f>B32*(1-B28-B29)+B33*B28+B34*B29</f>
        <v>6.59</v>
      </c>
      <c r="C35" s="14"/>
      <c r="D35" s="15"/>
      <c r="E35" s="359">
        <f>E32*(1-E28-E29)+E33*E28+E34*E29</f>
        <v>9.6228489702517166</v>
      </c>
      <c r="F35" s="360">
        <f>F32*(1-F28-F29)+F33*F28+F34*F29</f>
        <v>11.179736842105264</v>
      </c>
      <c r="G35" s="359">
        <f>G32*(1-G28-G29)+G33*G28+G34*G29</f>
        <v>9.6228489702517166</v>
      </c>
      <c r="H35" s="360">
        <f t="shared" ref="H35" si="13">H32*(1-H28-H29)+H33*H28+H34*H29</f>
        <v>11.179736842105264</v>
      </c>
      <c r="I35" s="359">
        <f>I32*(1-I28-I29)+I33*I28+I34*I29</f>
        <v>9.6228489702517166</v>
      </c>
      <c r="J35" s="360">
        <f>J32*(1-J28-J29)+J33*J28+J34*J29</f>
        <v>11.179736842105264</v>
      </c>
    </row>
    <row r="36" spans="1:11" x14ac:dyDescent="0.25">
      <c r="A36" s="32" t="s">
        <v>170</v>
      </c>
      <c r="B36" s="144">
        <v>2</v>
      </c>
      <c r="C36" s="21">
        <v>2.36</v>
      </c>
      <c r="D36" s="19"/>
      <c r="E36" s="17">
        <f>PRODUCT($C36,E$30)</f>
        <v>2.934363367811379</v>
      </c>
      <c r="F36" s="147">
        <f t="shared" ref="F36:J37" si="14">PRODUCT($C36,F$30)</f>
        <v>3.5769725715990943</v>
      </c>
      <c r="G36" s="17">
        <f t="shared" si="14"/>
        <v>2.934363367811379</v>
      </c>
      <c r="H36" s="147">
        <f t="shared" si="14"/>
        <v>3.5769725715990943</v>
      </c>
      <c r="I36" s="23">
        <f t="shared" si="14"/>
        <v>2.934363367811379</v>
      </c>
      <c r="J36" s="147">
        <f t="shared" si="14"/>
        <v>3.5769725715990943</v>
      </c>
      <c r="K36" s="74"/>
    </row>
    <row r="37" spans="1:11" ht="15.75" thickBot="1" x14ac:dyDescent="0.3">
      <c r="A37" s="32" t="s">
        <v>171</v>
      </c>
      <c r="B37" s="144">
        <v>2.4900000000000002</v>
      </c>
      <c r="C37" s="22">
        <v>2.17</v>
      </c>
      <c r="D37" s="19"/>
      <c r="E37" s="17">
        <f t="shared" ref="E37" si="15">PRODUCT($C37,E$30)</f>
        <v>2.6981222492163952</v>
      </c>
      <c r="F37" s="147">
        <f t="shared" si="14"/>
        <v>3.2889959662584896</v>
      </c>
      <c r="G37" s="17">
        <f t="shared" si="14"/>
        <v>2.6981222492163952</v>
      </c>
      <c r="H37" s="147">
        <f t="shared" si="14"/>
        <v>3.2889959662584896</v>
      </c>
      <c r="I37" s="24">
        <f t="shared" si="14"/>
        <v>2.6981222492163952</v>
      </c>
      <c r="J37" s="147">
        <f t="shared" si="14"/>
        <v>3.2889959662584896</v>
      </c>
      <c r="K37" s="74"/>
    </row>
    <row r="38" spans="1:11" ht="15.75" thickBot="1" x14ac:dyDescent="0.3">
      <c r="A38" s="33" t="s">
        <v>3</v>
      </c>
      <c r="B38" s="13">
        <f>SUM(B36,B37)</f>
        <v>4.49</v>
      </c>
      <c r="C38" s="28">
        <f>SUM(C36,C37)</f>
        <v>4.5299999999999994</v>
      </c>
      <c r="D38" s="15"/>
      <c r="E38" s="13">
        <f>SUM(E36,E37)</f>
        <v>5.6324856170277737</v>
      </c>
      <c r="F38" s="16">
        <f t="shared" ref="F38" si="16">SUM(F36,F37)</f>
        <v>6.8659685378575839</v>
      </c>
      <c r="G38" s="13">
        <f>SUM(G36,G37)</f>
        <v>5.6324856170277737</v>
      </c>
      <c r="H38" s="16">
        <f t="shared" ref="H38" si="17">SUM(H36,H37)</f>
        <v>6.8659685378575839</v>
      </c>
      <c r="I38" s="13">
        <f t="shared" ref="I38" si="18">SUM(I36,I37)</f>
        <v>5.6324856170277737</v>
      </c>
      <c r="J38" s="16">
        <f t="shared" ref="J38" si="19">SUM(J36,J37)</f>
        <v>6.8659685378575839</v>
      </c>
    </row>
    <row r="39" spans="1:11" ht="15.75" thickBot="1" x14ac:dyDescent="0.3">
      <c r="A39" s="33" t="s">
        <v>214</v>
      </c>
      <c r="B39" s="13">
        <f xml:space="preserve"> B35+B38</f>
        <v>11.08</v>
      </c>
      <c r="C39" s="14"/>
      <c r="D39" s="15"/>
      <c r="E39" s="13">
        <f xml:space="preserve"> E35+E38</f>
        <v>15.25533458727949</v>
      </c>
      <c r="F39" s="16">
        <f t="shared" ref="F39" si="20" xml:space="preserve"> F35+F38</f>
        <v>18.045705379962847</v>
      </c>
      <c r="G39" s="13">
        <f xml:space="preserve"> G35+G38</f>
        <v>15.25533458727949</v>
      </c>
      <c r="H39" s="16">
        <f t="shared" ref="H39" si="21" xml:space="preserve"> H35+H38</f>
        <v>18.045705379962847</v>
      </c>
      <c r="I39" s="13">
        <f t="shared" ref="I39" si="22" xml:space="preserve"> I35+I38</f>
        <v>15.25533458727949</v>
      </c>
      <c r="J39" s="16">
        <f t="shared" ref="J39" si="23" xml:space="preserve"> J35+J38</f>
        <v>18.045705379962847</v>
      </c>
    </row>
    <row r="40" spans="1:11" x14ac:dyDescent="0.25">
      <c r="A40" s="32" t="s">
        <v>4</v>
      </c>
      <c r="B40" s="144">
        <f>PRODUCT(B35,0.25)</f>
        <v>1.6475</v>
      </c>
      <c r="C40" s="18"/>
      <c r="D40" s="19"/>
      <c r="E40" s="17">
        <f>PRODUCT(E35,0.25)</f>
        <v>2.4057122425629291</v>
      </c>
      <c r="F40" s="147">
        <f t="shared" ref="F40" si="24">PRODUCT(F35,0.25)</f>
        <v>2.794934210526316</v>
      </c>
      <c r="G40" s="17">
        <f>PRODUCT(G35,0.25)</f>
        <v>2.4057122425629291</v>
      </c>
      <c r="H40" s="147">
        <f t="shared" ref="H40:J40" si="25">PRODUCT(H35,0.25)</f>
        <v>2.794934210526316</v>
      </c>
      <c r="I40" s="17">
        <f t="shared" si="25"/>
        <v>2.4057122425629291</v>
      </c>
      <c r="J40" s="147">
        <f t="shared" si="25"/>
        <v>2.794934210526316</v>
      </c>
    </row>
    <row r="41" spans="1:11" ht="15.75" thickBot="1" x14ac:dyDescent="0.3">
      <c r="A41" s="32" t="s">
        <v>5</v>
      </c>
      <c r="B41" s="144">
        <f>PRODUCT(B38,0.25)</f>
        <v>1.1225000000000001</v>
      </c>
      <c r="C41" s="18"/>
      <c r="D41" s="19"/>
      <c r="E41" s="17">
        <f t="shared" ref="E41:F41" si="26">PRODUCT(E38,0.25)</f>
        <v>1.4081214042569434</v>
      </c>
      <c r="F41" s="147">
        <f t="shared" si="26"/>
        <v>1.716492134464396</v>
      </c>
      <c r="G41" s="17">
        <f t="shared" ref="G41:J41" si="27">PRODUCT(G38,0.25)</f>
        <v>1.4081214042569434</v>
      </c>
      <c r="H41" s="147">
        <f t="shared" si="27"/>
        <v>1.716492134464396</v>
      </c>
      <c r="I41" s="17">
        <f t="shared" si="27"/>
        <v>1.4081214042569434</v>
      </c>
      <c r="J41" s="147">
        <f t="shared" si="27"/>
        <v>1.716492134464396</v>
      </c>
    </row>
    <row r="42" spans="1:11" ht="15.75" thickBot="1" x14ac:dyDescent="0.3">
      <c r="A42" s="33" t="s">
        <v>6</v>
      </c>
      <c r="B42" s="13">
        <f t="shared" ref="B42" si="28">SUM(B40,B41)</f>
        <v>2.77</v>
      </c>
      <c r="C42" s="14"/>
      <c r="D42" s="15"/>
      <c r="E42" s="13">
        <f t="shared" ref="E42:F42" si="29">SUM(E40,E41)</f>
        <v>3.8138336468198726</v>
      </c>
      <c r="F42" s="16">
        <f t="shared" si="29"/>
        <v>4.5114263449907117</v>
      </c>
      <c r="G42" s="13">
        <f t="shared" ref="G42:J42" si="30">SUM(G40,G41)</f>
        <v>3.8138336468198726</v>
      </c>
      <c r="H42" s="16">
        <f t="shared" si="30"/>
        <v>4.5114263449907117</v>
      </c>
      <c r="I42" s="13">
        <f t="shared" si="30"/>
        <v>3.8138336468198726</v>
      </c>
      <c r="J42" s="16">
        <f t="shared" si="30"/>
        <v>4.5114263449907117</v>
      </c>
    </row>
    <row r="43" spans="1:11" ht="15.75" thickBot="1" x14ac:dyDescent="0.3">
      <c r="A43" s="34" t="s">
        <v>216</v>
      </c>
      <c r="B43" s="148">
        <f>SUM(B39,B42)</f>
        <v>13.85</v>
      </c>
      <c r="C43" s="149"/>
      <c r="D43" s="149"/>
      <c r="E43" s="148">
        <f>SUM(E39,E42)</f>
        <v>19.069168234099362</v>
      </c>
      <c r="F43" s="150">
        <f t="shared" ref="F43" si="31">SUM(F39,F42)</f>
        <v>22.557131724953557</v>
      </c>
      <c r="G43" s="148">
        <f>SUM(G39,G42)</f>
        <v>19.069168234099362</v>
      </c>
      <c r="H43" s="150">
        <f t="shared" ref="H43" si="32">SUM(H39,H42)</f>
        <v>22.557131724953557</v>
      </c>
      <c r="I43" s="148">
        <f t="shared" ref="I43" si="33">SUM(I39,I42)</f>
        <v>19.069168234099362</v>
      </c>
      <c r="J43" s="150">
        <f t="shared" ref="J43" si="34">SUM(J39,J42)</f>
        <v>22.557131724953557</v>
      </c>
    </row>
    <row r="44" spans="1:11" ht="15.75" thickBot="1" x14ac:dyDescent="0.3">
      <c r="B44" s="18"/>
      <c r="F44" s="354">
        <f>F38+F42</f>
        <v>11.377394882848296</v>
      </c>
    </row>
    <row r="45" spans="1:11" ht="15.75" thickBot="1" x14ac:dyDescent="0.3">
      <c r="B45" s="187"/>
      <c r="C45" s="187"/>
      <c r="D45" s="187"/>
      <c r="E45" s="1172" t="s">
        <v>64</v>
      </c>
      <c r="F45" s="1171"/>
      <c r="G45" s="1172" t="s">
        <v>65</v>
      </c>
      <c r="H45" s="1171"/>
      <c r="I45" s="1170" t="s">
        <v>66</v>
      </c>
      <c r="J45" s="1171"/>
    </row>
    <row r="46" spans="1:11" ht="15.75" thickBot="1" x14ac:dyDescent="0.3">
      <c r="A46" s="189" t="s">
        <v>49</v>
      </c>
      <c r="B46" s="110">
        <v>2017</v>
      </c>
      <c r="C46" s="111">
        <v>2019</v>
      </c>
      <c r="D46" s="111">
        <v>2020</v>
      </c>
      <c r="E46" s="110">
        <v>2030</v>
      </c>
      <c r="F46" s="188">
        <v>2040</v>
      </c>
      <c r="G46" s="110">
        <v>2030</v>
      </c>
      <c r="H46" s="188">
        <v>2040</v>
      </c>
      <c r="I46" s="111">
        <v>2030</v>
      </c>
      <c r="J46" s="188">
        <v>2040</v>
      </c>
    </row>
    <row r="47" spans="1:11" x14ac:dyDescent="0.25">
      <c r="A47" s="29" t="s">
        <v>47</v>
      </c>
      <c r="B47" s="87">
        <v>0.05</v>
      </c>
      <c r="C47" s="1"/>
      <c r="D47" s="2"/>
      <c r="E47" s="3">
        <f>Indata!D11</f>
        <v>7.0000000000000007E-2</v>
      </c>
      <c r="F47" s="4">
        <f>Indata!E11</f>
        <v>7.0000000000000007E-2</v>
      </c>
      <c r="G47" s="3">
        <f>Indata!F11</f>
        <v>7.0000000000000007E-2</v>
      </c>
      <c r="H47" s="4">
        <f>Indata!G11</f>
        <v>7.0000000000000007E-2</v>
      </c>
      <c r="I47" s="5">
        <f>Indata!H11</f>
        <v>7.0000000000000007E-2</v>
      </c>
      <c r="J47" s="4">
        <f>Indata!I11</f>
        <v>7.0000000000000007E-2</v>
      </c>
    </row>
    <row r="48" spans="1:11" ht="15.75" thickBot="1" x14ac:dyDescent="0.3">
      <c r="A48" s="30" t="s">
        <v>48</v>
      </c>
      <c r="B48" s="88">
        <v>0.18</v>
      </c>
      <c r="C48" s="6"/>
      <c r="D48" s="7"/>
      <c r="E48" s="3">
        <f>Indata!D12</f>
        <v>0.25</v>
      </c>
      <c r="F48" s="4">
        <f>Indata!E12</f>
        <v>0.25</v>
      </c>
      <c r="G48" s="3">
        <f>Indata!F12</f>
        <v>0.25</v>
      </c>
      <c r="H48" s="4">
        <f>Indata!G12</f>
        <v>0.25</v>
      </c>
      <c r="I48" s="5">
        <f>Indata!H12</f>
        <v>0.25</v>
      </c>
      <c r="J48" s="4">
        <f>Indata!I12</f>
        <v>0.25</v>
      </c>
    </row>
    <row r="49" spans="1:10" ht="15.75" thickBot="1" x14ac:dyDescent="0.3">
      <c r="A49" s="31" t="s">
        <v>172</v>
      </c>
      <c r="B49" s="8"/>
      <c r="C49" s="9"/>
      <c r="D49" s="86">
        <v>1.02</v>
      </c>
      <c r="E49" s="10">
        <f>$D$11*(1+Indata!D13)^(E46-$D$8)</f>
        <v>1.2433743083946522</v>
      </c>
      <c r="F49" s="11">
        <f>$D$11*(1+Indata!E13)^(F46-$D$8)</f>
        <v>1.5156663438979214</v>
      </c>
      <c r="G49" s="10">
        <f>$D$11*(1+Indata!F13)^(G46-$D$8)</f>
        <v>1.2433743083946522</v>
      </c>
      <c r="H49" s="11">
        <f>$D$11*(1+Indata!G13)^(H46-$D$8)</f>
        <v>1.5156663438979214</v>
      </c>
      <c r="I49" s="12">
        <f>$D$11*(1+Indata!H13)^(I46-$D$8)</f>
        <v>1.2433743083946522</v>
      </c>
      <c r="J49" s="11">
        <f>$D$11*(1+Indata!I13)^(J46-$D$8)</f>
        <v>1.5156663438979214</v>
      </c>
    </row>
    <row r="50" spans="1:10" x14ac:dyDescent="0.25">
      <c r="A50" s="32" t="s">
        <v>223</v>
      </c>
      <c r="B50" s="143">
        <v>5.15</v>
      </c>
      <c r="C50" s="21"/>
      <c r="D50" s="25"/>
      <c r="E50" s="23">
        <f>$B50+(F50-$B50)/(F$8-$B$8)*(E$8-$B$8)</f>
        <v>7.280869565217392</v>
      </c>
      <c r="F50" s="146">
        <v>8.92</v>
      </c>
      <c r="G50" s="23">
        <f>($B50+(H50-$B50)/(H$8-$B$8)*(G$8-$B$8))*G5</f>
        <v>7.280869565217392</v>
      </c>
      <c r="H50" s="146">
        <f>8.92*H5</f>
        <v>8.92</v>
      </c>
      <c r="I50" s="23">
        <f>$B50+(J50-$B50)/(J$8-$B$8)*(I$8-$B$8)*G5</f>
        <v>7.280869565217392</v>
      </c>
      <c r="J50" s="146">
        <f>8.92*H5</f>
        <v>8.92</v>
      </c>
    </row>
    <row r="51" spans="1:10" x14ac:dyDescent="0.25">
      <c r="A51" s="32" t="s">
        <v>224</v>
      </c>
      <c r="B51" s="350">
        <f>(B50-0.05*B52-0.18*B53)/(1-0.05-0.18)</f>
        <v>3.7679220779220777</v>
      </c>
      <c r="C51" s="25"/>
      <c r="D51" s="352"/>
      <c r="E51" s="350">
        <f>(E50-0.05*E52-0.18*E53)/(1-0.05-0.18)</f>
        <v>5.8617221908526265</v>
      </c>
      <c r="F51" s="351">
        <f t="shared" ref="F51:J51" si="35">(F50-0.05*F52-0.18*F53)/(1-0.05-0.18)</f>
        <v>7.4723376623376625</v>
      </c>
      <c r="G51" s="350">
        <f t="shared" si="35"/>
        <v>5.8617221908526265</v>
      </c>
      <c r="H51" s="351">
        <f t="shared" si="35"/>
        <v>7.4723376623376625</v>
      </c>
      <c r="I51" s="350">
        <f t="shared" si="35"/>
        <v>5.8617221908526265</v>
      </c>
      <c r="J51" s="351">
        <f t="shared" si="35"/>
        <v>7.4723376623376625</v>
      </c>
    </row>
    <row r="52" spans="1:10" x14ac:dyDescent="0.25">
      <c r="A52" s="32" t="s">
        <v>225</v>
      </c>
      <c r="B52" s="17">
        <v>6.85</v>
      </c>
      <c r="C52" s="25"/>
      <c r="D52" s="25"/>
      <c r="E52" s="17">
        <f>$B52+(F52-$B52)/(F$8-$B$8)*(E$8-$B$8)</f>
        <v>8.4326086956521742</v>
      </c>
      <c r="F52" s="147">
        <v>9.65</v>
      </c>
      <c r="G52" s="17">
        <f>($B52+(H52-$B52)/(H$8-$B$8)*(G$8-$B$8))*G6</f>
        <v>8.4326086956521742</v>
      </c>
      <c r="H52" s="147">
        <f>9.65*H6</f>
        <v>9.65</v>
      </c>
      <c r="I52" s="17">
        <f>$B52+(J52-$B52)/(J$8-$B$8)*(I$8-$B$8)*G6</f>
        <v>8.4326086956521742</v>
      </c>
      <c r="J52" s="147">
        <f>9.65*H6</f>
        <v>9.65</v>
      </c>
    </row>
    <row r="53" spans="1:10" ht="15.75" thickBot="1" x14ac:dyDescent="0.3">
      <c r="A53" s="32" t="s">
        <v>222</v>
      </c>
      <c r="B53" s="24">
        <v>10.59</v>
      </c>
      <c r="C53" s="22"/>
      <c r="D53" s="25"/>
      <c r="E53" s="24">
        <f>$B53+(F53-$B53)/(F$8-$B$8)*(E$8-$B$8)</f>
        <v>13.031739130434783</v>
      </c>
      <c r="F53" s="147">
        <v>14.91</v>
      </c>
      <c r="G53" s="24">
        <f>($B53+(H53-$B53)/(H$8-$B$8)*(G$8-$B$8))*G6</f>
        <v>13.031739130434783</v>
      </c>
      <c r="H53" s="147">
        <f>14.91*H6</f>
        <v>14.91</v>
      </c>
      <c r="I53" s="24">
        <f>$B53+(J53-$B53)/(J$8-$B$8)*(I$8-$B$8)*G6</f>
        <v>13.031739130434783</v>
      </c>
      <c r="J53" s="147">
        <f>14.91*H6</f>
        <v>14.91</v>
      </c>
    </row>
    <row r="54" spans="1:10" ht="15.75" thickBot="1" x14ac:dyDescent="0.3">
      <c r="A54" s="33" t="s">
        <v>2</v>
      </c>
      <c r="B54" s="387">
        <f>B51*(1-B47-B48)+B52*B47+B53*B48</f>
        <v>5.15</v>
      </c>
      <c r="C54" s="1"/>
      <c r="D54" s="2"/>
      <c r="E54" s="13">
        <f>E51*(1-E47-E48)+E52*E47+E53*E48</f>
        <v>7.8341884810841336</v>
      </c>
      <c r="F54" s="16">
        <f t="shared" ref="F54" si="36">F51*(1-F47-F48)+F52*F47+F53*F48</f>
        <v>9.4841896103896097</v>
      </c>
      <c r="G54" s="13">
        <f>G51*(1-G47-G48)+G52*G47+G53*G48</f>
        <v>7.8341884810841336</v>
      </c>
      <c r="H54" s="16">
        <f t="shared" ref="H54" si="37">H51*(1-H47-H48)+H52*H47+H53*H48</f>
        <v>9.4841896103896097</v>
      </c>
      <c r="I54" s="13">
        <f t="shared" ref="I54" si="38">I51*(1-I47-I48)+I52*I47+I53*I48</f>
        <v>7.8341884810841336</v>
      </c>
      <c r="J54" s="16">
        <f t="shared" ref="J54" si="39">J51*(1-J47-J48)+J52*J47+J53*J48</f>
        <v>9.4841896103896097</v>
      </c>
    </row>
    <row r="55" spans="1:10" x14ac:dyDescent="0.25">
      <c r="A55" s="32" t="s">
        <v>170</v>
      </c>
      <c r="B55" s="143">
        <v>2</v>
      </c>
      <c r="C55" s="21">
        <f>C36</f>
        <v>2.36</v>
      </c>
      <c r="D55" s="389"/>
      <c r="E55" s="25">
        <f t="shared" ref="E55:J55" si="40">E36</f>
        <v>2.934363367811379</v>
      </c>
      <c r="F55" s="147">
        <f t="shared" si="40"/>
        <v>3.5769725715990943</v>
      </c>
      <c r="G55" s="17">
        <f t="shared" si="40"/>
        <v>2.934363367811379</v>
      </c>
      <c r="H55" s="147">
        <f t="shared" si="40"/>
        <v>3.5769725715990943</v>
      </c>
      <c r="I55" s="17">
        <f>I36</f>
        <v>2.934363367811379</v>
      </c>
      <c r="J55" s="147">
        <f t="shared" si="40"/>
        <v>3.5769725715990943</v>
      </c>
    </row>
    <row r="56" spans="1:10" ht="15.75" thickBot="1" x14ac:dyDescent="0.3">
      <c r="A56" s="32" t="s">
        <v>171</v>
      </c>
      <c r="B56" s="145">
        <v>2.4900000000000002</v>
      </c>
      <c r="C56" s="22">
        <f>C37</f>
        <v>2.17</v>
      </c>
      <c r="D56" s="390"/>
      <c r="E56" s="22">
        <f t="shared" ref="E56:J56" si="41">E37</f>
        <v>2.6981222492163952</v>
      </c>
      <c r="F56" s="147">
        <f t="shared" si="41"/>
        <v>3.2889959662584896</v>
      </c>
      <c r="G56" s="24">
        <f t="shared" si="41"/>
        <v>2.6981222492163952</v>
      </c>
      <c r="H56" s="147">
        <f t="shared" si="41"/>
        <v>3.2889959662584896</v>
      </c>
      <c r="I56" s="24">
        <f t="shared" si="41"/>
        <v>2.6981222492163952</v>
      </c>
      <c r="J56" s="147">
        <f t="shared" si="41"/>
        <v>3.2889959662584896</v>
      </c>
    </row>
    <row r="57" spans="1:10" ht="15.75" thickBot="1" x14ac:dyDescent="0.3">
      <c r="A57" s="33" t="s">
        <v>3</v>
      </c>
      <c r="B57" s="359">
        <f>SUM(B55,B56)</f>
        <v>4.49</v>
      </c>
      <c r="C57" s="388">
        <f>SUM(C55,C56)</f>
        <v>4.5299999999999994</v>
      </c>
      <c r="D57" s="7"/>
      <c r="E57" s="13">
        <f>SUM(E55,E56)</f>
        <v>5.6324856170277737</v>
      </c>
      <c r="F57" s="16">
        <f t="shared" ref="F57" si="42">SUM(F55,F56)</f>
        <v>6.8659685378575839</v>
      </c>
      <c r="G57" s="13">
        <f>SUM(G55,G56)</f>
        <v>5.6324856170277737</v>
      </c>
      <c r="H57" s="16">
        <f t="shared" ref="H57" si="43">SUM(H55,H56)</f>
        <v>6.8659685378575839</v>
      </c>
      <c r="I57" s="13">
        <f t="shared" ref="I57" si="44">SUM(I55,I56)</f>
        <v>5.6324856170277737</v>
      </c>
      <c r="J57" s="16">
        <f t="shared" ref="J57" si="45">SUM(J55,J56)</f>
        <v>6.8659685378575839</v>
      </c>
    </row>
    <row r="58" spans="1:10" ht="15.75" thickBot="1" x14ac:dyDescent="0.3">
      <c r="A58" s="33" t="s">
        <v>214</v>
      </c>
      <c r="B58" s="13">
        <f xml:space="preserve"> B54+B57</f>
        <v>9.64</v>
      </c>
      <c r="C58" s="14"/>
      <c r="D58" s="15"/>
      <c r="E58" s="13">
        <f xml:space="preserve"> E54+E57</f>
        <v>13.466674098111907</v>
      </c>
      <c r="F58" s="16">
        <f t="shared" ref="F58" si="46" xml:space="preserve"> F54+F57</f>
        <v>16.350158148247193</v>
      </c>
      <c r="G58" s="13">
        <f xml:space="preserve"> G54+G57</f>
        <v>13.466674098111907</v>
      </c>
      <c r="H58" s="16">
        <f t="shared" ref="H58" si="47" xml:space="preserve"> H54+H57</f>
        <v>16.350158148247193</v>
      </c>
      <c r="I58" s="13">
        <f t="shared" ref="I58" si="48" xml:space="preserve"> I54+I57</f>
        <v>13.466674098111907</v>
      </c>
      <c r="J58" s="16">
        <f xml:space="preserve"> J54+J57</f>
        <v>16.350158148247193</v>
      </c>
    </row>
    <row r="59" spans="1:10" x14ac:dyDescent="0.25">
      <c r="A59" s="32" t="s">
        <v>4</v>
      </c>
      <c r="B59" s="144">
        <f>PRODUCT(B54,0.25)</f>
        <v>1.2875000000000001</v>
      </c>
      <c r="C59" s="18"/>
      <c r="D59" s="19"/>
      <c r="E59" s="17">
        <f>PRODUCT(E54,0.25)</f>
        <v>1.9585471202710334</v>
      </c>
      <c r="F59" s="147">
        <f t="shared" ref="F59" si="49">PRODUCT(F54,0.25)</f>
        <v>2.3710474025974024</v>
      </c>
      <c r="G59" s="17">
        <f>PRODUCT(G54,0.25)</f>
        <v>1.9585471202710334</v>
      </c>
      <c r="H59" s="147">
        <f t="shared" ref="H59:J59" si="50">PRODUCT(H54,0.25)</f>
        <v>2.3710474025974024</v>
      </c>
      <c r="I59" s="17">
        <f t="shared" si="50"/>
        <v>1.9585471202710334</v>
      </c>
      <c r="J59" s="147">
        <f t="shared" si="50"/>
        <v>2.3710474025974024</v>
      </c>
    </row>
    <row r="60" spans="1:10" ht="15.75" thickBot="1" x14ac:dyDescent="0.3">
      <c r="A60" s="32" t="s">
        <v>5</v>
      </c>
      <c r="B60" s="144">
        <f>PRODUCT(B57,0.25)</f>
        <v>1.1225000000000001</v>
      </c>
      <c r="C60" s="18"/>
      <c r="D60" s="19"/>
      <c r="E60" s="17">
        <f>PRODUCT(E57,0.25)</f>
        <v>1.4081214042569434</v>
      </c>
      <c r="F60" s="147">
        <f t="shared" ref="F60" si="51">PRODUCT(F57,0.25)</f>
        <v>1.716492134464396</v>
      </c>
      <c r="G60" s="17">
        <f t="shared" ref="G60:J60" si="52">PRODUCT(G57,0.25)</f>
        <v>1.4081214042569434</v>
      </c>
      <c r="H60" s="147">
        <f t="shared" si="52"/>
        <v>1.716492134464396</v>
      </c>
      <c r="I60" s="17">
        <f t="shared" si="52"/>
        <v>1.4081214042569434</v>
      </c>
      <c r="J60" s="147">
        <f t="shared" si="52"/>
        <v>1.716492134464396</v>
      </c>
    </row>
    <row r="61" spans="1:10" ht="15.75" thickBot="1" x14ac:dyDescent="0.3">
      <c r="A61" s="33" t="s">
        <v>6</v>
      </c>
      <c r="B61" s="13">
        <f t="shared" ref="B61" si="53">SUM(B59,B60)</f>
        <v>2.41</v>
      </c>
      <c r="C61" s="14"/>
      <c r="D61" s="15"/>
      <c r="E61" s="13">
        <f t="shared" ref="E61:F61" si="54">SUM(E59,E60)</f>
        <v>3.3666685245279768</v>
      </c>
      <c r="F61" s="16">
        <f t="shared" si="54"/>
        <v>4.0875395370617982</v>
      </c>
      <c r="G61" s="13">
        <f t="shared" ref="G61:J61" si="55">SUM(G59,G60)</f>
        <v>3.3666685245279768</v>
      </c>
      <c r="H61" s="16">
        <f t="shared" si="55"/>
        <v>4.0875395370617982</v>
      </c>
      <c r="I61" s="13">
        <f t="shared" si="55"/>
        <v>3.3666685245279768</v>
      </c>
      <c r="J61" s="16">
        <f t="shared" si="55"/>
        <v>4.0875395370617982</v>
      </c>
    </row>
    <row r="62" spans="1:10" ht="15.75" thickBot="1" x14ac:dyDescent="0.3">
      <c r="A62" s="34" t="s">
        <v>216</v>
      </c>
      <c r="B62" s="148">
        <f>SUM(B58,B61)</f>
        <v>12.05</v>
      </c>
      <c r="C62" s="149"/>
      <c r="D62" s="149"/>
      <c r="E62" s="148">
        <f>SUM(E58,E61)</f>
        <v>16.833342622639883</v>
      </c>
      <c r="F62" s="150">
        <f t="shared" ref="F62" si="56">SUM(F58,F61)</f>
        <v>20.43769768530899</v>
      </c>
      <c r="G62" s="148">
        <f>SUM(G58,G61)</f>
        <v>16.833342622639883</v>
      </c>
      <c r="H62" s="150">
        <f t="shared" ref="H62" si="57">SUM(H58,H61)</f>
        <v>20.43769768530899</v>
      </c>
      <c r="I62" s="148">
        <f t="shared" ref="I62" si="58">SUM(I58,I61)</f>
        <v>16.833342622639883</v>
      </c>
      <c r="J62" s="150">
        <f t="shared" ref="J62" si="59">SUM(J58,J61)</f>
        <v>20.43769768530899</v>
      </c>
    </row>
    <row r="63" spans="1:10" ht="15.75" thickBot="1" x14ac:dyDescent="0.3"/>
    <row r="64" spans="1:10" ht="15.75" thickBot="1" x14ac:dyDescent="0.3">
      <c r="B64" s="187"/>
      <c r="C64" s="187"/>
      <c r="D64" s="187"/>
      <c r="E64" s="1172" t="s">
        <v>64</v>
      </c>
      <c r="F64" s="1171"/>
      <c r="G64" s="1172" t="s">
        <v>65</v>
      </c>
      <c r="H64" s="1171"/>
      <c r="I64" s="1170" t="s">
        <v>66</v>
      </c>
      <c r="J64" s="1171"/>
    </row>
    <row r="65" spans="1:10" ht="15.75" thickBot="1" x14ac:dyDescent="0.3">
      <c r="A65" s="189" t="s">
        <v>50</v>
      </c>
      <c r="B65" s="110">
        <v>2017</v>
      </c>
      <c r="C65" s="111">
        <v>2018</v>
      </c>
      <c r="D65" s="111">
        <v>2020</v>
      </c>
      <c r="E65" s="110">
        <v>2030</v>
      </c>
      <c r="F65" s="188">
        <v>2040</v>
      </c>
      <c r="G65" s="110">
        <v>2030</v>
      </c>
      <c r="H65" s="188">
        <v>2040</v>
      </c>
      <c r="I65" s="111">
        <v>2030</v>
      </c>
      <c r="J65" s="188">
        <v>2040</v>
      </c>
    </row>
    <row r="66" spans="1:10" ht="15.75" thickBot="1" x14ac:dyDescent="0.3">
      <c r="A66" s="35" t="s">
        <v>217</v>
      </c>
      <c r="B66" s="143">
        <f>172.36/100</f>
        <v>1.7236000000000002</v>
      </c>
      <c r="C66" s="21"/>
      <c r="D66" s="25"/>
      <c r="E66" s="23">
        <f>$B66+(F66-$B66)/(F$8-$B$8)*(E$8-$B$8)</f>
        <v>2.4401260869565218</v>
      </c>
      <c r="F66" s="146">
        <f>299.13/100</f>
        <v>2.9912999999999998</v>
      </c>
      <c r="G66" s="23">
        <f>($B66+(H66-$B66)/(H$8-$B$8)*(G$8-$B$8))*G4</f>
        <v>2.4401260869565218</v>
      </c>
      <c r="H66" s="146">
        <f>299.13/100*H4</f>
        <v>2.9912999999999998</v>
      </c>
      <c r="I66" s="23">
        <f>$B66+(J66-$B66)/(J$8-$B$8)*(I$8-$B$8)*G4</f>
        <v>2.4401260869565218</v>
      </c>
      <c r="J66" s="146">
        <f>299.13/100*H4</f>
        <v>2.9912999999999998</v>
      </c>
    </row>
    <row r="67" spans="1:10" ht="15.75" thickBot="1" x14ac:dyDescent="0.3">
      <c r="A67" s="33" t="s">
        <v>2</v>
      </c>
      <c r="B67" s="13">
        <f>B66</f>
        <v>1.7236000000000002</v>
      </c>
      <c r="C67" s="14"/>
      <c r="D67" s="15"/>
      <c r="E67" s="13">
        <f t="shared" ref="E67:J67" si="60">E66</f>
        <v>2.4401260869565218</v>
      </c>
      <c r="F67" s="16">
        <f>F66</f>
        <v>2.9912999999999998</v>
      </c>
      <c r="G67" s="13">
        <f t="shared" si="60"/>
        <v>2.4401260869565218</v>
      </c>
      <c r="H67" s="16">
        <f t="shared" si="60"/>
        <v>2.9912999999999998</v>
      </c>
      <c r="I67" s="13">
        <f t="shared" si="60"/>
        <v>2.4401260869565218</v>
      </c>
      <c r="J67" s="16">
        <f t="shared" si="60"/>
        <v>2.9912999999999998</v>
      </c>
    </row>
    <row r="68" spans="1:10" x14ac:dyDescent="0.25">
      <c r="A68" s="32" t="s">
        <v>170</v>
      </c>
      <c r="B68" s="144">
        <v>0.31</v>
      </c>
      <c r="C68" s="21"/>
      <c r="D68" s="19"/>
      <c r="E68" s="23">
        <f>F68</f>
        <v>0.33659999999999995</v>
      </c>
      <c r="F68" s="152">
        <f>33.66/100</f>
        <v>0.33659999999999995</v>
      </c>
      <c r="G68" s="23">
        <f>H68</f>
        <v>0.33659999999999995</v>
      </c>
      <c r="H68" s="152">
        <f>33.66/100</f>
        <v>0.33659999999999995</v>
      </c>
      <c r="I68" s="23">
        <f>J68</f>
        <v>0.33659999999999995</v>
      </c>
      <c r="J68" s="146">
        <f>33.66/100</f>
        <v>0.33659999999999995</v>
      </c>
    </row>
    <row r="69" spans="1:10" ht="15.75" thickBot="1" x14ac:dyDescent="0.3">
      <c r="A69" s="32" t="s">
        <v>171</v>
      </c>
      <c r="B69" s="144">
        <f>0/100</f>
        <v>0</v>
      </c>
      <c r="C69" s="22"/>
      <c r="D69" s="19"/>
      <c r="E69" s="24">
        <f>F69</f>
        <v>0</v>
      </c>
      <c r="F69" s="152">
        <f>0/100</f>
        <v>0</v>
      </c>
      <c r="G69" s="24">
        <f>H69</f>
        <v>0</v>
      </c>
      <c r="H69" s="152">
        <f>0/100</f>
        <v>0</v>
      </c>
      <c r="I69" s="24">
        <f>J69</f>
        <v>0</v>
      </c>
      <c r="J69" s="153">
        <f>0/100</f>
        <v>0</v>
      </c>
    </row>
    <row r="70" spans="1:10" ht="15.75" thickBot="1" x14ac:dyDescent="0.3">
      <c r="A70" s="33" t="s">
        <v>3</v>
      </c>
      <c r="B70" s="13">
        <f>SUM(B68,B69)</f>
        <v>0.31</v>
      </c>
      <c r="C70" s="28"/>
      <c r="D70" s="15"/>
      <c r="E70" s="13">
        <f>SUM(E68,E69)</f>
        <v>0.33659999999999995</v>
      </c>
      <c r="F70" s="16">
        <f t="shared" ref="F70" si="61">SUM(F68,F69)</f>
        <v>0.33659999999999995</v>
      </c>
      <c r="G70" s="13">
        <f>SUM(G68,G69)</f>
        <v>0.33659999999999995</v>
      </c>
      <c r="H70" s="16">
        <f t="shared" ref="H70" si="62">SUM(H68,H69)</f>
        <v>0.33659999999999995</v>
      </c>
      <c r="I70" s="13">
        <f t="shared" ref="I70" si="63">SUM(I68,I69)</f>
        <v>0.33659999999999995</v>
      </c>
      <c r="J70" s="16">
        <f t="shared" ref="J70" si="64">SUM(J68,J69)</f>
        <v>0.33659999999999995</v>
      </c>
    </row>
    <row r="71" spans="1:10" ht="15.75" thickBot="1" x14ac:dyDescent="0.3">
      <c r="A71" s="33" t="s">
        <v>218</v>
      </c>
      <c r="B71" s="13">
        <f xml:space="preserve"> B67+B70</f>
        <v>2.0336000000000003</v>
      </c>
      <c r="C71" s="14"/>
      <c r="D71" s="15"/>
      <c r="E71" s="13">
        <f xml:space="preserve"> E67+E70</f>
        <v>2.7767260869565216</v>
      </c>
      <c r="F71" s="16">
        <f t="shared" ref="F71" si="65" xml:space="preserve"> F67+F70</f>
        <v>3.3278999999999996</v>
      </c>
      <c r="G71" s="13">
        <f xml:space="preserve"> G67+G70</f>
        <v>2.7767260869565216</v>
      </c>
      <c r="H71" s="16">
        <f t="shared" ref="H71" si="66" xml:space="preserve"> H67+H70</f>
        <v>3.3278999999999996</v>
      </c>
      <c r="I71" s="13">
        <f t="shared" ref="I71" si="67" xml:space="preserve"> I67+I70</f>
        <v>2.7767260869565216</v>
      </c>
      <c r="J71" s="16">
        <f xml:space="preserve"> J67+J70</f>
        <v>3.3278999999999996</v>
      </c>
    </row>
    <row r="72" spans="1:10" x14ac:dyDescent="0.25">
      <c r="A72" s="32" t="s">
        <v>4</v>
      </c>
      <c r="B72" s="17">
        <f>PRODUCT(B67,0.25)</f>
        <v>0.43090000000000006</v>
      </c>
      <c r="C72" s="18"/>
      <c r="D72" s="19"/>
      <c r="E72" s="17">
        <f>PRODUCT(E67,0.25)</f>
        <v>0.61003152173913044</v>
      </c>
      <c r="F72" s="20">
        <f t="shared" ref="F72" si="68">PRODUCT(F67,0.25)</f>
        <v>0.74782499999999996</v>
      </c>
      <c r="G72" s="17">
        <f>PRODUCT(G67,0.25)</f>
        <v>0.61003152173913044</v>
      </c>
      <c r="H72" s="20">
        <f t="shared" ref="H72:J72" si="69">PRODUCT(H67,0.25)</f>
        <v>0.74782499999999996</v>
      </c>
      <c r="I72" s="17">
        <f t="shared" si="69"/>
        <v>0.61003152173913044</v>
      </c>
      <c r="J72" s="20">
        <f t="shared" si="69"/>
        <v>0.74782499999999996</v>
      </c>
    </row>
    <row r="73" spans="1:10" ht="15.75" thickBot="1" x14ac:dyDescent="0.3">
      <c r="A73" s="32" t="s">
        <v>5</v>
      </c>
      <c r="B73" s="17">
        <f>PRODUCT(B70,0.25)</f>
        <v>7.7499999999999999E-2</v>
      </c>
      <c r="C73" s="18"/>
      <c r="D73" s="19"/>
      <c r="E73" s="17">
        <f t="shared" ref="E73:F73" si="70">PRODUCT(E70,0.25)</f>
        <v>8.4149999999999989E-2</v>
      </c>
      <c r="F73" s="20">
        <f t="shared" si="70"/>
        <v>8.4149999999999989E-2</v>
      </c>
      <c r="G73" s="17">
        <f t="shared" ref="G73:J73" si="71">PRODUCT(G70,0.25)</f>
        <v>8.4149999999999989E-2</v>
      </c>
      <c r="H73" s="20">
        <f t="shared" si="71"/>
        <v>8.4149999999999989E-2</v>
      </c>
      <c r="I73" s="17">
        <f t="shared" si="71"/>
        <v>8.4149999999999989E-2</v>
      </c>
      <c r="J73" s="20">
        <f t="shared" si="71"/>
        <v>8.4149999999999989E-2</v>
      </c>
    </row>
    <row r="74" spans="1:10" ht="15.75" thickBot="1" x14ac:dyDescent="0.3">
      <c r="A74" s="33" t="s">
        <v>6</v>
      </c>
      <c r="B74" s="13">
        <f t="shared" ref="B74" si="72">SUM(B72,B73)</f>
        <v>0.50840000000000007</v>
      </c>
      <c r="C74" s="14"/>
      <c r="D74" s="15"/>
      <c r="E74" s="13">
        <f>SUM(E72,E73)</f>
        <v>0.69418152173913039</v>
      </c>
      <c r="F74" s="16">
        <f t="shared" ref="F74" si="73">SUM(F72,F73)</f>
        <v>0.83197499999999991</v>
      </c>
      <c r="G74" s="13">
        <f t="shared" ref="G74:J74" si="74">SUM(G72,G73)</f>
        <v>0.69418152173913039</v>
      </c>
      <c r="H74" s="16">
        <f t="shared" si="74"/>
        <v>0.83197499999999991</v>
      </c>
      <c r="I74" s="13">
        <f t="shared" si="74"/>
        <v>0.69418152173913039</v>
      </c>
      <c r="J74" s="16">
        <f t="shared" si="74"/>
        <v>0.83197499999999991</v>
      </c>
    </row>
    <row r="75" spans="1:10" ht="15.75" thickBot="1" x14ac:dyDescent="0.3">
      <c r="A75" s="34" t="s">
        <v>51</v>
      </c>
      <c r="B75" s="148">
        <f>SUM(B71,B74)</f>
        <v>2.5420000000000003</v>
      </c>
      <c r="C75" s="149"/>
      <c r="D75" s="149"/>
      <c r="E75" s="148">
        <f>SUM(E71,E74)</f>
        <v>3.4709076086956521</v>
      </c>
      <c r="F75" s="150">
        <f t="shared" ref="F75" si="75">SUM(F71,F74)</f>
        <v>4.1598749999999995</v>
      </c>
      <c r="G75" s="148">
        <f>SUM(G71,G74)</f>
        <v>3.4709076086956521</v>
      </c>
      <c r="H75" s="150">
        <f t="shared" ref="H75" si="76">SUM(H71,H74)</f>
        <v>4.1598749999999995</v>
      </c>
      <c r="I75" s="148">
        <f t="shared" ref="I75" si="77">SUM(I71,I74)</f>
        <v>3.4709076086956521</v>
      </c>
      <c r="J75" s="150">
        <f t="shared" ref="J75" si="78">SUM(J71,J74)</f>
        <v>4.1598749999999995</v>
      </c>
    </row>
    <row r="76" spans="1:10" ht="15.75" thickBot="1" x14ac:dyDescent="0.3">
      <c r="F76" s="354"/>
    </row>
    <row r="77" spans="1:10" ht="15.75" thickBot="1" x14ac:dyDescent="0.3">
      <c r="B77" s="187"/>
      <c r="C77" s="187"/>
      <c r="D77" s="187"/>
      <c r="E77" s="1172" t="s">
        <v>64</v>
      </c>
      <c r="F77" s="1171"/>
      <c r="G77" s="1172" t="s">
        <v>65</v>
      </c>
      <c r="H77" s="1171"/>
      <c r="I77" s="1170" t="s">
        <v>66</v>
      </c>
      <c r="J77" s="1171"/>
    </row>
    <row r="78" spans="1:10" ht="15.75" thickBot="1" x14ac:dyDescent="0.3">
      <c r="A78" s="189" t="s">
        <v>52</v>
      </c>
      <c r="B78" s="110">
        <v>2017</v>
      </c>
      <c r="C78" s="111">
        <v>2018</v>
      </c>
      <c r="D78" s="111">
        <v>2020</v>
      </c>
      <c r="E78" s="110">
        <v>2030</v>
      </c>
      <c r="F78" s="188">
        <v>2040</v>
      </c>
      <c r="G78" s="110">
        <v>2030</v>
      </c>
      <c r="H78" s="188">
        <v>2040</v>
      </c>
      <c r="I78" s="111">
        <v>2030</v>
      </c>
      <c r="J78" s="188">
        <v>2040</v>
      </c>
    </row>
    <row r="79" spans="1:10" ht="15.75" thickBot="1" x14ac:dyDescent="0.3">
      <c r="A79" s="35" t="s">
        <v>217</v>
      </c>
      <c r="B79" s="143">
        <f>59.33/100</f>
        <v>0.59329999999999994</v>
      </c>
      <c r="C79" s="21"/>
      <c r="D79" s="25"/>
      <c r="E79" s="23">
        <f>$B79+(F79-$B79)/(F$8-$B$8)*(E$8-$B$8)</f>
        <v>0.86093043478260867</v>
      </c>
      <c r="F79" s="146">
        <f>106.68/100</f>
        <v>1.0668</v>
      </c>
      <c r="G79" s="23">
        <f>($B79+(H79-$B79)/(H$8-$B$8)*(G$8-$B$8))*G4</f>
        <v>0.86093043478260867</v>
      </c>
      <c r="H79" s="146">
        <f>106.68/100*H4</f>
        <v>1.0668</v>
      </c>
      <c r="I79" s="23">
        <f>$B79+(J79-$B79)/(J$8-$B$8)*(I$8-$B$8)*G4</f>
        <v>0.86093043478260867</v>
      </c>
      <c r="J79" s="146">
        <f>106.68/100*H4</f>
        <v>1.0668</v>
      </c>
    </row>
    <row r="80" spans="1:10" ht="15.75" thickBot="1" x14ac:dyDescent="0.3">
      <c r="A80" s="33" t="s">
        <v>2</v>
      </c>
      <c r="B80" s="13">
        <f>B79</f>
        <v>0.59329999999999994</v>
      </c>
      <c r="C80" s="14"/>
      <c r="D80" s="15"/>
      <c r="E80" s="13">
        <f>E79</f>
        <v>0.86093043478260867</v>
      </c>
      <c r="F80" s="16">
        <f t="shared" ref="F80:J80" si="79">F79</f>
        <v>1.0668</v>
      </c>
      <c r="G80" s="13">
        <f t="shared" si="79"/>
        <v>0.86093043478260867</v>
      </c>
      <c r="H80" s="16">
        <f t="shared" si="79"/>
        <v>1.0668</v>
      </c>
      <c r="I80" s="13">
        <f t="shared" si="79"/>
        <v>0.86093043478260867</v>
      </c>
      <c r="J80" s="16">
        <f t="shared" si="79"/>
        <v>1.0668</v>
      </c>
    </row>
    <row r="81" spans="1:10" x14ac:dyDescent="0.25">
      <c r="A81" s="32" t="s">
        <v>170</v>
      </c>
      <c r="B81" s="144">
        <v>0.31</v>
      </c>
      <c r="C81" s="21"/>
      <c r="D81" s="19"/>
      <c r="E81" s="23">
        <f>F81</f>
        <v>0.33659999999999995</v>
      </c>
      <c r="F81" s="152">
        <f>33.66/100</f>
        <v>0.33659999999999995</v>
      </c>
      <c r="G81" s="23">
        <f>H81</f>
        <v>0.33659999999999995</v>
      </c>
      <c r="H81" s="152">
        <f>33.66/100</f>
        <v>0.33659999999999995</v>
      </c>
      <c r="I81" s="23">
        <f>J81</f>
        <v>0.33659999999999995</v>
      </c>
      <c r="J81" s="146">
        <f>33.66/100</f>
        <v>0.33659999999999995</v>
      </c>
    </row>
    <row r="82" spans="1:10" ht="15.75" thickBot="1" x14ac:dyDescent="0.3">
      <c r="A82" s="32" t="s">
        <v>171</v>
      </c>
      <c r="B82" s="144">
        <f>0/100</f>
        <v>0</v>
      </c>
      <c r="C82" s="22"/>
      <c r="D82" s="19"/>
      <c r="E82" s="24">
        <f>F82</f>
        <v>0</v>
      </c>
      <c r="F82" s="152">
        <f>0/100</f>
        <v>0</v>
      </c>
      <c r="G82" s="24">
        <f>H82</f>
        <v>0</v>
      </c>
      <c r="H82" s="152">
        <f>0/100</f>
        <v>0</v>
      </c>
      <c r="I82" s="24">
        <f>J82</f>
        <v>0</v>
      </c>
      <c r="J82" s="153">
        <f>0/100</f>
        <v>0</v>
      </c>
    </row>
    <row r="83" spans="1:10" ht="15.75" thickBot="1" x14ac:dyDescent="0.3">
      <c r="A83" s="33" t="s">
        <v>3</v>
      </c>
      <c r="B83" s="13">
        <f>SUM(B81,B82)</f>
        <v>0.31</v>
      </c>
      <c r="C83" s="28"/>
      <c r="D83" s="15"/>
      <c r="E83" s="13">
        <f>SUM(E81,E82)</f>
        <v>0.33659999999999995</v>
      </c>
      <c r="F83" s="16">
        <f t="shared" ref="F83" si="80">SUM(F81,F82)</f>
        <v>0.33659999999999995</v>
      </c>
      <c r="G83" s="13">
        <f>SUM(G81,G82)</f>
        <v>0.33659999999999995</v>
      </c>
      <c r="H83" s="16">
        <f t="shared" ref="H83" si="81">SUM(H81,H82)</f>
        <v>0.33659999999999995</v>
      </c>
      <c r="I83" s="13">
        <f t="shared" ref="I83" si="82">SUM(I81,I82)</f>
        <v>0.33659999999999995</v>
      </c>
      <c r="J83" s="16">
        <f t="shared" ref="J83" si="83">SUM(J81,J82)</f>
        <v>0.33659999999999995</v>
      </c>
    </row>
    <row r="84" spans="1:10" ht="15.75" thickBot="1" x14ac:dyDescent="0.3">
      <c r="A84" s="33" t="s">
        <v>218</v>
      </c>
      <c r="B84" s="13">
        <f xml:space="preserve"> B80+B83</f>
        <v>0.90329999999999999</v>
      </c>
      <c r="C84" s="14"/>
      <c r="D84" s="15"/>
      <c r="E84" s="13">
        <f xml:space="preserve"> E80+E83</f>
        <v>1.1975304347826086</v>
      </c>
      <c r="F84" s="16">
        <f t="shared" ref="F84" si="84" xml:space="preserve"> F80+F83</f>
        <v>1.4034</v>
      </c>
      <c r="G84" s="13">
        <f xml:space="preserve"> G80+G83</f>
        <v>1.1975304347826086</v>
      </c>
      <c r="H84" s="16">
        <f t="shared" ref="H84" si="85" xml:space="preserve"> H80+H83</f>
        <v>1.4034</v>
      </c>
      <c r="I84" s="13">
        <f t="shared" ref="I84" si="86" xml:space="preserve"> I80+I83</f>
        <v>1.1975304347826086</v>
      </c>
      <c r="J84" s="16">
        <f xml:space="preserve"> J80+J83</f>
        <v>1.4034</v>
      </c>
    </row>
    <row r="85" spans="1:10" x14ac:dyDescent="0.25">
      <c r="A85" s="32" t="s">
        <v>4</v>
      </c>
      <c r="B85" s="17">
        <f>PRODUCT(B80,0.25)</f>
        <v>0.14832499999999998</v>
      </c>
      <c r="C85" s="18"/>
      <c r="D85" s="19"/>
      <c r="E85" s="17">
        <f>PRODUCT(E80,0.25)</f>
        <v>0.21523260869565217</v>
      </c>
      <c r="F85" s="20">
        <f>PRODUCT(F80,0.25)</f>
        <v>0.26669999999999999</v>
      </c>
      <c r="G85" s="17">
        <f>PRODUCT(G80,0.25)</f>
        <v>0.21523260869565217</v>
      </c>
      <c r="H85" s="20">
        <f t="shared" ref="H85:J85" si="87">PRODUCT(H80,0.25)</f>
        <v>0.26669999999999999</v>
      </c>
      <c r="I85" s="17">
        <f t="shared" si="87"/>
        <v>0.21523260869565217</v>
      </c>
      <c r="J85" s="20">
        <f t="shared" si="87"/>
        <v>0.26669999999999999</v>
      </c>
    </row>
    <row r="86" spans="1:10" ht="15.75" thickBot="1" x14ac:dyDescent="0.3">
      <c r="A86" s="32" t="s">
        <v>5</v>
      </c>
      <c r="B86" s="17">
        <f>PRODUCT(B83,0.25)</f>
        <v>7.7499999999999999E-2</v>
      </c>
      <c r="C86" s="18"/>
      <c r="D86" s="19"/>
      <c r="E86" s="17">
        <f>PRODUCT(E83,0.25)</f>
        <v>8.4149999999999989E-2</v>
      </c>
      <c r="F86" s="20">
        <f>PRODUCT(F83,0.25)</f>
        <v>8.4149999999999989E-2</v>
      </c>
      <c r="G86" s="17">
        <f t="shared" ref="G86:J86" si="88">PRODUCT(G83,0.25)</f>
        <v>8.4149999999999989E-2</v>
      </c>
      <c r="H86" s="20">
        <f t="shared" si="88"/>
        <v>8.4149999999999989E-2</v>
      </c>
      <c r="I86" s="17">
        <f t="shared" si="88"/>
        <v>8.4149999999999989E-2</v>
      </c>
      <c r="J86" s="20">
        <f t="shared" si="88"/>
        <v>8.4149999999999989E-2</v>
      </c>
    </row>
    <row r="87" spans="1:10" ht="15.75" thickBot="1" x14ac:dyDescent="0.3">
      <c r="A87" s="33" t="s">
        <v>6</v>
      </c>
      <c r="B87" s="13">
        <f t="shared" ref="B87" si="89">SUM(B85,B86)</f>
        <v>0.225825</v>
      </c>
      <c r="C87" s="14"/>
      <c r="D87" s="15"/>
      <c r="E87" s="13">
        <f t="shared" ref="E87:F87" si="90">SUM(E85,E86)</f>
        <v>0.29938260869565214</v>
      </c>
      <c r="F87" s="16">
        <f t="shared" si="90"/>
        <v>0.35085</v>
      </c>
      <c r="G87" s="13">
        <f t="shared" ref="G87:J87" si="91">SUM(G85,G86)</f>
        <v>0.29938260869565214</v>
      </c>
      <c r="H87" s="16">
        <f t="shared" si="91"/>
        <v>0.35085</v>
      </c>
      <c r="I87" s="13">
        <f t="shared" si="91"/>
        <v>0.29938260869565214</v>
      </c>
      <c r="J87" s="16">
        <f t="shared" si="91"/>
        <v>0.35085</v>
      </c>
    </row>
    <row r="88" spans="1:10" ht="15.75" thickBot="1" x14ac:dyDescent="0.3">
      <c r="A88" s="34" t="s">
        <v>51</v>
      </c>
      <c r="B88" s="148">
        <f>SUM(B84,B87)</f>
        <v>1.1291249999999999</v>
      </c>
      <c r="C88" s="149"/>
      <c r="D88" s="149"/>
      <c r="E88" s="148">
        <f>SUM(E84,E87)</f>
        <v>1.4969130434782607</v>
      </c>
      <c r="F88" s="150">
        <f t="shared" ref="F88" si="92">SUM(F84,F87)</f>
        <v>1.7542499999999999</v>
      </c>
      <c r="G88" s="148">
        <f>SUM(G84,G87)</f>
        <v>1.4969130434782607</v>
      </c>
      <c r="H88" s="150">
        <f t="shared" ref="H88" si="93">SUM(H84,H87)</f>
        <v>1.7542499999999999</v>
      </c>
      <c r="I88" s="148">
        <f t="shared" ref="I88" si="94">SUM(I84,I87)</f>
        <v>1.4969130434782607</v>
      </c>
      <c r="J88" s="150">
        <f t="shared" ref="J88" si="95">SUM(J84,J87)</f>
        <v>1.7542499999999999</v>
      </c>
    </row>
  </sheetData>
  <mergeCells count="17">
    <mergeCell ref="G77:H77"/>
    <mergeCell ref="I77:J77"/>
    <mergeCell ref="E7:F7"/>
    <mergeCell ref="E26:F26"/>
    <mergeCell ref="E45:F45"/>
    <mergeCell ref="E64:F64"/>
    <mergeCell ref="E77:F77"/>
    <mergeCell ref="G64:H64"/>
    <mergeCell ref="I64:J64"/>
    <mergeCell ref="G45:H45"/>
    <mergeCell ref="G7:H7"/>
    <mergeCell ref="I7:J7"/>
    <mergeCell ref="A2:J2"/>
    <mergeCell ref="A3:C3"/>
    <mergeCell ref="I45:J45"/>
    <mergeCell ref="G26:H26"/>
    <mergeCell ref="I26:J26"/>
  </mergeCells>
  <pageMargins left="0.7" right="0.7" top="0.75" bottom="0.75" header="0.3" footer="0.3"/>
  <pageSetup paperSize="9" orientation="portrait"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5" tint="0.39997558519241921"/>
  </sheetPr>
  <dimension ref="A1:AM92"/>
  <sheetViews>
    <sheetView topLeftCell="Z1" zoomScale="115" zoomScaleNormal="115" workbookViewId="0">
      <pane ySplit="4" topLeftCell="A5" activePane="bottomLeft" state="frozen"/>
      <selection pane="bottomLeft" activeCell="Q56" sqref="Q56"/>
    </sheetView>
  </sheetViews>
  <sheetFormatPr defaultColWidth="8.85546875" defaultRowHeight="15" x14ac:dyDescent="0.25"/>
  <cols>
    <col min="1" max="1" width="22.140625" style="40" customWidth="1"/>
    <col min="2" max="2" width="27.140625" style="40" bestFit="1" customWidth="1"/>
    <col min="3" max="3" width="29.28515625" style="40" bestFit="1" customWidth="1"/>
    <col min="4" max="9" width="13.28515625" style="40" customWidth="1"/>
    <col min="10" max="10" width="8.85546875" style="26"/>
    <col min="11" max="11" width="22.140625" style="40" customWidth="1"/>
    <col min="12" max="12" width="27.140625" style="40" bestFit="1" customWidth="1"/>
    <col min="13" max="13" width="29.28515625" style="40" bestFit="1" customWidth="1"/>
    <col min="14" max="19" width="13.28515625" style="40" customWidth="1"/>
    <col min="20" max="20" width="8.85546875" style="26"/>
    <col min="21" max="21" width="22.140625" style="40" customWidth="1"/>
    <col min="22" max="22" width="27.140625" style="40" bestFit="1" customWidth="1"/>
    <col min="23" max="23" width="29.28515625" style="40" bestFit="1" customWidth="1"/>
    <col min="24" max="29" width="13.28515625" style="40" customWidth="1"/>
    <col min="30" max="30" width="8.85546875" style="26"/>
    <col min="31" max="31" width="22.140625" style="26" customWidth="1"/>
    <col min="32" max="32" width="27.140625" style="26" customWidth="1"/>
    <col min="33" max="33" width="29.28515625" style="26" customWidth="1"/>
    <col min="34" max="39" width="13.28515625" style="26" customWidth="1"/>
    <col min="40" max="16384" width="8.85546875" style="26"/>
  </cols>
  <sheetData>
    <row r="1" spans="1:39" ht="18" x14ac:dyDescent="0.25">
      <c r="A1" s="121" t="s">
        <v>253</v>
      </c>
    </row>
    <row r="2" spans="1:39" ht="15.75" thickBot="1" x14ac:dyDescent="0.3"/>
    <row r="3" spans="1:39" s="318" customFormat="1" ht="25.9" customHeight="1" thickBot="1" x14ac:dyDescent="0.3">
      <c r="A3" s="1124" t="s">
        <v>67</v>
      </c>
      <c r="B3" s="1126" t="s">
        <v>226</v>
      </c>
      <c r="C3" s="1127"/>
      <c r="D3" s="1124" t="s">
        <v>64</v>
      </c>
      <c r="E3" s="1137"/>
      <c r="F3" s="1124" t="s">
        <v>65</v>
      </c>
      <c r="G3" s="1137"/>
      <c r="H3" s="1136" t="s">
        <v>66</v>
      </c>
      <c r="I3" s="1137"/>
      <c r="K3" s="1124" t="s">
        <v>67</v>
      </c>
      <c r="L3" s="1173" t="s">
        <v>237</v>
      </c>
      <c r="M3" s="1174"/>
      <c r="N3" s="1124" t="s">
        <v>64</v>
      </c>
      <c r="O3" s="1137"/>
      <c r="P3" s="1124" t="s">
        <v>65</v>
      </c>
      <c r="Q3" s="1137"/>
      <c r="R3" s="1136" t="s">
        <v>66</v>
      </c>
      <c r="S3" s="1137"/>
      <c r="U3" s="1124" t="s">
        <v>67</v>
      </c>
      <c r="V3" s="1173" t="s">
        <v>227</v>
      </c>
      <c r="W3" s="1174"/>
      <c r="X3" s="1124" t="s">
        <v>64</v>
      </c>
      <c r="Y3" s="1137"/>
      <c r="Z3" s="1124" t="s">
        <v>65</v>
      </c>
      <c r="AA3" s="1137"/>
      <c r="AB3" s="1136" t="s">
        <v>66</v>
      </c>
      <c r="AC3" s="1137"/>
      <c r="AE3" s="1124" t="s">
        <v>67</v>
      </c>
      <c r="AF3" s="1173" t="s">
        <v>238</v>
      </c>
      <c r="AG3" s="1174"/>
      <c r="AH3" s="1124" t="s">
        <v>64</v>
      </c>
      <c r="AI3" s="1137"/>
      <c r="AJ3" s="1124" t="s">
        <v>65</v>
      </c>
      <c r="AK3" s="1137"/>
      <c r="AL3" s="1136" t="s">
        <v>66</v>
      </c>
      <c r="AM3" s="1137"/>
    </row>
    <row r="4" spans="1:39" s="122" customFormat="1" ht="25.9" customHeight="1" thickBot="1" x14ac:dyDescent="0.25">
      <c r="A4" s="1125"/>
      <c r="B4" s="1128"/>
      <c r="C4" s="1129"/>
      <c r="D4" s="258">
        <v>2030</v>
      </c>
      <c r="E4" s="259">
        <v>2040</v>
      </c>
      <c r="F4" s="258">
        <v>2030</v>
      </c>
      <c r="G4" s="259">
        <v>2040</v>
      </c>
      <c r="H4" s="260">
        <v>2030</v>
      </c>
      <c r="I4" s="259">
        <v>2040</v>
      </c>
      <c r="K4" s="1125"/>
      <c r="L4" s="1175"/>
      <c r="M4" s="1176"/>
      <c r="N4" s="258">
        <v>2030</v>
      </c>
      <c r="O4" s="259">
        <v>2040</v>
      </c>
      <c r="P4" s="258">
        <v>2030</v>
      </c>
      <c r="Q4" s="259">
        <v>2040</v>
      </c>
      <c r="R4" s="260">
        <v>2030</v>
      </c>
      <c r="S4" s="259">
        <v>2040</v>
      </c>
      <c r="U4" s="1125"/>
      <c r="V4" s="1175"/>
      <c r="W4" s="1176"/>
      <c r="X4" s="258">
        <v>2030</v>
      </c>
      <c r="Y4" s="259">
        <v>2040</v>
      </c>
      <c r="Z4" s="258">
        <v>2030</v>
      </c>
      <c r="AA4" s="259">
        <v>2040</v>
      </c>
      <c r="AB4" s="260">
        <v>2030</v>
      </c>
      <c r="AC4" s="259">
        <v>2040</v>
      </c>
      <c r="AE4" s="1125"/>
      <c r="AF4" s="1175"/>
      <c r="AG4" s="1176"/>
      <c r="AH4" s="258">
        <v>2030</v>
      </c>
      <c r="AI4" s="259">
        <v>2040</v>
      </c>
      <c r="AJ4" s="258">
        <v>2030</v>
      </c>
      <c r="AK4" s="259">
        <v>2040</v>
      </c>
      <c r="AL4" s="260">
        <v>2030</v>
      </c>
      <c r="AM4" s="259">
        <v>2040</v>
      </c>
    </row>
    <row r="5" spans="1:39" ht="15.75" thickBot="1" x14ac:dyDescent="0.3">
      <c r="A5" s="42" t="s">
        <v>79</v>
      </c>
      <c r="D5" s="194"/>
      <c r="E5" s="194"/>
      <c r="F5" s="194"/>
      <c r="G5" s="194"/>
      <c r="H5" s="194"/>
      <c r="I5" s="194"/>
      <c r="K5" s="42" t="s">
        <v>239</v>
      </c>
      <c r="N5" s="194"/>
      <c r="O5" s="194"/>
      <c r="P5" s="194"/>
      <c r="Q5" s="194"/>
      <c r="R5" s="194"/>
      <c r="S5" s="194"/>
      <c r="U5" s="42" t="s">
        <v>89</v>
      </c>
      <c r="X5" s="194"/>
      <c r="Y5" s="194"/>
      <c r="Z5" s="194"/>
      <c r="AA5" s="194"/>
      <c r="AB5" s="194"/>
      <c r="AC5" s="194"/>
      <c r="AE5" s="42" t="s">
        <v>153</v>
      </c>
      <c r="AF5" s="40"/>
      <c r="AG5" s="40"/>
      <c r="AH5" s="194"/>
      <c r="AI5" s="194"/>
      <c r="AJ5" s="194"/>
      <c r="AK5" s="194"/>
      <c r="AL5" s="194"/>
      <c r="AM5" s="194"/>
    </row>
    <row r="6" spans="1:39" x14ac:dyDescent="0.25">
      <c r="A6" s="1133" t="s">
        <v>0</v>
      </c>
      <c r="B6" s="128" t="s">
        <v>8</v>
      </c>
      <c r="C6" s="128" t="s">
        <v>209</v>
      </c>
      <c r="D6" s="195">
        <f>Indata!D32</f>
        <v>17.911754192557677</v>
      </c>
      <c r="E6" s="196">
        <f>Indata!E32</f>
        <v>21.293751803814949</v>
      </c>
      <c r="F6" s="195">
        <f>Indata!F32</f>
        <v>17.911754192557677</v>
      </c>
      <c r="G6" s="196">
        <f>Indata!G32</f>
        <v>21.293751803814949</v>
      </c>
      <c r="H6" s="197">
        <f>Indata!H32</f>
        <v>17.911754192557677</v>
      </c>
      <c r="I6" s="196">
        <f>Indata!I32</f>
        <v>21.293751803814949</v>
      </c>
      <c r="K6" s="1133" t="s">
        <v>0</v>
      </c>
      <c r="L6" s="128" t="s">
        <v>8</v>
      </c>
      <c r="M6" s="128" t="s">
        <v>209</v>
      </c>
      <c r="N6" s="195">
        <f>'Modell - Drivmedelpriser'!E24</f>
        <v>17.911754192557677</v>
      </c>
      <c r="O6" s="196">
        <f>'Modell - Drivmedelpriser'!F24</f>
        <v>21.293751803814949</v>
      </c>
      <c r="P6" s="195">
        <f>'Modell - Drivmedelpriser'!G24</f>
        <v>17.911754192557677</v>
      </c>
      <c r="Q6" s="196">
        <f>'Modell - Drivmedelpriser'!H24</f>
        <v>21.293751803814949</v>
      </c>
      <c r="R6" s="197">
        <f>'Modell - Drivmedelpriser'!I24</f>
        <v>17.911754192557677</v>
      </c>
      <c r="S6" s="196">
        <f>'Modell - Drivmedelpriser'!J24</f>
        <v>21.293751803814949</v>
      </c>
      <c r="U6" s="1133" t="s">
        <v>0</v>
      </c>
      <c r="V6" s="128" t="s">
        <v>8</v>
      </c>
      <c r="W6" s="128" t="s">
        <v>209</v>
      </c>
      <c r="X6" s="195">
        <f>N6</f>
        <v>17.911754192557677</v>
      </c>
      <c r="Y6" s="196">
        <f t="shared" ref="Y6:Y8" si="0">O6</f>
        <v>21.293751803814949</v>
      </c>
      <c r="Z6" s="195">
        <f t="shared" ref="Z6:Z8" si="1">P6</f>
        <v>17.911754192557677</v>
      </c>
      <c r="AA6" s="196">
        <f t="shared" ref="AA6:AA8" si="2">Q6</f>
        <v>21.293751803814949</v>
      </c>
      <c r="AB6" s="197">
        <f t="shared" ref="AB6:AB8" si="3">R6</f>
        <v>17.911754192557677</v>
      </c>
      <c r="AC6" s="196">
        <f t="shared" ref="AC6:AC8" si="4">S6</f>
        <v>21.293751803814949</v>
      </c>
      <c r="AE6" s="1133" t="s">
        <v>0</v>
      </c>
      <c r="AF6" s="128" t="s">
        <v>8</v>
      </c>
      <c r="AG6" s="128" t="s">
        <v>209</v>
      </c>
      <c r="AH6" s="195">
        <f>X6</f>
        <v>17.911754192557677</v>
      </c>
      <c r="AI6" s="196">
        <f t="shared" ref="AI6:AI8" si="5">Y6</f>
        <v>21.293751803814949</v>
      </c>
      <c r="AJ6" s="195">
        <f t="shared" ref="AJ6:AJ8" si="6">Z6</f>
        <v>17.911754192557677</v>
      </c>
      <c r="AK6" s="196">
        <f t="shared" ref="AK6:AK8" si="7">AA6</f>
        <v>21.293751803814949</v>
      </c>
      <c r="AL6" s="197">
        <f t="shared" ref="AL6:AL8" si="8">AB6</f>
        <v>17.911754192557677</v>
      </c>
      <c r="AM6" s="196">
        <f t="shared" ref="AM6:AM8" si="9">AC6</f>
        <v>21.293751803814949</v>
      </c>
    </row>
    <row r="7" spans="1:39" x14ac:dyDescent="0.25">
      <c r="A7" s="1134"/>
      <c r="B7" s="129" t="s">
        <v>9</v>
      </c>
      <c r="C7" s="129" t="s">
        <v>209</v>
      </c>
      <c r="D7" s="198">
        <f>Indata!D33</f>
        <v>19.069168234099362</v>
      </c>
      <c r="E7" s="199">
        <f>Indata!E33</f>
        <v>22.557131724953557</v>
      </c>
      <c r="F7" s="198">
        <f>Indata!F33</f>
        <v>19.069168234099362</v>
      </c>
      <c r="G7" s="199">
        <f>Indata!G33</f>
        <v>22.557131724953557</v>
      </c>
      <c r="H7" s="200">
        <f>Indata!H33</f>
        <v>19.069168234099362</v>
      </c>
      <c r="I7" s="199">
        <f>Indata!I33</f>
        <v>22.557131724953557</v>
      </c>
      <c r="K7" s="1134"/>
      <c r="L7" s="129" t="s">
        <v>9</v>
      </c>
      <c r="M7" s="129" t="s">
        <v>209</v>
      </c>
      <c r="N7" s="198">
        <f>'Modell - Drivmedelpriser'!E43</f>
        <v>19.069168234099362</v>
      </c>
      <c r="O7" s="199">
        <f>'Modell - Drivmedelpriser'!F43</f>
        <v>22.557131724953557</v>
      </c>
      <c r="P7" s="198">
        <f>'Modell - Drivmedelpriser'!G43</f>
        <v>19.069168234099362</v>
      </c>
      <c r="Q7" s="199">
        <f>'Modell - Drivmedelpriser'!H43</f>
        <v>22.557131724953557</v>
      </c>
      <c r="R7" s="200">
        <f>'Modell - Drivmedelpriser'!I43</f>
        <v>19.069168234099362</v>
      </c>
      <c r="S7" s="199">
        <f>'Modell - Drivmedelpriser'!J43</f>
        <v>22.557131724953557</v>
      </c>
      <c r="U7" s="1134"/>
      <c r="V7" s="129" t="s">
        <v>9</v>
      </c>
      <c r="W7" s="129" t="s">
        <v>209</v>
      </c>
      <c r="X7" s="198">
        <f t="shared" ref="X7:X8" si="10">N7</f>
        <v>19.069168234099362</v>
      </c>
      <c r="Y7" s="199">
        <f t="shared" si="0"/>
        <v>22.557131724953557</v>
      </c>
      <c r="Z7" s="198">
        <f t="shared" si="1"/>
        <v>19.069168234099362</v>
      </c>
      <c r="AA7" s="199">
        <f t="shared" si="2"/>
        <v>22.557131724953557</v>
      </c>
      <c r="AB7" s="200">
        <f t="shared" si="3"/>
        <v>19.069168234099362</v>
      </c>
      <c r="AC7" s="199">
        <f t="shared" si="4"/>
        <v>22.557131724953557</v>
      </c>
      <c r="AE7" s="1134"/>
      <c r="AF7" s="129" t="s">
        <v>9</v>
      </c>
      <c r="AG7" s="129" t="s">
        <v>209</v>
      </c>
      <c r="AH7" s="198">
        <f t="shared" ref="AH7:AH8" si="11">X7</f>
        <v>19.069168234099362</v>
      </c>
      <c r="AI7" s="199">
        <f t="shared" si="5"/>
        <v>22.557131724953557</v>
      </c>
      <c r="AJ7" s="198">
        <f t="shared" si="6"/>
        <v>19.069168234099362</v>
      </c>
      <c r="AK7" s="199">
        <f t="shared" si="7"/>
        <v>22.557131724953557</v>
      </c>
      <c r="AL7" s="200">
        <f t="shared" si="8"/>
        <v>19.069168234099362</v>
      </c>
      <c r="AM7" s="199">
        <f t="shared" si="9"/>
        <v>22.557131724953557</v>
      </c>
    </row>
    <row r="8" spans="1:39" x14ac:dyDescent="0.25">
      <c r="A8" s="1134"/>
      <c r="B8" s="129" t="s">
        <v>7</v>
      </c>
      <c r="C8" s="129" t="s">
        <v>186</v>
      </c>
      <c r="D8" s="198">
        <f>Indata!D34</f>
        <v>3.4709076086956521</v>
      </c>
      <c r="E8" s="199">
        <f>Indata!E34</f>
        <v>4.1598749999999995</v>
      </c>
      <c r="F8" s="198">
        <f>Indata!F34</f>
        <v>3.4709076086956521</v>
      </c>
      <c r="G8" s="199">
        <f>Indata!G34</f>
        <v>4.1598749999999995</v>
      </c>
      <c r="H8" s="200">
        <f>Indata!H34</f>
        <v>3.4709076086956521</v>
      </c>
      <c r="I8" s="199">
        <f>Indata!I34</f>
        <v>4.1598749999999995</v>
      </c>
      <c r="K8" s="1134"/>
      <c r="L8" s="129" t="s">
        <v>7</v>
      </c>
      <c r="M8" s="129" t="s">
        <v>186</v>
      </c>
      <c r="N8" s="198">
        <f>'Modell - Drivmedelpriser'!E75</f>
        <v>3.4709076086956521</v>
      </c>
      <c r="O8" s="199">
        <f>'Modell - Drivmedelpriser'!F75</f>
        <v>4.1598749999999995</v>
      </c>
      <c r="P8" s="198">
        <f>'Modell - Drivmedelpriser'!G75</f>
        <v>3.4709076086956521</v>
      </c>
      <c r="Q8" s="199">
        <f>'Modell - Drivmedelpriser'!H75</f>
        <v>4.1598749999999995</v>
      </c>
      <c r="R8" s="200">
        <f>'Modell - Drivmedelpriser'!I75</f>
        <v>3.4709076086956521</v>
      </c>
      <c r="S8" s="199">
        <f>'Modell - Drivmedelpriser'!J75</f>
        <v>4.1598749999999995</v>
      </c>
      <c r="U8" s="1134"/>
      <c r="V8" s="129" t="s">
        <v>7</v>
      </c>
      <c r="W8" s="129" t="s">
        <v>186</v>
      </c>
      <c r="X8" s="198">
        <f t="shared" si="10"/>
        <v>3.4709076086956521</v>
      </c>
      <c r="Y8" s="199">
        <f t="shared" si="0"/>
        <v>4.1598749999999995</v>
      </c>
      <c r="Z8" s="198">
        <f t="shared" si="1"/>
        <v>3.4709076086956521</v>
      </c>
      <c r="AA8" s="199">
        <f t="shared" si="2"/>
        <v>4.1598749999999995</v>
      </c>
      <c r="AB8" s="200">
        <f t="shared" si="3"/>
        <v>3.4709076086956521</v>
      </c>
      <c r="AC8" s="199">
        <f t="shared" si="4"/>
        <v>4.1598749999999995</v>
      </c>
      <c r="AE8" s="1134"/>
      <c r="AF8" s="129" t="s">
        <v>7</v>
      </c>
      <c r="AG8" s="129" t="s">
        <v>186</v>
      </c>
      <c r="AH8" s="198">
        <f t="shared" si="11"/>
        <v>3.4709076086956521</v>
      </c>
      <c r="AI8" s="199">
        <f t="shared" si="5"/>
        <v>4.1598749999999995</v>
      </c>
      <c r="AJ8" s="198">
        <f t="shared" si="6"/>
        <v>3.4709076086956521</v>
      </c>
      <c r="AK8" s="199">
        <f t="shared" si="7"/>
        <v>4.1598749999999995</v>
      </c>
      <c r="AL8" s="200">
        <f t="shared" si="8"/>
        <v>3.4709076086956521</v>
      </c>
      <c r="AM8" s="199">
        <f t="shared" si="9"/>
        <v>4.1598749999999995</v>
      </c>
    </row>
    <row r="9" spans="1:39" s="296" customFormat="1" x14ac:dyDescent="0.25">
      <c r="A9" s="1134"/>
      <c r="B9" s="180" t="s">
        <v>20</v>
      </c>
      <c r="C9" s="180" t="s">
        <v>209</v>
      </c>
      <c r="D9" s="191">
        <f>Indata!D35</f>
        <v>18.509834334093423</v>
      </c>
      <c r="E9" s="192">
        <f>Indata!E35</f>
        <v>21.927924171466245</v>
      </c>
      <c r="F9" s="191">
        <f>Indata!F35</f>
        <v>18.509834334093423</v>
      </c>
      <c r="G9" s="192">
        <f>Indata!G35</f>
        <v>21.927924171466245</v>
      </c>
      <c r="H9" s="193">
        <f>Indata!H35</f>
        <v>18.509834334093423</v>
      </c>
      <c r="I9" s="192">
        <f>Indata!I35</f>
        <v>21.927924171466245</v>
      </c>
      <c r="K9" s="1134"/>
      <c r="L9" s="180" t="s">
        <v>20</v>
      </c>
      <c r="M9" s="180" t="s">
        <v>209</v>
      </c>
      <c r="N9" s="301">
        <f>SUMPRODUCT(N6:N7,D18:D19)/SUM(D18:D19)</f>
        <v>18.509834334093423</v>
      </c>
      <c r="O9" s="302">
        <f t="shared" ref="O9:S9" si="12">SUMPRODUCT(O6:O7,E18:E19)/SUM(E18:E19)</f>
        <v>21.927924171466245</v>
      </c>
      <c r="P9" s="301">
        <f t="shared" si="12"/>
        <v>18.509834334093423</v>
      </c>
      <c r="Q9" s="302">
        <f t="shared" si="12"/>
        <v>21.927924171466245</v>
      </c>
      <c r="R9" s="303">
        <f t="shared" si="12"/>
        <v>18.509834334093423</v>
      </c>
      <c r="S9" s="302">
        <f t="shared" si="12"/>
        <v>21.927924171466245</v>
      </c>
      <c r="U9" s="1134"/>
      <c r="V9" s="180" t="s">
        <v>20</v>
      </c>
      <c r="W9" s="180" t="s">
        <v>209</v>
      </c>
      <c r="X9" s="191">
        <f>SUMPRODUCT(X6:X7,X18:X19)/SUM(X18:X19)</f>
        <v>18.509834334093423</v>
      </c>
      <c r="Y9" s="192">
        <f t="shared" ref="Y9:AC9" si="13">SUMPRODUCT(Y6:Y7,Y18:Y19)/SUM(Y18:Y19)</f>
        <v>21.927924171466245</v>
      </c>
      <c r="Z9" s="191">
        <f t="shared" si="13"/>
        <v>18.509834334093423</v>
      </c>
      <c r="AA9" s="192">
        <f t="shared" si="13"/>
        <v>21.927924171466245</v>
      </c>
      <c r="AB9" s="193">
        <f t="shared" si="13"/>
        <v>18.509834334093423</v>
      </c>
      <c r="AC9" s="192">
        <f t="shared" si="13"/>
        <v>21.927924171466245</v>
      </c>
      <c r="AE9" s="1134"/>
      <c r="AF9" s="180" t="s">
        <v>20</v>
      </c>
      <c r="AG9" s="180" t="s">
        <v>209</v>
      </c>
      <c r="AH9" s="191">
        <f>SUMPRODUCT(AH6:AH7,AH18:AH19)/SUM(AH18:AH19)</f>
        <v>18.509834334093423</v>
      </c>
      <c r="AI9" s="192">
        <f t="shared" ref="AI9:AM9" si="14">SUMPRODUCT(AI6:AI7,AI18:AI19)/SUM(AI18:AI19)</f>
        <v>21.927924171466245</v>
      </c>
      <c r="AJ9" s="191">
        <f t="shared" si="14"/>
        <v>18.509834334093423</v>
      </c>
      <c r="AK9" s="192">
        <f t="shared" si="14"/>
        <v>21.927924171466245</v>
      </c>
      <c r="AL9" s="193">
        <f t="shared" si="14"/>
        <v>18.509834334093423</v>
      </c>
      <c r="AM9" s="192">
        <f t="shared" si="14"/>
        <v>21.927924171466245</v>
      </c>
    </row>
    <row r="10" spans="1:39" ht="15.75" thickBot="1" x14ac:dyDescent="0.3">
      <c r="A10" s="1135"/>
      <c r="B10" s="181" t="s">
        <v>234</v>
      </c>
      <c r="C10" s="181" t="s">
        <v>25</v>
      </c>
      <c r="D10" s="217" t="s">
        <v>78</v>
      </c>
      <c r="E10" s="218" t="s">
        <v>78</v>
      </c>
      <c r="F10" s="217" t="s">
        <v>78</v>
      </c>
      <c r="G10" s="218" t="s">
        <v>78</v>
      </c>
      <c r="H10" s="219" t="s">
        <v>78</v>
      </c>
      <c r="I10" s="218" t="s">
        <v>78</v>
      </c>
      <c r="K10" s="1135"/>
      <c r="L10" s="181" t="s">
        <v>234</v>
      </c>
      <c r="M10" s="181" t="s">
        <v>25</v>
      </c>
      <c r="N10" s="217">
        <f t="shared" ref="N10:S10" si="15">N9/D9-1</f>
        <v>0</v>
      </c>
      <c r="O10" s="218">
        <f t="shared" si="15"/>
        <v>0</v>
      </c>
      <c r="P10" s="217">
        <f>P9/F9-1</f>
        <v>0</v>
      </c>
      <c r="Q10" s="218">
        <f t="shared" si="15"/>
        <v>0</v>
      </c>
      <c r="R10" s="219">
        <f t="shared" si="15"/>
        <v>0</v>
      </c>
      <c r="S10" s="218">
        <f t="shared" si="15"/>
        <v>0</v>
      </c>
      <c r="U10" s="1135"/>
      <c r="V10" s="181" t="s">
        <v>234</v>
      </c>
      <c r="W10" s="181" t="s">
        <v>25</v>
      </c>
      <c r="X10" s="217">
        <f>X9/D9-1</f>
        <v>0</v>
      </c>
      <c r="Y10" s="218">
        <f t="shared" ref="Y10:AC10" si="16">Y9/E9-1</f>
        <v>0</v>
      </c>
      <c r="Z10" s="217">
        <f t="shared" si="16"/>
        <v>0</v>
      </c>
      <c r="AA10" s="218">
        <f t="shared" si="16"/>
        <v>0</v>
      </c>
      <c r="AB10" s="219">
        <f t="shared" si="16"/>
        <v>0</v>
      </c>
      <c r="AC10" s="218">
        <f t="shared" si="16"/>
        <v>0</v>
      </c>
      <c r="AE10" s="1135"/>
      <c r="AF10" s="181" t="s">
        <v>234</v>
      </c>
      <c r="AG10" s="181" t="s">
        <v>25</v>
      </c>
      <c r="AH10" s="217">
        <f>AH9/D9-1</f>
        <v>0</v>
      </c>
      <c r="AI10" s="218">
        <f t="shared" ref="AI10:AM10" si="17">AI9/E9-1</f>
        <v>0</v>
      </c>
      <c r="AJ10" s="217">
        <f t="shared" si="17"/>
        <v>0</v>
      </c>
      <c r="AK10" s="218">
        <f t="shared" si="17"/>
        <v>0</v>
      </c>
      <c r="AL10" s="219">
        <f t="shared" si="17"/>
        <v>0</v>
      </c>
      <c r="AM10" s="218">
        <f t="shared" si="17"/>
        <v>0</v>
      </c>
    </row>
    <row r="11" spans="1:39" x14ac:dyDescent="0.25">
      <c r="D11" s="78"/>
      <c r="E11" s="78"/>
      <c r="F11" s="78"/>
      <c r="G11" s="78"/>
      <c r="H11" s="78"/>
      <c r="I11" s="78"/>
      <c r="N11" s="78"/>
      <c r="O11" s="78"/>
      <c r="P11" s="78"/>
      <c r="Q11" s="78"/>
      <c r="R11" s="78"/>
      <c r="S11" s="78"/>
      <c r="X11" s="78"/>
      <c r="Y11" s="78"/>
      <c r="Z11" s="78"/>
      <c r="AA11" s="78"/>
      <c r="AB11" s="78"/>
      <c r="AC11" s="78"/>
      <c r="AE11" s="40"/>
      <c r="AF11" s="40"/>
      <c r="AG11" s="40"/>
      <c r="AH11" s="78"/>
      <c r="AI11" s="78"/>
      <c r="AJ11" s="78"/>
      <c r="AK11" s="78"/>
      <c r="AL11" s="78"/>
      <c r="AM11" s="78"/>
    </row>
    <row r="12" spans="1:39" ht="15.75" thickBot="1" x14ac:dyDescent="0.3">
      <c r="A12" s="42" t="s">
        <v>80</v>
      </c>
      <c r="D12" s="194"/>
      <c r="E12" s="194"/>
      <c r="F12" s="194"/>
      <c r="G12" s="194"/>
      <c r="H12" s="194"/>
      <c r="I12" s="194"/>
      <c r="K12" s="42" t="s">
        <v>228</v>
      </c>
      <c r="N12" s="194"/>
      <c r="O12" s="194"/>
      <c r="P12" s="194"/>
      <c r="Q12" s="194"/>
      <c r="R12" s="194"/>
      <c r="S12" s="194"/>
      <c r="U12" s="42" t="s">
        <v>90</v>
      </c>
      <c r="X12" s="194"/>
      <c r="Y12" s="194"/>
      <c r="Z12" s="194"/>
      <c r="AA12" s="194"/>
      <c r="AB12" s="194"/>
      <c r="AC12" s="194"/>
      <c r="AE12" s="42" t="s">
        <v>154</v>
      </c>
      <c r="AF12" s="40"/>
      <c r="AG12" s="40"/>
      <c r="AH12" s="194"/>
      <c r="AI12" s="194"/>
      <c r="AJ12" s="194"/>
      <c r="AK12" s="194"/>
      <c r="AL12" s="194"/>
      <c r="AM12" s="194"/>
    </row>
    <row r="13" spans="1:39" ht="14.45" customHeight="1" x14ac:dyDescent="0.25">
      <c r="A13" s="1133" t="s">
        <v>38</v>
      </c>
      <c r="B13" s="128" t="s">
        <v>8</v>
      </c>
      <c r="C13" s="128" t="s">
        <v>39</v>
      </c>
      <c r="D13" s="195">
        <f>Indata!D29</f>
        <v>0.60765334265455651</v>
      </c>
      <c r="E13" s="220">
        <f>Indata!E29</f>
        <v>0.49219920755019081</v>
      </c>
      <c r="F13" s="195">
        <f>Indata!F29</f>
        <v>0.60765334265455651</v>
      </c>
      <c r="G13" s="196">
        <f>Indata!G29</f>
        <v>0.49219920755019081</v>
      </c>
      <c r="H13" s="197">
        <f>Indata!H29</f>
        <v>0.60765334265455651</v>
      </c>
      <c r="I13" s="196">
        <f>Indata!I29</f>
        <v>0.49219920755019081</v>
      </c>
      <c r="K13" s="1133" t="s">
        <v>38</v>
      </c>
      <c r="L13" s="128" t="s">
        <v>8</v>
      </c>
      <c r="M13" s="128" t="s">
        <v>39</v>
      </c>
      <c r="N13" s="195">
        <f>D13*(100%+N$10*'Indata - Effektsamband-Faktorer'!$D$5)*(1-Indata!D$19)</f>
        <v>0.60765334265455651</v>
      </c>
      <c r="O13" s="220">
        <f>E13*(100%+O$10*'Indata - Effektsamband-Faktorer'!$E$5)*(1-Indata!E$19)</f>
        <v>0.49219920755019081</v>
      </c>
      <c r="P13" s="195">
        <f>F13*(100%+P$10*'Indata - Effektsamband-Faktorer'!$D$5)*(1-Indata!F$19)</f>
        <v>0.60765334265455651</v>
      </c>
      <c r="Q13" s="196">
        <f>G13*(100%+Q$10*'Indata - Effektsamband-Faktorer'!$E$5)*(1-Indata!G$19)</f>
        <v>0.49219920755019081</v>
      </c>
      <c r="R13" s="197">
        <f>H13*(100%+R$10*'Indata - Effektsamband-Faktorer'!$D$5)*(1-Indata!H$19)</f>
        <v>0.60765334265455651</v>
      </c>
      <c r="S13" s="196">
        <f>I13*(100%+S$10*'Indata - Effektsamband-Faktorer'!$E$5)*(1-Indata!I$19)</f>
        <v>0.49219920755019081</v>
      </c>
      <c r="U13" s="1133" t="s">
        <v>38</v>
      </c>
      <c r="V13" s="128" t="s">
        <v>8</v>
      </c>
      <c r="W13" s="128" t="s">
        <v>39</v>
      </c>
      <c r="X13" s="195">
        <f>N13</f>
        <v>0.60765334265455651</v>
      </c>
      <c r="Y13" s="220">
        <f t="shared" ref="Y13:Y15" si="18">O13</f>
        <v>0.49219920755019081</v>
      </c>
      <c r="Z13" s="195">
        <f t="shared" ref="Z13:Z15" si="19">P13</f>
        <v>0.60765334265455651</v>
      </c>
      <c r="AA13" s="196">
        <f t="shared" ref="AA13:AA15" si="20">Q13</f>
        <v>0.49219920755019081</v>
      </c>
      <c r="AB13" s="197">
        <f t="shared" ref="AB13:AB15" si="21">R13</f>
        <v>0.60765334265455651</v>
      </c>
      <c r="AC13" s="196">
        <f t="shared" ref="AC13:AC15" si="22">S13</f>
        <v>0.49219920755019081</v>
      </c>
      <c r="AE13" s="1133" t="s">
        <v>38</v>
      </c>
      <c r="AF13" s="128" t="s">
        <v>8</v>
      </c>
      <c r="AG13" s="128" t="s">
        <v>39</v>
      </c>
      <c r="AH13" s="195">
        <f>X13</f>
        <v>0.60765334265455651</v>
      </c>
      <c r="AI13" s="220">
        <f t="shared" ref="AI13:AI15" si="23">Y13</f>
        <v>0.49219920755019081</v>
      </c>
      <c r="AJ13" s="195">
        <f t="shared" ref="AJ13:AJ15" si="24">Z13</f>
        <v>0.60765334265455651</v>
      </c>
      <c r="AK13" s="196">
        <f t="shared" ref="AK13:AK15" si="25">AA13</f>
        <v>0.49219920755019081</v>
      </c>
      <c r="AL13" s="197">
        <f t="shared" ref="AL13:AL15" si="26">AB13</f>
        <v>0.60765334265455651</v>
      </c>
      <c r="AM13" s="196">
        <f t="shared" ref="AM13:AM15" si="27">AC13</f>
        <v>0.49219920755019081</v>
      </c>
    </row>
    <row r="14" spans="1:39" x14ac:dyDescent="0.25">
      <c r="A14" s="1134"/>
      <c r="B14" s="129" t="s">
        <v>9</v>
      </c>
      <c r="C14" s="129" t="s">
        <v>39</v>
      </c>
      <c r="D14" s="198">
        <f>Indata!D30</f>
        <v>0.60691454404542722</v>
      </c>
      <c r="E14" s="221">
        <f>Indata!E30</f>
        <v>0.49160078067679608</v>
      </c>
      <c r="F14" s="198">
        <f>Indata!F30</f>
        <v>0.60691454404542722</v>
      </c>
      <c r="G14" s="199">
        <f>Indata!G30</f>
        <v>0.49160078067679608</v>
      </c>
      <c r="H14" s="200">
        <f>Indata!H30</f>
        <v>0.60691454404542722</v>
      </c>
      <c r="I14" s="199">
        <f>Indata!I30</f>
        <v>0.49160078067679608</v>
      </c>
      <c r="K14" s="1134"/>
      <c r="L14" s="129" t="s">
        <v>9</v>
      </c>
      <c r="M14" s="129" t="s">
        <v>39</v>
      </c>
      <c r="N14" s="198">
        <f>D14*(100%+N$10*'Indata - Effektsamband-Faktorer'!$D$5)*(1-Indata!D$19)</f>
        <v>0.60691454404542722</v>
      </c>
      <c r="O14" s="221">
        <f>E14*(100%+O$10*'Indata - Effektsamband-Faktorer'!$E$5)*(1-Indata!E$19)</f>
        <v>0.49160078067679608</v>
      </c>
      <c r="P14" s="198">
        <f>F14*(100%+P$10*'Indata - Effektsamband-Faktorer'!$D$5)*(1-Indata!F$19)</f>
        <v>0.60691454404542722</v>
      </c>
      <c r="Q14" s="199">
        <f>G14*(100%+Q$10*'Indata - Effektsamband-Faktorer'!$E$5)*(1-Indata!G$19)</f>
        <v>0.49160078067679608</v>
      </c>
      <c r="R14" s="200">
        <f>H14*(100%+R$10*'Indata - Effektsamband-Faktorer'!$D$5)*(1-Indata!H$19)</f>
        <v>0.60691454404542722</v>
      </c>
      <c r="S14" s="199">
        <f>I14*(100%+S$10*'Indata - Effektsamband-Faktorer'!$E$5)*(1-Indata!I$19)</f>
        <v>0.49160078067679608</v>
      </c>
      <c r="U14" s="1134"/>
      <c r="V14" s="129" t="s">
        <v>9</v>
      </c>
      <c r="W14" s="129" t="s">
        <v>39</v>
      </c>
      <c r="X14" s="198">
        <f t="shared" ref="X14:X15" si="28">N14</f>
        <v>0.60691454404542722</v>
      </c>
      <c r="Y14" s="221">
        <f t="shared" si="18"/>
        <v>0.49160078067679608</v>
      </c>
      <c r="Z14" s="198">
        <f t="shared" si="19"/>
        <v>0.60691454404542722</v>
      </c>
      <c r="AA14" s="199">
        <f t="shared" si="20"/>
        <v>0.49160078067679608</v>
      </c>
      <c r="AB14" s="200">
        <f t="shared" si="21"/>
        <v>0.60691454404542722</v>
      </c>
      <c r="AC14" s="199">
        <f t="shared" si="22"/>
        <v>0.49160078067679608</v>
      </c>
      <c r="AE14" s="1134"/>
      <c r="AF14" s="129" t="s">
        <v>9</v>
      </c>
      <c r="AG14" s="129" t="s">
        <v>39</v>
      </c>
      <c r="AH14" s="198">
        <f t="shared" ref="AH14:AH15" si="29">X14</f>
        <v>0.60691454404542722</v>
      </c>
      <c r="AI14" s="221">
        <f t="shared" si="23"/>
        <v>0.49160078067679608</v>
      </c>
      <c r="AJ14" s="198">
        <f t="shared" si="24"/>
        <v>0.60691454404542722</v>
      </c>
      <c r="AK14" s="199">
        <f t="shared" si="25"/>
        <v>0.49160078067679608</v>
      </c>
      <c r="AL14" s="200">
        <f t="shared" si="26"/>
        <v>0.60691454404542722</v>
      </c>
      <c r="AM14" s="199">
        <f t="shared" si="27"/>
        <v>0.49160078067679608</v>
      </c>
    </row>
    <row r="15" spans="1:39" ht="15.75" thickBot="1" x14ac:dyDescent="0.3">
      <c r="A15" s="1135"/>
      <c r="B15" s="130" t="s">
        <v>7</v>
      </c>
      <c r="C15" s="130" t="s">
        <v>40</v>
      </c>
      <c r="D15" s="222">
        <f>Indata!D31</f>
        <v>1.6150000000000002</v>
      </c>
      <c r="E15" s="223">
        <f>Indata!E31</f>
        <v>1.6150000000000002</v>
      </c>
      <c r="F15" s="222">
        <f>Indata!F31</f>
        <v>1.6150000000000002</v>
      </c>
      <c r="G15" s="224">
        <f>Indata!G31</f>
        <v>1.6150000000000002</v>
      </c>
      <c r="H15" s="225">
        <f>Indata!H31</f>
        <v>1.6150000000000002</v>
      </c>
      <c r="I15" s="224">
        <f>Indata!I31</f>
        <v>1.6150000000000002</v>
      </c>
      <c r="K15" s="1135"/>
      <c r="L15" s="130" t="s">
        <v>7</v>
      </c>
      <c r="M15" s="130" t="s">
        <v>40</v>
      </c>
      <c r="N15" s="222">
        <f>D15*(1-Indata!D$19)</f>
        <v>1.6150000000000002</v>
      </c>
      <c r="O15" s="223">
        <f>E15*(1-Indata!E$19)</f>
        <v>1.6150000000000002</v>
      </c>
      <c r="P15" s="222">
        <f>F15*(1-Indata!F$19)</f>
        <v>1.6150000000000002</v>
      </c>
      <c r="Q15" s="224">
        <f>G15*(1-Indata!G$19)</f>
        <v>1.6150000000000002</v>
      </c>
      <c r="R15" s="225">
        <f>H15*(1-Indata!H$19)</f>
        <v>1.6150000000000002</v>
      </c>
      <c r="S15" s="224">
        <f>I15*(1-Indata!I$19)</f>
        <v>1.6150000000000002</v>
      </c>
      <c r="U15" s="1135"/>
      <c r="V15" s="130" t="s">
        <v>7</v>
      </c>
      <c r="W15" s="130" t="s">
        <v>40</v>
      </c>
      <c r="X15" s="222">
        <f t="shared" si="28"/>
        <v>1.6150000000000002</v>
      </c>
      <c r="Y15" s="223">
        <f t="shared" si="18"/>
        <v>1.6150000000000002</v>
      </c>
      <c r="Z15" s="222">
        <f t="shared" si="19"/>
        <v>1.6150000000000002</v>
      </c>
      <c r="AA15" s="224">
        <f t="shared" si="20"/>
        <v>1.6150000000000002</v>
      </c>
      <c r="AB15" s="225">
        <f t="shared" si="21"/>
        <v>1.6150000000000002</v>
      </c>
      <c r="AC15" s="224">
        <f t="shared" si="22"/>
        <v>1.6150000000000002</v>
      </c>
      <c r="AE15" s="1135"/>
      <c r="AF15" s="130" t="s">
        <v>7</v>
      </c>
      <c r="AG15" s="130" t="s">
        <v>40</v>
      </c>
      <c r="AH15" s="222">
        <f t="shared" si="29"/>
        <v>1.6150000000000002</v>
      </c>
      <c r="AI15" s="223">
        <f t="shared" si="23"/>
        <v>1.6150000000000002</v>
      </c>
      <c r="AJ15" s="222">
        <f t="shared" si="24"/>
        <v>1.6150000000000002</v>
      </c>
      <c r="AK15" s="224">
        <f t="shared" si="25"/>
        <v>1.6150000000000002</v>
      </c>
      <c r="AL15" s="225">
        <f t="shared" si="26"/>
        <v>1.6150000000000002</v>
      </c>
      <c r="AM15" s="224">
        <f t="shared" si="27"/>
        <v>1.6150000000000002</v>
      </c>
    </row>
    <row r="16" spans="1:39" x14ac:dyDescent="0.25">
      <c r="D16" s="194"/>
      <c r="E16" s="194"/>
      <c r="F16" s="194"/>
      <c r="G16" s="194"/>
      <c r="H16" s="194"/>
      <c r="I16" s="194"/>
      <c r="N16" s="194"/>
      <c r="O16" s="194"/>
      <c r="P16" s="194"/>
      <c r="Q16" s="194"/>
      <c r="R16" s="194"/>
      <c r="S16" s="194"/>
      <c r="X16" s="194"/>
      <c r="Y16" s="194"/>
      <c r="Z16" s="194"/>
      <c r="AA16" s="194"/>
      <c r="AB16" s="194"/>
      <c r="AC16" s="194"/>
      <c r="AE16" s="40"/>
      <c r="AF16" s="40"/>
      <c r="AG16" s="40"/>
      <c r="AH16" s="194"/>
      <c r="AI16" s="194"/>
      <c r="AJ16" s="194"/>
      <c r="AK16" s="194"/>
      <c r="AL16" s="194"/>
      <c r="AM16" s="194"/>
    </row>
    <row r="17" spans="1:39" ht="15.75" thickBot="1" x14ac:dyDescent="0.3">
      <c r="A17" s="42" t="s">
        <v>83</v>
      </c>
      <c r="D17" s="205"/>
      <c r="E17" s="205"/>
      <c r="F17" s="205"/>
      <c r="G17" s="205"/>
      <c r="H17" s="205"/>
      <c r="I17" s="205"/>
      <c r="K17" s="42" t="s">
        <v>229</v>
      </c>
      <c r="N17" s="205"/>
      <c r="O17" s="205"/>
      <c r="P17" s="205"/>
      <c r="Q17" s="205"/>
      <c r="R17" s="205"/>
      <c r="S17" s="205"/>
      <c r="U17" s="42" t="s">
        <v>91</v>
      </c>
      <c r="X17" s="205"/>
      <c r="Y17" s="205"/>
      <c r="Z17" s="205"/>
      <c r="AA17" s="205"/>
      <c r="AB17" s="205"/>
      <c r="AC17" s="205"/>
      <c r="AE17" s="42" t="s">
        <v>155</v>
      </c>
      <c r="AF17" s="40"/>
      <c r="AG17" s="40"/>
      <c r="AH17" s="205"/>
      <c r="AI17" s="205"/>
      <c r="AJ17" s="205"/>
      <c r="AK17" s="205"/>
      <c r="AL17" s="205"/>
      <c r="AM17" s="205"/>
    </row>
    <row r="18" spans="1:39" ht="14.45" customHeight="1" x14ac:dyDescent="0.25">
      <c r="A18" s="1121" t="s">
        <v>150</v>
      </c>
      <c r="B18" s="128" t="s">
        <v>8</v>
      </c>
      <c r="C18" s="128" t="s">
        <v>25</v>
      </c>
      <c r="D18" s="226">
        <f>Indata!D25/SUM(Indata!D$25:D$26)*(1-D$20)</f>
        <v>0.39627461007293346</v>
      </c>
      <c r="E18" s="227">
        <f>Indata!E25/SUM(Indata!E$25:E$26)*(1-E$20)</f>
        <v>0.30878176598734658</v>
      </c>
      <c r="F18" s="226">
        <f>Indata!F25/SUM(Indata!F$25:F$26)*(1-F$20)</f>
        <v>0.39627461007293346</v>
      </c>
      <c r="G18" s="228">
        <f>Indata!G25/SUM(Indata!G$25:G$26)*(1-G$20)</f>
        <v>0.30878176598734658</v>
      </c>
      <c r="H18" s="229">
        <f>Indata!H25/SUM(Indata!H$25:H$26)*(1-H$20)</f>
        <v>0.39627461007293346</v>
      </c>
      <c r="I18" s="228">
        <f>Indata!I25/SUM(Indata!I$25:I$26)*(1-I$20)</f>
        <v>0.30878176598734658</v>
      </c>
      <c r="K18" s="1121" t="s">
        <v>150</v>
      </c>
      <c r="L18" s="128" t="s">
        <v>8</v>
      </c>
      <c r="M18" s="128" t="s">
        <v>25</v>
      </c>
      <c r="N18" s="226">
        <f>D18/SUM(D$18:D$19)*(1-N$20)</f>
        <v>0.39627461007293346</v>
      </c>
      <c r="O18" s="227">
        <f t="shared" ref="O18:S19" si="30">E18/SUM(E$18:E$19)*(1-O$20)</f>
        <v>0.30878176598734658</v>
      </c>
      <c r="P18" s="226">
        <f t="shared" si="30"/>
        <v>0.39627461007293346</v>
      </c>
      <c r="Q18" s="228">
        <f>G18/SUM(G$18:G$19)*(1-Q$20)</f>
        <v>0.30878176598734658</v>
      </c>
      <c r="R18" s="229">
        <f t="shared" si="30"/>
        <v>0.39627461007293346</v>
      </c>
      <c r="S18" s="228">
        <f t="shared" si="30"/>
        <v>0.30878176598734658</v>
      </c>
      <c r="U18" s="1121" t="s">
        <v>150</v>
      </c>
      <c r="V18" s="128" t="s">
        <v>8</v>
      </c>
      <c r="W18" s="128" t="s">
        <v>25</v>
      </c>
      <c r="X18" s="226">
        <f>N18</f>
        <v>0.39627461007293346</v>
      </c>
      <c r="Y18" s="227">
        <f t="shared" ref="Y18:Y21" si="31">O18</f>
        <v>0.30878176598734658</v>
      </c>
      <c r="Z18" s="226">
        <f t="shared" ref="Z18:Z21" si="32">P18</f>
        <v>0.39627461007293346</v>
      </c>
      <c r="AA18" s="228">
        <f t="shared" ref="AA18:AA21" si="33">Q18</f>
        <v>0.30878176598734658</v>
      </c>
      <c r="AB18" s="229">
        <f t="shared" ref="AB18:AB21" si="34">R18</f>
        <v>0.39627461007293346</v>
      </c>
      <c r="AC18" s="228">
        <f t="shared" ref="AC18:AC21" si="35">S18</f>
        <v>0.30878176598734658</v>
      </c>
      <c r="AE18" s="1121" t="s">
        <v>150</v>
      </c>
      <c r="AF18" s="128" t="s">
        <v>8</v>
      </c>
      <c r="AG18" s="128" t="s">
        <v>25</v>
      </c>
      <c r="AH18" s="226">
        <f>X18</f>
        <v>0.39627461007293346</v>
      </c>
      <c r="AI18" s="227">
        <f t="shared" ref="AI18:AI21" si="36">Y18</f>
        <v>0.30878176598734658</v>
      </c>
      <c r="AJ18" s="226">
        <f t="shared" ref="AJ18:AJ21" si="37">Z18</f>
        <v>0.39627461007293346</v>
      </c>
      <c r="AK18" s="228">
        <f t="shared" ref="AK18:AK21" si="38">AA18</f>
        <v>0.30878176598734658</v>
      </c>
      <c r="AL18" s="229">
        <f t="shared" ref="AL18:AL21" si="39">AB18</f>
        <v>0.39627461007293346</v>
      </c>
      <c r="AM18" s="228">
        <f t="shared" ref="AM18:AM21" si="40">AC18</f>
        <v>0.30878176598734658</v>
      </c>
    </row>
    <row r="19" spans="1:39" x14ac:dyDescent="0.25">
      <c r="A19" s="1122"/>
      <c r="B19" s="129" t="s">
        <v>9</v>
      </c>
      <c r="C19" s="129" t="s">
        <v>25</v>
      </c>
      <c r="D19" s="230">
        <f>Indata!D26/SUM(Indata!D$25:D$26)*(1-D$20)</f>
        <v>0.42372538992706654</v>
      </c>
      <c r="E19" s="231">
        <f>Indata!E26/SUM(Indata!E$25:E$26)*(1-E$20)</f>
        <v>0.31121823401265342</v>
      </c>
      <c r="F19" s="230">
        <f>Indata!F26/SUM(Indata!F$25:F$26)*(1-F$20)</f>
        <v>0.42372538992706654</v>
      </c>
      <c r="G19" s="232">
        <f>Indata!G26/SUM(Indata!G$25:G$26)*(1-G$20)</f>
        <v>0.31121823401265342</v>
      </c>
      <c r="H19" s="233">
        <f>Indata!H26/SUM(Indata!H$25:H$26)*(1-H$20)</f>
        <v>0.42372538992706654</v>
      </c>
      <c r="I19" s="232">
        <f>Indata!I26/SUM(Indata!I$25:I$26)*(1-I$20)</f>
        <v>0.31121823401265342</v>
      </c>
      <c r="K19" s="1122"/>
      <c r="L19" s="129" t="s">
        <v>9</v>
      </c>
      <c r="M19" s="129" t="s">
        <v>25</v>
      </c>
      <c r="N19" s="230">
        <f>D19/SUM(D$18:D$19)*(1-N$20)</f>
        <v>0.42372538992706654</v>
      </c>
      <c r="O19" s="231">
        <f t="shared" si="30"/>
        <v>0.31121823401265342</v>
      </c>
      <c r="P19" s="230">
        <f t="shared" si="30"/>
        <v>0.42372538992706654</v>
      </c>
      <c r="Q19" s="232">
        <f t="shared" si="30"/>
        <v>0.31121823401265342</v>
      </c>
      <c r="R19" s="233">
        <f t="shared" si="30"/>
        <v>0.42372538992706654</v>
      </c>
      <c r="S19" s="232">
        <f t="shared" si="30"/>
        <v>0.31121823401265342</v>
      </c>
      <c r="U19" s="1122"/>
      <c r="V19" s="129" t="s">
        <v>9</v>
      </c>
      <c r="W19" s="129" t="s">
        <v>25</v>
      </c>
      <c r="X19" s="230">
        <f t="shared" ref="X19:X21" si="41">N19</f>
        <v>0.42372538992706654</v>
      </c>
      <c r="Y19" s="231">
        <f t="shared" si="31"/>
        <v>0.31121823401265342</v>
      </c>
      <c r="Z19" s="230">
        <f t="shared" si="32"/>
        <v>0.42372538992706654</v>
      </c>
      <c r="AA19" s="232">
        <f t="shared" si="33"/>
        <v>0.31121823401265342</v>
      </c>
      <c r="AB19" s="233">
        <f t="shared" si="34"/>
        <v>0.42372538992706654</v>
      </c>
      <c r="AC19" s="232">
        <f t="shared" si="35"/>
        <v>0.31121823401265342</v>
      </c>
      <c r="AE19" s="1122"/>
      <c r="AF19" s="129" t="s">
        <v>9</v>
      </c>
      <c r="AG19" s="129" t="s">
        <v>25</v>
      </c>
      <c r="AH19" s="230">
        <f t="shared" ref="AH19:AH21" si="42">X19</f>
        <v>0.42372538992706654</v>
      </c>
      <c r="AI19" s="231">
        <f t="shared" si="36"/>
        <v>0.31121823401265342</v>
      </c>
      <c r="AJ19" s="230">
        <f t="shared" si="37"/>
        <v>0.42372538992706654</v>
      </c>
      <c r="AK19" s="232">
        <f t="shared" si="38"/>
        <v>0.31121823401265342</v>
      </c>
      <c r="AL19" s="233">
        <f t="shared" si="39"/>
        <v>0.42372538992706654</v>
      </c>
      <c r="AM19" s="232">
        <f t="shared" si="40"/>
        <v>0.31121823401265342</v>
      </c>
    </row>
    <row r="20" spans="1:39" x14ac:dyDescent="0.25">
      <c r="A20" s="1122"/>
      <c r="B20" s="129" t="s">
        <v>7</v>
      </c>
      <c r="C20" s="129" t="s">
        <v>25</v>
      </c>
      <c r="D20" s="230">
        <f>Indata!D28</f>
        <v>0.18</v>
      </c>
      <c r="E20" s="231">
        <f>Indata!E28</f>
        <v>0.38</v>
      </c>
      <c r="F20" s="230">
        <f>Indata!F28</f>
        <v>0.18</v>
      </c>
      <c r="G20" s="232">
        <f>Indata!G28</f>
        <v>0.38</v>
      </c>
      <c r="H20" s="233">
        <f>Indata!H28</f>
        <v>0.18</v>
      </c>
      <c r="I20" s="232">
        <f>Indata!I28</f>
        <v>0.38</v>
      </c>
      <c r="K20" s="1122"/>
      <c r="L20" s="129" t="s">
        <v>7</v>
      </c>
      <c r="M20" s="129" t="s">
        <v>25</v>
      </c>
      <c r="N20" s="230">
        <f>(MIN(D20+(1-D20)*'Indata - Effektsamband-Faktorer'!$D$4*N$10,1))</f>
        <v>0.18</v>
      </c>
      <c r="O20" s="231">
        <f>MIN(E20+(1-E20)*'Indata - Effektsamband-Faktorer'!$E$4*O$10,1)</f>
        <v>0.38</v>
      </c>
      <c r="P20" s="230">
        <f>MIN(F20+(1-F20)*'Indata - Effektsamband-Faktorer'!$D$4*P$10,1)</f>
        <v>0.18</v>
      </c>
      <c r="Q20" s="232">
        <f>MIN(G20+(1-G20)*'Indata - Effektsamband-Faktorer'!$E$4*Q$10,1)</f>
        <v>0.38</v>
      </c>
      <c r="R20" s="233">
        <f>MIN(H20+(1-H20)*'Indata - Effektsamband-Faktorer'!$D$4*R$10,1)</f>
        <v>0.18</v>
      </c>
      <c r="S20" s="232">
        <f>MIN(I20+(1-I20)*'Indata - Effektsamband-Faktorer'!$E$4*S$10,1)</f>
        <v>0.38</v>
      </c>
      <c r="U20" s="1122"/>
      <c r="V20" s="129" t="s">
        <v>7</v>
      </c>
      <c r="W20" s="129" t="s">
        <v>25</v>
      </c>
      <c r="X20" s="230">
        <f t="shared" si="41"/>
        <v>0.18</v>
      </c>
      <c r="Y20" s="231">
        <f t="shared" si="31"/>
        <v>0.38</v>
      </c>
      <c r="Z20" s="230">
        <f t="shared" si="32"/>
        <v>0.18</v>
      </c>
      <c r="AA20" s="232">
        <f t="shared" si="33"/>
        <v>0.38</v>
      </c>
      <c r="AB20" s="233">
        <f>R20</f>
        <v>0.18</v>
      </c>
      <c r="AC20" s="232">
        <f t="shared" si="35"/>
        <v>0.38</v>
      </c>
      <c r="AE20" s="1122"/>
      <c r="AF20" s="129" t="s">
        <v>7</v>
      </c>
      <c r="AG20" s="129" t="s">
        <v>25</v>
      </c>
      <c r="AH20" s="230">
        <f t="shared" si="42"/>
        <v>0.18</v>
      </c>
      <c r="AI20" s="231">
        <f t="shared" si="36"/>
        <v>0.38</v>
      </c>
      <c r="AJ20" s="230">
        <f t="shared" si="37"/>
        <v>0.18</v>
      </c>
      <c r="AK20" s="232">
        <f t="shared" si="38"/>
        <v>0.38</v>
      </c>
      <c r="AL20" s="233">
        <f>AB20</f>
        <v>0.18</v>
      </c>
      <c r="AM20" s="232">
        <f t="shared" si="40"/>
        <v>0.38</v>
      </c>
    </row>
    <row r="21" spans="1:39" s="296" customFormat="1" ht="15.75" thickBot="1" x14ac:dyDescent="0.3">
      <c r="A21" s="1123"/>
      <c r="B21" s="182" t="s">
        <v>16</v>
      </c>
      <c r="C21" s="182" t="s">
        <v>25</v>
      </c>
      <c r="D21" s="206">
        <f t="shared" ref="D21:I21" si="43">SUM(D18:D20)</f>
        <v>1</v>
      </c>
      <c r="E21" s="207">
        <f t="shared" si="43"/>
        <v>1</v>
      </c>
      <c r="F21" s="206">
        <f>SUM(F18:F20)</f>
        <v>1</v>
      </c>
      <c r="G21" s="208">
        <f t="shared" si="43"/>
        <v>1</v>
      </c>
      <c r="H21" s="209">
        <f t="shared" si="43"/>
        <v>1</v>
      </c>
      <c r="I21" s="208">
        <f t="shared" si="43"/>
        <v>1</v>
      </c>
      <c r="K21" s="1123"/>
      <c r="L21" s="182" t="s">
        <v>16</v>
      </c>
      <c r="M21" s="182" t="s">
        <v>25</v>
      </c>
      <c r="N21" s="206">
        <f>SUM(N18:N20)</f>
        <v>1</v>
      </c>
      <c r="O21" s="207">
        <f t="shared" ref="O21:S21" si="44">SUM(O18:O20)</f>
        <v>1</v>
      </c>
      <c r="P21" s="206">
        <f t="shared" si="44"/>
        <v>1</v>
      </c>
      <c r="Q21" s="208">
        <f t="shared" si="44"/>
        <v>1</v>
      </c>
      <c r="R21" s="209">
        <f t="shared" si="44"/>
        <v>1</v>
      </c>
      <c r="S21" s="208">
        <f t="shared" si="44"/>
        <v>1</v>
      </c>
      <c r="U21" s="1123"/>
      <c r="V21" s="182" t="s">
        <v>16</v>
      </c>
      <c r="W21" s="182" t="s">
        <v>25</v>
      </c>
      <c r="X21" s="206">
        <f t="shared" si="41"/>
        <v>1</v>
      </c>
      <c r="Y21" s="207">
        <f t="shared" si="31"/>
        <v>1</v>
      </c>
      <c r="Z21" s="206">
        <f t="shared" si="32"/>
        <v>1</v>
      </c>
      <c r="AA21" s="208">
        <f t="shared" si="33"/>
        <v>1</v>
      </c>
      <c r="AB21" s="209">
        <f t="shared" si="34"/>
        <v>1</v>
      </c>
      <c r="AC21" s="208">
        <f t="shared" si="35"/>
        <v>1</v>
      </c>
      <c r="AE21" s="1123"/>
      <c r="AF21" s="182" t="s">
        <v>16</v>
      </c>
      <c r="AG21" s="182" t="s">
        <v>25</v>
      </c>
      <c r="AH21" s="206">
        <f t="shared" si="42"/>
        <v>1</v>
      </c>
      <c r="AI21" s="207">
        <f t="shared" si="36"/>
        <v>1</v>
      </c>
      <c r="AJ21" s="206">
        <f t="shared" si="37"/>
        <v>1</v>
      </c>
      <c r="AK21" s="208">
        <f t="shared" si="38"/>
        <v>1</v>
      </c>
      <c r="AL21" s="209">
        <f t="shared" si="39"/>
        <v>1</v>
      </c>
      <c r="AM21" s="208">
        <f t="shared" si="40"/>
        <v>1</v>
      </c>
    </row>
    <row r="22" spans="1:39" x14ac:dyDescent="0.25">
      <c r="D22" s="194"/>
      <c r="E22" s="194"/>
      <c r="F22" s="194"/>
      <c r="G22" s="194"/>
      <c r="H22" s="194"/>
      <c r="I22" s="194"/>
      <c r="N22" s="194"/>
      <c r="O22" s="194"/>
      <c r="P22" s="194"/>
      <c r="Q22" s="194"/>
      <c r="R22" s="194"/>
      <c r="S22" s="194"/>
      <c r="X22" s="194"/>
      <c r="Y22" s="194"/>
      <c r="Z22" s="194"/>
      <c r="AA22" s="194"/>
      <c r="AB22" s="194"/>
      <c r="AC22" s="194"/>
      <c r="AE22" s="40"/>
      <c r="AF22" s="40"/>
      <c r="AG22" s="40"/>
      <c r="AH22" s="194"/>
      <c r="AI22" s="194"/>
      <c r="AJ22" s="194"/>
      <c r="AK22" s="194"/>
      <c r="AL22" s="194"/>
      <c r="AM22" s="194"/>
    </row>
    <row r="23" spans="1:39" ht="15.75" thickBot="1" x14ac:dyDescent="0.3">
      <c r="A23" s="42" t="s">
        <v>81</v>
      </c>
      <c r="D23" s="194"/>
      <c r="E23" s="194"/>
      <c r="F23" s="194"/>
      <c r="G23" s="194"/>
      <c r="H23" s="194"/>
      <c r="I23" s="194"/>
      <c r="K23" s="42" t="s">
        <v>160</v>
      </c>
      <c r="N23" s="194"/>
      <c r="O23" s="194"/>
      <c r="P23" s="194"/>
      <c r="Q23" s="194"/>
      <c r="R23" s="194"/>
      <c r="S23" s="194"/>
      <c r="U23" s="42" t="s">
        <v>92</v>
      </c>
      <c r="X23" s="194"/>
      <c r="Y23" s="194"/>
      <c r="Z23" s="194"/>
      <c r="AA23" s="194"/>
      <c r="AB23" s="194"/>
      <c r="AC23" s="194"/>
      <c r="AE23" s="42" t="s">
        <v>156</v>
      </c>
      <c r="AF23" s="40"/>
      <c r="AG23" s="40"/>
      <c r="AH23" s="194"/>
      <c r="AI23" s="194"/>
      <c r="AJ23" s="194"/>
      <c r="AK23" s="194"/>
      <c r="AL23" s="194"/>
      <c r="AM23" s="194"/>
    </row>
    <row r="24" spans="1:39" ht="14.45" customHeight="1" x14ac:dyDescent="0.25">
      <c r="A24" s="1133" t="s">
        <v>21</v>
      </c>
      <c r="B24" s="128" t="s">
        <v>8</v>
      </c>
      <c r="C24" s="128" t="s">
        <v>74</v>
      </c>
      <c r="D24" s="195">
        <f>Indata!D$15*10</f>
        <v>0</v>
      </c>
      <c r="E24" s="220">
        <f>Indata!E$15*10</f>
        <v>0</v>
      </c>
      <c r="F24" s="195">
        <f>Indata!F$15*10</f>
        <v>0</v>
      </c>
      <c r="G24" s="196">
        <f>Indata!G$15*10</f>
        <v>0</v>
      </c>
      <c r="H24" s="197">
        <f>Indata!H$15*10</f>
        <v>0</v>
      </c>
      <c r="I24" s="196">
        <f>Indata!I$15*10</f>
        <v>0</v>
      </c>
      <c r="K24" s="1133" t="s">
        <v>21</v>
      </c>
      <c r="L24" s="128" t="s">
        <v>8</v>
      </c>
      <c r="M24" s="128" t="s">
        <v>74</v>
      </c>
      <c r="N24" s="195">
        <f>D24</f>
        <v>0</v>
      </c>
      <c r="O24" s="220">
        <f t="shared" ref="O24:S24" si="45">E24</f>
        <v>0</v>
      </c>
      <c r="P24" s="195">
        <f t="shared" si="45"/>
        <v>0</v>
      </c>
      <c r="Q24" s="196">
        <f t="shared" si="45"/>
        <v>0</v>
      </c>
      <c r="R24" s="197">
        <f t="shared" si="45"/>
        <v>0</v>
      </c>
      <c r="S24" s="196">
        <f t="shared" si="45"/>
        <v>0</v>
      </c>
      <c r="U24" s="1133" t="s">
        <v>21</v>
      </c>
      <c r="V24" s="128" t="s">
        <v>8</v>
      </c>
      <c r="W24" s="128" t="s">
        <v>74</v>
      </c>
      <c r="X24" s="195">
        <f>N24</f>
        <v>0</v>
      </c>
      <c r="Y24" s="220">
        <f t="shared" ref="Y24:Y26" si="46">O24</f>
        <v>0</v>
      </c>
      <c r="Z24" s="195">
        <f t="shared" ref="Z24:Z26" si="47">P24</f>
        <v>0</v>
      </c>
      <c r="AA24" s="196">
        <f t="shared" ref="AA24:AA26" si="48">Q24</f>
        <v>0</v>
      </c>
      <c r="AB24" s="197">
        <f t="shared" ref="AB24:AB26" si="49">R24</f>
        <v>0</v>
      </c>
      <c r="AC24" s="196">
        <f t="shared" ref="AC24:AC26" si="50">S24</f>
        <v>0</v>
      </c>
      <c r="AE24" s="1133" t="s">
        <v>21</v>
      </c>
      <c r="AF24" s="128" t="s">
        <v>8</v>
      </c>
      <c r="AG24" s="128" t="s">
        <v>74</v>
      </c>
      <c r="AH24" s="195">
        <f>X24</f>
        <v>0</v>
      </c>
      <c r="AI24" s="220">
        <f t="shared" ref="AI24:AI26" si="51">Y24</f>
        <v>0</v>
      </c>
      <c r="AJ24" s="195">
        <f t="shared" ref="AJ24:AJ26" si="52">Z24</f>
        <v>0</v>
      </c>
      <c r="AK24" s="196">
        <f t="shared" ref="AK24:AK26" si="53">AA24</f>
        <v>0</v>
      </c>
      <c r="AL24" s="197">
        <f t="shared" ref="AL24:AL26" si="54">AB24</f>
        <v>0</v>
      </c>
      <c r="AM24" s="196">
        <f t="shared" ref="AM24:AM26" si="55">AC24</f>
        <v>0</v>
      </c>
    </row>
    <row r="25" spans="1:39" x14ac:dyDescent="0.25">
      <c r="A25" s="1134"/>
      <c r="B25" s="129" t="s">
        <v>9</v>
      </c>
      <c r="C25" s="129" t="s">
        <v>74</v>
      </c>
      <c r="D25" s="198">
        <f>Indata!D$15*10</f>
        <v>0</v>
      </c>
      <c r="E25" s="221">
        <f>Indata!E$15*10</f>
        <v>0</v>
      </c>
      <c r="F25" s="198">
        <f>Indata!F$15*10</f>
        <v>0</v>
      </c>
      <c r="G25" s="199">
        <f>Indata!G$15*10</f>
        <v>0</v>
      </c>
      <c r="H25" s="200">
        <f>Indata!H$15*10</f>
        <v>0</v>
      </c>
      <c r="I25" s="199">
        <f>Indata!I$15*10</f>
        <v>0</v>
      </c>
      <c r="K25" s="1134"/>
      <c r="L25" s="129" t="s">
        <v>9</v>
      </c>
      <c r="M25" s="129" t="s">
        <v>74</v>
      </c>
      <c r="N25" s="198">
        <f t="shared" ref="N25:N26" si="56">D25</f>
        <v>0</v>
      </c>
      <c r="O25" s="221">
        <f t="shared" ref="O25:O26" si="57">E25</f>
        <v>0</v>
      </c>
      <c r="P25" s="198">
        <f t="shared" ref="P25:P26" si="58">F25</f>
        <v>0</v>
      </c>
      <c r="Q25" s="199">
        <f t="shared" ref="Q25:Q26" si="59">G25</f>
        <v>0</v>
      </c>
      <c r="R25" s="200">
        <f t="shared" ref="R25:R26" si="60">H25</f>
        <v>0</v>
      </c>
      <c r="S25" s="199">
        <f t="shared" ref="S25:S26" si="61">I25</f>
        <v>0</v>
      </c>
      <c r="U25" s="1134"/>
      <c r="V25" s="129" t="s">
        <v>9</v>
      </c>
      <c r="W25" s="129" t="s">
        <v>74</v>
      </c>
      <c r="X25" s="198">
        <f t="shared" ref="X25:X26" si="62">N25</f>
        <v>0</v>
      </c>
      <c r="Y25" s="221">
        <f t="shared" si="46"/>
        <v>0</v>
      </c>
      <c r="Z25" s="198">
        <f t="shared" si="47"/>
        <v>0</v>
      </c>
      <c r="AA25" s="199">
        <f t="shared" si="48"/>
        <v>0</v>
      </c>
      <c r="AB25" s="200">
        <f t="shared" si="49"/>
        <v>0</v>
      </c>
      <c r="AC25" s="199">
        <f t="shared" si="50"/>
        <v>0</v>
      </c>
      <c r="AE25" s="1134"/>
      <c r="AF25" s="129" t="s">
        <v>9</v>
      </c>
      <c r="AG25" s="129" t="s">
        <v>74</v>
      </c>
      <c r="AH25" s="198">
        <f t="shared" ref="AH25:AH26" si="63">X25</f>
        <v>0</v>
      </c>
      <c r="AI25" s="221">
        <f t="shared" si="51"/>
        <v>0</v>
      </c>
      <c r="AJ25" s="198">
        <f t="shared" si="52"/>
        <v>0</v>
      </c>
      <c r="AK25" s="199">
        <f t="shared" si="53"/>
        <v>0</v>
      </c>
      <c r="AL25" s="200">
        <f t="shared" si="54"/>
        <v>0</v>
      </c>
      <c r="AM25" s="199">
        <f t="shared" si="55"/>
        <v>0</v>
      </c>
    </row>
    <row r="26" spans="1:39" ht="15.75" thickBot="1" x14ac:dyDescent="0.3">
      <c r="A26" s="1135"/>
      <c r="B26" s="130" t="s">
        <v>7</v>
      </c>
      <c r="C26" s="130" t="s">
        <v>74</v>
      </c>
      <c r="D26" s="222">
        <f>Indata!D$15*10</f>
        <v>0</v>
      </c>
      <c r="E26" s="223">
        <f>Indata!E$15*10</f>
        <v>0</v>
      </c>
      <c r="F26" s="222">
        <f>Indata!F$15*10</f>
        <v>0</v>
      </c>
      <c r="G26" s="224">
        <f>Indata!G$15*10</f>
        <v>0</v>
      </c>
      <c r="H26" s="225">
        <f>Indata!H$15*10</f>
        <v>0</v>
      </c>
      <c r="I26" s="224">
        <f>Indata!I$15*10</f>
        <v>0</v>
      </c>
      <c r="K26" s="1135"/>
      <c r="L26" s="130" t="s">
        <v>7</v>
      </c>
      <c r="M26" s="130" t="s">
        <v>74</v>
      </c>
      <c r="N26" s="222">
        <f t="shared" si="56"/>
        <v>0</v>
      </c>
      <c r="O26" s="223">
        <f t="shared" si="57"/>
        <v>0</v>
      </c>
      <c r="P26" s="222">
        <f t="shared" si="58"/>
        <v>0</v>
      </c>
      <c r="Q26" s="224">
        <f t="shared" si="59"/>
        <v>0</v>
      </c>
      <c r="R26" s="225">
        <f t="shared" si="60"/>
        <v>0</v>
      </c>
      <c r="S26" s="224">
        <f t="shared" si="61"/>
        <v>0</v>
      </c>
      <c r="U26" s="1135"/>
      <c r="V26" s="130" t="s">
        <v>7</v>
      </c>
      <c r="W26" s="130" t="s">
        <v>74</v>
      </c>
      <c r="X26" s="222">
        <f t="shared" si="62"/>
        <v>0</v>
      </c>
      <c r="Y26" s="223">
        <f t="shared" si="46"/>
        <v>0</v>
      </c>
      <c r="Z26" s="222">
        <f t="shared" si="47"/>
        <v>0</v>
      </c>
      <c r="AA26" s="224">
        <f t="shared" si="48"/>
        <v>0</v>
      </c>
      <c r="AB26" s="225">
        <f t="shared" si="49"/>
        <v>0</v>
      </c>
      <c r="AC26" s="224">
        <f t="shared" si="50"/>
        <v>0</v>
      </c>
      <c r="AE26" s="1135"/>
      <c r="AF26" s="130" t="s">
        <v>7</v>
      </c>
      <c r="AG26" s="130" t="s">
        <v>74</v>
      </c>
      <c r="AH26" s="222">
        <f t="shared" si="63"/>
        <v>0</v>
      </c>
      <c r="AI26" s="223">
        <f t="shared" si="51"/>
        <v>0</v>
      </c>
      <c r="AJ26" s="222">
        <f t="shared" si="52"/>
        <v>0</v>
      </c>
      <c r="AK26" s="224">
        <f t="shared" si="53"/>
        <v>0</v>
      </c>
      <c r="AL26" s="225">
        <f t="shared" si="54"/>
        <v>0</v>
      </c>
      <c r="AM26" s="224">
        <f t="shared" si="55"/>
        <v>0</v>
      </c>
    </row>
    <row r="27" spans="1:39" x14ac:dyDescent="0.25">
      <c r="A27" s="26"/>
      <c r="B27" s="26"/>
      <c r="C27" s="26"/>
      <c r="D27" s="210"/>
      <c r="E27" s="210"/>
      <c r="F27" s="210"/>
      <c r="G27" s="210"/>
      <c r="H27" s="210"/>
      <c r="I27" s="210"/>
      <c r="K27" s="26"/>
      <c r="L27" s="26"/>
      <c r="M27" s="26"/>
      <c r="N27" s="210"/>
      <c r="O27" s="210"/>
      <c r="P27" s="210"/>
      <c r="Q27" s="210"/>
      <c r="R27" s="210"/>
      <c r="S27" s="210"/>
      <c r="U27" s="26"/>
      <c r="V27" s="26"/>
      <c r="W27" s="26"/>
      <c r="X27" s="210"/>
      <c r="Y27" s="210"/>
      <c r="Z27" s="210"/>
      <c r="AA27" s="210"/>
      <c r="AB27" s="210"/>
      <c r="AC27" s="210"/>
      <c r="AH27" s="210"/>
      <c r="AI27" s="210"/>
      <c r="AJ27" s="210"/>
      <c r="AK27" s="210"/>
      <c r="AL27" s="210"/>
      <c r="AM27" s="210"/>
    </row>
    <row r="28" spans="1:39" ht="15.75" thickBot="1" x14ac:dyDescent="0.3">
      <c r="A28" s="42" t="s">
        <v>82</v>
      </c>
      <c r="D28" s="194"/>
      <c r="E28" s="194"/>
      <c r="F28" s="194"/>
      <c r="G28" s="194"/>
      <c r="H28" s="194"/>
      <c r="I28" s="194"/>
      <c r="K28" s="42" t="s">
        <v>161</v>
      </c>
      <c r="N28" s="194"/>
      <c r="O28" s="194"/>
      <c r="P28" s="194"/>
      <c r="Q28" s="194"/>
      <c r="R28" s="194"/>
      <c r="S28" s="194"/>
      <c r="U28" s="42" t="s">
        <v>87</v>
      </c>
      <c r="X28" s="194"/>
      <c r="Y28" s="194"/>
      <c r="Z28" s="194"/>
      <c r="AA28" s="194"/>
      <c r="AB28" s="194"/>
      <c r="AC28" s="194"/>
      <c r="AE28" s="42" t="s">
        <v>157</v>
      </c>
      <c r="AF28" s="40"/>
      <c r="AG28" s="40"/>
      <c r="AH28" s="194"/>
      <c r="AI28" s="194"/>
      <c r="AJ28" s="194"/>
      <c r="AK28" s="194"/>
      <c r="AL28" s="194"/>
      <c r="AM28" s="194"/>
    </row>
    <row r="29" spans="1:39" ht="14.45" customHeight="1" x14ac:dyDescent="0.25">
      <c r="A29" s="1133" t="s">
        <v>75</v>
      </c>
      <c r="B29" s="128" t="s">
        <v>8</v>
      </c>
      <c r="C29" s="128" t="s">
        <v>74</v>
      </c>
      <c r="D29" s="195">
        <f>Indata!D$36</f>
        <v>10.009999999999998</v>
      </c>
      <c r="E29" s="220">
        <f>Indata!E$36</f>
        <v>10.009999999999998</v>
      </c>
      <c r="F29" s="195">
        <f>Indata!F$36</f>
        <v>10.009999999999998</v>
      </c>
      <c r="G29" s="196">
        <f>Indata!G$36</f>
        <v>10.009999999999998</v>
      </c>
      <c r="H29" s="197">
        <f>Indata!H$36</f>
        <v>10.009999999999998</v>
      </c>
      <c r="I29" s="196">
        <f>Indata!I$36</f>
        <v>10.009999999999998</v>
      </c>
      <c r="K29" s="1133" t="s">
        <v>75</v>
      </c>
      <c r="L29" s="128" t="s">
        <v>8</v>
      </c>
      <c r="M29" s="128" t="s">
        <v>74</v>
      </c>
      <c r="N29" s="195">
        <f>D29</f>
        <v>10.009999999999998</v>
      </c>
      <c r="O29" s="220">
        <f t="shared" ref="O29:O31" si="64">E29</f>
        <v>10.009999999999998</v>
      </c>
      <c r="P29" s="195">
        <f t="shared" ref="P29:P31" si="65">F29</f>
        <v>10.009999999999998</v>
      </c>
      <c r="Q29" s="196">
        <f>G29</f>
        <v>10.009999999999998</v>
      </c>
      <c r="R29" s="197">
        <f t="shared" ref="R29:R31" si="66">H29</f>
        <v>10.009999999999998</v>
      </c>
      <c r="S29" s="196">
        <f t="shared" ref="S29:S31" si="67">I29</f>
        <v>10.009999999999998</v>
      </c>
      <c r="U29" s="1133" t="s">
        <v>75</v>
      </c>
      <c r="V29" s="128" t="s">
        <v>8</v>
      </c>
      <c r="W29" s="128" t="s">
        <v>74</v>
      </c>
      <c r="X29" s="195">
        <f>N29</f>
        <v>10.009999999999998</v>
      </c>
      <c r="Y29" s="220">
        <f t="shared" ref="Y29:Y31" si="68">O29</f>
        <v>10.009999999999998</v>
      </c>
      <c r="Z29" s="195">
        <f t="shared" ref="Z29:Z31" si="69">P29</f>
        <v>10.009999999999998</v>
      </c>
      <c r="AA29" s="196">
        <f t="shared" ref="AA29:AA31" si="70">Q29</f>
        <v>10.009999999999998</v>
      </c>
      <c r="AB29" s="197">
        <f t="shared" ref="AB29:AB31" si="71">R29</f>
        <v>10.009999999999998</v>
      </c>
      <c r="AC29" s="196">
        <f t="shared" ref="AC29:AC31" si="72">S29</f>
        <v>10.009999999999998</v>
      </c>
      <c r="AE29" s="1133" t="s">
        <v>75</v>
      </c>
      <c r="AF29" s="128" t="s">
        <v>8</v>
      </c>
      <c r="AG29" s="128" t="s">
        <v>74</v>
      </c>
      <c r="AH29" s="195">
        <f>X29</f>
        <v>10.009999999999998</v>
      </c>
      <c r="AI29" s="220">
        <f t="shared" ref="AI29:AI31" si="73">Y29</f>
        <v>10.009999999999998</v>
      </c>
      <c r="AJ29" s="195">
        <f t="shared" ref="AJ29:AJ31" si="74">Z29</f>
        <v>10.009999999999998</v>
      </c>
      <c r="AK29" s="196">
        <f t="shared" ref="AK29:AK31" si="75">AA29</f>
        <v>10.009999999999998</v>
      </c>
      <c r="AL29" s="197">
        <f t="shared" ref="AL29:AL31" si="76">AB29</f>
        <v>10.009999999999998</v>
      </c>
      <c r="AM29" s="196">
        <f t="shared" ref="AM29:AM31" si="77">AC29</f>
        <v>10.009999999999998</v>
      </c>
    </row>
    <row r="30" spans="1:39" x14ac:dyDescent="0.25">
      <c r="A30" s="1134"/>
      <c r="B30" s="129" t="s">
        <v>9</v>
      </c>
      <c r="C30" s="129" t="s">
        <v>74</v>
      </c>
      <c r="D30" s="198">
        <f>Indata!D$36</f>
        <v>10.009999999999998</v>
      </c>
      <c r="E30" s="221">
        <f>Indata!E$36</f>
        <v>10.009999999999998</v>
      </c>
      <c r="F30" s="198">
        <f>Indata!F$36</f>
        <v>10.009999999999998</v>
      </c>
      <c r="G30" s="199">
        <f>Indata!G$36</f>
        <v>10.009999999999998</v>
      </c>
      <c r="H30" s="200">
        <f>Indata!H$36</f>
        <v>10.009999999999998</v>
      </c>
      <c r="I30" s="199">
        <f>Indata!I$36</f>
        <v>10.009999999999998</v>
      </c>
      <c r="K30" s="1134"/>
      <c r="L30" s="129" t="s">
        <v>9</v>
      </c>
      <c r="M30" s="129" t="s">
        <v>74</v>
      </c>
      <c r="N30" s="198">
        <f t="shared" ref="N30" si="78">D30</f>
        <v>10.009999999999998</v>
      </c>
      <c r="O30" s="221">
        <f t="shared" si="64"/>
        <v>10.009999999999998</v>
      </c>
      <c r="P30" s="198">
        <f t="shared" si="65"/>
        <v>10.009999999999998</v>
      </c>
      <c r="Q30" s="199">
        <f>G30</f>
        <v>10.009999999999998</v>
      </c>
      <c r="R30" s="200">
        <f t="shared" si="66"/>
        <v>10.009999999999998</v>
      </c>
      <c r="S30" s="199">
        <f t="shared" si="67"/>
        <v>10.009999999999998</v>
      </c>
      <c r="U30" s="1134"/>
      <c r="V30" s="129" t="s">
        <v>9</v>
      </c>
      <c r="W30" s="129" t="s">
        <v>74</v>
      </c>
      <c r="X30" s="198">
        <f t="shared" ref="X30:X31" si="79">N30</f>
        <v>10.009999999999998</v>
      </c>
      <c r="Y30" s="221">
        <f t="shared" si="68"/>
        <v>10.009999999999998</v>
      </c>
      <c r="Z30" s="198">
        <f t="shared" si="69"/>
        <v>10.009999999999998</v>
      </c>
      <c r="AA30" s="199">
        <f t="shared" si="70"/>
        <v>10.009999999999998</v>
      </c>
      <c r="AB30" s="200">
        <f t="shared" si="71"/>
        <v>10.009999999999998</v>
      </c>
      <c r="AC30" s="199">
        <f t="shared" si="72"/>
        <v>10.009999999999998</v>
      </c>
      <c r="AE30" s="1134"/>
      <c r="AF30" s="129" t="s">
        <v>9</v>
      </c>
      <c r="AG30" s="129" t="s">
        <v>74</v>
      </c>
      <c r="AH30" s="198">
        <f t="shared" ref="AH30:AH31" si="80">X30</f>
        <v>10.009999999999998</v>
      </c>
      <c r="AI30" s="221">
        <f t="shared" si="73"/>
        <v>10.009999999999998</v>
      </c>
      <c r="AJ30" s="198">
        <f t="shared" si="74"/>
        <v>10.009999999999998</v>
      </c>
      <c r="AK30" s="199">
        <f t="shared" si="75"/>
        <v>10.009999999999998</v>
      </c>
      <c r="AL30" s="200">
        <f t="shared" si="76"/>
        <v>10.009999999999998</v>
      </c>
      <c r="AM30" s="199">
        <f t="shared" si="77"/>
        <v>10.009999999999998</v>
      </c>
    </row>
    <row r="31" spans="1:39" ht="15.75" thickBot="1" x14ac:dyDescent="0.3">
      <c r="A31" s="1135"/>
      <c r="B31" s="130" t="s">
        <v>7</v>
      </c>
      <c r="C31" s="130" t="s">
        <v>74</v>
      </c>
      <c r="D31" s="222">
        <f>Indata!D$36</f>
        <v>10.009999999999998</v>
      </c>
      <c r="E31" s="223">
        <f>Indata!E$36</f>
        <v>10.009999999999998</v>
      </c>
      <c r="F31" s="222">
        <f>Indata!F$36</f>
        <v>10.009999999999998</v>
      </c>
      <c r="G31" s="224">
        <f>Indata!G$36</f>
        <v>10.009999999999998</v>
      </c>
      <c r="H31" s="225">
        <f>Indata!H$36</f>
        <v>10.009999999999998</v>
      </c>
      <c r="I31" s="224">
        <f>Indata!I$36</f>
        <v>10.009999999999998</v>
      </c>
      <c r="K31" s="1135"/>
      <c r="L31" s="130" t="s">
        <v>7</v>
      </c>
      <c r="M31" s="130" t="s">
        <v>74</v>
      </c>
      <c r="N31" s="222">
        <f>D31</f>
        <v>10.009999999999998</v>
      </c>
      <c r="O31" s="223">
        <f t="shared" si="64"/>
        <v>10.009999999999998</v>
      </c>
      <c r="P31" s="222">
        <f t="shared" si="65"/>
        <v>10.009999999999998</v>
      </c>
      <c r="Q31" s="224">
        <f>G31</f>
        <v>10.009999999999998</v>
      </c>
      <c r="R31" s="225">
        <f t="shared" si="66"/>
        <v>10.009999999999998</v>
      </c>
      <c r="S31" s="224">
        <f t="shared" si="67"/>
        <v>10.009999999999998</v>
      </c>
      <c r="U31" s="1135"/>
      <c r="V31" s="130" t="s">
        <v>7</v>
      </c>
      <c r="W31" s="130" t="s">
        <v>74</v>
      </c>
      <c r="X31" s="222">
        <f t="shared" si="79"/>
        <v>10.009999999999998</v>
      </c>
      <c r="Y31" s="223">
        <f t="shared" si="68"/>
        <v>10.009999999999998</v>
      </c>
      <c r="Z31" s="222">
        <f t="shared" si="69"/>
        <v>10.009999999999998</v>
      </c>
      <c r="AA31" s="224">
        <f t="shared" si="70"/>
        <v>10.009999999999998</v>
      </c>
      <c r="AB31" s="225">
        <f t="shared" si="71"/>
        <v>10.009999999999998</v>
      </c>
      <c r="AC31" s="224">
        <f t="shared" si="72"/>
        <v>10.009999999999998</v>
      </c>
      <c r="AE31" s="1135"/>
      <c r="AF31" s="130" t="s">
        <v>7</v>
      </c>
      <c r="AG31" s="130" t="s">
        <v>74</v>
      </c>
      <c r="AH31" s="222">
        <f t="shared" si="80"/>
        <v>10.009999999999998</v>
      </c>
      <c r="AI31" s="223">
        <f t="shared" si="73"/>
        <v>10.009999999999998</v>
      </c>
      <c r="AJ31" s="222">
        <f t="shared" si="74"/>
        <v>10.009999999999998</v>
      </c>
      <c r="AK31" s="224">
        <f t="shared" si="75"/>
        <v>10.009999999999998</v>
      </c>
      <c r="AL31" s="225">
        <f t="shared" si="76"/>
        <v>10.009999999999998</v>
      </c>
      <c r="AM31" s="224">
        <f t="shared" si="77"/>
        <v>10.009999999999998</v>
      </c>
    </row>
    <row r="32" spans="1:39" x14ac:dyDescent="0.25">
      <c r="A32" s="26"/>
      <c r="B32" s="26"/>
      <c r="C32" s="26"/>
      <c r="D32" s="210"/>
      <c r="E32" s="210"/>
      <c r="F32" s="210"/>
      <c r="G32" s="210"/>
      <c r="H32" s="210"/>
      <c r="I32" s="210"/>
      <c r="K32" s="26"/>
      <c r="L32" s="26" t="s">
        <v>841</v>
      </c>
      <c r="M32" s="26" t="s">
        <v>74</v>
      </c>
      <c r="N32" s="210"/>
      <c r="O32" s="210"/>
      <c r="Q32" s="210">
        <v>0</v>
      </c>
      <c r="R32" s="210"/>
      <c r="S32" s="210"/>
      <c r="U32" s="26"/>
      <c r="V32" s="26"/>
      <c r="W32" s="26"/>
      <c r="X32" s="210"/>
      <c r="Y32" s="210"/>
      <c r="Z32" s="210"/>
      <c r="AA32" s="210"/>
      <c r="AB32" s="210"/>
      <c r="AC32" s="210"/>
      <c r="AH32" s="210"/>
      <c r="AI32" s="210"/>
      <c r="AJ32" s="210"/>
      <c r="AK32" s="210"/>
      <c r="AL32" s="210"/>
      <c r="AM32" s="210"/>
    </row>
    <row r="33" spans="1:39" ht="15.75" thickBot="1" x14ac:dyDescent="0.3">
      <c r="A33" s="42" t="s">
        <v>84</v>
      </c>
      <c r="D33" s="78"/>
      <c r="E33" s="78"/>
      <c r="F33" s="78"/>
      <c r="G33" s="78"/>
      <c r="H33" s="78"/>
      <c r="I33" s="78"/>
      <c r="K33" s="393" t="s">
        <v>230</v>
      </c>
      <c r="L33" s="394"/>
      <c r="M33" s="394"/>
      <c r="N33" s="407"/>
      <c r="O33" s="407"/>
      <c r="P33" s="78"/>
      <c r="Q33" s="78"/>
      <c r="R33" s="78"/>
      <c r="S33" s="78"/>
      <c r="U33" s="42" t="s">
        <v>231</v>
      </c>
      <c r="X33" s="78"/>
      <c r="Y33" s="78"/>
      <c r="Z33" s="78"/>
      <c r="AA33" s="78"/>
      <c r="AB33" s="78"/>
      <c r="AC33" s="78"/>
      <c r="AE33" s="42" t="s">
        <v>232</v>
      </c>
      <c r="AF33" s="40"/>
      <c r="AG33" s="40"/>
      <c r="AH33" s="78"/>
      <c r="AI33" s="78"/>
      <c r="AJ33" s="78"/>
      <c r="AK33" s="78"/>
      <c r="AL33" s="78"/>
      <c r="AM33" s="78"/>
    </row>
    <row r="34" spans="1:39" x14ac:dyDescent="0.25">
      <c r="A34" s="1121" t="s">
        <v>17</v>
      </c>
      <c r="B34" s="128" t="s">
        <v>8</v>
      </c>
      <c r="C34" s="128" t="s">
        <v>36</v>
      </c>
      <c r="D34" s="238">
        <f>D18*D$37</f>
        <v>34.972878293330716</v>
      </c>
      <c r="E34" s="239">
        <f t="shared" ref="D34:I36" si="81">E18*E$37</f>
        <v>30.959435389109224</v>
      </c>
      <c r="F34" s="238">
        <f t="shared" si="81"/>
        <v>34.972878293330716</v>
      </c>
      <c r="G34" s="239">
        <f t="shared" si="81"/>
        <v>30.959435389109224</v>
      </c>
      <c r="H34" s="240">
        <f t="shared" si="81"/>
        <v>34.972878293330716</v>
      </c>
      <c r="I34" s="239">
        <f t="shared" si="81"/>
        <v>30.959435389109224</v>
      </c>
      <c r="K34" s="1121" t="s">
        <v>17</v>
      </c>
      <c r="L34" s="128" t="s">
        <v>8</v>
      </c>
      <c r="M34" s="128" t="s">
        <v>36</v>
      </c>
      <c r="N34" s="238">
        <f>N18*N$37</f>
        <v>34.972878293330716</v>
      </c>
      <c r="O34" s="239">
        <f t="shared" ref="O34:S34" si="82">O18*O$37</f>
        <v>30.959435389109224</v>
      </c>
      <c r="P34" s="238">
        <f t="shared" si="82"/>
        <v>34.972878293330716</v>
      </c>
      <c r="Q34" s="239">
        <f>Q18*Q$37</f>
        <v>30.959435389109224</v>
      </c>
      <c r="R34" s="240">
        <f t="shared" si="82"/>
        <v>34.972878293330716</v>
      </c>
      <c r="S34" s="239">
        <f t="shared" si="82"/>
        <v>30.959435389109224</v>
      </c>
      <c r="U34" s="1121" t="s">
        <v>17</v>
      </c>
      <c r="V34" s="128" t="s">
        <v>8</v>
      </c>
      <c r="W34" s="128" t="s">
        <v>36</v>
      </c>
      <c r="X34" s="238">
        <f>N34*(1+N$50)*(1+N$44*'Indata - Effektsamband-Faktorer'!$D$8)</f>
        <v>34.972878293330716</v>
      </c>
      <c r="Y34" s="239">
        <f>O34*(1+O$50)*(1+O$44*'Indata - Effektsamband-Faktorer'!$E$8)</f>
        <v>30.959435389109224</v>
      </c>
      <c r="Z34" s="238">
        <f>P34*(1+P$50)*(1+P$44*'Indata - Effektsamband-Faktorer'!$D$8)</f>
        <v>35.228240198326176</v>
      </c>
      <c r="AA34" s="239">
        <f>Q34*(1+Q$50)*(1+Q$44*'Indata - Effektsamband-Faktorer'!$E$8)</f>
        <v>31.150937108128581</v>
      </c>
      <c r="AB34" s="240">
        <f>R34*(1+R$50)*(1+R$44*'Indata - Effektsamband-Faktorer'!$D$8)</f>
        <v>35.228240198326176</v>
      </c>
      <c r="AC34" s="239">
        <f>S34*(1+S$50)*(1+S$44*'Indata - Effektsamband-Faktorer'!$E$8)</f>
        <v>31.150937108128581</v>
      </c>
      <c r="AE34" s="1121" t="s">
        <v>17</v>
      </c>
      <c r="AF34" s="128" t="s">
        <v>8</v>
      </c>
      <c r="AG34" s="128" t="s">
        <v>36</v>
      </c>
      <c r="AH34" s="238">
        <f>X34*(1-Indata!D$21)</f>
        <v>34.972878293330716</v>
      </c>
      <c r="AI34" s="239">
        <f>Y34*(1-Indata!E$21)</f>
        <v>30.959435389109224</v>
      </c>
      <c r="AJ34" s="238">
        <f>Z34*(1-Indata!F$21)</f>
        <v>35.228240198326176</v>
      </c>
      <c r="AK34" s="239">
        <f>AA34*(1-Indata!G$21)</f>
        <v>31.150937108128581</v>
      </c>
      <c r="AL34" s="240">
        <f>AB34*(1-Indata!H$21)</f>
        <v>35.228240198326176</v>
      </c>
      <c r="AM34" s="239">
        <f>AC34*(1-Indata!I$21)</f>
        <v>31.150937108128581</v>
      </c>
    </row>
    <row r="35" spans="1:39" x14ac:dyDescent="0.25">
      <c r="A35" s="1122"/>
      <c r="B35" s="129" t="s">
        <v>9</v>
      </c>
      <c r="C35" s="129" t="s">
        <v>36</v>
      </c>
      <c r="D35" s="241">
        <f t="shared" si="81"/>
        <v>37.395523495653713</v>
      </c>
      <c r="E35" s="242">
        <f t="shared" si="81"/>
        <v>31.203723370836126</v>
      </c>
      <c r="F35" s="241">
        <f t="shared" si="81"/>
        <v>37.395523495653713</v>
      </c>
      <c r="G35" s="242">
        <f t="shared" si="81"/>
        <v>31.203723370836126</v>
      </c>
      <c r="H35" s="243">
        <f t="shared" si="81"/>
        <v>37.395523495653713</v>
      </c>
      <c r="I35" s="242">
        <f t="shared" si="81"/>
        <v>31.203723370836126</v>
      </c>
      <c r="K35" s="1122"/>
      <c r="L35" s="129" t="s">
        <v>9</v>
      </c>
      <c r="M35" s="129" t="s">
        <v>36</v>
      </c>
      <c r="N35" s="241">
        <f>N19*N$37</f>
        <v>37.395523495653713</v>
      </c>
      <c r="O35" s="242">
        <f t="shared" ref="O35:S36" si="83">O19*O$37</f>
        <v>31.203723370836126</v>
      </c>
      <c r="P35" s="241">
        <f t="shared" si="83"/>
        <v>37.395523495653713</v>
      </c>
      <c r="Q35" s="242">
        <f t="shared" si="83"/>
        <v>31.203723370836126</v>
      </c>
      <c r="R35" s="243">
        <f t="shared" si="83"/>
        <v>37.395523495653713</v>
      </c>
      <c r="S35" s="242">
        <f t="shared" si="83"/>
        <v>31.203723370836126</v>
      </c>
      <c r="U35" s="1122"/>
      <c r="V35" s="129" t="s">
        <v>9</v>
      </c>
      <c r="W35" s="129" t="s">
        <v>36</v>
      </c>
      <c r="X35" s="241">
        <f>N35*(1+N$50)*(1+N$44*'Indata - Effektsamband-Faktorer'!$D$8)</f>
        <v>37.395523495653713</v>
      </c>
      <c r="Y35" s="242">
        <f>O35*(1+O$50)*(1+O$44*'Indata - Effektsamband-Faktorer'!$E$8)</f>
        <v>31.203723370836126</v>
      </c>
      <c r="Z35" s="241">
        <f>P35*(1+P$50)*(1+P$44*'Indata - Effektsamband-Faktorer'!$D$8)</f>
        <v>37.668574859572288</v>
      </c>
      <c r="AA35" s="242">
        <f>Q35*(1+Q$50)*(1+Q$44*'Indata - Effektsamband-Faktorer'!$E$8)</f>
        <v>31.396736149984601</v>
      </c>
      <c r="AB35" s="243">
        <f>R35*(1+R$50)*(1+R$44*'Indata - Effektsamband-Faktorer'!$D$8)</f>
        <v>37.668574859572288</v>
      </c>
      <c r="AC35" s="242">
        <f>S35*(1+S$50)*(1+S$44*'Indata - Effektsamband-Faktorer'!$E$8)</f>
        <v>31.396736149984601</v>
      </c>
      <c r="AE35" s="1122"/>
      <c r="AF35" s="129" t="s">
        <v>9</v>
      </c>
      <c r="AG35" s="129" t="s">
        <v>36</v>
      </c>
      <c r="AH35" s="241">
        <f>X35*(1-Indata!D$21)</f>
        <v>37.395523495653713</v>
      </c>
      <c r="AI35" s="242">
        <f>Y35*(1-Indata!E$21)</f>
        <v>31.203723370836126</v>
      </c>
      <c r="AJ35" s="241">
        <f>Z35*(1-Indata!F$21)</f>
        <v>37.668574859572288</v>
      </c>
      <c r="AK35" s="242">
        <f>AA35*(1-Indata!G$21)</f>
        <v>31.396736149984601</v>
      </c>
      <c r="AL35" s="243">
        <f>AB35*(1-Indata!H$21)</f>
        <v>37.668574859572288</v>
      </c>
      <c r="AM35" s="242">
        <f>AC35*(1-Indata!I$21)</f>
        <v>31.396736149984601</v>
      </c>
    </row>
    <row r="36" spans="1:39" x14ac:dyDescent="0.25">
      <c r="A36" s="1122"/>
      <c r="B36" s="129" t="s">
        <v>7</v>
      </c>
      <c r="C36" s="129" t="s">
        <v>36</v>
      </c>
      <c r="D36" s="241">
        <f t="shared" si="81"/>
        <v>15.885746734167313</v>
      </c>
      <c r="E36" s="242">
        <f t="shared" si="81"/>
        <v>38.100000530289087</v>
      </c>
      <c r="F36" s="241">
        <f t="shared" si="81"/>
        <v>15.885746734167313</v>
      </c>
      <c r="G36" s="242">
        <f t="shared" si="81"/>
        <v>38.100000530289087</v>
      </c>
      <c r="H36" s="243">
        <f t="shared" si="81"/>
        <v>15.885746734167313</v>
      </c>
      <c r="I36" s="242">
        <f t="shared" si="81"/>
        <v>38.100000530289087</v>
      </c>
      <c r="K36" s="1122"/>
      <c r="L36" s="129" t="s">
        <v>7</v>
      </c>
      <c r="M36" s="129" t="s">
        <v>36</v>
      </c>
      <c r="N36" s="241">
        <f>N20*N$37</f>
        <v>15.885746734167313</v>
      </c>
      <c r="O36" s="242">
        <f t="shared" si="83"/>
        <v>38.100000530289087</v>
      </c>
      <c r="P36" s="241">
        <f t="shared" si="83"/>
        <v>15.885746734167313</v>
      </c>
      <c r="Q36" s="242">
        <f t="shared" si="83"/>
        <v>38.100000530289087</v>
      </c>
      <c r="R36" s="243">
        <f t="shared" si="83"/>
        <v>15.885746734167313</v>
      </c>
      <c r="S36" s="242">
        <f t="shared" si="83"/>
        <v>38.100000530289087</v>
      </c>
      <c r="U36" s="1122"/>
      <c r="V36" s="129" t="s">
        <v>7</v>
      </c>
      <c r="W36" s="129" t="s">
        <v>36</v>
      </c>
      <c r="X36" s="241">
        <f>N36*(1+N$50)*(1+N$44*'Indata - Effektsamband-Faktorer'!$D$8)</f>
        <v>15.885746734167313</v>
      </c>
      <c r="Y36" s="242">
        <f>O36*(1+O$50)*(1+O$44*'Indata - Effektsamband-Faktorer'!$E$8)</f>
        <v>38.100000530289087</v>
      </c>
      <c r="Z36" s="241">
        <f>P36*(1+P$50)*(1+P$44*'Indata - Effektsamband-Faktorer'!$D$8)</f>
        <v>16.001739890758198</v>
      </c>
      <c r="AA36" s="242">
        <f>Q36*(1+Q$50)*(1+Q$44*'Indata - Effektsamband-Faktorer'!$E$8)</f>
        <v>38.335670706585496</v>
      </c>
      <c r="AB36" s="243">
        <f>R36*(1+R$50)*(1+R$44*'Indata - Effektsamband-Faktorer'!$D$8)</f>
        <v>16.001739890758198</v>
      </c>
      <c r="AC36" s="242">
        <f>S36*(1+S$50)*(1+S$44*'Indata - Effektsamband-Faktorer'!$E$8)</f>
        <v>38.335670706585496</v>
      </c>
      <c r="AE36" s="1122"/>
      <c r="AF36" s="129" t="s">
        <v>7</v>
      </c>
      <c r="AG36" s="129" t="s">
        <v>36</v>
      </c>
      <c r="AH36" s="241">
        <f>X36*(1-Indata!D$21)</f>
        <v>15.885746734167313</v>
      </c>
      <c r="AI36" s="242">
        <f>Y36*(1-Indata!E$21)</f>
        <v>38.100000530289087</v>
      </c>
      <c r="AJ36" s="241">
        <f>Z36*(1-Indata!F$21)</f>
        <v>16.001739890758198</v>
      </c>
      <c r="AK36" s="242">
        <f>AA36*(1-Indata!G$21)</f>
        <v>38.335670706585496</v>
      </c>
      <c r="AL36" s="243">
        <f>AB36*(1-Indata!H$21)</f>
        <v>16.001739890758198</v>
      </c>
      <c r="AM36" s="242">
        <f>AC36*(1-Indata!I$21)</f>
        <v>38.335670706585496</v>
      </c>
    </row>
    <row r="37" spans="1:39" ht="15.75" thickBot="1" x14ac:dyDescent="0.3">
      <c r="A37" s="1123"/>
      <c r="B37" s="182" t="s">
        <v>16</v>
      </c>
      <c r="C37" s="182" t="s">
        <v>36</v>
      </c>
      <c r="D37" s="214">
        <f>Indata!D37*(1+Indata!D38)</f>
        <v>88.254148523151741</v>
      </c>
      <c r="E37" s="215">
        <f>Indata!E37*(1+Indata!E38)</f>
        <v>100.26315929023444</v>
      </c>
      <c r="F37" s="214">
        <f>Indata!F37*(1+Indata!F38)</f>
        <v>88.254148523151741</v>
      </c>
      <c r="G37" s="215">
        <f>Indata!G37*(1+Indata!G38)</f>
        <v>100.26315929023444</v>
      </c>
      <c r="H37" s="216">
        <f>Indata!H37*(1+Indata!H38)</f>
        <v>88.254148523151741</v>
      </c>
      <c r="I37" s="215">
        <f>Indata!I37*(1+Indata!I38)</f>
        <v>100.26315929023444</v>
      </c>
      <c r="K37" s="1123"/>
      <c r="L37" s="182" t="s">
        <v>16</v>
      </c>
      <c r="M37" s="182" t="s">
        <v>36</v>
      </c>
      <c r="N37" s="214">
        <f>D37</f>
        <v>88.254148523151741</v>
      </c>
      <c r="O37" s="215">
        <f t="shared" ref="O37:S37" si="84">E37</f>
        <v>100.26315929023444</v>
      </c>
      <c r="P37" s="214">
        <f t="shared" si="84"/>
        <v>88.254148523151741</v>
      </c>
      <c r="Q37" s="215">
        <f t="shared" si="84"/>
        <v>100.26315929023444</v>
      </c>
      <c r="R37" s="216">
        <f t="shared" si="84"/>
        <v>88.254148523151741</v>
      </c>
      <c r="S37" s="215">
        <f t="shared" si="84"/>
        <v>100.26315929023444</v>
      </c>
      <c r="U37" s="1123"/>
      <c r="V37" s="182" t="s">
        <v>16</v>
      </c>
      <c r="W37" s="182" t="s">
        <v>36</v>
      </c>
      <c r="X37" s="214">
        <f>SUM(X34:X36)</f>
        <v>88.254148523151741</v>
      </c>
      <c r="Y37" s="215">
        <f>SUM(Y34:Y36)</f>
        <v>100.26315929023443</v>
      </c>
      <c r="Z37" s="214">
        <f>SUM(Z34:Z36)</f>
        <v>88.898554948656667</v>
      </c>
      <c r="AA37" s="215">
        <f>SUM(AA34:AA36)</f>
        <v>100.88334396469867</v>
      </c>
      <c r="AB37" s="216">
        <f>SUM(AB34:AB36)</f>
        <v>88.898554948656667</v>
      </c>
      <c r="AC37" s="215">
        <f t="shared" ref="AC37" si="85">SUM(AC34:AC36)</f>
        <v>100.88334396469867</v>
      </c>
      <c r="AE37" s="1123"/>
      <c r="AF37" s="182" t="s">
        <v>16</v>
      </c>
      <c r="AG37" s="182" t="s">
        <v>36</v>
      </c>
      <c r="AH37" s="214">
        <f>SUM(AH34:AH36)</f>
        <v>88.254148523151741</v>
      </c>
      <c r="AI37" s="215">
        <f t="shared" ref="AI37" si="86">SUM(AI34:AI36)</f>
        <v>100.26315929023443</v>
      </c>
      <c r="AJ37" s="214">
        <f>SUM(AJ34:AJ36)</f>
        <v>88.898554948656667</v>
      </c>
      <c r="AK37" s="215">
        <f t="shared" ref="AK37" si="87">SUM(AK34:AK36)</f>
        <v>100.88334396469867</v>
      </c>
      <c r="AL37" s="216">
        <f>SUM(AL34:AL36)</f>
        <v>88.898554948656667</v>
      </c>
      <c r="AM37" s="215">
        <f t="shared" ref="AM37" si="88">SUM(AM34:AM36)</f>
        <v>100.88334396469867</v>
      </c>
    </row>
    <row r="38" spans="1:39" x14ac:dyDescent="0.25">
      <c r="D38" s="78"/>
      <c r="E38" s="78"/>
      <c r="F38" s="78"/>
      <c r="G38" s="78"/>
      <c r="H38" s="78"/>
      <c r="I38" s="78"/>
      <c r="N38" s="78"/>
      <c r="O38" s="78"/>
      <c r="P38" s="78"/>
      <c r="Q38" s="78"/>
      <c r="R38" s="78"/>
      <c r="S38" s="78"/>
      <c r="X38" s="78"/>
      <c r="Y38" s="78"/>
      <c r="Z38" s="78"/>
      <c r="AA38" s="78"/>
      <c r="AB38" s="78"/>
      <c r="AC38" s="78"/>
      <c r="AE38" s="40"/>
      <c r="AF38" s="40"/>
      <c r="AG38" s="40"/>
      <c r="AH38" s="78"/>
      <c r="AI38" s="78"/>
      <c r="AJ38" s="78"/>
      <c r="AK38" s="78"/>
      <c r="AL38" s="78"/>
      <c r="AM38" s="78"/>
    </row>
    <row r="39" spans="1:39" ht="15.75" thickBot="1" x14ac:dyDescent="0.3">
      <c r="A39" s="42" t="s">
        <v>85</v>
      </c>
      <c r="D39" s="194"/>
      <c r="E39" s="194"/>
      <c r="F39" s="194"/>
      <c r="G39" s="194"/>
      <c r="H39" s="194"/>
      <c r="I39" s="194"/>
      <c r="K39" s="42" t="s">
        <v>233</v>
      </c>
      <c r="N39" s="194"/>
      <c r="O39" s="194"/>
      <c r="P39" s="194"/>
      <c r="Q39" s="1080">
        <f>(O40-Q40)/O40</f>
        <v>0</v>
      </c>
      <c r="R39" s="194"/>
      <c r="S39" s="194"/>
      <c r="U39" s="42" t="s">
        <v>88</v>
      </c>
      <c r="X39" s="194"/>
      <c r="Y39" s="194"/>
      <c r="Z39" s="194"/>
      <c r="AA39" s="78"/>
      <c r="AB39" s="194"/>
      <c r="AC39" s="194"/>
      <c r="AE39" s="42" t="s">
        <v>158</v>
      </c>
      <c r="AF39" s="40"/>
      <c r="AG39" s="40"/>
      <c r="AH39" s="194"/>
      <c r="AI39" s="194"/>
      <c r="AJ39" s="194"/>
      <c r="AK39" s="194"/>
      <c r="AL39" s="194"/>
      <c r="AM39" s="194"/>
    </row>
    <row r="40" spans="1:39" x14ac:dyDescent="0.25">
      <c r="A40" s="1133" t="s">
        <v>77</v>
      </c>
      <c r="B40" s="128" t="s">
        <v>8</v>
      </c>
      <c r="C40" s="128" t="s">
        <v>74</v>
      </c>
      <c r="D40" s="195">
        <f>D6*D13+D24+D29</f>
        <v>20.894137307914438</v>
      </c>
      <c r="E40" s="196">
        <f t="shared" ref="D40:I42" si="89">E6*E13+E24+E29</f>
        <v>20.490767763608162</v>
      </c>
      <c r="F40" s="195">
        <f t="shared" si="89"/>
        <v>20.894137307914438</v>
      </c>
      <c r="G40" s="196">
        <f t="shared" si="89"/>
        <v>20.490767763608162</v>
      </c>
      <c r="H40" s="197">
        <f t="shared" si="89"/>
        <v>20.894137307914438</v>
      </c>
      <c r="I40" s="196">
        <f t="shared" si="89"/>
        <v>20.490767763608162</v>
      </c>
      <c r="K40" s="1133" t="s">
        <v>77</v>
      </c>
      <c r="L40" s="128" t="s">
        <v>8</v>
      </c>
      <c r="M40" s="128" t="s">
        <v>74</v>
      </c>
      <c r="N40" s="195">
        <f>N6*N13+N24+N29</f>
        <v>20.894137307914438</v>
      </c>
      <c r="O40" s="196">
        <f t="shared" ref="N40:S42" si="90">O6*O13+O24+O29</f>
        <v>20.490767763608162</v>
      </c>
      <c r="P40" s="195">
        <f t="shared" si="90"/>
        <v>20.894137307914438</v>
      </c>
      <c r="Q40" s="196">
        <f>Q6*Q13+Q24+Q29</f>
        <v>20.490767763608162</v>
      </c>
      <c r="R40" s="197">
        <f t="shared" si="90"/>
        <v>20.894137307914438</v>
      </c>
      <c r="S40" s="196">
        <f t="shared" si="90"/>
        <v>20.490767763608162</v>
      </c>
      <c r="U40" s="1133" t="s">
        <v>77</v>
      </c>
      <c r="V40" s="128" t="s">
        <v>8</v>
      </c>
      <c r="W40" s="128" t="s">
        <v>74</v>
      </c>
      <c r="X40" s="195">
        <f>N40</f>
        <v>20.894137307914438</v>
      </c>
      <c r="Y40" s="196">
        <f t="shared" ref="Y40:Y42" si="91">O40</f>
        <v>20.490767763608162</v>
      </c>
      <c r="Z40" s="195">
        <f t="shared" ref="Z40:Z42" si="92">P40</f>
        <v>20.894137307914438</v>
      </c>
      <c r="AA40" s="196">
        <f t="shared" ref="AA40:AA42" si="93">Q40</f>
        <v>20.490767763608162</v>
      </c>
      <c r="AB40" s="197">
        <f t="shared" ref="AB40:AB42" si="94">R40</f>
        <v>20.894137307914438</v>
      </c>
      <c r="AC40" s="196">
        <f t="shared" ref="AC40:AC42" si="95">S40</f>
        <v>20.490767763608162</v>
      </c>
      <c r="AE40" s="1133" t="s">
        <v>77</v>
      </c>
      <c r="AF40" s="128" t="s">
        <v>8</v>
      </c>
      <c r="AG40" s="128" t="s">
        <v>74</v>
      </c>
      <c r="AH40" s="195">
        <f>X40</f>
        <v>20.894137307914438</v>
      </c>
      <c r="AI40" s="196">
        <f t="shared" ref="AI40:AI42" si="96">Y40</f>
        <v>20.490767763608162</v>
      </c>
      <c r="AJ40" s="195">
        <f>Z40</f>
        <v>20.894137307914438</v>
      </c>
      <c r="AK40" s="196">
        <f t="shared" ref="AK40:AK41" si="97">AA40</f>
        <v>20.490767763608162</v>
      </c>
      <c r="AL40" s="197">
        <f t="shared" ref="AL40:AL42" si="98">AB40</f>
        <v>20.894137307914438</v>
      </c>
      <c r="AM40" s="196">
        <f t="shared" ref="AM40:AM42" si="99">AC40</f>
        <v>20.490767763608162</v>
      </c>
    </row>
    <row r="41" spans="1:39" x14ac:dyDescent="0.25">
      <c r="A41" s="1134"/>
      <c r="B41" s="129" t="s">
        <v>9</v>
      </c>
      <c r="C41" s="129" t="s">
        <v>74</v>
      </c>
      <c r="D41" s="198">
        <f t="shared" si="89"/>
        <v>21.583355544123954</v>
      </c>
      <c r="E41" s="199">
        <f t="shared" si="89"/>
        <v>21.099103565816492</v>
      </c>
      <c r="F41" s="198">
        <f t="shared" si="89"/>
        <v>21.583355544123954</v>
      </c>
      <c r="G41" s="199">
        <f t="shared" si="89"/>
        <v>21.099103565816492</v>
      </c>
      <c r="H41" s="200">
        <f t="shared" si="89"/>
        <v>21.583355544123954</v>
      </c>
      <c r="I41" s="199">
        <f t="shared" si="89"/>
        <v>21.099103565816492</v>
      </c>
      <c r="K41" s="1134"/>
      <c r="L41" s="129" t="s">
        <v>9</v>
      </c>
      <c r="M41" s="129" t="s">
        <v>74</v>
      </c>
      <c r="N41" s="198">
        <f t="shared" si="90"/>
        <v>21.583355544123954</v>
      </c>
      <c r="O41" s="199">
        <f t="shared" si="90"/>
        <v>21.099103565816492</v>
      </c>
      <c r="P41" s="198">
        <f t="shared" si="90"/>
        <v>21.583355544123954</v>
      </c>
      <c r="Q41" s="199">
        <f t="shared" si="90"/>
        <v>21.099103565816492</v>
      </c>
      <c r="R41" s="200">
        <f t="shared" si="90"/>
        <v>21.583355544123954</v>
      </c>
      <c r="S41" s="199">
        <f t="shared" si="90"/>
        <v>21.099103565816492</v>
      </c>
      <c r="U41" s="1134"/>
      <c r="V41" s="129" t="s">
        <v>9</v>
      </c>
      <c r="W41" s="129" t="s">
        <v>74</v>
      </c>
      <c r="X41" s="198">
        <f t="shared" ref="X41:X42" si="100">N41</f>
        <v>21.583355544123954</v>
      </c>
      <c r="Y41" s="199">
        <f t="shared" si="91"/>
        <v>21.099103565816492</v>
      </c>
      <c r="Z41" s="198">
        <f t="shared" si="92"/>
        <v>21.583355544123954</v>
      </c>
      <c r="AA41" s="199">
        <f t="shared" si="93"/>
        <v>21.099103565816492</v>
      </c>
      <c r="AB41" s="200">
        <f t="shared" si="94"/>
        <v>21.583355544123954</v>
      </c>
      <c r="AC41" s="199">
        <f t="shared" si="95"/>
        <v>21.099103565816492</v>
      </c>
      <c r="AE41" s="1134"/>
      <c r="AF41" s="129" t="s">
        <v>9</v>
      </c>
      <c r="AG41" s="129" t="s">
        <v>74</v>
      </c>
      <c r="AH41" s="198">
        <f t="shared" ref="AH41" si="101">X41</f>
        <v>21.583355544123954</v>
      </c>
      <c r="AI41" s="199">
        <f t="shared" si="96"/>
        <v>21.099103565816492</v>
      </c>
      <c r="AJ41" s="198">
        <f t="shared" ref="AJ41:AJ42" si="102">Z41</f>
        <v>21.583355544123954</v>
      </c>
      <c r="AK41" s="199">
        <f t="shared" si="97"/>
        <v>21.099103565816492</v>
      </c>
      <c r="AL41" s="200">
        <f t="shared" si="98"/>
        <v>21.583355544123954</v>
      </c>
      <c r="AM41" s="199">
        <f t="shared" si="99"/>
        <v>21.099103565816492</v>
      </c>
    </row>
    <row r="42" spans="1:39" x14ac:dyDescent="0.25">
      <c r="A42" s="1134"/>
      <c r="B42" s="129" t="s">
        <v>7</v>
      </c>
      <c r="C42" s="129" t="s">
        <v>74</v>
      </c>
      <c r="D42" s="198">
        <f t="shared" si="89"/>
        <v>15.615515788043478</v>
      </c>
      <c r="E42" s="199">
        <f t="shared" si="89"/>
        <v>16.728198124999999</v>
      </c>
      <c r="F42" s="198">
        <f t="shared" si="89"/>
        <v>15.615515788043478</v>
      </c>
      <c r="G42" s="199">
        <f t="shared" si="89"/>
        <v>16.728198124999999</v>
      </c>
      <c r="H42" s="200">
        <f t="shared" si="89"/>
        <v>15.615515788043478</v>
      </c>
      <c r="I42" s="199">
        <f t="shared" si="89"/>
        <v>16.728198124999999</v>
      </c>
      <c r="K42" s="1134"/>
      <c r="L42" s="129" t="s">
        <v>7</v>
      </c>
      <c r="M42" s="129" t="s">
        <v>74</v>
      </c>
      <c r="N42" s="198">
        <f t="shared" si="90"/>
        <v>15.615515788043478</v>
      </c>
      <c r="O42" s="199">
        <f t="shared" si="90"/>
        <v>16.728198124999999</v>
      </c>
      <c r="P42" s="198">
        <f t="shared" si="90"/>
        <v>15.615515788043478</v>
      </c>
      <c r="Q42" s="199">
        <f>Q8*Q15+Q26+Q31</f>
        <v>16.728198124999999</v>
      </c>
      <c r="R42" s="200">
        <f t="shared" si="90"/>
        <v>15.615515788043478</v>
      </c>
      <c r="S42" s="199">
        <f t="shared" si="90"/>
        <v>16.728198124999999</v>
      </c>
      <c r="U42" s="1134"/>
      <c r="V42" s="129" t="s">
        <v>7</v>
      </c>
      <c r="W42" s="129" t="s">
        <v>74</v>
      </c>
      <c r="X42" s="198">
        <f t="shared" si="100"/>
        <v>15.615515788043478</v>
      </c>
      <c r="Y42" s="199">
        <f t="shared" si="91"/>
        <v>16.728198124999999</v>
      </c>
      <c r="Z42" s="198">
        <f t="shared" si="92"/>
        <v>15.615515788043478</v>
      </c>
      <c r="AA42" s="199">
        <f t="shared" si="93"/>
        <v>16.728198124999999</v>
      </c>
      <c r="AB42" s="200">
        <f t="shared" si="94"/>
        <v>15.615515788043478</v>
      </c>
      <c r="AC42" s="199">
        <f t="shared" si="95"/>
        <v>16.728198124999999</v>
      </c>
      <c r="AE42" s="1134"/>
      <c r="AF42" s="129" t="s">
        <v>7</v>
      </c>
      <c r="AG42" s="129" t="s">
        <v>74</v>
      </c>
      <c r="AH42" s="198">
        <f>X42</f>
        <v>15.615515788043478</v>
      </c>
      <c r="AI42" s="199">
        <f t="shared" si="96"/>
        <v>16.728198124999999</v>
      </c>
      <c r="AJ42" s="198">
        <f t="shared" si="102"/>
        <v>15.615515788043478</v>
      </c>
      <c r="AK42" s="199">
        <f>AA42</f>
        <v>16.728198124999999</v>
      </c>
      <c r="AL42" s="200">
        <f t="shared" si="98"/>
        <v>15.615515788043478</v>
      </c>
      <c r="AM42" s="199">
        <f t="shared" si="99"/>
        <v>16.728198124999999</v>
      </c>
    </row>
    <row r="43" spans="1:39" x14ac:dyDescent="0.25">
      <c r="A43" s="1134"/>
      <c r="B43" s="180" t="s">
        <v>76</v>
      </c>
      <c r="C43" s="180" t="s">
        <v>74</v>
      </c>
      <c r="D43" s="301">
        <v>20.74</v>
      </c>
      <c r="E43" s="302">
        <v>19.655019213344737</v>
      </c>
      <c r="F43" s="191">
        <f>SUMPRODUCT(F40:F42,F34:F36)/F37</f>
        <v>20.236024700220387</v>
      </c>
      <c r="G43" s="192">
        <f t="shared" ref="G43:I43" si="103">SUMPRODUCT(G40:G42,G34:G36)/G37</f>
        <v>19.250316494987008</v>
      </c>
      <c r="H43" s="193">
        <f t="shared" si="103"/>
        <v>20.236024700220387</v>
      </c>
      <c r="I43" s="192">
        <f t="shared" si="103"/>
        <v>19.250316494987008</v>
      </c>
      <c r="K43" s="1134"/>
      <c r="L43" s="180" t="s">
        <v>76</v>
      </c>
      <c r="M43" s="180" t="s">
        <v>74</v>
      </c>
      <c r="N43" s="301">
        <f>D43</f>
        <v>20.74</v>
      </c>
      <c r="O43" s="302">
        <f>E43</f>
        <v>19.655019213344737</v>
      </c>
      <c r="P43" s="191">
        <f>SUMPRODUCT(P40:P42,P34:P36)/P37</f>
        <v>20.236024700220387</v>
      </c>
      <c r="Q43" s="192">
        <f>SUMPRODUCT(Q40:Q42,Q34:Q36)/Q37</f>
        <v>19.250316494987008</v>
      </c>
      <c r="R43" s="193">
        <f>SUMPRODUCT(R40:R42,R34:R36)/R37</f>
        <v>20.236024700220387</v>
      </c>
      <c r="S43" s="192">
        <f t="shared" ref="S43" si="104">SUMPRODUCT(S40:S42,S34:S36)/S37</f>
        <v>19.250316494987008</v>
      </c>
      <c r="U43" s="1134"/>
      <c r="V43" s="180" t="s">
        <v>76</v>
      </c>
      <c r="W43" s="180" t="s">
        <v>74</v>
      </c>
      <c r="X43" s="301">
        <f>D43</f>
        <v>20.74</v>
      </c>
      <c r="Y43" s="302">
        <f>E43</f>
        <v>19.655019213344737</v>
      </c>
      <c r="Z43" s="191">
        <f>SUMPRODUCT(Z40:Z42,Z34:Z36)/Z37</f>
        <v>20.236024700220387</v>
      </c>
      <c r="AA43" s="192">
        <f>SUMPRODUCT(AA40:AA42,AA34:AA36)/AA37</f>
        <v>19.250316494987011</v>
      </c>
      <c r="AB43" s="193">
        <f t="shared" ref="AB43:AC43" si="105">SUMPRODUCT(AB40:AB42,AB34:AB36)/AB37</f>
        <v>20.236024700220387</v>
      </c>
      <c r="AC43" s="192">
        <f t="shared" si="105"/>
        <v>19.250316494987011</v>
      </c>
      <c r="AE43" s="1134"/>
      <c r="AF43" s="180" t="s">
        <v>76</v>
      </c>
      <c r="AG43" s="180" t="s">
        <v>74</v>
      </c>
      <c r="AH43" s="301">
        <f>X43</f>
        <v>20.74</v>
      </c>
      <c r="AI43" s="302">
        <f>E43</f>
        <v>19.655019213344737</v>
      </c>
      <c r="AJ43" s="191">
        <f>SUMPRODUCT(AJ40:AJ42,AJ34:AJ36)/AJ37</f>
        <v>20.236024700220387</v>
      </c>
      <c r="AK43" s="192">
        <f>SUMPRODUCT(AK40:AK42,AK34:AK36)/AK37</f>
        <v>19.250316494987011</v>
      </c>
      <c r="AL43" s="193">
        <f>SUMPRODUCT(AL40:AL42,AL34:AL36)/AL37</f>
        <v>20.236024700220387</v>
      </c>
      <c r="AM43" s="192">
        <f>SUMPRODUCT(AM40:AM42,AM34:AM36)/AM37</f>
        <v>19.250316494987011</v>
      </c>
    </row>
    <row r="44" spans="1:39" ht="15.75" thickBot="1" x14ac:dyDescent="0.3">
      <c r="A44" s="1135"/>
      <c r="B44" s="181" t="s">
        <v>234</v>
      </c>
      <c r="C44" s="181" t="s">
        <v>25</v>
      </c>
      <c r="D44" s="217" t="s">
        <v>78</v>
      </c>
      <c r="E44" s="218" t="s">
        <v>78</v>
      </c>
      <c r="F44" s="217" t="s">
        <v>78</v>
      </c>
      <c r="G44" s="218" t="s">
        <v>78</v>
      </c>
      <c r="H44" s="219" t="s">
        <v>78</v>
      </c>
      <c r="I44" s="218" t="s">
        <v>78</v>
      </c>
      <c r="K44" s="1135"/>
      <c r="L44" s="181" t="s">
        <v>234</v>
      </c>
      <c r="M44" s="181" t="s">
        <v>25</v>
      </c>
      <c r="N44" s="217">
        <f>N43/D43-1</f>
        <v>0</v>
      </c>
      <c r="O44" s="218">
        <f>O43/E43-1</f>
        <v>0</v>
      </c>
      <c r="P44" s="217">
        <f>P43/D43-1</f>
        <v>-2.4299676942122095E-2</v>
      </c>
      <c r="Q44" s="218">
        <f>Q43/E43-1</f>
        <v>-2.0590298791616446E-2</v>
      </c>
      <c r="R44" s="219">
        <f>R43/D43-1</f>
        <v>-2.4299676942122095E-2</v>
      </c>
      <c r="S44" s="218">
        <f>S43/E43-1</f>
        <v>-2.0590298791616446E-2</v>
      </c>
      <c r="U44" s="1135"/>
      <c r="V44" s="181" t="s">
        <v>234</v>
      </c>
      <c r="W44" s="181" t="s">
        <v>25</v>
      </c>
      <c r="X44" s="217">
        <f>X43/D43-1</f>
        <v>0</v>
      </c>
      <c r="Y44" s="218">
        <f>Y43/E43-1</f>
        <v>0</v>
      </c>
      <c r="Z44" s="217">
        <f>Z43/D43-1</f>
        <v>-2.4299676942122095E-2</v>
      </c>
      <c r="AA44" s="218">
        <f>AA43/E43-1</f>
        <v>-2.0590298791616224E-2</v>
      </c>
      <c r="AB44" s="219">
        <f>AB43/D43-1</f>
        <v>-2.4299676942122095E-2</v>
      </c>
      <c r="AC44" s="218">
        <f>AC43/E43-1</f>
        <v>-2.0590298791616224E-2</v>
      </c>
      <c r="AE44" s="1135"/>
      <c r="AF44" s="181" t="s">
        <v>234</v>
      </c>
      <c r="AG44" s="181" t="s">
        <v>25</v>
      </c>
      <c r="AH44" s="217">
        <f>AH43/D43-1</f>
        <v>0</v>
      </c>
      <c r="AI44" s="218">
        <f>AI43/E43-1</f>
        <v>0</v>
      </c>
      <c r="AJ44" s="217">
        <f>AJ43/D43-1</f>
        <v>-2.4299676942122095E-2</v>
      </c>
      <c r="AK44" s="218">
        <f>AK43/E43-1</f>
        <v>-2.0590298791616224E-2</v>
      </c>
      <c r="AL44" s="219">
        <f>AL43/D43-1</f>
        <v>-2.4299676942122095E-2</v>
      </c>
      <c r="AM44" s="218">
        <f>AM43/E43-1</f>
        <v>-2.0590298791616224E-2</v>
      </c>
    </row>
    <row r="45" spans="1:39" x14ac:dyDescent="0.25">
      <c r="A45" s="26"/>
      <c r="B45" s="26"/>
      <c r="C45" s="26"/>
      <c r="D45" s="210"/>
      <c r="E45" s="210"/>
      <c r="F45" s="210"/>
      <c r="G45" s="210"/>
      <c r="H45" s="210"/>
      <c r="I45" s="210"/>
      <c r="K45" s="26"/>
      <c r="L45" s="26"/>
      <c r="M45" s="26"/>
      <c r="N45" s="210" t="s">
        <v>840</v>
      </c>
      <c r="O45" s="1081">
        <f>O47-O49</f>
        <v>5483194.3012631172</v>
      </c>
      <c r="P45" s="210"/>
      <c r="Q45" s="210"/>
      <c r="R45" s="210"/>
      <c r="S45" s="210"/>
      <c r="U45" s="26"/>
      <c r="V45" s="26"/>
      <c r="W45" s="26"/>
      <c r="X45" s="210"/>
      <c r="Y45" s="210"/>
      <c r="Z45" s="210"/>
      <c r="AA45" s="210"/>
      <c r="AB45" s="210"/>
      <c r="AC45" s="210"/>
      <c r="AH45" s="210"/>
      <c r="AI45" s="210"/>
      <c r="AJ45" s="210"/>
      <c r="AK45" s="210"/>
      <c r="AL45" s="210"/>
      <c r="AM45" s="210"/>
    </row>
    <row r="46" spans="1:39" ht="15.75" thickBot="1" x14ac:dyDescent="0.3">
      <c r="A46" s="42" t="s">
        <v>86</v>
      </c>
      <c r="D46" s="78"/>
      <c r="E46" s="78"/>
      <c r="F46" s="78"/>
      <c r="G46" s="78"/>
      <c r="H46" s="78"/>
      <c r="I46" s="78"/>
      <c r="K46" s="42" t="s">
        <v>235</v>
      </c>
      <c r="N46" s="78"/>
      <c r="O46" s="78"/>
      <c r="P46" s="78"/>
      <c r="Q46" s="78"/>
      <c r="R46" s="78"/>
      <c r="S46" s="78"/>
      <c r="U46" s="42" t="s">
        <v>93</v>
      </c>
      <c r="X46" s="78"/>
      <c r="Y46" s="78"/>
      <c r="Z46" s="78"/>
      <c r="AA46" s="78"/>
      <c r="AB46" s="78"/>
      <c r="AC46" s="78"/>
      <c r="AE46" s="42" t="s">
        <v>159</v>
      </c>
      <c r="AF46" s="40"/>
      <c r="AG46" s="40"/>
      <c r="AH46" s="78"/>
      <c r="AI46" s="78"/>
      <c r="AJ46" s="78"/>
      <c r="AK46" s="78"/>
      <c r="AL46" s="78"/>
      <c r="AM46" s="78"/>
    </row>
    <row r="47" spans="1:39" x14ac:dyDescent="0.25">
      <c r="A47" s="1133" t="s">
        <v>29</v>
      </c>
      <c r="B47" s="128" t="s">
        <v>32</v>
      </c>
      <c r="C47" s="183" t="s">
        <v>33</v>
      </c>
      <c r="D47" s="247">
        <f>Indata!D39</f>
        <v>11057699.999999998</v>
      </c>
      <c r="E47" s="248">
        <f>Indata!E39</f>
        <v>11648700</v>
      </c>
      <c r="F47" s="247">
        <f>Indata!F39</f>
        <v>11057699.999999998</v>
      </c>
      <c r="G47" s="249">
        <f>Indata!G39</f>
        <v>11648700</v>
      </c>
      <c r="H47" s="250">
        <f>Indata!H39</f>
        <v>11057699.999999998</v>
      </c>
      <c r="I47" s="249">
        <f>Indata!I39</f>
        <v>11648700</v>
      </c>
      <c r="K47" s="1133" t="s">
        <v>29</v>
      </c>
      <c r="L47" s="128" t="s">
        <v>32</v>
      </c>
      <c r="M47" s="183" t="s">
        <v>33</v>
      </c>
      <c r="N47" s="247">
        <f>D47</f>
        <v>11057699.999999998</v>
      </c>
      <c r="O47" s="248">
        <f t="shared" ref="O47:S47" si="106">E47</f>
        <v>11648700</v>
      </c>
      <c r="P47" s="247">
        <f t="shared" si="106"/>
        <v>11057699.999999998</v>
      </c>
      <c r="Q47" s="249">
        <f t="shared" si="106"/>
        <v>11648700</v>
      </c>
      <c r="R47" s="250">
        <f t="shared" si="106"/>
        <v>11057699.999999998</v>
      </c>
      <c r="S47" s="249">
        <f t="shared" si="106"/>
        <v>11648700</v>
      </c>
      <c r="U47" s="1133" t="s">
        <v>29</v>
      </c>
      <c r="V47" s="128" t="s">
        <v>32</v>
      </c>
      <c r="W47" s="183" t="s">
        <v>33</v>
      </c>
      <c r="X47" s="247">
        <f>N47</f>
        <v>11057699.999999998</v>
      </c>
      <c r="Y47" s="248">
        <f t="shared" ref="Y47:Y49" si="107">O47</f>
        <v>11648700</v>
      </c>
      <c r="Z47" s="247">
        <f t="shared" ref="Z47:Z49" si="108">P47</f>
        <v>11057699.999999998</v>
      </c>
      <c r="AA47" s="249">
        <f t="shared" ref="AA47:AA48" si="109">Q47</f>
        <v>11648700</v>
      </c>
      <c r="AB47" s="250">
        <f t="shared" ref="AB47:AB49" si="110">R47</f>
        <v>11057699.999999998</v>
      </c>
      <c r="AC47" s="249">
        <f t="shared" ref="AC47:AC49" si="111">S47</f>
        <v>11648700</v>
      </c>
      <c r="AE47" s="1133" t="s">
        <v>29</v>
      </c>
      <c r="AF47" s="128" t="s">
        <v>32</v>
      </c>
      <c r="AG47" s="183" t="s">
        <v>33</v>
      </c>
      <c r="AH47" s="247">
        <f>X47</f>
        <v>11057699.999999998</v>
      </c>
      <c r="AI47" s="248">
        <f t="shared" ref="AI47:AI49" si="112">Y47</f>
        <v>11648700</v>
      </c>
      <c r="AJ47" s="247">
        <f t="shared" ref="AJ47:AJ49" si="113">Z47</f>
        <v>11057699.999999998</v>
      </c>
      <c r="AK47" s="249">
        <f t="shared" ref="AK47:AK49" si="114">AA47</f>
        <v>11648700</v>
      </c>
      <c r="AL47" s="250">
        <f t="shared" ref="AL47:AL49" si="115">AB47</f>
        <v>11057699.999999998</v>
      </c>
      <c r="AM47" s="249">
        <f t="shared" ref="AM47:AM49" si="116">AC47</f>
        <v>11648700</v>
      </c>
    </row>
    <row r="48" spans="1:39" x14ac:dyDescent="0.25">
      <c r="A48" s="1134"/>
      <c r="B48" s="129" t="s">
        <v>29</v>
      </c>
      <c r="C48" s="184" t="s">
        <v>30</v>
      </c>
      <c r="D48" s="251">
        <f>Indata!D40</f>
        <v>0.52928701904391762</v>
      </c>
      <c r="E48" s="252">
        <f>Indata!E40</f>
        <v>0.52928701904391762</v>
      </c>
      <c r="F48" s="251">
        <f>Indata!F40</f>
        <v>0.52928701904391762</v>
      </c>
      <c r="G48" s="253">
        <f>Indata!G40</f>
        <v>0.52928701904391762</v>
      </c>
      <c r="H48" s="254">
        <f>Indata!H40</f>
        <v>0.52928701904391762</v>
      </c>
      <c r="I48" s="253">
        <f>Indata!I40</f>
        <v>0.52928701904391762</v>
      </c>
      <c r="K48" s="1134"/>
      <c r="L48" s="129" t="s">
        <v>29</v>
      </c>
      <c r="M48" s="184" t="s">
        <v>30</v>
      </c>
      <c r="N48" s="251">
        <f>(1+'Indata - Effektsamband-Faktorer'!$D$7*N44)*'Modell - Lätta fordon'!D48</f>
        <v>0.52928701904391762</v>
      </c>
      <c r="O48" s="252">
        <f>(1+'Indata - Effektsamband-Faktorer'!$E$7*O44)*'Modell - Lätta fordon'!E48</f>
        <v>0.52928701904391762</v>
      </c>
      <c r="P48" s="251">
        <f>(1+'Indata - Effektsamband-Faktorer'!$D$7*P44)*'Modell - Lätta fordon'!F48</f>
        <v>0.53057316940116017</v>
      </c>
      <c r="Q48" s="253">
        <f>(1+'Indata - Effektsamband-Faktorer'!$E$7*Q44)*'Modell - Lätta fordon'!G48+(1-0.529)*Q55</f>
        <v>0.53037683683078141</v>
      </c>
      <c r="R48" s="254">
        <f>(1+'Indata - Effektsamband-Faktorer'!$D$7*R44)*'Modell - Lätta fordon'!H48</f>
        <v>0.53057316940116017</v>
      </c>
      <c r="S48" s="253">
        <f>(1+'Indata - Effektsamband-Faktorer'!$E$7*S44)*'Modell - Lätta fordon'!I48</f>
        <v>0.53037683683078141</v>
      </c>
      <c r="U48" s="1134"/>
      <c r="V48" s="129" t="s">
        <v>29</v>
      </c>
      <c r="W48" s="184" t="s">
        <v>30</v>
      </c>
      <c r="X48" s="251">
        <f>N48</f>
        <v>0.52928701904391762</v>
      </c>
      <c r="Y48" s="252">
        <f t="shared" si="107"/>
        <v>0.52928701904391762</v>
      </c>
      <c r="Z48" s="251">
        <f t="shared" si="108"/>
        <v>0.53057316940116017</v>
      </c>
      <c r="AA48" s="253">
        <f t="shared" si="109"/>
        <v>0.53037683683078141</v>
      </c>
      <c r="AB48" s="254">
        <f t="shared" si="110"/>
        <v>0.53057316940116017</v>
      </c>
      <c r="AC48" s="253">
        <f t="shared" si="111"/>
        <v>0.53037683683078141</v>
      </c>
      <c r="AE48" s="1134"/>
      <c r="AF48" s="129" t="s">
        <v>29</v>
      </c>
      <c r="AG48" s="184" t="s">
        <v>30</v>
      </c>
      <c r="AH48" s="251">
        <f>X48</f>
        <v>0.52928701904391762</v>
      </c>
      <c r="AI48" s="252">
        <f t="shared" si="112"/>
        <v>0.52928701904391762</v>
      </c>
      <c r="AJ48" s="251">
        <f t="shared" si="113"/>
        <v>0.53057316940116017</v>
      </c>
      <c r="AK48" s="253">
        <f t="shared" si="114"/>
        <v>0.53037683683078141</v>
      </c>
      <c r="AL48" s="254">
        <f t="shared" si="115"/>
        <v>0.53057316940116017</v>
      </c>
      <c r="AM48" s="253">
        <f t="shared" si="116"/>
        <v>0.53037683683078141</v>
      </c>
    </row>
    <row r="49" spans="1:39" x14ac:dyDescent="0.25">
      <c r="A49" s="1134"/>
      <c r="B49" s="129" t="s">
        <v>34</v>
      </c>
      <c r="C49" s="184" t="s">
        <v>35</v>
      </c>
      <c r="D49" s="255">
        <f>D47*D48</f>
        <v>5852697.0704819271</v>
      </c>
      <c r="E49" s="256">
        <f>E47*E48</f>
        <v>6165505.6987368828</v>
      </c>
      <c r="F49" s="255">
        <f t="shared" ref="F49:I49" si="117">F47*F48</f>
        <v>5852697.0704819271</v>
      </c>
      <c r="G49" s="256">
        <f t="shared" si="117"/>
        <v>6165505.6987368828</v>
      </c>
      <c r="H49" s="257">
        <f t="shared" si="117"/>
        <v>5852697.0704819271</v>
      </c>
      <c r="I49" s="256">
        <f t="shared" si="117"/>
        <v>6165505.6987368828</v>
      </c>
      <c r="K49" s="1134"/>
      <c r="L49" s="129" t="s">
        <v>839</v>
      </c>
      <c r="M49" s="184" t="s">
        <v>35</v>
      </c>
      <c r="N49" s="255">
        <f>N47*N48</f>
        <v>5852697.0704819271</v>
      </c>
      <c r="O49" s="256">
        <f>O47*O48</f>
        <v>6165505.6987368828</v>
      </c>
      <c r="P49" s="255">
        <f>P47*P48</f>
        <v>5866918.9352872083</v>
      </c>
      <c r="Q49" s="256">
        <f>Q47*Q48</f>
        <v>6178200.6591907237</v>
      </c>
      <c r="R49" s="257">
        <f t="shared" ref="R49" si="118">R47*R48</f>
        <v>5866918.9352872083</v>
      </c>
      <c r="S49" s="256">
        <f t="shared" ref="S49" si="119">S47*S48</f>
        <v>6178200.6591907237</v>
      </c>
      <c r="U49" s="1134"/>
      <c r="V49" s="129" t="s">
        <v>34</v>
      </c>
      <c r="W49" s="184" t="s">
        <v>35</v>
      </c>
      <c r="X49" s="255">
        <f>N49</f>
        <v>5852697.0704819271</v>
      </c>
      <c r="Y49" s="256">
        <f t="shared" si="107"/>
        <v>6165505.6987368828</v>
      </c>
      <c r="Z49" s="255">
        <f t="shared" si="108"/>
        <v>5866918.9352872083</v>
      </c>
      <c r="AA49" s="256">
        <f>Q49</f>
        <v>6178200.6591907237</v>
      </c>
      <c r="AB49" s="257">
        <f t="shared" si="110"/>
        <v>5866918.9352872083</v>
      </c>
      <c r="AC49" s="256">
        <f t="shared" si="111"/>
        <v>6178200.6591907237</v>
      </c>
      <c r="AE49" s="1134"/>
      <c r="AF49" s="129" t="s">
        <v>34</v>
      </c>
      <c r="AG49" s="184" t="s">
        <v>35</v>
      </c>
      <c r="AH49" s="255">
        <f t="shared" ref="AH49" si="120">X49</f>
        <v>5852697.0704819271</v>
      </c>
      <c r="AI49" s="256">
        <f t="shared" si="112"/>
        <v>6165505.6987368828</v>
      </c>
      <c r="AJ49" s="255">
        <f t="shared" si="113"/>
        <v>5866918.9352872083</v>
      </c>
      <c r="AK49" s="256">
        <f t="shared" si="114"/>
        <v>6178200.6591907237</v>
      </c>
      <c r="AL49" s="257">
        <f t="shared" si="115"/>
        <v>5866918.9352872083</v>
      </c>
      <c r="AM49" s="256">
        <f t="shared" si="116"/>
        <v>6178200.6591907237</v>
      </c>
    </row>
    <row r="50" spans="1:39" ht="15.75" thickBot="1" x14ac:dyDescent="0.3">
      <c r="A50" s="1135"/>
      <c r="B50" s="181" t="s">
        <v>234</v>
      </c>
      <c r="C50" s="185" t="s">
        <v>25</v>
      </c>
      <c r="D50" s="217" t="s">
        <v>78</v>
      </c>
      <c r="E50" s="218" t="s">
        <v>78</v>
      </c>
      <c r="F50" s="217" t="s">
        <v>78</v>
      </c>
      <c r="G50" s="218" t="s">
        <v>78</v>
      </c>
      <c r="H50" s="219" t="s">
        <v>78</v>
      </c>
      <c r="I50" s="218" t="s">
        <v>78</v>
      </c>
      <c r="K50" s="1135"/>
      <c r="L50" s="181" t="s">
        <v>234</v>
      </c>
      <c r="M50" s="185" t="s">
        <v>25</v>
      </c>
      <c r="N50" s="217">
        <f t="shared" ref="N50:O50" si="121">N49/D49-1</f>
        <v>0</v>
      </c>
      <c r="O50" s="218">
        <f t="shared" si="121"/>
        <v>0</v>
      </c>
      <c r="P50" s="412">
        <f>P49/D49-1</f>
        <v>2.4299676942121096E-3</v>
      </c>
      <c r="Q50" s="1079">
        <f>Q49/E49-1</f>
        <v>2.0590298791616224E-3</v>
      </c>
      <c r="R50" s="219">
        <f>R49/D49-1</f>
        <v>2.4299676942121096E-3</v>
      </c>
      <c r="S50" s="218">
        <f>S49/E49-1</f>
        <v>2.0590298791616224E-3</v>
      </c>
      <c r="U50" s="1135"/>
      <c r="V50" s="181" t="s">
        <v>234</v>
      </c>
      <c r="W50" s="185" t="s">
        <v>25</v>
      </c>
      <c r="X50" s="217">
        <f>X49/D49-1</f>
        <v>0</v>
      </c>
      <c r="Y50" s="218">
        <f t="shared" ref="Y50" si="122">Y49/E49-1</f>
        <v>0</v>
      </c>
      <c r="Z50" s="217">
        <f>Z49/D49-1</f>
        <v>2.4299676942121096E-3</v>
      </c>
      <c r="AA50" s="218">
        <f>AA49/E49-1</f>
        <v>2.0590298791616224E-3</v>
      </c>
      <c r="AB50" s="219">
        <f>AB49/D49-1</f>
        <v>2.4299676942121096E-3</v>
      </c>
      <c r="AC50" s="218">
        <f>AC49/E49-1</f>
        <v>2.0590298791616224E-3</v>
      </c>
      <c r="AE50" s="1135"/>
      <c r="AF50" s="181" t="s">
        <v>234</v>
      </c>
      <c r="AG50" s="185" t="s">
        <v>25</v>
      </c>
      <c r="AH50" s="217">
        <f>AH49/D49-1</f>
        <v>0</v>
      </c>
      <c r="AI50" s="218">
        <f t="shared" ref="AI50" si="123">AI49/E49-1</f>
        <v>0</v>
      </c>
      <c r="AJ50" s="217">
        <f>AJ49/D49-1</f>
        <v>2.4299676942121096E-3</v>
      </c>
      <c r="AK50" s="218">
        <f>AK49/E49-1</f>
        <v>2.0590298791616224E-3</v>
      </c>
      <c r="AL50" s="219">
        <f>AL49/D49-1</f>
        <v>2.4299676942121096E-3</v>
      </c>
      <c r="AM50" s="218">
        <f>AM49/E49-1</f>
        <v>2.0590298791616224E-3</v>
      </c>
    </row>
    <row r="51" spans="1:39" x14ac:dyDescent="0.25">
      <c r="A51" s="26"/>
      <c r="B51" s="26"/>
      <c r="C51" s="26"/>
      <c r="D51" s="210"/>
      <c r="E51" s="210"/>
      <c r="F51" s="210"/>
      <c r="G51" s="210"/>
      <c r="H51" s="210"/>
      <c r="I51" s="210"/>
      <c r="K51" s="26"/>
      <c r="L51" s="26"/>
      <c r="M51" s="26"/>
      <c r="N51" s="210"/>
      <c r="O51" s="210"/>
      <c r="P51" s="210" t="s">
        <v>833</v>
      </c>
      <c r="Q51" s="210">
        <f>Q$49*Q18</f>
        <v>1907715.7101691004</v>
      </c>
      <c r="R51" s="210"/>
      <c r="S51" s="210"/>
      <c r="U51" s="26"/>
      <c r="V51" s="26"/>
      <c r="W51" s="26"/>
      <c r="X51" s="210"/>
      <c r="Y51" s="210"/>
      <c r="Z51" s="210" t="s">
        <v>836</v>
      </c>
      <c r="AA51" s="210">
        <f>AA34/Q51*1000000000</f>
        <v>16328.91994445407</v>
      </c>
      <c r="AB51" s="210"/>
      <c r="AC51" s="210"/>
      <c r="AH51" s="210"/>
      <c r="AI51" s="210"/>
      <c r="AJ51" s="210"/>
      <c r="AK51" s="210"/>
      <c r="AL51" s="210"/>
      <c r="AM51" s="210"/>
    </row>
    <row r="52" spans="1:39" ht="15.75" thickBot="1" x14ac:dyDescent="0.3">
      <c r="D52" s="78"/>
      <c r="E52" s="78"/>
      <c r="F52" s="78"/>
      <c r="G52" s="78"/>
      <c r="H52" s="78"/>
      <c r="I52" s="78"/>
      <c r="N52" s="78"/>
      <c r="O52" s="78"/>
      <c r="P52" s="78" t="s">
        <v>834</v>
      </c>
      <c r="Q52" s="210">
        <f t="shared" ref="Q52:Q53" si="124">Q$49*Q19</f>
        <v>1922768.6985291482</v>
      </c>
      <c r="R52" s="78"/>
      <c r="S52" s="78"/>
      <c r="X52" s="78"/>
      <c r="Y52" s="78"/>
      <c r="Z52" s="210" t="s">
        <v>837</v>
      </c>
      <c r="AA52" s="210">
        <f t="shared" ref="AA52:AA53" si="125">AA35/Q52*1000000000</f>
        <v>16328.91994445407</v>
      </c>
      <c r="AB52" s="78"/>
      <c r="AC52" s="78"/>
      <c r="AE52" s="393" t="s">
        <v>267</v>
      </c>
      <c r="AF52" s="394"/>
      <c r="AG52" s="40"/>
      <c r="AH52" s="40"/>
      <c r="AI52" s="40"/>
      <c r="AJ52" s="40"/>
      <c r="AK52" s="40"/>
      <c r="AL52" s="40"/>
      <c r="AM52" s="40"/>
    </row>
    <row r="53" spans="1:39" x14ac:dyDescent="0.25">
      <c r="D53" s="78"/>
      <c r="E53" s="78"/>
      <c r="F53" s="78"/>
      <c r="G53" s="78"/>
      <c r="H53" s="78"/>
      <c r="I53" s="78"/>
      <c r="N53" s="78"/>
      <c r="O53" s="78"/>
      <c r="P53" s="78" t="s">
        <v>835</v>
      </c>
      <c r="Q53" s="210">
        <f t="shared" si="124"/>
        <v>2347716.250492475</v>
      </c>
      <c r="R53" s="78"/>
      <c r="S53" s="78"/>
      <c r="X53" s="78"/>
      <c r="Y53" s="78"/>
      <c r="Z53" s="210" t="s">
        <v>838</v>
      </c>
      <c r="AA53" s="210">
        <f t="shared" si="125"/>
        <v>16328.919944454066</v>
      </c>
      <c r="AB53" s="78"/>
      <c r="AC53" s="78"/>
      <c r="AE53" s="1121" t="s">
        <v>269</v>
      </c>
      <c r="AF53" s="128" t="s">
        <v>8</v>
      </c>
      <c r="AG53" s="128" t="s">
        <v>128</v>
      </c>
      <c r="AH53" s="431">
        <f>(1-Indata!D9-Indata!D10)*'Indata - Effektsamband-Faktorer'!$D10*'Modell - Lätta fordon'!AH13*'Modell - Lätta fordon'!AH34/10</f>
        <v>4.6391776505073166</v>
      </c>
      <c r="AI53" s="432">
        <f>(1-Indata!E9-Indata!E10)*'Indata - Effektsamband-Faktorer'!$E10*'Modell - Lätta fordon'!AI13*'Modell - Lätta fordon'!AI34/10</f>
        <v>3.3265011479785707</v>
      </c>
      <c r="AJ53" s="431">
        <f>(1-Indata!F9-Indata!F10)*'Indata - Effektsamband-Faktorer'!$D10*'Modell - Lätta fordon'!AJ13*'Modell - Lätta fordon'!AJ34/10</f>
        <v>4.6730515922661171</v>
      </c>
      <c r="AK53" s="432">
        <f>(1-Indata!G9-Indata!G10)*'Indata - Effektsamband-Faktorer'!$E10*'Modell - Lätta fordon'!AK13*'Modell - Lätta fordon'!AK34/10</f>
        <v>3.3470774498442646</v>
      </c>
      <c r="AL53" s="433">
        <f>(1-Indata!H9-Indata!H10)*'Indata - Effektsamband-Faktorer'!$D10*'Modell - Lätta fordon'!AL13*'Modell - Lätta fordon'!AL34/10</f>
        <v>4.6730515922661171</v>
      </c>
      <c r="AM53" s="432">
        <f>(1-Indata!I9-Indata!I10)*'Indata - Effektsamband-Faktorer'!$E10*'Modell - Lätta fordon'!AM13*'Modell - Lätta fordon'!AM34/10</f>
        <v>3.3470774498442646</v>
      </c>
    </row>
    <row r="54" spans="1:39" x14ac:dyDescent="0.25">
      <c r="D54" s="78"/>
      <c r="E54" s="78"/>
      <c r="F54" s="78"/>
      <c r="G54" s="78"/>
      <c r="H54" s="78"/>
      <c r="I54" s="78"/>
      <c r="N54" s="78"/>
      <c r="O54" s="78"/>
      <c r="P54" s="78"/>
      <c r="Q54" s="78"/>
      <c r="R54" s="78"/>
      <c r="S54" s="78"/>
      <c r="X54" s="78"/>
      <c r="Y54" s="78"/>
      <c r="Z54" s="78" t="s">
        <v>843</v>
      </c>
      <c r="AA54" s="78"/>
      <c r="AB54" s="78"/>
      <c r="AC54" s="78"/>
      <c r="AE54" s="1122"/>
      <c r="AF54" s="129" t="s">
        <v>9</v>
      </c>
      <c r="AG54" s="129" t="s">
        <v>128</v>
      </c>
      <c r="AH54" s="434">
        <f>(1-Indata!D11-Indata!D12)*'Indata - Effektsamband-Faktorer'!$D11*'Modell - Lätta fordon'!AH14*'Modell - Lätta fordon'!AH35/10</f>
        <v>3.9200336184792413</v>
      </c>
      <c r="AI54" s="435">
        <f>(1-Indata!E11-Indata!E12)*'Indata - Effektsamband-Faktorer'!$E11*'Modell - Lätta fordon'!AI14*'Modell - Lätta fordon'!AI35/10</f>
        <v>2.6494858981234124</v>
      </c>
      <c r="AJ54" s="434">
        <f>(1-Indata!F11-Indata!F12)*'Indata - Effektsamband-Faktorer'!$D11*'Modell - Lätta fordon'!AJ14*'Modell - Lätta fordon'!AJ35/10</f>
        <v>3.9486565772207292</v>
      </c>
      <c r="AK54" s="435">
        <f>(1-Indata!G11-Indata!G12)*'Indata - Effektsamband-Faktorer'!$E11*'Modell - Lätta fordon'!AK14*'Modell - Lätta fordon'!AK35/10</f>
        <v>2.6658744755516257</v>
      </c>
      <c r="AL54" s="436">
        <f>(1-Indata!H11-Indata!H12)*'Indata - Effektsamband-Faktorer'!$D11*'Modell - Lätta fordon'!AL14*'Modell - Lätta fordon'!AL35/10</f>
        <v>3.9486565772207292</v>
      </c>
      <c r="AM54" s="435">
        <f>(1-Indata!I11-Indata!I12)*'Indata - Effektsamband-Faktorer'!$E11*'Modell - Lätta fordon'!AM14*'Modell - Lätta fordon'!AM35/10</f>
        <v>2.6658744755516257</v>
      </c>
    </row>
    <row r="55" spans="1:39" x14ac:dyDescent="0.25">
      <c r="D55" s="78"/>
      <c r="E55" s="78"/>
      <c r="F55" s="78"/>
      <c r="G55" s="78"/>
      <c r="H55" s="78"/>
      <c r="I55" s="78"/>
      <c r="N55" s="78"/>
      <c r="O55" s="78"/>
      <c r="P55" s="78" t="s">
        <v>842</v>
      </c>
      <c r="Q55" s="210">
        <v>0</v>
      </c>
      <c r="R55" s="78"/>
      <c r="S55" s="78"/>
      <c r="X55" s="78"/>
      <c r="Y55" s="78"/>
      <c r="Z55" s="78"/>
      <c r="AA55" s="78"/>
      <c r="AB55" s="78"/>
      <c r="AC55" s="78"/>
      <c r="AE55" s="1122"/>
      <c r="AF55" s="129" t="s">
        <v>7</v>
      </c>
      <c r="AG55" s="129" t="s">
        <v>128</v>
      </c>
      <c r="AH55" s="437">
        <f>'Indata - Effektsamband-Faktorer'!$D12*'Modell - Lätta fordon'!AH15*'Modell - Lätta fordon'!AH36/10</f>
        <v>0</v>
      </c>
      <c r="AI55" s="438">
        <f>'Indata - Effektsamband-Faktorer'!$E12*'Modell - Lätta fordon'!AI15*'Modell - Lätta fordon'!AI36/10</f>
        <v>0</v>
      </c>
      <c r="AJ55" s="437">
        <f>'Indata - Effektsamband-Faktorer'!$D12*'Modell - Lätta fordon'!AJ15*'Modell - Lätta fordon'!AJ36/10</f>
        <v>0</v>
      </c>
      <c r="AK55" s="438">
        <f>'Indata - Effektsamband-Faktorer'!$E12*'Modell - Lätta fordon'!AK15*'Modell - Lätta fordon'!AK36/10</f>
        <v>0</v>
      </c>
      <c r="AL55" s="439">
        <f>'Indata - Effektsamband-Faktorer'!$D12*'Modell - Lätta fordon'!AL15*'Modell - Lätta fordon'!AL36/10</f>
        <v>0</v>
      </c>
      <c r="AM55" s="438">
        <f>'Indata - Effektsamband-Faktorer'!$E12*'Modell - Lätta fordon'!AM15*'Modell - Lätta fordon'!AM36/10</f>
        <v>0</v>
      </c>
    </row>
    <row r="56" spans="1:39" ht="15.75" thickBot="1" x14ac:dyDescent="0.3">
      <c r="D56" s="78"/>
      <c r="E56" s="78"/>
      <c r="F56" s="78"/>
      <c r="G56" s="78"/>
      <c r="H56" s="78"/>
      <c r="I56" s="78"/>
      <c r="N56" s="78"/>
      <c r="O56" s="78"/>
      <c r="P56" s="78"/>
      <c r="Q56" s="78">
        <f>(1+'Indata - Effektsamband-Faktorer'!$E$7*Q44)*'Modell - Lätta fordon'!G48</f>
        <v>0.53037683683078141</v>
      </c>
      <c r="R56" s="78"/>
      <c r="S56" s="78"/>
      <c r="X56" s="78"/>
      <c r="Y56" s="78"/>
      <c r="Z56" s="78"/>
      <c r="AA56" s="78"/>
      <c r="AB56" s="78"/>
      <c r="AC56" s="78"/>
      <c r="AE56" s="1123"/>
      <c r="AF56" s="182" t="s">
        <v>16</v>
      </c>
      <c r="AG56" s="182" t="s">
        <v>128</v>
      </c>
      <c r="AH56" s="440">
        <f>SUM(AH53:AH55)</f>
        <v>8.5592112689865587</v>
      </c>
      <c r="AI56" s="441">
        <f t="shared" ref="AI56:AM56" si="126">SUM(AI53:AI55)</f>
        <v>5.9759870461019826</v>
      </c>
      <c r="AJ56" s="440">
        <f t="shared" si="126"/>
        <v>8.6217081694868458</v>
      </c>
      <c r="AK56" s="441">
        <f t="shared" si="126"/>
        <v>6.0129519253958907</v>
      </c>
      <c r="AL56" s="442">
        <f t="shared" si="126"/>
        <v>8.6217081694868458</v>
      </c>
      <c r="AM56" s="441">
        <f t="shared" si="126"/>
        <v>6.0129519253958907</v>
      </c>
    </row>
    <row r="57" spans="1:39" x14ac:dyDescent="0.25">
      <c r="D57" s="78"/>
      <c r="E57" s="78"/>
      <c r="F57" s="78"/>
      <c r="G57" s="78"/>
      <c r="H57" s="78"/>
      <c r="I57" s="78"/>
      <c r="N57" s="78"/>
      <c r="O57" s="78"/>
      <c r="P57" s="78"/>
      <c r="Q57" s="78"/>
      <c r="R57" s="78"/>
      <c r="S57" s="78"/>
      <c r="X57" s="78"/>
      <c r="Y57" s="78"/>
      <c r="Z57" s="78"/>
      <c r="AA57" s="78"/>
      <c r="AB57" s="78"/>
      <c r="AC57" s="78"/>
      <c r="AE57" s="1121" t="s">
        <v>276</v>
      </c>
      <c r="AF57" s="128" t="s">
        <v>8</v>
      </c>
      <c r="AG57" s="128" t="s">
        <v>289</v>
      </c>
      <c r="AH57" s="431">
        <f>'Indata - Effektsamband-Faktorer'!$D13*'Modell - Lätta fordon'!AH34</f>
        <v>1.585801282945035</v>
      </c>
      <c r="AI57" s="432">
        <f>'Indata - Effektsamband-Faktorer'!$E13*'Modell - Lätta fordon'!AI34</f>
        <v>1.3330666785417182</v>
      </c>
      <c r="AJ57" s="431">
        <f>'Indata - Effektsamband-Faktorer'!$D13*'Modell - Lätta fordon'!AJ34</f>
        <v>1.5973803481040589</v>
      </c>
      <c r="AK57" s="432">
        <f>'Indata - Effektsamband-Faktorer'!$E13*'Modell - Lätta fordon'!AK34</f>
        <v>1.3413124542575752</v>
      </c>
      <c r="AL57" s="433">
        <f>'Indata - Effektsamband-Faktorer'!$D13*'Modell - Lätta fordon'!AL34</f>
        <v>1.5973803481040589</v>
      </c>
      <c r="AM57" s="432">
        <f>'Indata - Effektsamband-Faktorer'!$E13*'Modell - Lätta fordon'!AM34</f>
        <v>1.3413124542575752</v>
      </c>
    </row>
    <row r="58" spans="1:39" x14ac:dyDescent="0.25">
      <c r="D58" s="78"/>
      <c r="E58" s="78"/>
      <c r="F58" s="78"/>
      <c r="G58" s="78"/>
      <c r="H58" s="78"/>
      <c r="I58" s="78"/>
      <c r="N58" s="78"/>
      <c r="O58" s="78"/>
      <c r="P58" s="78"/>
      <c r="Q58" s="78"/>
      <c r="R58" s="78"/>
      <c r="S58" s="78"/>
      <c r="X58" s="78"/>
      <c r="Y58" s="78"/>
      <c r="Z58" s="78"/>
      <c r="AA58" s="78"/>
      <c r="AB58" s="78"/>
      <c r="AC58" s="78"/>
      <c r="AE58" s="1122"/>
      <c r="AF58" s="129" t="s">
        <v>9</v>
      </c>
      <c r="AG58" s="129" t="s">
        <v>289</v>
      </c>
      <c r="AH58" s="434">
        <f>'Indata - Effektsamband-Faktorer'!$D14*'Modell - Lätta fordon'!AH35</f>
        <v>6.2828886517045541</v>
      </c>
      <c r="AI58" s="435">
        <f>'Indata - Effektsamband-Faktorer'!$E14*'Modell - Lätta fordon'!AI35</f>
        <v>3.1805785571597602</v>
      </c>
      <c r="AJ58" s="434">
        <f>'Indata - Effektsamband-Faktorer'!$D14*'Modell - Lätta fordon'!AJ35</f>
        <v>6.3287644987399849</v>
      </c>
      <c r="AK58" s="435">
        <f>'Indata - Effektsamband-Faktorer'!$E14*'Modell - Lätta fordon'!AK35</f>
        <v>3.2002522447938202</v>
      </c>
      <c r="AL58" s="436">
        <f>'Indata - Effektsamband-Faktorer'!$D14*'Modell - Lätta fordon'!AL35</f>
        <v>6.3287644987399849</v>
      </c>
      <c r="AM58" s="435">
        <f>'Indata - Effektsamband-Faktorer'!$E14*'Modell - Lätta fordon'!AM35</f>
        <v>3.2002522447938202</v>
      </c>
    </row>
    <row r="59" spans="1:39" x14ac:dyDescent="0.25">
      <c r="D59" s="78"/>
      <c r="E59" s="78"/>
      <c r="F59" s="78"/>
      <c r="G59" s="78"/>
      <c r="H59" s="78"/>
      <c r="I59" s="78"/>
      <c r="N59" s="78"/>
      <c r="O59" s="78"/>
      <c r="P59" s="78"/>
      <c r="Q59" s="78"/>
      <c r="R59" s="78"/>
      <c r="S59" s="78"/>
      <c r="X59" s="78"/>
      <c r="Y59" s="78"/>
      <c r="Z59" s="78"/>
      <c r="AA59" s="78"/>
      <c r="AB59" s="78"/>
      <c r="AC59" s="78"/>
      <c r="AE59" s="1122"/>
      <c r="AF59" s="129" t="s">
        <v>7</v>
      </c>
      <c r="AG59" s="129" t="s">
        <v>289</v>
      </c>
      <c r="AH59" s="437">
        <v>0</v>
      </c>
      <c r="AI59" s="438">
        <v>0</v>
      </c>
      <c r="AJ59" s="437">
        <v>0</v>
      </c>
      <c r="AK59" s="438">
        <v>0</v>
      </c>
      <c r="AL59" s="439">
        <v>0</v>
      </c>
      <c r="AM59" s="438">
        <v>0</v>
      </c>
    </row>
    <row r="60" spans="1:39" ht="15.75" thickBot="1" x14ac:dyDescent="0.3">
      <c r="D60" s="78"/>
      <c r="E60" s="78"/>
      <c r="F60" s="78"/>
      <c r="G60" s="78"/>
      <c r="H60" s="78"/>
      <c r="I60" s="78"/>
      <c r="N60" s="78"/>
      <c r="O60" s="78"/>
      <c r="P60" s="78"/>
      <c r="Q60" s="78"/>
      <c r="R60" s="78"/>
      <c r="S60" s="78"/>
      <c r="X60" s="78"/>
      <c r="Y60" s="78"/>
      <c r="Z60" s="78"/>
      <c r="AA60" s="78"/>
      <c r="AB60" s="78"/>
      <c r="AC60" s="78"/>
      <c r="AE60" s="1123"/>
      <c r="AF60" s="182" t="s">
        <v>16</v>
      </c>
      <c r="AG60" s="182" t="s">
        <v>289</v>
      </c>
      <c r="AH60" s="445">
        <f>SUM(AH57:AH59)</f>
        <v>7.8686899346495895</v>
      </c>
      <c r="AI60" s="446">
        <f t="shared" ref="AI60:AM60" si="127">SUM(AI57:AI59)</f>
        <v>4.5136452357014782</v>
      </c>
      <c r="AJ60" s="445">
        <f t="shared" si="127"/>
        <v>7.9261448468440436</v>
      </c>
      <c r="AK60" s="446">
        <f t="shared" si="127"/>
        <v>4.5415646990513956</v>
      </c>
      <c r="AL60" s="453">
        <f t="shared" si="127"/>
        <v>7.9261448468440436</v>
      </c>
      <c r="AM60" s="446">
        <f t="shared" si="127"/>
        <v>4.5415646990513956</v>
      </c>
    </row>
    <row r="61" spans="1:39" x14ac:dyDescent="0.25">
      <c r="D61" s="78"/>
      <c r="E61" s="78"/>
      <c r="F61" s="78"/>
      <c r="G61" s="78"/>
      <c r="H61" s="78"/>
      <c r="I61" s="78"/>
      <c r="N61" s="78"/>
      <c r="O61" s="78"/>
      <c r="P61" s="78"/>
      <c r="Q61" s="78"/>
      <c r="R61" s="78"/>
      <c r="S61" s="78"/>
      <c r="X61" s="78"/>
      <c r="Y61" s="78"/>
      <c r="Z61" s="78"/>
      <c r="AA61" s="78"/>
      <c r="AB61" s="78"/>
      <c r="AC61" s="78"/>
      <c r="AE61" s="1121" t="s">
        <v>270</v>
      </c>
      <c r="AF61" s="128" t="s">
        <v>8</v>
      </c>
      <c r="AG61" s="128" t="s">
        <v>289</v>
      </c>
      <c r="AH61" s="443">
        <f>'Indata - Effektsamband-Faktorer'!$D16*'Modell - Lätta fordon'!AH34</f>
        <v>4.7710814112216261E-2</v>
      </c>
      <c r="AI61" s="450">
        <f>'Indata - Effektsamband-Faktorer'!$E16*'Modell - Lätta fordon'!AI34</f>
        <v>4.12695875281886E-2</v>
      </c>
      <c r="AJ61" s="443">
        <f>'Indata - Effektsamband-Faktorer'!$D16*'Modell - Lätta fordon'!AJ34</f>
        <v>4.8059184763278834E-2</v>
      </c>
      <c r="AK61" s="450">
        <f>'Indata - Effektsamband-Faktorer'!$E16*'Modell - Lätta fordon'!AK34</f>
        <v>4.152486340307255E-2</v>
      </c>
      <c r="AL61" s="443">
        <f>'Indata - Effektsamband-Faktorer'!$D16*'Modell - Lätta fordon'!AL34</f>
        <v>4.8059184763278834E-2</v>
      </c>
      <c r="AM61" s="448">
        <f>'Indata - Effektsamband-Faktorer'!$E16*'Modell - Lätta fordon'!AM34</f>
        <v>4.152486340307255E-2</v>
      </c>
    </row>
    <row r="62" spans="1:39" x14ac:dyDescent="0.25">
      <c r="D62" s="78"/>
      <c r="E62" s="78"/>
      <c r="F62" s="78"/>
      <c r="G62" s="78"/>
      <c r="H62" s="78"/>
      <c r="I62" s="78"/>
      <c r="N62" s="78"/>
      <c r="O62" s="78"/>
      <c r="P62" s="78"/>
      <c r="Q62" s="78"/>
      <c r="R62" s="78"/>
      <c r="S62" s="78"/>
      <c r="X62" s="78"/>
      <c r="Y62" s="78"/>
      <c r="Z62" s="78"/>
      <c r="AA62" s="78"/>
      <c r="AB62" s="78"/>
      <c r="AC62" s="78"/>
      <c r="AE62" s="1122"/>
      <c r="AF62" s="129" t="s">
        <v>9</v>
      </c>
      <c r="AG62" s="129" t="s">
        <v>289</v>
      </c>
      <c r="AH62" s="437">
        <f>'Indata - Effektsamband-Faktorer'!$D17*'Modell - Lätta fordon'!AH35</f>
        <v>8.0984315551010599E-2</v>
      </c>
      <c r="AI62" s="451">
        <f>'Indata - Effektsamband-Faktorer'!$E17*'Modell - Lätta fordon'!AI35</f>
        <v>6.3141872544891467E-2</v>
      </c>
      <c r="AJ62" s="437">
        <f>'Indata - Effektsamband-Faktorer'!$D17*'Modell - Lätta fordon'!AJ35</f>
        <v>8.1575639745731024E-2</v>
      </c>
      <c r="AK62" s="451">
        <f>'Indata - Effektsamband-Faktorer'!$E17*'Modell - Lätta fordon'!AK35</f>
        <v>6.3532440944556193E-2</v>
      </c>
      <c r="AL62" s="437">
        <f>'Indata - Effektsamband-Faktorer'!$D17*'Modell - Lätta fordon'!AL35</f>
        <v>8.1575639745731024E-2</v>
      </c>
      <c r="AM62" s="438">
        <f>'Indata - Effektsamband-Faktorer'!$E17*'Modell - Lätta fordon'!AM35</f>
        <v>6.3532440944556193E-2</v>
      </c>
    </row>
    <row r="63" spans="1:39" x14ac:dyDescent="0.25">
      <c r="D63" s="78"/>
      <c r="E63" s="78"/>
      <c r="F63" s="78"/>
      <c r="G63" s="78"/>
      <c r="H63" s="78"/>
      <c r="I63" s="78"/>
      <c r="N63" s="78"/>
      <c r="O63" s="78"/>
      <c r="P63" s="78"/>
      <c r="Q63" s="78"/>
      <c r="R63" s="78"/>
      <c r="S63" s="78"/>
      <c r="X63" s="78"/>
      <c r="Y63" s="78"/>
      <c r="Z63" s="78"/>
      <c r="AA63" s="78"/>
      <c r="AB63" s="78"/>
      <c r="AC63" s="78"/>
      <c r="AE63" s="1122"/>
      <c r="AF63" s="129" t="s">
        <v>7</v>
      </c>
      <c r="AG63" s="129" t="s">
        <v>289</v>
      </c>
      <c r="AH63" s="437">
        <v>0</v>
      </c>
      <c r="AI63" s="451">
        <v>0</v>
      </c>
      <c r="AJ63" s="437">
        <v>0</v>
      </c>
      <c r="AK63" s="451">
        <v>0</v>
      </c>
      <c r="AL63" s="437">
        <v>0</v>
      </c>
      <c r="AM63" s="438">
        <v>0</v>
      </c>
    </row>
    <row r="64" spans="1:39" ht="15.75" thickBot="1" x14ac:dyDescent="0.3">
      <c r="D64" s="78"/>
      <c r="E64" s="78"/>
      <c r="F64" s="78"/>
      <c r="G64" s="78"/>
      <c r="H64" s="78"/>
      <c r="I64" s="78"/>
      <c r="N64" s="78"/>
      <c r="O64" s="78"/>
      <c r="P64" s="78"/>
      <c r="Q64" s="78"/>
      <c r="R64" s="78"/>
      <c r="S64" s="78"/>
      <c r="X64" s="78"/>
      <c r="Y64" s="78"/>
      <c r="Z64" s="78"/>
      <c r="AA64" s="78"/>
      <c r="AB64" s="78"/>
      <c r="AC64" s="78"/>
      <c r="AE64" s="1123"/>
      <c r="AF64" s="182" t="s">
        <v>16</v>
      </c>
      <c r="AG64" s="182" t="s">
        <v>289</v>
      </c>
      <c r="AH64" s="444">
        <f>SUM(AH61:AH63)</f>
        <v>0.12869512966322685</v>
      </c>
      <c r="AI64" s="452">
        <f>SUM(AI61:AI63)</f>
        <v>0.10441146007308007</v>
      </c>
      <c r="AJ64" s="444">
        <f>SUM(AJ61:AJ63)</f>
        <v>0.12963482450900987</v>
      </c>
      <c r="AK64" s="452">
        <f>SUM(AK61:AK63)</f>
        <v>0.10505730434762875</v>
      </c>
      <c r="AL64" s="444">
        <f t="shared" ref="AL64:AM64" si="128">SUM(AL61:AL63)</f>
        <v>0.12963482450900987</v>
      </c>
      <c r="AM64" s="449">
        <f t="shared" si="128"/>
        <v>0.10505730434762875</v>
      </c>
    </row>
    <row r="65" spans="4:39" ht="24.75" thickBot="1" x14ac:dyDescent="0.3">
      <c r="D65" s="78"/>
      <c r="E65" s="78"/>
      <c r="F65" s="78"/>
      <c r="G65" s="78"/>
      <c r="H65" s="78"/>
      <c r="I65" s="78"/>
      <c r="N65" s="78"/>
      <c r="O65" s="78"/>
      <c r="P65" s="78"/>
      <c r="Q65" s="78"/>
      <c r="R65" s="78"/>
      <c r="S65" s="78"/>
      <c r="X65" s="78"/>
      <c r="Y65" s="78"/>
      <c r="Z65" s="78"/>
      <c r="AA65" s="78"/>
      <c r="AB65" s="78"/>
      <c r="AC65" s="78"/>
      <c r="AE65" s="378" t="s">
        <v>271</v>
      </c>
      <c r="AF65" s="182" t="s">
        <v>16</v>
      </c>
      <c r="AG65" s="182" t="s">
        <v>289</v>
      </c>
      <c r="AH65" s="447">
        <f>'Indata - Effektsamband-Faktorer'!$D19*'Modell - Lätta fordon'!AH37</f>
        <v>17.65082970463035</v>
      </c>
      <c r="AI65" s="447">
        <f>'Indata - Effektsamband-Faktorer'!$D19*'Modell - Lätta fordon'!AI37</f>
        <v>20.052631858046887</v>
      </c>
      <c r="AJ65" s="447">
        <f>'Indata - Effektsamband-Faktorer'!$D19*'Modell - Lätta fordon'!AJ37</f>
        <v>17.779710989731335</v>
      </c>
      <c r="AK65" s="447">
        <f>'Indata - Effektsamband-Faktorer'!$D19*'Modell - Lätta fordon'!AK37</f>
        <v>20.176668792939736</v>
      </c>
      <c r="AL65" s="447">
        <f>'Indata - Effektsamband-Faktorer'!$D19*'Modell - Lätta fordon'!AL37</f>
        <v>17.779710989731335</v>
      </c>
      <c r="AM65" s="447">
        <f>'Indata - Effektsamband-Faktorer'!$D19*'Modell - Lätta fordon'!AM37</f>
        <v>20.176668792939736</v>
      </c>
    </row>
    <row r="66" spans="4:39" x14ac:dyDescent="0.25">
      <c r="D66" s="78"/>
      <c r="E66" s="78"/>
      <c r="F66" s="78"/>
      <c r="G66" s="78"/>
      <c r="H66" s="78"/>
      <c r="I66" s="78"/>
      <c r="N66" s="78"/>
      <c r="O66" s="78"/>
      <c r="P66" s="78"/>
      <c r="Q66" s="78"/>
      <c r="R66" s="78"/>
      <c r="S66" s="78"/>
      <c r="X66" s="78"/>
      <c r="Y66" s="78"/>
      <c r="Z66" s="78"/>
      <c r="AA66" s="78"/>
      <c r="AB66" s="78"/>
      <c r="AC66" s="78"/>
    </row>
    <row r="67" spans="4:39" ht="15.75" thickBot="1" x14ac:dyDescent="0.3">
      <c r="D67" s="78"/>
      <c r="E67" s="78"/>
      <c r="F67" s="78"/>
      <c r="G67" s="78"/>
      <c r="H67" s="78"/>
      <c r="I67" s="78"/>
      <c r="N67" s="78"/>
      <c r="O67" s="78"/>
      <c r="P67" s="78"/>
      <c r="Q67" s="78"/>
      <c r="R67" s="78"/>
      <c r="S67" s="78"/>
      <c r="X67" s="78"/>
      <c r="Y67" s="78"/>
      <c r="Z67" s="78"/>
      <c r="AA67" s="78"/>
      <c r="AB67" s="78"/>
      <c r="AC67" s="78"/>
      <c r="AE67" s="42" t="s">
        <v>268</v>
      </c>
      <c r="AF67" s="40"/>
      <c r="AG67" s="40"/>
      <c r="AH67" s="40"/>
      <c r="AI67" s="40"/>
      <c r="AJ67" s="40"/>
      <c r="AK67" s="40"/>
      <c r="AL67" s="40"/>
      <c r="AM67" s="40"/>
    </row>
    <row r="68" spans="4:39" x14ac:dyDescent="0.25">
      <c r="D68" s="78"/>
      <c r="E68" s="78"/>
      <c r="F68" s="78"/>
      <c r="G68" s="78"/>
      <c r="H68" s="78"/>
      <c r="I68" s="78"/>
      <c r="N68" s="78"/>
      <c r="O68" s="78"/>
      <c r="P68" s="78"/>
      <c r="Q68" s="78"/>
      <c r="R68" s="78"/>
      <c r="S68" s="78"/>
      <c r="X68" s="78"/>
      <c r="Y68" s="78"/>
      <c r="Z68" s="78"/>
      <c r="AA68" s="78"/>
      <c r="AB68" s="78"/>
      <c r="AC68" s="78"/>
      <c r="AE68" s="1121" t="s">
        <v>130</v>
      </c>
      <c r="AF68" s="128" t="s">
        <v>96</v>
      </c>
      <c r="AG68" s="183" t="s">
        <v>129</v>
      </c>
      <c r="AH68" s="238">
        <f>(1-Indata!D$9-Indata!D$10)*'Indata - Effektsamband-Faktorer'!$D21*'Modell - Lätta fordon'!AH$13*'Modell - Lätta fordon'!AH$34/10</f>
        <v>17.88835449983754</v>
      </c>
      <c r="AI68" s="239">
        <f>(1-Indata!E$9-Indata!E$10)*'Indata - Effektsamband-Faktorer'!$E21*'Modell - Lätta fordon'!AI$13*'Modell - Lätta fordon'!AI$34/10</f>
        <v>12.826762901103814</v>
      </c>
      <c r="AJ68" s="238">
        <f>(1-Indata!F$9-Indata!F$10)*'Indata - Effektsamband-Faktorer'!$D21*'Modell - Lätta fordon'!AJ$13*'Modell - Lätta fordon'!AJ$34/10</f>
        <v>18.018970122721051</v>
      </c>
      <c r="AK68" s="239">
        <f>(1-Indata!G$9-Indata!G$10)*'Indata - Effektsamband-Faktorer'!$E21*'Modell - Lätta fordon'!AK$13*'Modell - Lätta fordon'!AK$34/10</f>
        <v>12.906103726094415</v>
      </c>
      <c r="AL68" s="240">
        <f>(1-Indata!H$9-Indata!H$10)*'Indata - Effektsamband-Faktorer'!$D21*'Modell - Lätta fordon'!AL$13*'Modell - Lätta fordon'!AL$34/10</f>
        <v>18.018970122721051</v>
      </c>
      <c r="AM68" s="239">
        <f>(1-Indata!I$9-Indata!I$10)*'Indata - Effektsamband-Faktorer'!$E21*'Modell - Lätta fordon'!AM$13*'Modell - Lätta fordon'!AM$34/10</f>
        <v>12.906103726094415</v>
      </c>
    </row>
    <row r="69" spans="4:39" x14ac:dyDescent="0.25">
      <c r="D69" s="78"/>
      <c r="E69" s="78"/>
      <c r="F69" s="78"/>
      <c r="G69" s="78"/>
      <c r="H69" s="78"/>
      <c r="I69" s="78"/>
      <c r="N69" s="78"/>
      <c r="O69" s="78"/>
      <c r="P69" s="78"/>
      <c r="Q69" s="78"/>
      <c r="R69" s="78"/>
      <c r="S69" s="78"/>
      <c r="X69" s="78"/>
      <c r="Y69" s="78"/>
      <c r="Z69" s="78"/>
      <c r="AA69" s="78"/>
      <c r="AB69" s="78"/>
      <c r="AC69" s="78"/>
      <c r="AE69" s="1122"/>
      <c r="AF69" s="129" t="s">
        <v>97</v>
      </c>
      <c r="AG69" s="184" t="s">
        <v>129</v>
      </c>
      <c r="AH69" s="241">
        <f>(1-Indata!D$11-Indata!D$12)*'Indata - Effektsamband-Faktorer'!$D22*'Modell - Lätta fordon'!AH$14*'Modell - Lätta fordon'!AH$35/10</f>
        <v>15.124539157912034</v>
      </c>
      <c r="AI69" s="242">
        <f>(1-Indata!E$11-Indata!E$12)*'Indata - Effektsamband-Faktorer'!$E22*'Modell - Lätta fordon'!AI$14*'Modell - Lätta fordon'!AI$35/10</f>
        <v>10.22242590614545</v>
      </c>
      <c r="AJ69" s="241">
        <f>(1-Indata!F$11-Indata!F$12)*'Indata - Effektsamband-Faktorer'!$D22*'Modell - Lätta fordon'!AJ$14*'Modell - Lätta fordon'!AJ$35/10</f>
        <v>15.23497419557604</v>
      </c>
      <c r="AK69" s="242">
        <f>(1-Indata!G$11-Indata!G$12)*'Indata - Effektsamband-Faktorer'!$E22*'Modell - Lätta fordon'!AK$14*'Modell - Lätta fordon'!AK$35/10</f>
        <v>10.285657425356666</v>
      </c>
      <c r="AL69" s="243">
        <f>(1-Indata!H$11-Indata!H$12)*'Indata - Effektsamband-Faktorer'!$D22*'Modell - Lätta fordon'!AL$14*'Modell - Lätta fordon'!AL$35/10</f>
        <v>15.23497419557604</v>
      </c>
      <c r="AM69" s="242">
        <f>(1-Indata!I$11-Indata!I$12)*'Indata - Effektsamband-Faktorer'!$E22*'Modell - Lätta fordon'!AM$14*'Modell - Lätta fordon'!AM$35/10</f>
        <v>10.285657425356666</v>
      </c>
    </row>
    <row r="70" spans="4:39" x14ac:dyDescent="0.25">
      <c r="D70" s="78"/>
      <c r="E70" s="78"/>
      <c r="F70" s="78"/>
      <c r="G70" s="78"/>
      <c r="H70" s="78"/>
      <c r="I70" s="78"/>
      <c r="N70" s="78"/>
      <c r="O70" s="78"/>
      <c r="P70" s="78"/>
      <c r="Q70" s="78"/>
      <c r="R70" s="78"/>
      <c r="S70" s="78"/>
      <c r="X70" s="78"/>
      <c r="Y70" s="78"/>
      <c r="Z70" s="78"/>
      <c r="AA70" s="78"/>
      <c r="AB70" s="78"/>
      <c r="AC70" s="78"/>
      <c r="AE70" s="1122"/>
      <c r="AF70" s="129" t="s">
        <v>98</v>
      </c>
      <c r="AG70" s="184" t="s">
        <v>129</v>
      </c>
      <c r="AH70" s="241">
        <f>(Indata!D$9*'Indata - Effektsamband-Faktorer'!$D$23+Indata!D$10*'Indata - Effektsamband-Faktorer'!$D$24)*'Modell - Lätta fordon'!AH$13*'Modell - Lätta fordon'!AH$34/10</f>
        <v>0.93399843215664957</v>
      </c>
      <c r="AI70" s="242">
        <f>(Indata!E$9*'Indata - Effektsamband-Faktorer'!$E$23+Indata!E$10*'Indata - Effektsamband-Faktorer'!$E$24)*'Modell - Lätta fordon'!AI$13*'Modell - Lätta fordon'!AI$34/10</f>
        <v>0.66971931036948329</v>
      </c>
      <c r="AJ70" s="241">
        <f>(Indata!F$9*'Indata - Effektsamband-Faktorer'!$D$23+Indata!F$10*'Indata - Effektsamband-Faktorer'!$D$24)*'Modell - Lätta fordon'!AJ$13*'Modell - Lätta fordon'!AJ$34/10</f>
        <v>0.94081822024780537</v>
      </c>
      <c r="AK70" s="242">
        <f>(Indata!G$9*'Indata - Effektsamband-Faktorer'!$E$23+Indata!G$10*'Indata - Effektsamband-Faktorer'!$E$24)*'Modell - Lätta fordon'!AK$13*'Modell - Lätta fordon'!AK$34/10</f>
        <v>0.67386190527098233</v>
      </c>
      <c r="AL70" s="243">
        <f>(Indata!H$9*'Indata - Effektsamband-Faktorer'!$D$23+Indata!H$10*'Indata - Effektsamband-Faktorer'!$D$24)*'Modell - Lätta fordon'!AL$13*'Modell - Lätta fordon'!AL$34/10</f>
        <v>0.94081822024780537</v>
      </c>
      <c r="AM70" s="242">
        <f>(Indata!I$9*'Indata - Effektsamband-Faktorer'!$E$23+Indata!I$10*'Indata - Effektsamband-Faktorer'!$E$24)*'Modell - Lätta fordon'!AM$13*'Modell - Lätta fordon'!AM$34/10</f>
        <v>0.67386190527098233</v>
      </c>
    </row>
    <row r="71" spans="4:39" x14ac:dyDescent="0.25">
      <c r="D71" s="78"/>
      <c r="E71" s="78"/>
      <c r="F71" s="78"/>
      <c r="G71" s="78"/>
      <c r="H71" s="78"/>
      <c r="I71" s="78"/>
      <c r="N71" s="78"/>
      <c r="O71" s="78"/>
      <c r="P71" s="78"/>
      <c r="Q71" s="78"/>
      <c r="R71" s="78"/>
      <c r="S71" s="78"/>
      <c r="X71" s="78"/>
      <c r="Y71" s="78"/>
      <c r="Z71" s="78"/>
      <c r="AA71" s="78"/>
      <c r="AB71" s="78"/>
      <c r="AC71" s="78"/>
      <c r="AE71" s="1122"/>
      <c r="AF71" s="129" t="s">
        <v>100</v>
      </c>
      <c r="AG71" s="184" t="s">
        <v>129</v>
      </c>
      <c r="AH71" s="241">
        <f>(Indata!D$11*'Indata - Effektsamband-Faktorer'!$D$25+Indata!D$12*'Indata - Effektsamband-Faktorer'!$D$26)*'Modell - Lätta fordon'!AH$14*'Modell - Lätta fordon'!AH$35/10</f>
        <v>6.8130783460588429</v>
      </c>
      <c r="AI71" s="242">
        <f>(Indata!E$11*'Indata - Effektsamband-Faktorer'!$E$25+Indata!E$12*'Indata - Effektsamband-Faktorer'!$E$26)*'Modell - Lätta fordon'!AI$14*'Modell - Lätta fordon'!AI$35/10</f>
        <v>4.6048469879438816</v>
      </c>
      <c r="AJ71" s="241">
        <f>(Indata!F$11*'Indata - Effektsamband-Faktorer'!$D$25+Indata!F$12*'Indata - Effektsamband-Faktorer'!$D$26)*'Modell - Lätta fordon'!AJ$14*'Modell - Lätta fordon'!AJ$35/10</f>
        <v>6.8628254858492976</v>
      </c>
      <c r="AK71" s="242">
        <f>(Indata!G$11*'Indata - Effektsamband-Faktorer'!$E$25+Indata!G$12*'Indata - Effektsamband-Faktorer'!$E$26)*'Modell - Lätta fordon'!AK$14*'Modell - Lätta fordon'!AK$35/10</f>
        <v>4.6333305860111311</v>
      </c>
      <c r="AL71" s="243">
        <f>(Indata!H$11*'Indata - Effektsamband-Faktorer'!$D$25+Indata!H$12*'Indata - Effektsamband-Faktorer'!$D$26)*'Modell - Lätta fordon'!AL$14*'Modell - Lätta fordon'!AL$35/10</f>
        <v>6.8628254858492976</v>
      </c>
      <c r="AM71" s="242">
        <f>(Indata!I$11*'Indata - Effektsamband-Faktorer'!$E$25+Indata!I$12*'Indata - Effektsamband-Faktorer'!$E$26)*'Modell - Lätta fordon'!AM$14*'Modell - Lätta fordon'!AM$35/10</f>
        <v>4.6333305860111311</v>
      </c>
    </row>
    <row r="72" spans="4:39" x14ac:dyDescent="0.25">
      <c r="AE72" s="1122"/>
      <c r="AF72" s="129" t="s">
        <v>7</v>
      </c>
      <c r="AG72" s="184" t="s">
        <v>129</v>
      </c>
      <c r="AH72" s="241">
        <f t="shared" ref="AH72:AM72" si="129">AH15*AH36/10</f>
        <v>2.5655480975680214</v>
      </c>
      <c r="AI72" s="242">
        <f t="shared" si="129"/>
        <v>6.1531500856416885</v>
      </c>
      <c r="AJ72" s="241">
        <f t="shared" si="129"/>
        <v>2.5842809923574492</v>
      </c>
      <c r="AK72" s="242">
        <f t="shared" si="129"/>
        <v>6.1912108191135591</v>
      </c>
      <c r="AL72" s="243">
        <f t="shared" si="129"/>
        <v>2.5842809923574492</v>
      </c>
      <c r="AM72" s="242">
        <f t="shared" si="129"/>
        <v>6.1912108191135591</v>
      </c>
    </row>
    <row r="73" spans="4:39" x14ac:dyDescent="0.25">
      <c r="AE73" s="1122"/>
      <c r="AF73" s="180" t="s">
        <v>131</v>
      </c>
      <c r="AG73" s="261" t="s">
        <v>129</v>
      </c>
      <c r="AH73" s="211">
        <f>SUM(AH68:AH69)</f>
        <v>33.012893657749572</v>
      </c>
      <c r="AI73" s="212">
        <f t="shared" ref="AI73:AM73" si="130">SUM(AI68:AI69)</f>
        <v>23.049188807249266</v>
      </c>
      <c r="AJ73" s="211">
        <f t="shared" si="130"/>
        <v>33.253944318297087</v>
      </c>
      <c r="AK73" s="212">
        <f t="shared" si="130"/>
        <v>23.191761151451082</v>
      </c>
      <c r="AL73" s="213">
        <f t="shared" si="130"/>
        <v>33.253944318297087</v>
      </c>
      <c r="AM73" s="212">
        <f t="shared" si="130"/>
        <v>23.191761151451082</v>
      </c>
    </row>
    <row r="74" spans="4:39" x14ac:dyDescent="0.25">
      <c r="AE74" s="1122"/>
      <c r="AF74" s="180" t="s">
        <v>132</v>
      </c>
      <c r="AG74" s="261" t="s">
        <v>129</v>
      </c>
      <c r="AH74" s="211">
        <f>SUM(AH70:AH71)</f>
        <v>7.7470767782154928</v>
      </c>
      <c r="AI74" s="212">
        <f t="shared" ref="AI74:AM74" si="131">SUM(AI70:AI71)</f>
        <v>5.2745662983133652</v>
      </c>
      <c r="AJ74" s="211">
        <f t="shared" si="131"/>
        <v>7.8036437060971027</v>
      </c>
      <c r="AK74" s="212">
        <f t="shared" si="131"/>
        <v>5.3071924912821133</v>
      </c>
      <c r="AL74" s="213">
        <f t="shared" si="131"/>
        <v>7.8036437060971027</v>
      </c>
      <c r="AM74" s="212">
        <f t="shared" si="131"/>
        <v>5.3071924912821133</v>
      </c>
    </row>
    <row r="75" spans="4:39" ht="15.75" thickBot="1" x14ac:dyDescent="0.3">
      <c r="AE75" s="1123"/>
      <c r="AF75" s="182" t="s">
        <v>133</v>
      </c>
      <c r="AG75" s="262" t="s">
        <v>129</v>
      </c>
      <c r="AH75" s="214">
        <f>AH72</f>
        <v>2.5655480975680214</v>
      </c>
      <c r="AI75" s="215">
        <f t="shared" ref="AI75:AM75" si="132">AI72</f>
        <v>6.1531500856416885</v>
      </c>
      <c r="AJ75" s="214">
        <f t="shared" si="132"/>
        <v>2.5842809923574492</v>
      </c>
      <c r="AK75" s="215">
        <f t="shared" si="132"/>
        <v>6.1912108191135591</v>
      </c>
      <c r="AL75" s="216">
        <f t="shared" si="132"/>
        <v>2.5842809923574492</v>
      </c>
      <c r="AM75" s="215">
        <f t="shared" si="132"/>
        <v>6.1912108191135591</v>
      </c>
    </row>
    <row r="77" spans="4:39" ht="15.75" thickBot="1" x14ac:dyDescent="0.3">
      <c r="AE77" s="42" t="s">
        <v>275</v>
      </c>
      <c r="AF77" s="40"/>
      <c r="AG77" s="40"/>
      <c r="AH77" s="40"/>
      <c r="AI77" s="40"/>
      <c r="AJ77" s="40"/>
      <c r="AK77" s="40"/>
      <c r="AL77" s="40"/>
      <c r="AM77" s="40"/>
    </row>
    <row r="78" spans="4:39" ht="14.45" customHeight="1" x14ac:dyDescent="0.25">
      <c r="AE78" s="1121" t="s">
        <v>236</v>
      </c>
      <c r="AF78" s="128" t="s">
        <v>96</v>
      </c>
      <c r="AG78" s="183" t="s">
        <v>136</v>
      </c>
      <c r="AH78" s="238">
        <f>(1-Indata!D$9-Indata!D$10)*'Modell - Drivmedelpriser'!E$19*'Modell - Lätta fordon'!AH$13*'Modell - Lätta fordon'!AH$34/10</f>
        <v>15.642669295510411</v>
      </c>
      <c r="AI78" s="239">
        <f>(1-Indata!E$9-Indata!E$10)*'Modell - Drivmedelpriser'!F$19*'Modell - Lätta fordon'!AI$13*'Modell - Lätta fordon'!AI$34/10</f>
        <v>13.672856496078424</v>
      </c>
      <c r="AJ78" s="238">
        <f>(1-Indata!F$9-Indata!F$10)*'Modell - Drivmedelpriser'!G$19*'Modell - Lätta fordon'!AJ$13*'Modell - Lätta fordon'!AJ$34/10</f>
        <v>15.756887570512308</v>
      </c>
      <c r="AK78" s="239">
        <f>(1-Indata!G$9-Indata!G$10)*'Modell - Drivmedelpriser'!H$19*'Modell - Lätta fordon'!AK$13*'Modell - Lätta fordon'!AK$34/10</f>
        <v>13.757430891250539</v>
      </c>
      <c r="AL78" s="240">
        <f>(1-Indata!H$9-Indata!H$10)*'Modell - Drivmedelpriser'!I$19*'Modell - Lätta fordon'!AL$13*'Modell - Lätta fordon'!AL$34/10</f>
        <v>15.756887570512308</v>
      </c>
      <c r="AM78" s="239">
        <f>(1-Indata!I$9-Indata!I$10)*'Modell - Drivmedelpriser'!J$19*'Modell - Lätta fordon'!AM$13*'Modell - Lätta fordon'!AM$34/10</f>
        <v>13.757430891250539</v>
      </c>
    </row>
    <row r="79" spans="4:39" x14ac:dyDescent="0.25">
      <c r="AE79" s="1122"/>
      <c r="AF79" s="129" t="s">
        <v>97</v>
      </c>
      <c r="AG79" s="184" t="s">
        <v>136</v>
      </c>
      <c r="AH79" s="241">
        <f>(1-Indata!D$11-Indata!D$12)*'Modell - Drivmedelpriser'!E$38*'Modell - Lätta fordon'!AH$14*'Modell - Lätta fordon'!AH$35/10</f>
        <v>8.6927295174604975</v>
      </c>
      <c r="AI79" s="242">
        <f>(1-Indata!E$11-Indata!E$12)*'Modell - Drivmedelpriser'!F$38*'Modell - Lätta fordon'!AI$14*'Modell - Lätta fordon'!AI$35/10</f>
        <v>7.1619239440994846</v>
      </c>
      <c r="AJ79" s="241">
        <f>(1-Indata!F$11-Indata!F$12)*'Modell - Drivmedelpriser'!G$38*'Modell - Lätta fordon'!AJ$14*'Modell - Lätta fordon'!AJ$35/10</f>
        <v>8.7562013298338091</v>
      </c>
      <c r="AK79" s="242">
        <f>(1-Indata!G$11-Indata!G$12)*'Modell - Drivmedelpriser'!H$38*'Modell - Lätta fordon'!AK$14*'Modell - Lätta fordon'!AK$35/10</f>
        <v>7.2062245177224593</v>
      </c>
      <c r="AL79" s="243">
        <f>(1-Indata!H$11-Indata!H$12)*'Modell - Drivmedelpriser'!I$38*'Modell - Lätta fordon'!AL$14*'Modell - Lätta fordon'!AL$35/10</f>
        <v>8.7562013298338091</v>
      </c>
      <c r="AM79" s="242">
        <f>(1-Indata!I$11-Indata!I$12)*'Modell - Drivmedelpriser'!J$38*'Modell - Lätta fordon'!AM$14*'Modell - Lätta fordon'!AM$35/10</f>
        <v>7.2062245177224593</v>
      </c>
    </row>
    <row r="80" spans="4:39" x14ac:dyDescent="0.25">
      <c r="AE80" s="1122"/>
      <c r="AF80" s="129" t="s">
        <v>98</v>
      </c>
      <c r="AG80" s="184" t="s">
        <v>136</v>
      </c>
      <c r="AH80" s="241">
        <f>(Indata!D$9+Indata!D$10)*'Modell - Drivmedelpriser'!E$19*'Modell - Lätta fordon'!AH$13*'Modell - Lätta fordon'!AH$34/10</f>
        <v>1.2683245374738168</v>
      </c>
      <c r="AI80" s="242">
        <f>(Indata!E$9+Indata!E$10)*'Modell - Drivmedelpriser'!F$19*'Modell - Lätta fordon'!AI$13*'Modell - Lätta fordon'!AI$34/10</f>
        <v>1.108609986168521</v>
      </c>
      <c r="AJ80" s="241">
        <f>(Indata!F$9+Indata!F$10)*'Modell - Drivmedelpriser'!G$19*'Modell - Lätta fordon'!AJ$13*'Modell - Lätta fordon'!AJ$34/10</f>
        <v>1.2775854786901868</v>
      </c>
      <c r="AK80" s="242">
        <f>(Indata!G$9+Indata!G$10)*'Modell - Drivmedelpriser'!H$19*'Modell - Lätta fordon'!AK$13*'Modell - Lätta fordon'!AK$34/10</f>
        <v>1.1154673695608543</v>
      </c>
      <c r="AL80" s="243">
        <f>(Indata!H$9+Indata!H$10)*'Modell - Drivmedelpriser'!I$19*'Modell - Lätta fordon'!AL$13*'Modell - Lätta fordon'!AL$34/10</f>
        <v>1.2775854786901868</v>
      </c>
      <c r="AM80" s="242">
        <f>(Indata!I$9+Indata!I$10)*'Modell - Drivmedelpriser'!J$19*'Modell - Lätta fordon'!AM$13*'Modell - Lätta fordon'!AM$34/10</f>
        <v>1.1154673695608543</v>
      </c>
    </row>
    <row r="81" spans="31:39" x14ac:dyDescent="0.25">
      <c r="AE81" s="1122"/>
      <c r="AF81" s="129" t="s">
        <v>100</v>
      </c>
      <c r="AG81" s="184" t="s">
        <v>136</v>
      </c>
      <c r="AH81" s="241">
        <f>(Indata!D$11+Indata!D$12)*'Modell - Drivmedelpriser'!E$38*'Modell - Lätta fordon'!AH$14*'Modell - Lätta fordon'!AH$35/10</f>
        <v>4.0906962435108234</v>
      </c>
      <c r="AI81" s="242">
        <f>(Indata!E$11+Indata!E$12)*'Modell - Drivmedelpriser'!F$38*'Modell - Lätta fordon'!AI$14*'Modell - Lätta fordon'!AI$35/10</f>
        <v>3.370317150164464</v>
      </c>
      <c r="AJ81" s="241">
        <f>(Indata!F$11+Indata!F$12)*'Modell - Drivmedelpriser'!G$38*'Modell - Lätta fordon'!AJ$14*'Modell - Lätta fordon'!AJ$35/10</f>
        <v>4.1205653316864987</v>
      </c>
      <c r="AK81" s="242">
        <f>(Indata!G$11+Indata!G$12)*'Modell - Drivmedelpriser'!H$38*'Modell - Lätta fordon'!AK$14*'Modell - Lätta fordon'!AK$35/10</f>
        <v>3.3911644789282165</v>
      </c>
      <c r="AL81" s="243">
        <f>(Indata!H$11+Indata!H$12)*'Modell - Drivmedelpriser'!I$38*'Modell - Lätta fordon'!AL$14*'Modell - Lätta fordon'!AL$35/10</f>
        <v>4.1205653316864987</v>
      </c>
      <c r="AM81" s="242">
        <f>(Indata!I$11+Indata!I$12)*'Modell - Drivmedelpriser'!J$38*'Modell - Lätta fordon'!AM$14*'Modell - Lätta fordon'!AM$35/10</f>
        <v>3.3911644789282165</v>
      </c>
    </row>
    <row r="82" spans="31:39" x14ac:dyDescent="0.25">
      <c r="AE82" s="1122"/>
      <c r="AF82" s="129" t="s">
        <v>7</v>
      </c>
      <c r="AG82" s="184" t="s">
        <v>136</v>
      </c>
      <c r="AH82" s="241">
        <f>'Modell - Drivmedelpriser'!E$70*'Modell - Lätta fordon'!AH$15*'Modell - Lätta fordon'!AH$36/10</f>
        <v>0.86356348964139595</v>
      </c>
      <c r="AI82" s="241">
        <f>'Modell - Drivmedelpriser'!F$70*'Modell - Lätta fordon'!AI$15*'Modell - Lätta fordon'!AI$36/10</f>
        <v>2.0711503188269917</v>
      </c>
      <c r="AJ82" s="241">
        <f>'Modell - Drivmedelpriser'!G$70*'Modell - Lätta fordon'!AJ$15*'Modell - Lätta fordon'!AJ$36/10</f>
        <v>0.86986898202751739</v>
      </c>
      <c r="AK82" s="241">
        <f>'Modell - Drivmedelpriser'!H$70*'Modell - Lätta fordon'!AK$15*'Modell - Lätta fordon'!AK$36/10</f>
        <v>2.0839615617136236</v>
      </c>
      <c r="AL82" s="241">
        <f>'Modell - Drivmedelpriser'!I$70*'Modell - Lätta fordon'!AL$15*'Modell - Lätta fordon'!AL$36/10</f>
        <v>0.86986898202751739</v>
      </c>
      <c r="AM82" s="241">
        <f>'Modell - Drivmedelpriser'!J$70*'Modell - Lätta fordon'!AM$15*'Modell - Lätta fordon'!AM$36/10</f>
        <v>2.0839615617136236</v>
      </c>
    </row>
    <row r="83" spans="31:39" x14ac:dyDescent="0.25">
      <c r="AE83" s="1122"/>
      <c r="AF83" s="180" t="s">
        <v>131</v>
      </c>
      <c r="AG83" s="261" t="s">
        <v>136</v>
      </c>
      <c r="AH83" s="211">
        <f>SUM(AH78:AH79)</f>
        <v>24.335398812970908</v>
      </c>
      <c r="AI83" s="212">
        <f t="shared" ref="AI83:AM83" si="133">SUM(AI78:AI79)</f>
        <v>20.834780440177909</v>
      </c>
      <c r="AJ83" s="211">
        <f t="shared" si="133"/>
        <v>24.513088900346119</v>
      </c>
      <c r="AK83" s="212">
        <f t="shared" si="133"/>
        <v>20.963655408972997</v>
      </c>
      <c r="AL83" s="213">
        <f t="shared" si="133"/>
        <v>24.513088900346119</v>
      </c>
      <c r="AM83" s="212">
        <f t="shared" si="133"/>
        <v>20.963655408972997</v>
      </c>
    </row>
    <row r="84" spans="31:39" x14ac:dyDescent="0.25">
      <c r="AE84" s="1122"/>
      <c r="AF84" s="180" t="s">
        <v>132</v>
      </c>
      <c r="AG84" s="261" t="s">
        <v>136</v>
      </c>
      <c r="AH84" s="211">
        <f>SUM(AH80:AH81)</f>
        <v>5.3590207809846397</v>
      </c>
      <c r="AI84" s="212">
        <f t="shared" ref="AI84:AM84" si="134">SUM(AI80:AI81)</f>
        <v>4.4789271363329846</v>
      </c>
      <c r="AJ84" s="211">
        <f t="shared" si="134"/>
        <v>5.398150810376686</v>
      </c>
      <c r="AK84" s="212">
        <f t="shared" si="134"/>
        <v>4.5066318484890706</v>
      </c>
      <c r="AL84" s="213">
        <f t="shared" si="134"/>
        <v>5.398150810376686</v>
      </c>
      <c r="AM84" s="212">
        <f t="shared" si="134"/>
        <v>4.5066318484890706</v>
      </c>
    </row>
    <row r="85" spans="31:39" ht="15.75" thickBot="1" x14ac:dyDescent="0.3">
      <c r="AE85" s="1123"/>
      <c r="AF85" s="182" t="s">
        <v>133</v>
      </c>
      <c r="AG85" s="262" t="s">
        <v>136</v>
      </c>
      <c r="AH85" s="214">
        <f>AH82</f>
        <v>0.86356348964139595</v>
      </c>
      <c r="AI85" s="215">
        <f t="shared" ref="AI85:AM85" si="135">AI82</f>
        <v>2.0711503188269917</v>
      </c>
      <c r="AJ85" s="214">
        <f>AJ82</f>
        <v>0.86986898202751739</v>
      </c>
      <c r="AK85" s="215">
        <f t="shared" si="135"/>
        <v>2.0839615617136236</v>
      </c>
      <c r="AL85" s="216">
        <f t="shared" si="135"/>
        <v>0.86986898202751739</v>
      </c>
      <c r="AM85" s="215">
        <f t="shared" si="135"/>
        <v>2.0839615617136236</v>
      </c>
    </row>
    <row r="86" spans="31:39" ht="14.45" customHeight="1" x14ac:dyDescent="0.25">
      <c r="AE86" s="1121" t="s">
        <v>202</v>
      </c>
      <c r="AF86" s="128" t="s">
        <v>8</v>
      </c>
      <c r="AG86" s="183" t="s">
        <v>136</v>
      </c>
      <c r="AH86" s="195">
        <f t="shared" ref="AH86:AM88" si="136">AH34/10*AH24</f>
        <v>0</v>
      </c>
      <c r="AI86" s="220">
        <f t="shared" si="136"/>
        <v>0</v>
      </c>
      <c r="AJ86" s="195">
        <f t="shared" si="136"/>
        <v>0</v>
      </c>
      <c r="AK86" s="196">
        <f t="shared" si="136"/>
        <v>0</v>
      </c>
      <c r="AL86" s="197">
        <f t="shared" si="136"/>
        <v>0</v>
      </c>
      <c r="AM86" s="196">
        <f t="shared" si="136"/>
        <v>0</v>
      </c>
    </row>
    <row r="87" spans="31:39" x14ac:dyDescent="0.25">
      <c r="AE87" s="1122"/>
      <c r="AF87" s="129" t="s">
        <v>9</v>
      </c>
      <c r="AG87" s="184" t="s">
        <v>136</v>
      </c>
      <c r="AH87" s="198">
        <f t="shared" si="136"/>
        <v>0</v>
      </c>
      <c r="AI87" s="221">
        <f t="shared" si="136"/>
        <v>0</v>
      </c>
      <c r="AJ87" s="198">
        <f t="shared" si="136"/>
        <v>0</v>
      </c>
      <c r="AK87" s="199">
        <f t="shared" si="136"/>
        <v>0</v>
      </c>
      <c r="AL87" s="200">
        <f t="shared" si="136"/>
        <v>0</v>
      </c>
      <c r="AM87" s="199">
        <f t="shared" si="136"/>
        <v>0</v>
      </c>
    </row>
    <row r="88" spans="31:39" x14ac:dyDescent="0.25">
      <c r="AE88" s="1122"/>
      <c r="AF88" s="129" t="s">
        <v>7</v>
      </c>
      <c r="AG88" s="184" t="s">
        <v>136</v>
      </c>
      <c r="AH88" s="198">
        <f t="shared" si="136"/>
        <v>0</v>
      </c>
      <c r="AI88" s="221">
        <f t="shared" si="136"/>
        <v>0</v>
      </c>
      <c r="AJ88" s="198">
        <f t="shared" si="136"/>
        <v>0</v>
      </c>
      <c r="AK88" s="199">
        <f t="shared" si="136"/>
        <v>0</v>
      </c>
      <c r="AL88" s="200">
        <f t="shared" si="136"/>
        <v>0</v>
      </c>
      <c r="AM88" s="199">
        <f t="shared" si="136"/>
        <v>0</v>
      </c>
    </row>
    <row r="89" spans="31:39" ht="15.75" thickBot="1" x14ac:dyDescent="0.3">
      <c r="AE89" s="1123"/>
      <c r="AF89" s="182" t="s">
        <v>16</v>
      </c>
      <c r="AG89" s="262" t="s">
        <v>136</v>
      </c>
      <c r="AH89" s="201">
        <f>SUM(AH86:AH88)</f>
        <v>0</v>
      </c>
      <c r="AI89" s="202">
        <f t="shared" ref="AI89:AM89" si="137">SUM(AI86:AI88)</f>
        <v>0</v>
      </c>
      <c r="AJ89" s="201">
        <f t="shared" si="137"/>
        <v>0</v>
      </c>
      <c r="AK89" s="203">
        <f t="shared" si="137"/>
        <v>0</v>
      </c>
      <c r="AL89" s="204">
        <f t="shared" si="137"/>
        <v>0</v>
      </c>
      <c r="AM89" s="203">
        <f t="shared" si="137"/>
        <v>0</v>
      </c>
    </row>
    <row r="92" spans="31:39" x14ac:dyDescent="0.25">
      <c r="AF92" s="27"/>
    </row>
  </sheetData>
  <mergeCells count="58">
    <mergeCell ref="AE57:AE60"/>
    <mergeCell ref="AE61:AE64"/>
    <mergeCell ref="A18:A21"/>
    <mergeCell ref="K18:K21"/>
    <mergeCell ref="A34:A37"/>
    <mergeCell ref="U18:U21"/>
    <mergeCell ref="U24:U26"/>
    <mergeCell ref="U29:U31"/>
    <mergeCell ref="U34:U37"/>
    <mergeCell ref="U40:U44"/>
    <mergeCell ref="U47:U50"/>
    <mergeCell ref="AE34:AE37"/>
    <mergeCell ref="AE40:AE44"/>
    <mergeCell ref="A13:A15"/>
    <mergeCell ref="K47:K50"/>
    <mergeCell ref="H3:I3"/>
    <mergeCell ref="K6:K10"/>
    <mergeCell ref="A40:A44"/>
    <mergeCell ref="K40:K44"/>
    <mergeCell ref="A6:A10"/>
    <mergeCell ref="A47:A50"/>
    <mergeCell ref="A24:A26"/>
    <mergeCell ref="A29:A31"/>
    <mergeCell ref="K34:K37"/>
    <mergeCell ref="D3:E3"/>
    <mergeCell ref="F3:G3"/>
    <mergeCell ref="K24:K26"/>
    <mergeCell ref="K29:K31"/>
    <mergeCell ref="K13:K15"/>
    <mergeCell ref="Z3:AA3"/>
    <mergeCell ref="AB3:AC3"/>
    <mergeCell ref="U6:U10"/>
    <mergeCell ref="U13:U15"/>
    <mergeCell ref="N3:O3"/>
    <mergeCell ref="P3:Q3"/>
    <mergeCell ref="R3:S3"/>
    <mergeCell ref="AH3:AI3"/>
    <mergeCell ref="AJ3:AK3"/>
    <mergeCell ref="AL3:AM3"/>
    <mergeCell ref="AE6:AE10"/>
    <mergeCell ref="AE13:AE15"/>
    <mergeCell ref="AF3:AG4"/>
    <mergeCell ref="AE86:AE89"/>
    <mergeCell ref="A3:A4"/>
    <mergeCell ref="B3:C4"/>
    <mergeCell ref="K3:K4"/>
    <mergeCell ref="L3:M4"/>
    <mergeCell ref="U3:U4"/>
    <mergeCell ref="V3:W4"/>
    <mergeCell ref="AE3:AE4"/>
    <mergeCell ref="AE53:AE56"/>
    <mergeCell ref="AE68:AE75"/>
    <mergeCell ref="AE78:AE85"/>
    <mergeCell ref="AE47:AE50"/>
    <mergeCell ref="AE18:AE21"/>
    <mergeCell ref="AE24:AE26"/>
    <mergeCell ref="AE29:AE31"/>
    <mergeCell ref="X3:Y3"/>
  </mergeCells>
  <pageMargins left="0.7" right="0.7" top="0.75" bottom="0.75" header="0.3" footer="0.3"/>
  <pageSetup paperSize="9" orientation="portrait" r:id="rId1"/>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65"/>
  <sheetViews>
    <sheetView workbookViewId="0">
      <selection activeCell="E6" sqref="E6"/>
    </sheetView>
  </sheetViews>
  <sheetFormatPr defaultRowHeight="15" x14ac:dyDescent="0.25"/>
  <cols>
    <col min="2" max="2" width="21.85546875" customWidth="1"/>
    <col min="5" max="5" width="10.5703125" customWidth="1"/>
  </cols>
  <sheetData>
    <row r="1" spans="2:14" x14ac:dyDescent="0.25">
      <c r="H1" t="s">
        <v>813</v>
      </c>
      <c r="I1">
        <v>3</v>
      </c>
      <c r="J1">
        <v>4</v>
      </c>
      <c r="K1">
        <v>5</v>
      </c>
      <c r="L1">
        <v>6</v>
      </c>
      <c r="M1">
        <v>7</v>
      </c>
      <c r="N1">
        <v>8</v>
      </c>
    </row>
    <row r="2" spans="2:14" x14ac:dyDescent="0.25">
      <c r="B2" t="s">
        <v>787</v>
      </c>
      <c r="E2" s="570">
        <f>'Modell - Drivmedelpriser'!F62-'Modell - Drivmedelpriser'!F61</f>
        <v>16.350158148247193</v>
      </c>
      <c r="F2" t="s">
        <v>808</v>
      </c>
      <c r="H2">
        <v>126</v>
      </c>
      <c r="I2">
        <f>$H2/I1</f>
        <v>42</v>
      </c>
      <c r="J2">
        <f t="shared" ref="J2:N2" si="0">$H2/J1</f>
        <v>31.5</v>
      </c>
      <c r="K2">
        <f t="shared" si="0"/>
        <v>25.2</v>
      </c>
      <c r="L2">
        <f t="shared" si="0"/>
        <v>21</v>
      </c>
      <c r="M2">
        <f t="shared" si="0"/>
        <v>18</v>
      </c>
      <c r="N2">
        <f t="shared" si="0"/>
        <v>15.75</v>
      </c>
    </row>
    <row r="3" spans="2:14" x14ac:dyDescent="0.25">
      <c r="E3" s="570"/>
      <c r="H3">
        <f>H2*0.75</f>
        <v>94.5</v>
      </c>
      <c r="I3">
        <f>$H3/I1</f>
        <v>31.5</v>
      </c>
      <c r="J3">
        <f t="shared" ref="J3:N3" si="1">$H3/J1</f>
        <v>23.625</v>
      </c>
      <c r="K3">
        <f t="shared" si="1"/>
        <v>18.899999999999999</v>
      </c>
      <c r="L3">
        <f t="shared" si="1"/>
        <v>15.75</v>
      </c>
      <c r="M3">
        <f t="shared" si="1"/>
        <v>13.5</v>
      </c>
      <c r="N3">
        <f t="shared" si="1"/>
        <v>11.8125</v>
      </c>
    </row>
    <row r="4" spans="2:14" x14ac:dyDescent="0.25">
      <c r="B4" t="s">
        <v>790</v>
      </c>
      <c r="D4" t="s">
        <v>789</v>
      </c>
      <c r="F4" t="s">
        <v>410</v>
      </c>
      <c r="H4" t="s">
        <v>811</v>
      </c>
      <c r="I4">
        <f>I3-I2</f>
        <v>-10.5</v>
      </c>
      <c r="J4">
        <f t="shared" ref="J4:N4" si="2">J3-J2</f>
        <v>-7.875</v>
      </c>
      <c r="K4">
        <f t="shared" si="2"/>
        <v>-6.3000000000000007</v>
      </c>
      <c r="L4">
        <f t="shared" si="2"/>
        <v>-5.25</v>
      </c>
      <c r="M4">
        <f t="shared" si="2"/>
        <v>-4.5</v>
      </c>
      <c r="N4">
        <f t="shared" si="2"/>
        <v>-3.9375</v>
      </c>
    </row>
    <row r="5" spans="2:14" x14ac:dyDescent="0.25">
      <c r="B5" t="s">
        <v>788</v>
      </c>
      <c r="C5" t="s">
        <v>786</v>
      </c>
      <c r="D5">
        <v>16</v>
      </c>
      <c r="E5" s="570">
        <v>1.0975404858629165</v>
      </c>
      <c r="F5" t="s">
        <v>792</v>
      </c>
      <c r="H5" t="s">
        <v>812</v>
      </c>
      <c r="I5" s="1029">
        <f>I4/$H6</f>
        <v>-0.52500000000000002</v>
      </c>
      <c r="J5" s="1029">
        <f t="shared" ref="J5:N5" si="3">J4/$H6</f>
        <v>-0.39374999999999999</v>
      </c>
      <c r="K5" s="1029">
        <f t="shared" si="3"/>
        <v>-0.31500000000000006</v>
      </c>
      <c r="L5" s="1029">
        <f t="shared" si="3"/>
        <v>-0.26250000000000001</v>
      </c>
      <c r="M5" s="1029">
        <f t="shared" si="3"/>
        <v>-0.22500000000000001</v>
      </c>
      <c r="N5" s="1029">
        <f t="shared" si="3"/>
        <v>-0.19687499999999999</v>
      </c>
    </row>
    <row r="6" spans="2:14" x14ac:dyDescent="0.25">
      <c r="B6" t="s">
        <v>788</v>
      </c>
      <c r="C6" t="s">
        <v>786</v>
      </c>
      <c r="D6">
        <v>24</v>
      </c>
      <c r="E6" s="570">
        <v>1.4301687678393367</v>
      </c>
      <c r="F6" t="s">
        <v>792</v>
      </c>
      <c r="H6">
        <v>20</v>
      </c>
    </row>
    <row r="7" spans="2:14" x14ac:dyDescent="0.25">
      <c r="B7" t="s">
        <v>788</v>
      </c>
      <c r="C7" t="s">
        <v>786</v>
      </c>
      <c r="D7">
        <v>40</v>
      </c>
      <c r="E7" s="570">
        <v>1.7743995375527619</v>
      </c>
      <c r="F7" t="s">
        <v>792</v>
      </c>
    </row>
    <row r="8" spans="2:14" x14ac:dyDescent="0.25">
      <c r="B8" t="s">
        <v>788</v>
      </c>
      <c r="C8" t="s">
        <v>786</v>
      </c>
      <c r="D8">
        <v>60</v>
      </c>
      <c r="E8" s="570">
        <v>2.3008116808806713</v>
      </c>
      <c r="F8" t="s">
        <v>792</v>
      </c>
    </row>
    <row r="9" spans="2:14" x14ac:dyDescent="0.25">
      <c r="B9" t="s">
        <v>791</v>
      </c>
      <c r="C9" t="s">
        <v>786</v>
      </c>
      <c r="D9">
        <v>16</v>
      </c>
      <c r="E9" s="570">
        <f>E$2*E5</f>
        <v>17.944960517962748</v>
      </c>
      <c r="F9" t="s">
        <v>809</v>
      </c>
    </row>
    <row r="10" spans="2:14" x14ac:dyDescent="0.25">
      <c r="B10" t="s">
        <v>791</v>
      </c>
      <c r="C10" t="s">
        <v>786</v>
      </c>
      <c r="D10">
        <v>24</v>
      </c>
      <c r="E10" s="570">
        <f>E$2*E6</f>
        <v>23.383485532856977</v>
      </c>
      <c r="F10" t="s">
        <v>809</v>
      </c>
    </row>
    <row r="11" spans="2:14" x14ac:dyDescent="0.25">
      <c r="B11" t="s">
        <v>791</v>
      </c>
      <c r="C11" t="s">
        <v>786</v>
      </c>
      <c r="D11">
        <v>40</v>
      </c>
      <c r="E11" s="570">
        <f>E$2*E7</f>
        <v>29.011713057164339</v>
      </c>
      <c r="F11" t="s">
        <v>809</v>
      </c>
    </row>
    <row r="12" spans="2:14" x14ac:dyDescent="0.25">
      <c r="B12" t="s">
        <v>791</v>
      </c>
      <c r="C12" t="s">
        <v>786</v>
      </c>
      <c r="D12">
        <v>60</v>
      </c>
      <c r="E12" s="570">
        <f>E$2*E8</f>
        <v>37.618634851733425</v>
      </c>
      <c r="F12" t="s">
        <v>809</v>
      </c>
    </row>
    <row r="13" spans="2:14" x14ac:dyDescent="0.25">
      <c r="B13" t="s">
        <v>794</v>
      </c>
      <c r="C13" t="s">
        <v>786</v>
      </c>
      <c r="D13">
        <v>16</v>
      </c>
      <c r="E13" s="570">
        <f>'DL-truck costs_base'!AC34</f>
        <v>171.96222222222224</v>
      </c>
      <c r="F13" t="s">
        <v>795</v>
      </c>
    </row>
    <row r="14" spans="2:14" x14ac:dyDescent="0.25">
      <c r="B14" t="s">
        <v>794</v>
      </c>
      <c r="C14" t="s">
        <v>786</v>
      </c>
      <c r="D14">
        <v>24</v>
      </c>
      <c r="E14" s="570">
        <f>'DL-truck costs_base'!AC35</f>
        <v>151.47333333333327</v>
      </c>
      <c r="F14" t="s">
        <v>795</v>
      </c>
    </row>
    <row r="15" spans="2:14" x14ac:dyDescent="0.25">
      <c r="B15" t="s">
        <v>794</v>
      </c>
      <c r="C15" t="s">
        <v>786</v>
      </c>
      <c r="D15">
        <v>40</v>
      </c>
      <c r="E15" s="570">
        <f>'DL-truck costs_base'!AC36</f>
        <v>131.61270986021509</v>
      </c>
      <c r="F15" t="s">
        <v>795</v>
      </c>
    </row>
    <row r="16" spans="2:14" x14ac:dyDescent="0.25">
      <c r="B16" t="s">
        <v>794</v>
      </c>
      <c r="C16" t="s">
        <v>786</v>
      </c>
      <c r="D16">
        <v>60</v>
      </c>
      <c r="E16" s="570">
        <f>'DL-truck costs_base'!AC37</f>
        <v>138.28043235708435</v>
      </c>
      <c r="F16" t="s">
        <v>795</v>
      </c>
    </row>
    <row r="17" spans="2:6" x14ac:dyDescent="0.25">
      <c r="B17" t="s">
        <v>796</v>
      </c>
      <c r="C17" t="s">
        <v>786</v>
      </c>
      <c r="D17">
        <v>16</v>
      </c>
      <c r="E17" s="570">
        <f>E13+E9</f>
        <v>189.90718274018499</v>
      </c>
      <c r="F17" t="s">
        <v>795</v>
      </c>
    </row>
    <row r="18" spans="2:6" x14ac:dyDescent="0.25">
      <c r="B18" t="s">
        <v>796</v>
      </c>
      <c r="C18" t="s">
        <v>786</v>
      </c>
      <c r="D18">
        <v>24</v>
      </c>
      <c r="E18" s="570">
        <f t="shared" ref="E18:E19" si="4">E14+E10</f>
        <v>174.85681886619025</v>
      </c>
      <c r="F18" t="s">
        <v>795</v>
      </c>
    </row>
    <row r="19" spans="2:6" x14ac:dyDescent="0.25">
      <c r="B19" t="s">
        <v>796</v>
      </c>
      <c r="C19" t="s">
        <v>786</v>
      </c>
      <c r="D19">
        <v>40</v>
      </c>
      <c r="E19" s="570">
        <f t="shared" si="4"/>
        <v>160.62442291737943</v>
      </c>
      <c r="F19" t="s">
        <v>795</v>
      </c>
    </row>
    <row r="20" spans="2:6" x14ac:dyDescent="0.25">
      <c r="B20" t="s">
        <v>796</v>
      </c>
      <c r="C20" t="s">
        <v>786</v>
      </c>
      <c r="D20">
        <v>60</v>
      </c>
      <c r="E20" s="570">
        <f>E16+E12</f>
        <v>175.89906720881777</v>
      </c>
      <c r="F20" t="s">
        <v>795</v>
      </c>
    </row>
    <row r="21" spans="2:6" x14ac:dyDescent="0.25">
      <c r="B21" t="s">
        <v>797</v>
      </c>
      <c r="C21" t="s">
        <v>800</v>
      </c>
      <c r="D21">
        <v>16</v>
      </c>
      <c r="E21" s="1029">
        <v>0.1</v>
      </c>
      <c r="F21" t="s">
        <v>606</v>
      </c>
    </row>
    <row r="22" spans="2:6" x14ac:dyDescent="0.25">
      <c r="B22" t="s">
        <v>797</v>
      </c>
      <c r="C22" t="s">
        <v>800</v>
      </c>
      <c r="D22">
        <v>24</v>
      </c>
      <c r="E22" s="1029">
        <v>0.1</v>
      </c>
      <c r="F22" t="s">
        <v>606</v>
      </c>
    </row>
    <row r="23" spans="2:6" x14ac:dyDescent="0.25">
      <c r="B23" t="s">
        <v>797</v>
      </c>
      <c r="C23" t="s">
        <v>800</v>
      </c>
      <c r="D23">
        <v>40</v>
      </c>
      <c r="E23" s="1029">
        <v>0.1</v>
      </c>
      <c r="F23" t="s">
        <v>606</v>
      </c>
    </row>
    <row r="24" spans="2:6" x14ac:dyDescent="0.25">
      <c r="B24" t="s">
        <v>797</v>
      </c>
      <c r="C24" t="s">
        <v>800</v>
      </c>
      <c r="D24">
        <v>60</v>
      </c>
      <c r="E24" s="1029">
        <v>0.1</v>
      </c>
      <c r="F24" t="s">
        <v>606</v>
      </c>
    </row>
    <row r="25" spans="2:6" x14ac:dyDescent="0.25">
      <c r="B25" t="s">
        <v>798</v>
      </c>
      <c r="C25" t="s">
        <v>800</v>
      </c>
      <c r="D25">
        <v>16</v>
      </c>
      <c r="E25" s="1029">
        <v>-0.63701837372949288</v>
      </c>
      <c r="F25" t="s">
        <v>606</v>
      </c>
    </row>
    <row r="26" spans="2:6" x14ac:dyDescent="0.25">
      <c r="B26" t="s">
        <v>798</v>
      </c>
      <c r="C26" t="s">
        <v>800</v>
      </c>
      <c r="D26">
        <v>24</v>
      </c>
      <c r="E26" s="1029">
        <v>-0.53753674303844723</v>
      </c>
      <c r="F26" t="s">
        <v>606</v>
      </c>
    </row>
    <row r="27" spans="2:6" x14ac:dyDescent="0.25">
      <c r="B27" t="s">
        <v>798</v>
      </c>
      <c r="C27" t="s">
        <v>800</v>
      </c>
      <c r="D27">
        <v>40</v>
      </c>
      <c r="E27" s="1029">
        <v>-0.51447918799022407</v>
      </c>
      <c r="F27" t="s">
        <v>606</v>
      </c>
    </row>
    <row r="28" spans="2:6" x14ac:dyDescent="0.25">
      <c r="B28" t="s">
        <v>798</v>
      </c>
      <c r="C28" t="s">
        <v>800</v>
      </c>
      <c r="D28">
        <v>60</v>
      </c>
      <c r="E28" s="1029">
        <v>-0.50870458391552376</v>
      </c>
      <c r="F28" t="s">
        <v>606</v>
      </c>
    </row>
    <row r="29" spans="2:6" x14ac:dyDescent="0.25">
      <c r="B29" t="s">
        <v>799</v>
      </c>
      <c r="C29" t="s">
        <v>800</v>
      </c>
      <c r="D29" t="s">
        <v>801</v>
      </c>
      <c r="E29" s="1031">
        <v>0.5</v>
      </c>
      <c r="F29" t="s">
        <v>606</v>
      </c>
    </row>
    <row r="30" spans="2:6" x14ac:dyDescent="0.25">
      <c r="B30" t="s">
        <v>802</v>
      </c>
      <c r="C30" t="s">
        <v>800</v>
      </c>
      <c r="D30">
        <v>16</v>
      </c>
      <c r="E30" s="1030">
        <f t="shared" ref="E30:E37" si="5">E$29*E21</f>
        <v>0.05</v>
      </c>
      <c r="F30" t="s">
        <v>606</v>
      </c>
    </row>
    <row r="31" spans="2:6" x14ac:dyDescent="0.25">
      <c r="B31" t="s">
        <v>802</v>
      </c>
      <c r="C31" t="s">
        <v>800</v>
      </c>
      <c r="D31">
        <v>24</v>
      </c>
      <c r="E31" s="1030">
        <f t="shared" si="5"/>
        <v>0.05</v>
      </c>
      <c r="F31" t="s">
        <v>606</v>
      </c>
    </row>
    <row r="32" spans="2:6" x14ac:dyDescent="0.25">
      <c r="B32" t="s">
        <v>802</v>
      </c>
      <c r="C32" t="s">
        <v>800</v>
      </c>
      <c r="D32">
        <v>40</v>
      </c>
      <c r="E32" s="1030">
        <f t="shared" si="5"/>
        <v>0.05</v>
      </c>
      <c r="F32" t="s">
        <v>606</v>
      </c>
    </row>
    <row r="33" spans="2:6" x14ac:dyDescent="0.25">
      <c r="B33" t="s">
        <v>802</v>
      </c>
      <c r="C33" t="s">
        <v>800</v>
      </c>
      <c r="D33">
        <v>60</v>
      </c>
      <c r="E33" s="1030">
        <f t="shared" si="5"/>
        <v>0.05</v>
      </c>
      <c r="F33" t="s">
        <v>606</v>
      </c>
    </row>
    <row r="34" spans="2:6" x14ac:dyDescent="0.25">
      <c r="B34" t="s">
        <v>803</v>
      </c>
      <c r="C34" t="s">
        <v>800</v>
      </c>
      <c r="D34">
        <v>16</v>
      </c>
      <c r="E34" s="1030">
        <f>E$29*E25</f>
        <v>-0.31850918686474644</v>
      </c>
      <c r="F34" t="s">
        <v>606</v>
      </c>
    </row>
    <row r="35" spans="2:6" x14ac:dyDescent="0.25">
      <c r="B35" t="s">
        <v>803</v>
      </c>
      <c r="C35" t="s">
        <v>800</v>
      </c>
      <c r="D35">
        <v>24</v>
      </c>
      <c r="E35" s="1030">
        <f t="shared" si="5"/>
        <v>-0.26876837151922361</v>
      </c>
      <c r="F35" t="s">
        <v>606</v>
      </c>
    </row>
    <row r="36" spans="2:6" x14ac:dyDescent="0.25">
      <c r="B36" t="s">
        <v>803</v>
      </c>
      <c r="C36" t="s">
        <v>800</v>
      </c>
      <c r="D36">
        <v>40</v>
      </c>
      <c r="E36" s="1030">
        <f t="shared" si="5"/>
        <v>-0.25723959399511204</v>
      </c>
      <c r="F36" t="s">
        <v>606</v>
      </c>
    </row>
    <row r="37" spans="2:6" x14ac:dyDescent="0.25">
      <c r="B37" t="s">
        <v>803</v>
      </c>
      <c r="C37" t="s">
        <v>800</v>
      </c>
      <c r="D37">
        <v>60</v>
      </c>
      <c r="E37" s="1030">
        <f t="shared" si="5"/>
        <v>-0.25435229195776188</v>
      </c>
      <c r="F37" t="s">
        <v>606</v>
      </c>
    </row>
    <row r="38" spans="2:6" x14ac:dyDescent="0.25">
      <c r="B38" t="s">
        <v>788</v>
      </c>
      <c r="C38" t="s">
        <v>800</v>
      </c>
      <c r="D38">
        <v>16</v>
      </c>
      <c r="E38" s="1032">
        <f>(1-E30)*E5</f>
        <v>1.0426634615697707</v>
      </c>
      <c r="F38" t="s">
        <v>792</v>
      </c>
    </row>
    <row r="39" spans="2:6" x14ac:dyDescent="0.25">
      <c r="B39" t="s">
        <v>788</v>
      </c>
      <c r="C39" t="s">
        <v>800</v>
      </c>
      <c r="D39">
        <v>24</v>
      </c>
      <c r="E39" s="1032">
        <f t="shared" ref="E39:E41" si="6">(1-E31)*E6</f>
        <v>1.3586603294473698</v>
      </c>
      <c r="F39" t="s">
        <v>792</v>
      </c>
    </row>
    <row r="40" spans="2:6" x14ac:dyDescent="0.25">
      <c r="B40" t="s">
        <v>788</v>
      </c>
      <c r="C40" t="s">
        <v>800</v>
      </c>
      <c r="D40">
        <v>40</v>
      </c>
      <c r="E40" s="1032">
        <f t="shared" si="6"/>
        <v>1.6856795606751238</v>
      </c>
      <c r="F40" t="s">
        <v>792</v>
      </c>
    </row>
    <row r="41" spans="2:6" x14ac:dyDescent="0.25">
      <c r="B41" t="s">
        <v>788</v>
      </c>
      <c r="C41" t="s">
        <v>800</v>
      </c>
      <c r="D41">
        <v>60</v>
      </c>
      <c r="E41" s="1032">
        <f t="shared" si="6"/>
        <v>2.1857710968366377</v>
      </c>
      <c r="F41" t="s">
        <v>792</v>
      </c>
    </row>
    <row r="42" spans="2:6" x14ac:dyDescent="0.25">
      <c r="B42" t="s">
        <v>791</v>
      </c>
      <c r="C42" t="s">
        <v>800</v>
      </c>
      <c r="D42">
        <v>16</v>
      </c>
      <c r="E42" s="1033">
        <f>E$2*E38</f>
        <v>17.047712492064612</v>
      </c>
      <c r="F42" t="s">
        <v>793</v>
      </c>
    </row>
    <row r="43" spans="2:6" x14ac:dyDescent="0.25">
      <c r="B43" t="s">
        <v>791</v>
      </c>
      <c r="C43" t="s">
        <v>800</v>
      </c>
      <c r="D43">
        <v>24</v>
      </c>
      <c r="E43">
        <f>E$2*E39</f>
        <v>22.214311256214128</v>
      </c>
      <c r="F43" t="s">
        <v>793</v>
      </c>
    </row>
    <row r="44" spans="2:6" x14ac:dyDescent="0.25">
      <c r="B44" t="s">
        <v>791</v>
      </c>
      <c r="C44" t="s">
        <v>800</v>
      </c>
      <c r="D44">
        <v>40</v>
      </c>
      <c r="E44">
        <f>E$2*E40</f>
        <v>27.561127404306124</v>
      </c>
      <c r="F44" t="s">
        <v>793</v>
      </c>
    </row>
    <row r="45" spans="2:6" x14ac:dyDescent="0.25">
      <c r="B45" t="s">
        <v>791</v>
      </c>
      <c r="C45" t="s">
        <v>800</v>
      </c>
      <c r="D45">
        <v>60</v>
      </c>
      <c r="E45">
        <f>E$2*E41</f>
        <v>35.737703109146757</v>
      </c>
      <c r="F45" t="s">
        <v>793</v>
      </c>
    </row>
    <row r="46" spans="2:6" x14ac:dyDescent="0.25">
      <c r="B46" t="s">
        <v>794</v>
      </c>
      <c r="C46" t="s">
        <v>800</v>
      </c>
      <c r="D46">
        <v>16</v>
      </c>
      <c r="E46" s="997">
        <f>(1+E34)*E13</f>
        <v>117.19067465076739</v>
      </c>
      <c r="F46" t="s">
        <v>795</v>
      </c>
    </row>
    <row r="47" spans="2:6" x14ac:dyDescent="0.25">
      <c r="B47" t="s">
        <v>794</v>
      </c>
      <c r="C47" t="s">
        <v>800</v>
      </c>
      <c r="D47">
        <v>24</v>
      </c>
      <c r="E47" s="997">
        <f t="shared" ref="E47:E49" si="7">(1+E35)*E14</f>
        <v>110.76209220474476</v>
      </c>
      <c r="F47" t="s">
        <v>795</v>
      </c>
    </row>
    <row r="48" spans="2:6" x14ac:dyDescent="0.25">
      <c r="B48" t="s">
        <v>794</v>
      </c>
      <c r="C48" t="s">
        <v>800</v>
      </c>
      <c r="D48">
        <v>40</v>
      </c>
      <c r="E48" s="997">
        <f t="shared" si="7"/>
        <v>97.75670981117689</v>
      </c>
      <c r="F48" t="s">
        <v>795</v>
      </c>
    </row>
    <row r="49" spans="2:6" x14ac:dyDescent="0.25">
      <c r="B49" t="s">
        <v>794</v>
      </c>
      <c r="C49" t="s">
        <v>800</v>
      </c>
      <c r="D49">
        <v>60</v>
      </c>
      <c r="E49" s="997">
        <f t="shared" si="7"/>
        <v>103.1084874541497</v>
      </c>
      <c r="F49" t="s">
        <v>795</v>
      </c>
    </row>
    <row r="50" spans="2:6" x14ac:dyDescent="0.25">
      <c r="B50" t="s">
        <v>796</v>
      </c>
      <c r="C50" t="s">
        <v>800</v>
      </c>
      <c r="D50">
        <v>16</v>
      </c>
      <c r="E50" s="997">
        <f>E42+E46</f>
        <v>134.23838714283201</v>
      </c>
      <c r="F50" t="s">
        <v>795</v>
      </c>
    </row>
    <row r="51" spans="2:6" x14ac:dyDescent="0.25">
      <c r="B51" t="s">
        <v>796</v>
      </c>
      <c r="C51" t="s">
        <v>800</v>
      </c>
      <c r="D51">
        <v>24</v>
      </c>
      <c r="E51" s="997">
        <f t="shared" ref="E51:E53" si="8">E43+E47</f>
        <v>132.97640346095889</v>
      </c>
      <c r="F51" t="s">
        <v>795</v>
      </c>
    </row>
    <row r="52" spans="2:6" x14ac:dyDescent="0.25">
      <c r="B52" t="s">
        <v>796</v>
      </c>
      <c r="C52" t="s">
        <v>800</v>
      </c>
      <c r="D52">
        <v>40</v>
      </c>
      <c r="E52" s="997">
        <f t="shared" si="8"/>
        <v>125.31783721548301</v>
      </c>
      <c r="F52" t="s">
        <v>795</v>
      </c>
    </row>
    <row r="53" spans="2:6" x14ac:dyDescent="0.25">
      <c r="B53" t="s">
        <v>796</v>
      </c>
      <c r="C53" t="s">
        <v>800</v>
      </c>
      <c r="D53">
        <v>60</v>
      </c>
      <c r="E53" s="997">
        <f t="shared" si="8"/>
        <v>138.84619056329646</v>
      </c>
      <c r="F53" t="s">
        <v>795</v>
      </c>
    </row>
    <row r="54" spans="2:6" x14ac:dyDescent="0.25">
      <c r="B54" t="s">
        <v>810</v>
      </c>
      <c r="C54" t="s">
        <v>800</v>
      </c>
      <c r="D54">
        <v>16</v>
      </c>
      <c r="E54" s="1029">
        <f>(E17-E50)/E17</f>
        <v>0.29313686188222982</v>
      </c>
    </row>
    <row r="55" spans="2:6" x14ac:dyDescent="0.25">
      <c r="B55" t="s">
        <v>810</v>
      </c>
      <c r="C55" t="s">
        <v>800</v>
      </c>
      <c r="D55">
        <v>24</v>
      </c>
      <c r="E55" s="1029">
        <f t="shared" ref="E55:E57" si="9">(E18-E51)/E18</f>
        <v>0.2395126233954907</v>
      </c>
    </row>
    <row r="56" spans="2:6" x14ac:dyDescent="0.25">
      <c r="B56" t="s">
        <v>810</v>
      </c>
      <c r="C56" t="s">
        <v>800</v>
      </c>
      <c r="D56">
        <v>40</v>
      </c>
      <c r="E56" s="1029">
        <f t="shared" si="9"/>
        <v>0.21980832715618293</v>
      </c>
    </row>
    <row r="57" spans="2:6" x14ac:dyDescent="0.25">
      <c r="B57" t="s">
        <v>810</v>
      </c>
      <c r="C57" t="s">
        <v>800</v>
      </c>
      <c r="D57">
        <v>60</v>
      </c>
      <c r="E57" s="1029">
        <f t="shared" si="9"/>
        <v>0.21064851129388967</v>
      </c>
    </row>
    <row r="58" spans="2:6" x14ac:dyDescent="0.25">
      <c r="B58" t="s">
        <v>804</v>
      </c>
      <c r="C58" t="s">
        <v>800</v>
      </c>
      <c r="D58">
        <v>16</v>
      </c>
      <c r="E58" s="1031">
        <v>0.2</v>
      </c>
    </row>
    <row r="59" spans="2:6" x14ac:dyDescent="0.25">
      <c r="B59" t="s">
        <v>804</v>
      </c>
      <c r="C59" t="s">
        <v>800</v>
      </c>
      <c r="D59">
        <v>24</v>
      </c>
      <c r="E59" s="1031">
        <f>E58</f>
        <v>0.2</v>
      </c>
    </row>
    <row r="60" spans="2:6" x14ac:dyDescent="0.25">
      <c r="B60" t="s">
        <v>804</v>
      </c>
      <c r="C60" t="s">
        <v>800</v>
      </c>
      <c r="D60">
        <v>40</v>
      </c>
      <c r="E60" s="1031">
        <f t="shared" ref="E60:E61" si="10">E59</f>
        <v>0.2</v>
      </c>
    </row>
    <row r="61" spans="2:6" x14ac:dyDescent="0.25">
      <c r="B61" t="s">
        <v>804</v>
      </c>
      <c r="C61" t="s">
        <v>800</v>
      </c>
      <c r="D61">
        <v>60</v>
      </c>
      <c r="E61" s="1031">
        <f t="shared" si="10"/>
        <v>0.2</v>
      </c>
    </row>
    <row r="62" spans="2:6" x14ac:dyDescent="0.25">
      <c r="B62" t="s">
        <v>805</v>
      </c>
      <c r="D62">
        <v>16</v>
      </c>
      <c r="E62" s="1030">
        <f>E58*E54</f>
        <v>5.8627372376445969E-2</v>
      </c>
    </row>
    <row r="63" spans="2:6" x14ac:dyDescent="0.25">
      <c r="B63" t="s">
        <v>805</v>
      </c>
      <c r="D63">
        <v>24</v>
      </c>
      <c r="E63" s="1030">
        <f t="shared" ref="E63:E65" si="11">E59*E55</f>
        <v>4.7902524679098141E-2</v>
      </c>
    </row>
    <row r="64" spans="2:6" x14ac:dyDescent="0.25">
      <c r="B64" t="s">
        <v>805</v>
      </c>
      <c r="D64">
        <v>40</v>
      </c>
      <c r="E64" s="1030">
        <f t="shared" si="11"/>
        <v>4.3961665431236585E-2</v>
      </c>
    </row>
    <row r="65" spans="2:5" x14ac:dyDescent="0.25">
      <c r="B65" t="s">
        <v>805</v>
      </c>
      <c r="D65">
        <v>60</v>
      </c>
      <c r="E65" s="1030">
        <f t="shared" si="11"/>
        <v>4.2129702258777935E-2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25"/>
  <sheetViews>
    <sheetView zoomScale="85" zoomScaleNormal="85" zoomScaleSheetLayoutView="381" workbookViewId="0">
      <selection activeCell="U7" sqref="U7"/>
    </sheetView>
  </sheetViews>
  <sheetFormatPr defaultRowHeight="15" x14ac:dyDescent="0.25"/>
  <cols>
    <col min="3" max="3" width="15.7109375" bestFit="1" customWidth="1"/>
    <col min="4" max="4" width="17.5703125" customWidth="1"/>
    <col min="5" max="5" width="17.7109375" customWidth="1"/>
    <col min="6" max="6" width="18.28515625" bestFit="1" customWidth="1"/>
    <col min="7" max="7" width="17.5703125" bestFit="1" customWidth="1"/>
    <col min="8" max="8" width="20.7109375" bestFit="1" customWidth="1"/>
    <col min="9" max="9" width="18.28515625" bestFit="1" customWidth="1"/>
    <col min="10" max="10" width="20.7109375" bestFit="1" customWidth="1"/>
    <col min="11" max="11" width="17.7109375" bestFit="1" customWidth="1"/>
    <col min="12" max="12" width="15.7109375" bestFit="1" customWidth="1"/>
    <col min="13" max="13" width="25.42578125" bestFit="1" customWidth="1"/>
    <col min="14" max="14" width="17" bestFit="1" customWidth="1"/>
    <col min="15" max="15" width="19.140625" bestFit="1" customWidth="1"/>
    <col min="16" max="16" width="19.85546875" bestFit="1" customWidth="1"/>
    <col min="17" max="18" width="18.28515625" bestFit="1" customWidth="1"/>
    <col min="19" max="20" width="21.7109375" bestFit="1" customWidth="1"/>
    <col min="21" max="21" width="13" bestFit="1" customWidth="1"/>
    <col min="22" max="22" width="16.28515625" bestFit="1" customWidth="1"/>
    <col min="23" max="23" width="11.85546875" customWidth="1"/>
    <col min="24" max="24" width="14.7109375" bestFit="1" customWidth="1"/>
    <col min="25" max="25" width="17.28515625" bestFit="1" customWidth="1"/>
    <col min="26" max="26" width="13.42578125" customWidth="1"/>
    <col min="27" max="27" width="14.28515625" customWidth="1"/>
    <col min="28" max="28" width="15.140625" customWidth="1"/>
    <col min="29" max="29" width="10.28515625" bestFit="1" customWidth="1"/>
    <col min="30" max="30" width="17.42578125" customWidth="1"/>
  </cols>
  <sheetData>
    <row r="1" spans="1:26 16384:16384" x14ac:dyDescent="0.25">
      <c r="B1" t="s">
        <v>609</v>
      </c>
    </row>
    <row r="2" spans="1:26 16384:16384" x14ac:dyDescent="0.25">
      <c r="L2" t="s">
        <v>610</v>
      </c>
      <c r="M2" t="s">
        <v>611</v>
      </c>
    </row>
    <row r="3" spans="1:26 16384:16384" ht="28.5" x14ac:dyDescent="0.45">
      <c r="B3" s="652" t="s">
        <v>612</v>
      </c>
      <c r="K3" s="653">
        <v>8.6920999999999999</v>
      </c>
      <c r="L3" s="653">
        <v>1</v>
      </c>
      <c r="M3">
        <f>1/L3</f>
        <v>1</v>
      </c>
    </row>
    <row r="4" spans="1:26 16384:16384" ht="28.5" x14ac:dyDescent="0.45">
      <c r="B4" s="652"/>
    </row>
    <row r="5" spans="1:26 16384:16384" ht="15.75" thickBot="1" x14ac:dyDescent="0.3">
      <c r="A5" s="654" t="s">
        <v>613</v>
      </c>
      <c r="B5" s="654"/>
      <c r="C5" s="654"/>
      <c r="D5" s="654"/>
      <c r="E5" s="654"/>
      <c r="F5" s="654"/>
      <c r="G5" s="654"/>
      <c r="H5" s="654"/>
      <c r="I5" s="654"/>
      <c r="J5" s="654"/>
      <c r="K5" s="654"/>
      <c r="L5" s="654"/>
      <c r="M5" s="654"/>
      <c r="N5" s="654"/>
      <c r="O5" s="654"/>
      <c r="P5" s="654"/>
      <c r="Q5" s="654"/>
      <c r="R5" s="655"/>
      <c r="S5" s="655"/>
      <c r="T5" s="655"/>
      <c r="U5" s="655"/>
      <c r="V5" s="655"/>
      <c r="W5" s="655"/>
      <c r="X5" s="655"/>
      <c r="Y5" s="655"/>
      <c r="Z5" s="655"/>
    </row>
    <row r="6" spans="1:26 16384:16384" ht="93.75" thickBot="1" x14ac:dyDescent="0.5">
      <c r="B6" s="652"/>
      <c r="C6" s="656" t="s">
        <v>614</v>
      </c>
      <c r="D6" s="657" t="s">
        <v>615</v>
      </c>
      <c r="E6" s="658" t="s">
        <v>616</v>
      </c>
      <c r="F6" s="659" t="s">
        <v>617</v>
      </c>
      <c r="G6" s="659" t="s">
        <v>618</v>
      </c>
      <c r="H6" s="660" t="s">
        <v>619</v>
      </c>
      <c r="I6" s="660" t="s">
        <v>620</v>
      </c>
      <c r="J6" s="659" t="s">
        <v>621</v>
      </c>
      <c r="K6" s="659" t="s">
        <v>622</v>
      </c>
      <c r="L6" s="660" t="s">
        <v>623</v>
      </c>
      <c r="M6" s="659" t="s">
        <v>624</v>
      </c>
      <c r="N6" s="661" t="s">
        <v>625</v>
      </c>
      <c r="O6" s="660" t="s">
        <v>626</v>
      </c>
      <c r="P6" s="662" t="s">
        <v>627</v>
      </c>
      <c r="Q6" s="663" t="s">
        <v>628</v>
      </c>
      <c r="R6" s="662" t="s">
        <v>629</v>
      </c>
      <c r="S6" s="664" t="s">
        <v>630</v>
      </c>
      <c r="T6" s="665" t="s">
        <v>631</v>
      </c>
      <c r="U6" s="666" t="s">
        <v>632</v>
      </c>
      <c r="V6" s="667" t="s">
        <v>633</v>
      </c>
      <c r="W6" s="667" t="s">
        <v>634</v>
      </c>
      <c r="XFD6" s="668"/>
    </row>
    <row r="7" spans="1:26 16384:16384" ht="16.149999999999999" customHeight="1" x14ac:dyDescent="0.45">
      <c r="B7" s="652"/>
      <c r="C7" s="669" t="s">
        <v>635</v>
      </c>
      <c r="D7" s="670">
        <v>0.05</v>
      </c>
      <c r="E7" s="671">
        <v>3</v>
      </c>
      <c r="F7" s="672">
        <v>0.3</v>
      </c>
      <c r="G7" s="672">
        <f>1-F7</f>
        <v>0.7</v>
      </c>
      <c r="H7" s="671">
        <f>50000</f>
        <v>50000</v>
      </c>
      <c r="I7" s="671">
        <v>1920</v>
      </c>
      <c r="J7" s="671">
        <v>2</v>
      </c>
      <c r="K7" s="671">
        <v>4</v>
      </c>
      <c r="L7" s="671">
        <v>7.1999999999999995E-2</v>
      </c>
      <c r="M7" s="673">
        <v>9.64</v>
      </c>
      <c r="N7" s="674">
        <v>33167</v>
      </c>
      <c r="O7" s="674">
        <v>272000</v>
      </c>
      <c r="P7" s="675">
        <v>52000</v>
      </c>
      <c r="Q7" s="676">
        <v>4.9000000000000002E-2</v>
      </c>
      <c r="R7" s="677">
        <v>0.16200000000000001</v>
      </c>
      <c r="S7" s="677">
        <v>0.68</v>
      </c>
      <c r="T7" s="678">
        <v>15.79</v>
      </c>
      <c r="U7" s="679">
        <v>19.170000000000002</v>
      </c>
      <c r="V7" s="680">
        <v>0.90329999999999999</v>
      </c>
      <c r="W7" s="681">
        <v>1.4034</v>
      </c>
    </row>
    <row r="8" spans="1:26 16384:16384" ht="16.149999999999999" customHeight="1" x14ac:dyDescent="0.45">
      <c r="B8" s="652"/>
      <c r="C8" s="682" t="s">
        <v>636</v>
      </c>
      <c r="D8" s="683">
        <v>0.05</v>
      </c>
      <c r="E8" s="684">
        <v>8</v>
      </c>
      <c r="F8" s="685">
        <v>0.3</v>
      </c>
      <c r="G8" s="685">
        <f>1-F8</f>
        <v>0.7</v>
      </c>
      <c r="H8" s="684">
        <v>45000</v>
      </c>
      <c r="I8" s="684">
        <v>2000</v>
      </c>
      <c r="J8" s="684">
        <v>2</v>
      </c>
      <c r="K8" s="684">
        <v>6</v>
      </c>
      <c r="L8" s="684">
        <v>0.16400000000000001</v>
      </c>
      <c r="M8" s="674">
        <f>M7</f>
        <v>9.64</v>
      </c>
      <c r="N8" s="686">
        <v>58095</v>
      </c>
      <c r="O8" s="686">
        <v>963000</v>
      </c>
      <c r="P8" s="687">
        <v>94000</v>
      </c>
      <c r="Q8" s="688">
        <v>0.11</v>
      </c>
      <c r="R8" s="689">
        <v>0.84699999999999998</v>
      </c>
      <c r="S8" s="689">
        <v>0.85</v>
      </c>
      <c r="T8" s="690">
        <f>T7</f>
        <v>15.79</v>
      </c>
      <c r="U8" s="691">
        <f>U7</f>
        <v>19.170000000000002</v>
      </c>
      <c r="V8" s="692">
        <f>V7</f>
        <v>0.90329999999999999</v>
      </c>
      <c r="W8" s="693">
        <f>W7</f>
        <v>1.4034</v>
      </c>
    </row>
    <row r="9" spans="1:26 16384:16384" ht="16.149999999999999" customHeight="1" x14ac:dyDescent="0.45">
      <c r="B9" s="652"/>
      <c r="C9" s="682" t="s">
        <v>637</v>
      </c>
      <c r="D9" s="683">
        <v>0.05</v>
      </c>
      <c r="E9" s="684">
        <v>8</v>
      </c>
      <c r="F9" s="685">
        <v>0.3</v>
      </c>
      <c r="G9" s="685">
        <f>1-F9</f>
        <v>0.7</v>
      </c>
      <c r="H9" s="684">
        <v>60000</v>
      </c>
      <c r="I9" s="684">
        <v>2000</v>
      </c>
      <c r="J9" s="684">
        <v>3</v>
      </c>
      <c r="K9" s="684">
        <v>10</v>
      </c>
      <c r="L9" s="684">
        <v>0.222</v>
      </c>
      <c r="M9" s="674">
        <f>M8</f>
        <v>9.64</v>
      </c>
      <c r="N9" s="686">
        <v>72906</v>
      </c>
      <c r="O9" s="686">
        <v>1542000</v>
      </c>
      <c r="P9" s="687">
        <v>125000</v>
      </c>
      <c r="Q9" s="688">
        <v>0.14299999999999999</v>
      </c>
      <c r="R9" s="689">
        <v>0.84699999999999998</v>
      </c>
      <c r="S9" s="689">
        <v>0.85</v>
      </c>
      <c r="T9" s="690">
        <f t="shared" ref="T9:W11" si="0">T8</f>
        <v>15.79</v>
      </c>
      <c r="U9" s="691">
        <f t="shared" si="0"/>
        <v>19.170000000000002</v>
      </c>
      <c r="V9" s="692">
        <f t="shared" si="0"/>
        <v>0.90329999999999999</v>
      </c>
      <c r="W9" s="693">
        <f t="shared" si="0"/>
        <v>1.4034</v>
      </c>
    </row>
    <row r="10" spans="1:26 16384:16384" ht="16.149999999999999" customHeight="1" x14ac:dyDescent="0.45">
      <c r="B10" s="652"/>
      <c r="C10" s="682" t="s">
        <v>638</v>
      </c>
      <c r="D10" s="683">
        <v>0.05</v>
      </c>
      <c r="E10" s="684">
        <v>7</v>
      </c>
      <c r="F10" s="685">
        <v>0.3</v>
      </c>
      <c r="G10" s="685">
        <f>1-F10</f>
        <v>0.7</v>
      </c>
      <c r="H10" s="684">
        <v>125000</v>
      </c>
      <c r="I10" s="684">
        <v>3500</v>
      </c>
      <c r="J10" s="684">
        <v>7</v>
      </c>
      <c r="K10" s="684">
        <v>18</v>
      </c>
      <c r="L10" s="684">
        <v>0.27100000000000002</v>
      </c>
      <c r="M10" s="674">
        <f>M9</f>
        <v>9.64</v>
      </c>
      <c r="N10" s="686">
        <v>109046</v>
      </c>
      <c r="O10" s="686">
        <v>2451000</v>
      </c>
      <c r="P10" s="687">
        <v>219000</v>
      </c>
      <c r="Q10" s="688">
        <v>0.17699999999999999</v>
      </c>
      <c r="R10" s="689">
        <v>1.337</v>
      </c>
      <c r="S10" s="689">
        <v>0.36</v>
      </c>
      <c r="T10" s="690">
        <f t="shared" si="0"/>
        <v>15.79</v>
      </c>
      <c r="U10" s="691">
        <f t="shared" si="0"/>
        <v>19.170000000000002</v>
      </c>
      <c r="V10" s="692">
        <f t="shared" si="0"/>
        <v>0.90329999999999999</v>
      </c>
      <c r="W10" s="693">
        <f t="shared" si="0"/>
        <v>1.4034</v>
      </c>
    </row>
    <row r="11" spans="1:26 16384:16384" ht="16.149999999999999" customHeight="1" thickBot="1" x14ac:dyDescent="0.5">
      <c r="A11">
        <v>25</v>
      </c>
      <c r="B11" s="652"/>
      <c r="C11" s="694" t="s">
        <v>639</v>
      </c>
      <c r="D11" s="695">
        <v>0.05</v>
      </c>
      <c r="E11" s="696">
        <v>7</v>
      </c>
      <c r="F11" s="697">
        <v>0.3</v>
      </c>
      <c r="G11" s="697">
        <f>1-F11</f>
        <v>0.7</v>
      </c>
      <c r="H11" s="696">
        <v>125000</v>
      </c>
      <c r="I11" s="696">
        <v>3500</v>
      </c>
      <c r="J11" s="696">
        <v>7</v>
      </c>
      <c r="K11" s="696">
        <v>26</v>
      </c>
      <c r="L11" s="696">
        <v>0.35199999999999998</v>
      </c>
      <c r="M11" s="698">
        <f>M10</f>
        <v>9.64</v>
      </c>
      <c r="N11" s="699">
        <v>112696</v>
      </c>
      <c r="O11" s="699">
        <v>2682000</v>
      </c>
      <c r="P11" s="700">
        <v>240000</v>
      </c>
      <c r="Q11" s="701">
        <v>0.23</v>
      </c>
      <c r="R11" s="702">
        <v>1.518</v>
      </c>
      <c r="S11" s="702">
        <v>0.19</v>
      </c>
      <c r="T11" s="703">
        <f t="shared" si="0"/>
        <v>15.79</v>
      </c>
      <c r="U11" s="704">
        <f t="shared" si="0"/>
        <v>19.170000000000002</v>
      </c>
      <c r="V11" s="703">
        <f t="shared" si="0"/>
        <v>0.90329999999999999</v>
      </c>
      <c r="W11" s="704">
        <f t="shared" si="0"/>
        <v>1.4034</v>
      </c>
    </row>
    <row r="12" spans="1:26 16384:16384" ht="16.149999999999999" customHeight="1" thickBot="1" x14ac:dyDescent="0.5">
      <c r="B12" s="652"/>
      <c r="C12" s="705"/>
      <c r="D12" s="634"/>
      <c r="E12" s="612"/>
      <c r="F12" s="634"/>
      <c r="G12" s="634"/>
      <c r="H12" s="612"/>
      <c r="I12" s="612"/>
      <c r="J12" s="646"/>
      <c r="K12" s="646"/>
      <c r="L12" s="646"/>
      <c r="M12" s="646"/>
      <c r="N12" s="612"/>
      <c r="O12" s="612"/>
      <c r="P12" s="612"/>
    </row>
    <row r="13" spans="1:26 16384:16384" ht="16.149999999999999" customHeight="1" x14ac:dyDescent="0.45">
      <c r="B13" s="652"/>
      <c r="C13" s="706" t="s">
        <v>640</v>
      </c>
      <c r="D13" s="707"/>
      <c r="E13" s="708"/>
      <c r="F13" s="708"/>
      <c r="G13" s="708"/>
      <c r="H13" s="708"/>
      <c r="I13" s="708"/>
      <c r="J13" s="709"/>
      <c r="L13" s="646"/>
      <c r="M13" s="646"/>
      <c r="N13" s="612"/>
      <c r="O13" s="612"/>
      <c r="P13" s="612"/>
    </row>
    <row r="14" spans="1:26 16384:16384" ht="16.149999999999999" customHeight="1" thickBot="1" x14ac:dyDescent="0.5">
      <c r="B14" s="652"/>
      <c r="C14" s="710" t="s">
        <v>641</v>
      </c>
      <c r="D14" s="711" t="s">
        <v>642</v>
      </c>
      <c r="E14" s="712" t="s">
        <v>643</v>
      </c>
      <c r="F14" s="712" t="s">
        <v>644</v>
      </c>
      <c r="G14" s="713" t="s">
        <v>645</v>
      </c>
      <c r="H14" s="712" t="s">
        <v>646</v>
      </c>
      <c r="I14" s="712" t="s">
        <v>647</v>
      </c>
      <c r="J14" s="714" t="s">
        <v>648</v>
      </c>
      <c r="L14" s="646"/>
      <c r="M14" s="646"/>
      <c r="N14" s="612"/>
      <c r="O14" s="612"/>
      <c r="P14" s="612"/>
    </row>
    <row r="15" spans="1:26 16384:16384" ht="16.149999999999999" customHeight="1" x14ac:dyDescent="0.45">
      <c r="B15" s="652"/>
      <c r="C15" s="715" t="s">
        <v>635</v>
      </c>
      <c r="D15" s="716">
        <f>[3]Database_obsolete!L6/([3]Database_obsolete!L6+[3]Database_obsolete!M6)*N7</f>
        <v>12435.137972405517</v>
      </c>
      <c r="E15" s="717">
        <f>[3]Database_obsolete!M6/([3]Database_obsolete!L6+[3]Database_obsolete!M6)*N7</f>
        <v>20731.862027594478</v>
      </c>
      <c r="F15" s="717">
        <f>(O7-P7)/E7</f>
        <v>73333.333333333328</v>
      </c>
      <c r="G15" s="717">
        <f>F15*F7</f>
        <v>21999.999999999996</v>
      </c>
      <c r="H15" s="717">
        <f>O7*D7/2</f>
        <v>6800</v>
      </c>
      <c r="I15" s="717">
        <v>3651</v>
      </c>
      <c r="J15" s="718">
        <f>D15+E15+G15+H15+I15</f>
        <v>65617.999999999985</v>
      </c>
      <c r="K15" s="719"/>
      <c r="L15" s="720"/>
      <c r="M15" s="646"/>
      <c r="N15" s="612"/>
      <c r="O15" s="612"/>
      <c r="P15" s="612"/>
    </row>
    <row r="16" spans="1:26 16384:16384" ht="16.149999999999999" customHeight="1" x14ac:dyDescent="0.45">
      <c r="B16" s="652"/>
      <c r="C16" s="721" t="s">
        <v>636</v>
      </c>
      <c r="D16" s="722">
        <f>[3]Database_obsolete!L7/([3]Database_obsolete!L7+[3]Database_obsolete!M7)*N8</f>
        <v>36813.922146401979</v>
      </c>
      <c r="E16" s="723">
        <f>[3]Database_obsolete!M7/([3]Database_obsolete!L7+[3]Database_obsolete!M7)*N8</f>
        <v>21281.077853598013</v>
      </c>
      <c r="F16" s="723">
        <f>(O8-P8)/E8</f>
        <v>108625</v>
      </c>
      <c r="G16" s="723">
        <f>F16*F8</f>
        <v>32587.5</v>
      </c>
      <c r="H16" s="723">
        <f>O8*D8/2</f>
        <v>24075</v>
      </c>
      <c r="I16" s="723">
        <v>10553</v>
      </c>
      <c r="J16" s="724">
        <f>D16+E16+G16+H16+I16</f>
        <v>125310.5</v>
      </c>
      <c r="K16" s="719"/>
      <c r="L16" s="720"/>
      <c r="M16" s="646"/>
      <c r="N16" s="612"/>
      <c r="O16" s="612"/>
      <c r="P16" s="612"/>
    </row>
    <row r="17" spans="1:29" ht="16.149999999999999" customHeight="1" x14ac:dyDescent="0.45">
      <c r="B17" s="652"/>
      <c r="C17" s="721" t="s">
        <v>637</v>
      </c>
      <c r="D17" s="722">
        <f>[3]Database_obsolete!L8/([3]Database_obsolete!L8+[3]Database_obsolete!M8)*N9</f>
        <v>40838.4031459365</v>
      </c>
      <c r="E17" s="723">
        <f>[3]Database_obsolete!M8/([3]Database_obsolete!L8+[3]Database_obsolete!M8)*N9</f>
        <v>32067.5968540635</v>
      </c>
      <c r="F17" s="723">
        <f>(O9-P9)/E9</f>
        <v>177125</v>
      </c>
      <c r="G17" s="723">
        <f>F17*F9</f>
        <v>53137.5</v>
      </c>
      <c r="H17" s="723">
        <f>O9*D9/2</f>
        <v>38550</v>
      </c>
      <c r="I17" s="723">
        <v>12898</v>
      </c>
      <c r="J17" s="724">
        <f>D17+E17+G17+H17+I17</f>
        <v>177491.5</v>
      </c>
      <c r="K17" s="719"/>
      <c r="L17" s="720"/>
      <c r="M17" s="646"/>
      <c r="N17" s="612"/>
      <c r="O17" s="612"/>
      <c r="P17" s="612"/>
    </row>
    <row r="18" spans="1:29" ht="16.149999999999999" customHeight="1" x14ac:dyDescent="0.45">
      <c r="B18" s="652"/>
      <c r="C18" s="721" t="s">
        <v>638</v>
      </c>
      <c r="D18" s="722">
        <f>[3]Database_obsolete!L9/([3]Database_obsolete!L9+[3]Database_obsolete!M9)*N10</f>
        <v>62864.062456140346</v>
      </c>
      <c r="E18" s="723">
        <f>[3]Database_obsolete!M9/([3]Database_obsolete!L9+[3]Database_obsolete!M9)*N10</f>
        <v>46181.937543859647</v>
      </c>
      <c r="F18" s="723">
        <f>(O10-P10)/E10</f>
        <v>318857.14285714284</v>
      </c>
      <c r="G18" s="723">
        <f>F18*F10</f>
        <v>95657.142857142855</v>
      </c>
      <c r="H18" s="723">
        <f>O10*D10/2</f>
        <v>61275</v>
      </c>
      <c r="I18" s="725">
        <v>27818</v>
      </c>
      <c r="J18" s="724">
        <f>D18+E18+G18+H18+I18</f>
        <v>293796.14285714284</v>
      </c>
      <c r="K18" s="719"/>
      <c r="L18" s="720"/>
      <c r="M18" s="726"/>
      <c r="N18" s="612"/>
      <c r="O18" s="612"/>
      <c r="P18" s="612"/>
    </row>
    <row r="19" spans="1:29" ht="16.149999999999999" customHeight="1" thickBot="1" x14ac:dyDescent="0.5">
      <c r="B19" s="652"/>
      <c r="C19" s="727" t="s">
        <v>639</v>
      </c>
      <c r="D19" s="728">
        <f>[3]Database_obsolete!L10/([3]Database_obsolete!L10+[3]Database_obsolete!M10)*N11</f>
        <v>66395.414504324683</v>
      </c>
      <c r="E19" s="729">
        <f>[3]Database_obsolete!M10/([3]Database_obsolete!L10+[3]Database_obsolete!M10)*N11</f>
        <v>46300.58549567531</v>
      </c>
      <c r="F19" s="729">
        <f>(O11-P11)/E11</f>
        <v>348857.14285714284</v>
      </c>
      <c r="G19" s="729">
        <f>F19*F11</f>
        <v>104657.14285714286</v>
      </c>
      <c r="H19" s="729">
        <f>(O11*D11)/2</f>
        <v>67050</v>
      </c>
      <c r="I19" s="730">
        <v>27818</v>
      </c>
      <c r="J19" s="731">
        <f>D19+E19+G19+H19+I19</f>
        <v>312221.14285714284</v>
      </c>
      <c r="K19" s="719"/>
      <c r="L19" s="720"/>
      <c r="M19" s="646"/>
      <c r="N19" s="612"/>
      <c r="O19" s="612"/>
      <c r="P19" s="612"/>
    </row>
    <row r="20" spans="1:29" ht="16.149999999999999" customHeight="1" x14ac:dyDescent="0.45">
      <c r="B20" s="652"/>
      <c r="C20" s="705"/>
      <c r="D20" s="634"/>
      <c r="E20" s="612"/>
      <c r="F20" s="634"/>
      <c r="G20" s="634"/>
      <c r="H20" s="612"/>
      <c r="I20" s="612"/>
      <c r="J20" s="646"/>
      <c r="K20" s="646"/>
      <c r="L20" s="646"/>
      <c r="M20" s="646"/>
      <c r="N20" s="612"/>
      <c r="O20" s="612"/>
      <c r="P20" s="612"/>
    </row>
    <row r="21" spans="1:29" ht="16.149999999999999" customHeight="1" thickBot="1" x14ac:dyDescent="0.5">
      <c r="A21" t="s">
        <v>649</v>
      </c>
      <c r="B21" s="652"/>
      <c r="C21" s="732" t="s">
        <v>650</v>
      </c>
      <c r="D21" s="733" t="s">
        <v>651</v>
      </c>
      <c r="E21" s="646"/>
    </row>
    <row r="22" spans="1:29" ht="16.149999999999999" customHeight="1" thickBot="1" x14ac:dyDescent="0.5">
      <c r="B22" s="652"/>
      <c r="C22" s="734" t="s">
        <v>652</v>
      </c>
      <c r="D22" s="735" t="str">
        <f>[3]Database_obsolete!C20</f>
        <v>Distance costs</v>
      </c>
      <c r="E22" s="735"/>
      <c r="F22" s="735"/>
      <c r="G22" s="735"/>
      <c r="H22" s="735"/>
      <c r="I22" s="735" t="str">
        <f>[3]Database_obsolete!H20</f>
        <v>Time costs</v>
      </c>
      <c r="J22" s="735"/>
      <c r="K22" s="735"/>
      <c r="L22" s="735"/>
      <c r="M22" s="735"/>
      <c r="N22" s="735"/>
      <c r="O22" s="735"/>
      <c r="P22" s="735"/>
      <c r="Q22" s="736"/>
    </row>
    <row r="23" spans="1:29" ht="16.149999999999999" customHeight="1" thickBot="1" x14ac:dyDescent="0.5">
      <c r="B23" s="652"/>
      <c r="C23" s="737" t="str">
        <f>[3]Database_obsolete!B21</f>
        <v>Truck type</v>
      </c>
      <c r="D23" s="738" t="str">
        <f>[3]Database_obsolete!C21</f>
        <v>Fuel</v>
      </c>
      <c r="E23" s="739" t="str">
        <f>[3]Database_obsolete!D21</f>
        <v>Maintenance</v>
      </c>
      <c r="F23" s="739" t="str">
        <f>[3]Database_obsolete!E21</f>
        <v>Tires</v>
      </c>
      <c r="G23" s="738" t="str">
        <f>[3]Database_obsolete!F21</f>
        <v>Depreciation</v>
      </c>
      <c r="H23" s="740" t="str">
        <f>[3]Database_obsolete!G21</f>
        <v>Total distance</v>
      </c>
      <c r="I23" s="741" t="str">
        <f>[3]Database_obsolete!H21</f>
        <v>Driver</v>
      </c>
      <c r="J23" s="742" t="str">
        <f>[3]Database_obsolete!I21</f>
        <v xml:space="preserve">Capital </v>
      </c>
      <c r="K23" s="742" t="str">
        <f>[3]Database_obsolete!J21</f>
        <v>Depreciation</v>
      </c>
      <c r="L23" s="742" t="str">
        <f>[3]Database_obsolete!K21</f>
        <v>Taxes</v>
      </c>
      <c r="M23" s="742" t="str">
        <f>[3]Database_obsolete!L21</f>
        <v>Insurance</v>
      </c>
      <c r="N23" s="742" t="str">
        <f>[3]Database_obsolete!M21</f>
        <v>Other</v>
      </c>
      <c r="O23" s="743"/>
      <c r="P23" s="743"/>
      <c r="Q23" s="740" t="str">
        <f>[3]Database_obsolete!O21</f>
        <v>Total time</v>
      </c>
    </row>
    <row r="24" spans="1:29" ht="16.149999999999999" customHeight="1" x14ac:dyDescent="0.45">
      <c r="B24" s="652"/>
      <c r="C24" s="744" t="s">
        <v>635</v>
      </c>
      <c r="D24" s="745">
        <f>L7*M7</f>
        <v>0.69408000000000003</v>
      </c>
      <c r="E24" s="746">
        <v>0.33</v>
      </c>
      <c r="F24" s="746">
        <v>0.51</v>
      </c>
      <c r="G24" s="746">
        <f>F15/H7*G7</f>
        <v>1.0266666666666666</v>
      </c>
      <c r="H24" s="747">
        <f>SUM(D24:G24)</f>
        <v>2.5607466666666667</v>
      </c>
      <c r="I24" s="748">
        <v>254</v>
      </c>
      <c r="J24" s="749">
        <f>H15/I7</f>
        <v>3.5416666666666665</v>
      </c>
      <c r="K24" s="749">
        <f>F15/I7*F7</f>
        <v>11.458333333333332</v>
      </c>
      <c r="L24" s="749">
        <f>I15/I7</f>
        <v>1.9015625</v>
      </c>
      <c r="M24" s="749">
        <f>D15/I7</f>
        <v>6.4766343606278731</v>
      </c>
      <c r="N24" s="749">
        <f>E15/I7</f>
        <v>10.797844806038791</v>
      </c>
      <c r="O24" s="749"/>
      <c r="P24" s="749"/>
      <c r="Q24" s="750">
        <f>SUM(I24:N24)</f>
        <v>288.17604166666666</v>
      </c>
    </row>
    <row r="25" spans="1:29" ht="16.149999999999999" customHeight="1" x14ac:dyDescent="0.45">
      <c r="B25" s="652"/>
      <c r="C25" s="751" t="s">
        <v>636</v>
      </c>
      <c r="D25" s="752">
        <f>L8*M8</f>
        <v>1.5809600000000001</v>
      </c>
      <c r="E25" s="753">
        <v>1.06</v>
      </c>
      <c r="F25" s="753">
        <v>0.32</v>
      </c>
      <c r="G25" s="753">
        <f>F16/H8*G8</f>
        <v>1.6897222222222221</v>
      </c>
      <c r="H25" s="754">
        <f>SUM(D25:G25)</f>
        <v>4.6506822222222226</v>
      </c>
      <c r="I25" s="755">
        <v>254</v>
      </c>
      <c r="J25" s="756">
        <f>H16/I8</f>
        <v>12.0375</v>
      </c>
      <c r="K25" s="756">
        <f>F16/I8*F8</f>
        <v>16.293749999999999</v>
      </c>
      <c r="L25" s="756">
        <f>I16/I8</f>
        <v>5.2765000000000004</v>
      </c>
      <c r="M25" s="756">
        <f>D16/I8</f>
        <v>18.406961073200989</v>
      </c>
      <c r="N25" s="756">
        <f>E16/I8</f>
        <v>10.640538926799007</v>
      </c>
      <c r="O25" s="756"/>
      <c r="P25" s="756"/>
      <c r="Q25" s="757">
        <f>SUM(I25:N25)</f>
        <v>316.65525000000002</v>
      </c>
    </row>
    <row r="26" spans="1:29" ht="16.149999999999999" customHeight="1" x14ac:dyDescent="0.45">
      <c r="B26" s="652"/>
      <c r="C26" s="751" t="s">
        <v>637</v>
      </c>
      <c r="D26" s="752">
        <f>L9*M9</f>
        <v>2.1400800000000002</v>
      </c>
      <c r="E26" s="753">
        <v>1.26</v>
      </c>
      <c r="F26" s="753">
        <v>0.64</v>
      </c>
      <c r="G26" s="753">
        <f>F17/H9*G9</f>
        <v>2.0664583333333333</v>
      </c>
      <c r="H26" s="754">
        <f>SUM(D26:G26)</f>
        <v>6.106538333333333</v>
      </c>
      <c r="I26" s="755">
        <v>245</v>
      </c>
      <c r="J26" s="756">
        <f>H17/I9</f>
        <v>19.274999999999999</v>
      </c>
      <c r="K26" s="756">
        <f>F17/I9*F9</f>
        <v>26.568749999999998</v>
      </c>
      <c r="L26" s="756">
        <f>I17/I9</f>
        <v>6.4489999999999998</v>
      </c>
      <c r="M26" s="756">
        <f>D17/I9</f>
        <v>20.419201572968248</v>
      </c>
      <c r="N26" s="756">
        <f>E17/I9</f>
        <v>16.033798427031751</v>
      </c>
      <c r="O26" s="756"/>
      <c r="P26" s="756"/>
      <c r="Q26" s="757">
        <f>SUM(I26:N26)</f>
        <v>333.74574999999999</v>
      </c>
    </row>
    <row r="27" spans="1:29" ht="16.149999999999999" customHeight="1" x14ac:dyDescent="0.45">
      <c r="B27" s="652"/>
      <c r="C27" s="751" t="s">
        <v>638</v>
      </c>
      <c r="D27" s="752">
        <f>L10*M10</f>
        <v>2.6124400000000003</v>
      </c>
      <c r="E27" s="753">
        <v>1.19</v>
      </c>
      <c r="F27" s="753">
        <v>0.94</v>
      </c>
      <c r="G27" s="753">
        <f>F18/H10*G10</f>
        <v>1.7855999999999999</v>
      </c>
      <c r="H27" s="754">
        <f>SUM(D27:G27)</f>
        <v>6.5280399999999998</v>
      </c>
      <c r="I27" s="755">
        <v>245</v>
      </c>
      <c r="J27" s="756">
        <f>H18/I10</f>
        <v>17.507142857142856</v>
      </c>
      <c r="K27" s="756">
        <f>F18/I10*F10</f>
        <v>27.330612244897956</v>
      </c>
      <c r="L27" s="756">
        <f>I18/I10</f>
        <v>7.9480000000000004</v>
      </c>
      <c r="M27" s="756">
        <f>D18/I10</f>
        <v>17.961160701754384</v>
      </c>
      <c r="N27" s="756">
        <f>E18/I10</f>
        <v>13.194839298245613</v>
      </c>
      <c r="O27" s="756"/>
      <c r="P27" s="756"/>
      <c r="Q27" s="757">
        <f>SUM(I27:N27)</f>
        <v>328.94175510204082</v>
      </c>
    </row>
    <row r="28" spans="1:29" ht="29.25" thickBot="1" x14ac:dyDescent="0.5">
      <c r="B28" s="652"/>
      <c r="C28" s="758" t="s">
        <v>639</v>
      </c>
      <c r="D28" s="759">
        <f>L11*M11</f>
        <v>3.3932799999999999</v>
      </c>
      <c r="E28" s="760">
        <v>1.04</v>
      </c>
      <c r="F28" s="760">
        <v>1.18</v>
      </c>
      <c r="G28" s="760">
        <f>F19/H11*G11</f>
        <v>1.9536</v>
      </c>
      <c r="H28" s="761">
        <f>SUM(D28:G28)</f>
        <v>7.5668799999999994</v>
      </c>
      <c r="I28" s="762">
        <v>254</v>
      </c>
      <c r="J28" s="763">
        <f>H19/I11</f>
        <v>19.157142857142858</v>
      </c>
      <c r="K28" s="763">
        <f>F19/I11*F11</f>
        <v>29.902040816326526</v>
      </c>
      <c r="L28" s="763">
        <f>I19/I11</f>
        <v>7.9480000000000004</v>
      </c>
      <c r="M28" s="763">
        <f>D19/I11</f>
        <v>18.970118429807052</v>
      </c>
      <c r="N28" s="763">
        <f>E19/I11</f>
        <v>13.228738713050088</v>
      </c>
      <c r="O28" s="763"/>
      <c r="P28" s="763"/>
      <c r="Q28" s="764">
        <f>SUM(I28:N28)</f>
        <v>343.20604081632644</v>
      </c>
    </row>
    <row r="29" spans="1:29" ht="16.149999999999999" customHeight="1" x14ac:dyDescent="0.25"/>
    <row r="30" spans="1:29" ht="16.149999999999999" customHeight="1" thickBot="1" x14ac:dyDescent="0.5">
      <c r="A30" t="s">
        <v>653</v>
      </c>
      <c r="B30" s="652"/>
      <c r="C30" s="732" t="s">
        <v>650</v>
      </c>
      <c r="D30" s="733" t="s">
        <v>651</v>
      </c>
      <c r="E30" s="646"/>
    </row>
    <row r="31" spans="1:29" ht="16.149999999999999" customHeight="1" thickBot="1" x14ac:dyDescent="0.5">
      <c r="B31" s="652"/>
      <c r="C31" s="734" t="s">
        <v>652</v>
      </c>
      <c r="D31" s="735" t="str">
        <f>D22</f>
        <v>Distance costs</v>
      </c>
      <c r="E31" s="735"/>
      <c r="F31" s="735"/>
      <c r="G31" s="735"/>
      <c r="H31" s="735"/>
      <c r="I31" s="735" t="str">
        <f>I22</f>
        <v>Time costs</v>
      </c>
      <c r="J31" s="735"/>
      <c r="K31" s="735"/>
      <c r="L31" s="735"/>
      <c r="M31" s="735"/>
      <c r="N31" s="735"/>
      <c r="O31" s="735"/>
      <c r="P31" s="735"/>
      <c r="Q31" s="736"/>
      <c r="R31" s="735" t="s">
        <v>781</v>
      </c>
      <c r="S31" s="735"/>
      <c r="T31" s="735"/>
      <c r="U31" s="735"/>
      <c r="V31" s="735"/>
      <c r="W31" s="735"/>
      <c r="X31" s="735"/>
      <c r="Y31" s="735"/>
      <c r="Z31" s="736"/>
    </row>
    <row r="32" spans="1:29" ht="16.149999999999999" customHeight="1" thickBot="1" x14ac:dyDescent="0.5">
      <c r="B32" s="652"/>
      <c r="C32" s="737">
        <f>[3]Database_obsolete!B30</f>
        <v>0</v>
      </c>
      <c r="D32" s="738" t="str">
        <f>D23</f>
        <v>Fuel</v>
      </c>
      <c r="E32" s="738" t="str">
        <f t="shared" ref="E32:Q32" si="1">E23</f>
        <v>Maintenance</v>
      </c>
      <c r="F32" s="738" t="str">
        <f t="shared" si="1"/>
        <v>Tires</v>
      </c>
      <c r="G32" s="738" t="str">
        <f t="shared" si="1"/>
        <v>Depreciation</v>
      </c>
      <c r="H32" s="738" t="str">
        <f t="shared" si="1"/>
        <v>Total distance</v>
      </c>
      <c r="I32" s="738" t="s">
        <v>685</v>
      </c>
      <c r="J32" s="738" t="str">
        <f t="shared" si="1"/>
        <v xml:space="preserve">Capital </v>
      </c>
      <c r="K32" s="738" t="str">
        <f t="shared" si="1"/>
        <v>Depreciation</v>
      </c>
      <c r="L32" s="738" t="str">
        <f t="shared" si="1"/>
        <v>Taxes</v>
      </c>
      <c r="M32" s="738" t="str">
        <f t="shared" si="1"/>
        <v>Insurance</v>
      </c>
      <c r="N32" s="738" t="str">
        <f t="shared" si="1"/>
        <v>Other</v>
      </c>
      <c r="O32" s="738"/>
      <c r="P32" s="738"/>
      <c r="Q32" s="738" t="str">
        <f t="shared" si="1"/>
        <v>Total time</v>
      </c>
      <c r="R32" s="738" t="s">
        <v>685</v>
      </c>
      <c r="S32" s="738" t="s">
        <v>686</v>
      </c>
      <c r="T32" s="738" t="s">
        <v>683</v>
      </c>
      <c r="U32" s="738" t="s">
        <v>647</v>
      </c>
      <c r="V32" s="738" t="s">
        <v>642</v>
      </c>
      <c r="W32" s="738" t="s">
        <v>643</v>
      </c>
      <c r="X32" s="738"/>
      <c r="Y32" s="738"/>
      <c r="Z32" s="738" t="s">
        <v>688</v>
      </c>
      <c r="AA32" s="1028" t="s">
        <v>782</v>
      </c>
      <c r="AB32" s="1028" t="s">
        <v>783</v>
      </c>
      <c r="AC32" s="1028" t="s">
        <v>785</v>
      </c>
    </row>
    <row r="33" spans="1:29" ht="16.149999999999999" customHeight="1" thickBot="1" x14ac:dyDescent="0.5">
      <c r="B33" s="652"/>
      <c r="C33" s="744" t="s">
        <v>635</v>
      </c>
      <c r="D33" s="745">
        <f>D24*'[3]ASEK adjustment'!B29</f>
        <v>0.7</v>
      </c>
      <c r="E33" s="745">
        <f>E24*'[3]ASEK adjustment'!C29</f>
        <v>0.33</v>
      </c>
      <c r="F33" s="745">
        <f>F24*'[3]ASEK adjustment'!D29</f>
        <v>0.51</v>
      </c>
      <c r="G33" s="745">
        <f>G24*'[3]ASEK adjustment'!E29</f>
        <v>1.08</v>
      </c>
      <c r="H33" s="747">
        <f>SUM(D33:G33)</f>
        <v>2.62</v>
      </c>
      <c r="I33" s="748">
        <f>'[3]ASEK adjustment'!G29*I24</f>
        <v>254</v>
      </c>
      <c r="J33" s="748">
        <f>'[3]ASEK adjustment'!H29*J24</f>
        <v>4.37</v>
      </c>
      <c r="K33" s="748">
        <f>'[3]ASEK adjustment'!I29*K24</f>
        <v>12.06</v>
      </c>
      <c r="L33" s="748">
        <f>'[3]ASEK adjustment'!J29*L24</f>
        <v>1.9</v>
      </c>
      <c r="M33" s="748">
        <f>'[3]ASEK adjustment'!K29*M24</f>
        <v>6.4749550089981991</v>
      </c>
      <c r="N33" s="748">
        <f>'[3]ASEK adjustment'!L29*N24</f>
        <v>10.795044991001799</v>
      </c>
      <c r="O33" s="749"/>
      <c r="P33" s="749"/>
      <c r="Q33" s="750">
        <f>SUM(I33:N33)</f>
        <v>289.60000000000002</v>
      </c>
      <c r="R33" s="748" t="e">
        <f>I33/'AVs - antaganden'!#REF!</f>
        <v>#REF!</v>
      </c>
      <c r="S33" s="748" t="e">
        <f>J33/'AVs - antaganden'!#REF!</f>
        <v>#REF!</v>
      </c>
      <c r="T33" s="748" t="e">
        <f>K33/'AVs - antaganden'!#REF!</f>
        <v>#REF!</v>
      </c>
      <c r="U33" s="748" t="e">
        <f>L33/'AVs - antaganden'!#REF!</f>
        <v>#REF!</v>
      </c>
      <c r="V33" s="748" t="e">
        <f>M33/'AVs - antaganden'!#REF!</f>
        <v>#REF!</v>
      </c>
      <c r="W33" s="748" t="e">
        <f>N33/'AVs - antaganden'!#REF!</f>
        <v>#REF!</v>
      </c>
      <c r="X33" s="749"/>
      <c r="Y33" s="749"/>
      <c r="Z33" s="750" t="e">
        <f>SUM(R33:Y33)</f>
        <v>#REF!</v>
      </c>
      <c r="AA33" s="765" t="e">
        <f>H33+Z33</f>
        <v>#REF!</v>
      </c>
      <c r="AB33" s="765" t="e">
        <f>AA33*10</f>
        <v>#REF!</v>
      </c>
      <c r="AC33" s="997" t="e">
        <f>AB33-(D33*10)</f>
        <v>#REF!</v>
      </c>
    </row>
    <row r="34" spans="1:29" ht="16.149999999999999" customHeight="1" thickBot="1" x14ac:dyDescent="0.5">
      <c r="B34" s="652"/>
      <c r="C34" s="751" t="s">
        <v>636</v>
      </c>
      <c r="D34" s="745">
        <f>D25*'[3]ASEK adjustment'!B30</f>
        <v>1.58</v>
      </c>
      <c r="E34" s="745">
        <f>E25*'[3]ASEK adjustment'!C30</f>
        <v>1.06</v>
      </c>
      <c r="F34" s="745">
        <f>F25*'[3]ASEK adjustment'!D30</f>
        <v>0.32</v>
      </c>
      <c r="G34" s="745">
        <f>G25*'[3]ASEK adjustment'!E30</f>
        <v>1.69</v>
      </c>
      <c r="H34" s="754">
        <f>SUM(D34:G34)</f>
        <v>4.6500000000000004</v>
      </c>
      <c r="I34" s="748">
        <f>'[3]ASEK adjustment'!G30*I25</f>
        <v>254</v>
      </c>
      <c r="J34" s="748">
        <f>'[3]ASEK adjustment'!H30*J25</f>
        <v>13.210000000000003</v>
      </c>
      <c r="K34" s="748">
        <f>'[3]ASEK adjustment'!I30*K25</f>
        <v>16.3</v>
      </c>
      <c r="L34" s="748">
        <f>'[3]ASEK adjustment'!J30*L25</f>
        <v>5.2800000000000011</v>
      </c>
      <c r="M34" s="748">
        <f>'[3]ASEK adjustment'!K30*M25</f>
        <v>18.4085452853598</v>
      </c>
      <c r="N34" s="748">
        <f>'[3]ASEK adjustment'!L30*N25</f>
        <v>10.641454714640199</v>
      </c>
      <c r="O34" s="756"/>
      <c r="P34" s="756"/>
      <c r="Q34" s="757">
        <f>SUM(I34:N34)</f>
        <v>317.83999999999997</v>
      </c>
      <c r="R34" s="748">
        <f>I34/'AVs - antaganden'!$E11</f>
        <v>11.28888888888889</v>
      </c>
      <c r="S34" s="748">
        <f>J34/'AVs - antaganden'!$E11</f>
        <v>0.58711111111111125</v>
      </c>
      <c r="T34" s="748">
        <f>K34/'AVs - antaganden'!$E11</f>
        <v>0.72444444444444445</v>
      </c>
      <c r="U34" s="748">
        <f>L34/'AVs - antaganden'!$E11</f>
        <v>0.23466666666666672</v>
      </c>
      <c r="V34" s="748">
        <f>M34/'AVs - antaganden'!$E11</f>
        <v>0.81815756823821328</v>
      </c>
      <c r="W34" s="748">
        <f>N34/'AVs - antaganden'!$E11</f>
        <v>0.47295354287289776</v>
      </c>
      <c r="X34" s="756"/>
      <c r="Y34" s="756"/>
      <c r="Z34" s="750">
        <f t="shared" ref="Z34:Z37" si="2">SUM(R34:Y34)</f>
        <v>14.126222222222223</v>
      </c>
      <c r="AA34" s="765">
        <f t="shared" ref="AA34:AA37" si="3">H34+Z34</f>
        <v>18.776222222222223</v>
      </c>
      <c r="AB34" s="765">
        <f t="shared" ref="AB34:AB37" si="4">AA34*10</f>
        <v>187.76222222222225</v>
      </c>
      <c r="AC34" s="997">
        <f t="shared" ref="AC34:AC37" si="5">AB34-(D34*10)</f>
        <v>171.96222222222224</v>
      </c>
    </row>
    <row r="35" spans="1:29" ht="16.149999999999999" customHeight="1" thickBot="1" x14ac:dyDescent="0.5">
      <c r="B35" s="652"/>
      <c r="C35" s="751" t="s">
        <v>637</v>
      </c>
      <c r="D35" s="745">
        <f>D26*'[3]ASEK adjustment'!B31</f>
        <v>2.14</v>
      </c>
      <c r="E35" s="745">
        <f>E26*'[3]ASEK adjustment'!C31</f>
        <v>1.26</v>
      </c>
      <c r="F35" s="745">
        <f>F26*'[3]ASEK adjustment'!D31</f>
        <v>0.64</v>
      </c>
      <c r="G35" s="745">
        <f>G26*'[3]ASEK adjustment'!E31</f>
        <v>2.0699999999999998</v>
      </c>
      <c r="H35" s="754">
        <f>SUM(D35:G35)</f>
        <v>6.1099999999999994</v>
      </c>
      <c r="I35" s="748">
        <f>'[3]ASEK adjustment'!G31*I26</f>
        <v>245</v>
      </c>
      <c r="J35" s="748">
        <f>'[3]ASEK adjustment'!H31*J26</f>
        <v>20.84</v>
      </c>
      <c r="K35" s="748">
        <f>'[3]ASEK adjustment'!I31*K26</f>
        <v>26.58</v>
      </c>
      <c r="L35" s="748">
        <f>'[3]ASEK adjustment'!J31*L26</f>
        <v>6.4500000000000011</v>
      </c>
      <c r="M35" s="748">
        <f>'[3]ASEK adjustment'!K31*M26</f>
        <v>20.4175211185552</v>
      </c>
      <c r="N35" s="748">
        <f>'[3]ASEK adjustment'!L31*N26</f>
        <v>16.032478881444803</v>
      </c>
      <c r="O35" s="756"/>
      <c r="P35" s="756"/>
      <c r="Q35" s="757">
        <f>SUM(I35:N35)</f>
        <v>335.31999999999994</v>
      </c>
      <c r="R35" s="748">
        <f>I35/'AVs - antaganden'!$E12</f>
        <v>8.1666666666666661</v>
      </c>
      <c r="S35" s="748">
        <f>J35/'AVs - antaganden'!$E12</f>
        <v>0.69466666666666665</v>
      </c>
      <c r="T35" s="748">
        <f>K35/'AVs - antaganden'!$E12</f>
        <v>0.8859999999999999</v>
      </c>
      <c r="U35" s="748">
        <f>L35/'AVs - antaganden'!$E12</f>
        <v>0.21500000000000002</v>
      </c>
      <c r="V35" s="748">
        <f>M35/'AVs - antaganden'!$E12</f>
        <v>0.68058403728517336</v>
      </c>
      <c r="W35" s="748">
        <f>N35/'AVs - antaganden'!$E12</f>
        <v>0.53441596271482672</v>
      </c>
      <c r="X35" s="756"/>
      <c r="Y35" s="756"/>
      <c r="Z35" s="750">
        <f t="shared" si="2"/>
        <v>11.177333333333332</v>
      </c>
      <c r="AA35" s="765">
        <f t="shared" si="3"/>
        <v>17.287333333333329</v>
      </c>
      <c r="AB35" s="765">
        <f t="shared" si="4"/>
        <v>172.87333333333328</v>
      </c>
      <c r="AC35" s="997">
        <f t="shared" si="5"/>
        <v>151.47333333333327</v>
      </c>
    </row>
    <row r="36" spans="1:29" ht="16.149999999999999" customHeight="1" thickBot="1" x14ac:dyDescent="0.5">
      <c r="B36" s="652"/>
      <c r="C36" s="751" t="s">
        <v>638</v>
      </c>
      <c r="D36" s="745">
        <f>D27*'[3]ASEK adjustment'!B32</f>
        <v>2.62</v>
      </c>
      <c r="E36" s="745">
        <f>E27*'[3]ASEK adjustment'!C32</f>
        <v>1.19</v>
      </c>
      <c r="F36" s="745">
        <f>F27*'[3]ASEK adjustment'!D32</f>
        <v>0.93705197132616491</v>
      </c>
      <c r="G36" s="745">
        <f>G27*'[3]ASEK adjustment'!E32</f>
        <v>1.78</v>
      </c>
      <c r="H36" s="754">
        <f>SUM(D36:G36)</f>
        <v>6.5270519713261654</v>
      </c>
      <c r="I36" s="748">
        <f>'[3]ASEK adjustment'!G32*I27</f>
        <v>245</v>
      </c>
      <c r="J36" s="748">
        <f>'[3]ASEK adjustment'!H32*J27</f>
        <v>19.07</v>
      </c>
      <c r="K36" s="748">
        <f>'[3]ASEK adjustment'!I32*K27</f>
        <v>27.33</v>
      </c>
      <c r="L36" s="748">
        <f>'[3]ASEK adjustment'!J32*L27</f>
        <v>7.9478219534050192</v>
      </c>
      <c r="M36" s="748">
        <f>'[3]ASEK adjustment'!K32*M27</f>
        <v>17.963466666666665</v>
      </c>
      <c r="N36" s="748">
        <f>'[3]ASEK adjustment'!L32*N27</f>
        <v>13.196533333333333</v>
      </c>
      <c r="O36" s="756"/>
      <c r="P36" s="756"/>
      <c r="Q36" s="757">
        <f>SUM(I36:N36)</f>
        <v>330.50782195340497</v>
      </c>
      <c r="R36" s="748">
        <f>I36/'AVs - antaganden'!$E13</f>
        <v>6.8599999999999994</v>
      </c>
      <c r="S36" s="748">
        <f>J36/'AVs - antaganden'!$E13</f>
        <v>0.53395999999999999</v>
      </c>
      <c r="T36" s="748">
        <f>K36/'AVs - antaganden'!$E13</f>
        <v>0.76523999999999992</v>
      </c>
      <c r="U36" s="748">
        <f>L36/'AVs - antaganden'!$E13</f>
        <v>0.22253901469534054</v>
      </c>
      <c r="V36" s="748">
        <f>M36/'AVs - antaganden'!$E13</f>
        <v>0.50297706666666664</v>
      </c>
      <c r="W36" s="748">
        <f>N36/'AVs - antaganden'!$E13</f>
        <v>0.36950293333333334</v>
      </c>
      <c r="X36" s="756"/>
      <c r="Y36" s="756"/>
      <c r="Z36" s="750">
        <f t="shared" si="2"/>
        <v>9.2542190146953409</v>
      </c>
      <c r="AA36" s="765">
        <f t="shared" si="3"/>
        <v>15.781270986021507</v>
      </c>
      <c r="AB36" s="765">
        <f t="shared" si="4"/>
        <v>157.81270986021508</v>
      </c>
      <c r="AC36" s="997">
        <f t="shared" si="5"/>
        <v>131.61270986021509</v>
      </c>
    </row>
    <row r="37" spans="1:29" ht="16.149999999999999" customHeight="1" thickBot="1" x14ac:dyDescent="0.5">
      <c r="B37" s="652"/>
      <c r="C37" s="758" t="s">
        <v>639</v>
      </c>
      <c r="D37" s="766">
        <f>D28*'[3]ASEK adjustment'!B33</f>
        <v>3.39</v>
      </c>
      <c r="E37" s="766">
        <f>E28*'[3]ASEK adjustment'!C33</f>
        <v>1.04</v>
      </c>
      <c r="F37" s="766">
        <f>F28*'[3]ASEK adjustment'!D33</f>
        <v>1.18</v>
      </c>
      <c r="G37" s="766">
        <f>G28*'[3]ASEK adjustment'!E33</f>
        <v>1.95</v>
      </c>
      <c r="H37" s="761">
        <f>SUM(D37:G37)</f>
        <v>7.56</v>
      </c>
      <c r="I37" s="748">
        <f>'[3]ASEK adjustment'!G33*I28</f>
        <v>254</v>
      </c>
      <c r="J37" s="748">
        <f>'[3]ASEK adjustment'!H33*J28</f>
        <v>20.87</v>
      </c>
      <c r="K37" s="748">
        <f>'[3]ASEK adjustment'!I33*K28</f>
        <v>29.91</v>
      </c>
      <c r="L37" s="748">
        <f>'[3]ASEK adjustment'!J33*L28</f>
        <v>7.9501155610155632</v>
      </c>
      <c r="M37" s="748">
        <f>'[3]ASEK adjustment'!K33*M28</f>
        <v>18.970791749833673</v>
      </c>
      <c r="N37" s="748">
        <f>'[3]ASEK adjustment'!L33*N28</f>
        <v>13.229208250166337</v>
      </c>
      <c r="O37" s="763"/>
      <c r="P37" s="763"/>
      <c r="Q37" s="764">
        <f>SUM(I37:N37)</f>
        <v>344.93011556101555</v>
      </c>
      <c r="R37" s="748">
        <f>I37/'AVs - antaganden'!$E14</f>
        <v>7.1120000000000001</v>
      </c>
      <c r="S37" s="748">
        <f>J37/'AVs - antaganden'!$E14</f>
        <v>0.58435999999999999</v>
      </c>
      <c r="T37" s="748">
        <f>K37/'AVs - antaganden'!$E14</f>
        <v>0.83748</v>
      </c>
      <c r="U37" s="748">
        <f>L37/'AVs - antaganden'!$E14</f>
        <v>0.22260323570843576</v>
      </c>
      <c r="V37" s="748">
        <f>M37/'AVs - antaganden'!$E14</f>
        <v>0.53118216899534287</v>
      </c>
      <c r="W37" s="748">
        <f>N37/'AVs - antaganden'!$E14</f>
        <v>0.37041783100465742</v>
      </c>
      <c r="X37" s="763"/>
      <c r="Y37" s="763"/>
      <c r="Z37" s="750">
        <f t="shared" si="2"/>
        <v>9.6580432357084351</v>
      </c>
      <c r="AA37" s="765">
        <f t="shared" si="3"/>
        <v>17.218043235708436</v>
      </c>
      <c r="AB37" s="765">
        <f t="shared" si="4"/>
        <v>172.18043235708436</v>
      </c>
      <c r="AC37" s="997">
        <f t="shared" si="5"/>
        <v>138.28043235708435</v>
      </c>
    </row>
    <row r="38" spans="1:29" ht="16.149999999999999" customHeight="1" x14ac:dyDescent="0.25">
      <c r="H38" s="765">
        <f>H37*'AVs - antaganden'!C14</f>
        <v>945000</v>
      </c>
      <c r="Q38" s="765">
        <f>Q37*'AVs - antaganden'!D14</f>
        <v>1207255.4044635545</v>
      </c>
      <c r="R38" s="765">
        <f>H38+Q38</f>
        <v>2152255.4044635547</v>
      </c>
      <c r="S38" s="767"/>
    </row>
    <row r="39" spans="1:29" ht="16.149999999999999" customHeight="1" x14ac:dyDescent="0.25">
      <c r="R39" s="765">
        <f>H38/R38</f>
        <v>0.43907428367477574</v>
      </c>
      <c r="S39" s="1029">
        <f>R39*-0.05+R40*-0.72</f>
        <v>-0.42582022993790014</v>
      </c>
    </row>
    <row r="40" spans="1:29" ht="16.149999999999999" customHeight="1" x14ac:dyDescent="0.25">
      <c r="R40" s="765">
        <f>Q38/R38</f>
        <v>0.56092571632522414</v>
      </c>
      <c r="S40" s="767"/>
    </row>
    <row r="41" spans="1:29" ht="16.149999999999999" customHeight="1" x14ac:dyDescent="0.45">
      <c r="B41" s="652"/>
    </row>
    <row r="42" spans="1:29" ht="16.149999999999999" customHeight="1" x14ac:dyDescent="0.25">
      <c r="A42" s="654" t="s">
        <v>654</v>
      </c>
      <c r="B42" s="654"/>
      <c r="C42" s="654"/>
      <c r="D42" s="654"/>
      <c r="E42" s="654"/>
      <c r="F42" s="654"/>
      <c r="G42" s="654"/>
      <c r="H42" s="654"/>
      <c r="I42" s="654"/>
      <c r="J42" s="654"/>
      <c r="K42" s="654"/>
      <c r="L42" s="654"/>
      <c r="M42" s="654"/>
      <c r="N42" s="654"/>
      <c r="O42" s="654"/>
      <c r="P42" s="654"/>
      <c r="Q42" s="654"/>
      <c r="R42" s="655"/>
      <c r="S42" s="655"/>
      <c r="T42" s="655"/>
      <c r="U42" s="655"/>
      <c r="V42" s="655"/>
      <c r="W42" s="655"/>
      <c r="X42" s="655"/>
      <c r="Y42" s="655"/>
      <c r="Z42" s="655"/>
    </row>
    <row r="43" spans="1:29" ht="16.149999999999999" customHeight="1" x14ac:dyDescent="0.45">
      <c r="B43" s="652"/>
    </row>
    <row r="44" spans="1:29" ht="15.75" thickBot="1" x14ac:dyDescent="0.3">
      <c r="B44" s="768"/>
    </row>
    <row r="45" spans="1:29" ht="15" customHeight="1" thickBot="1" x14ac:dyDescent="0.3">
      <c r="C45" s="1177" t="s">
        <v>655</v>
      </c>
      <c r="D45" s="769" t="s">
        <v>656</v>
      </c>
      <c r="E45" s="770" t="s">
        <v>657</v>
      </c>
      <c r="F45" s="771"/>
      <c r="G45" s="771"/>
      <c r="H45" s="771"/>
      <c r="I45" s="771"/>
      <c r="J45" s="771"/>
      <c r="K45" s="771"/>
      <c r="L45" s="771"/>
      <c r="M45" s="771"/>
      <c r="N45" s="771"/>
      <c r="O45" s="771"/>
      <c r="P45" s="771"/>
      <c r="Q45" s="771"/>
      <c r="R45" s="771"/>
      <c r="S45" s="771"/>
      <c r="T45" s="772"/>
    </row>
    <row r="46" spans="1:29" ht="15.75" thickBot="1" x14ac:dyDescent="0.3">
      <c r="C46" s="1178"/>
      <c r="D46" s="773"/>
      <c r="E46" s="770" t="s">
        <v>658</v>
      </c>
      <c r="F46" s="771"/>
      <c r="G46" s="771"/>
      <c r="H46" s="771"/>
      <c r="I46" s="771"/>
      <c r="J46" s="771"/>
      <c r="K46" s="771"/>
      <c r="L46" s="771"/>
      <c r="M46" s="771"/>
      <c r="N46" s="771"/>
      <c r="O46" s="771"/>
      <c r="P46" s="771"/>
      <c r="Q46" s="771"/>
      <c r="R46" s="771"/>
      <c r="S46" s="771" t="s">
        <v>659</v>
      </c>
      <c r="T46" s="772"/>
    </row>
    <row r="47" spans="1:29" ht="15.75" thickBot="1" x14ac:dyDescent="0.3">
      <c r="C47" s="1178"/>
      <c r="D47" s="770"/>
      <c r="E47" s="735" t="s">
        <v>660</v>
      </c>
      <c r="F47" s="735" t="s">
        <v>661</v>
      </c>
      <c r="G47" s="735" t="s">
        <v>662</v>
      </c>
      <c r="H47" s="735" t="s">
        <v>663</v>
      </c>
      <c r="I47" s="735" t="s">
        <v>664</v>
      </c>
      <c r="J47" s="736" t="s">
        <v>665</v>
      </c>
      <c r="K47" s="735" t="s">
        <v>666</v>
      </c>
      <c r="L47" s="735" t="s">
        <v>667</v>
      </c>
      <c r="M47" s="735" t="s">
        <v>668</v>
      </c>
      <c r="N47" s="735" t="s">
        <v>669</v>
      </c>
      <c r="O47" s="735" t="s">
        <v>670</v>
      </c>
      <c r="P47" s="735" t="s">
        <v>671</v>
      </c>
      <c r="Q47" s="735"/>
      <c r="R47" s="735" t="s">
        <v>672</v>
      </c>
      <c r="S47" s="774" t="s">
        <v>673</v>
      </c>
      <c r="T47" s="736" t="s">
        <v>674</v>
      </c>
    </row>
    <row r="48" spans="1:29" x14ac:dyDescent="0.25">
      <c r="C48" s="1179"/>
      <c r="D48" s="775" t="s">
        <v>635</v>
      </c>
      <c r="E48" s="776">
        <v>0</v>
      </c>
      <c r="F48" s="777">
        <v>-0.1</v>
      </c>
      <c r="G48" s="777">
        <v>0</v>
      </c>
      <c r="H48" s="777">
        <v>0</v>
      </c>
      <c r="I48" s="777">
        <v>0</v>
      </c>
      <c r="J48" s="777">
        <v>0.5</v>
      </c>
      <c r="K48" s="777">
        <v>-1</v>
      </c>
      <c r="L48" s="777">
        <v>0</v>
      </c>
      <c r="M48" s="777">
        <v>0</v>
      </c>
      <c r="N48" s="777">
        <v>0</v>
      </c>
      <c r="O48" s="777">
        <v>-0.1</v>
      </c>
      <c r="P48" s="777">
        <v>0</v>
      </c>
      <c r="Q48" s="777"/>
      <c r="R48" s="777">
        <v>0.5</v>
      </c>
      <c r="S48" s="777">
        <v>2</v>
      </c>
      <c r="T48" s="778">
        <v>0.05</v>
      </c>
    </row>
    <row r="49" spans="1:20" x14ac:dyDescent="0.25">
      <c r="C49" s="1179"/>
      <c r="D49" s="779" t="s">
        <v>636</v>
      </c>
      <c r="E49" s="780">
        <v>0</v>
      </c>
      <c r="F49" s="781">
        <v>-0.1</v>
      </c>
      <c r="G49" s="781">
        <v>0</v>
      </c>
      <c r="H49" s="781">
        <v>0</v>
      </c>
      <c r="I49" s="781">
        <v>0</v>
      </c>
      <c r="J49" s="781">
        <v>0.5</v>
      </c>
      <c r="K49" s="781">
        <v>-1</v>
      </c>
      <c r="L49" s="781">
        <v>0</v>
      </c>
      <c r="M49" s="781">
        <v>0</v>
      </c>
      <c r="N49" s="781">
        <v>0</v>
      </c>
      <c r="O49" s="781">
        <v>-0.1</v>
      </c>
      <c r="P49" s="781">
        <v>0</v>
      </c>
      <c r="Q49" s="781"/>
      <c r="R49" s="781">
        <v>0.5</v>
      </c>
      <c r="S49" s="781">
        <v>2</v>
      </c>
      <c r="T49" s="782">
        <v>0.05</v>
      </c>
    </row>
    <row r="50" spans="1:20" x14ac:dyDescent="0.25">
      <c r="C50" s="1179"/>
      <c r="D50" s="779" t="s">
        <v>637</v>
      </c>
      <c r="E50" s="780">
        <v>0</v>
      </c>
      <c r="F50" s="781">
        <v>-0.1</v>
      </c>
      <c r="G50" s="781">
        <v>0</v>
      </c>
      <c r="H50" s="781">
        <v>0</v>
      </c>
      <c r="I50" s="781">
        <v>0</v>
      </c>
      <c r="J50" s="781">
        <v>0.5</v>
      </c>
      <c r="K50" s="781">
        <v>-1</v>
      </c>
      <c r="L50" s="781">
        <v>0</v>
      </c>
      <c r="M50" s="781">
        <v>0</v>
      </c>
      <c r="N50" s="781">
        <v>0</v>
      </c>
      <c r="O50" s="781">
        <v>-0.1</v>
      </c>
      <c r="P50" s="781">
        <v>0</v>
      </c>
      <c r="Q50" s="781"/>
      <c r="R50" s="781">
        <v>0.5</v>
      </c>
      <c r="S50" s="781">
        <v>2</v>
      </c>
      <c r="T50" s="782">
        <v>0.05</v>
      </c>
    </row>
    <row r="51" spans="1:20" x14ac:dyDescent="0.25">
      <c r="C51" s="1179"/>
      <c r="D51" s="779" t="s">
        <v>638</v>
      </c>
      <c r="E51" s="780">
        <v>0</v>
      </c>
      <c r="F51" s="781">
        <v>-0.1</v>
      </c>
      <c r="G51" s="781">
        <v>0</v>
      </c>
      <c r="H51" s="781">
        <v>0</v>
      </c>
      <c r="I51" s="781">
        <v>0</v>
      </c>
      <c r="J51" s="781">
        <v>0.5</v>
      </c>
      <c r="K51" s="781">
        <v>-1</v>
      </c>
      <c r="L51" s="781">
        <v>0</v>
      </c>
      <c r="M51" s="781">
        <v>0</v>
      </c>
      <c r="N51" s="781">
        <v>0</v>
      </c>
      <c r="O51" s="781">
        <v>-0.1</v>
      </c>
      <c r="P51" s="781">
        <v>0</v>
      </c>
      <c r="Q51" s="781"/>
      <c r="R51" s="781">
        <v>0.5</v>
      </c>
      <c r="S51" s="781">
        <v>2</v>
      </c>
      <c r="T51" s="782">
        <v>0.05</v>
      </c>
    </row>
    <row r="52" spans="1:20" ht="15.75" thickBot="1" x14ac:dyDescent="0.3">
      <c r="C52" s="1180"/>
      <c r="D52" s="783" t="s">
        <v>639</v>
      </c>
      <c r="E52" s="784">
        <v>0</v>
      </c>
      <c r="F52" s="785">
        <v>-0.1</v>
      </c>
      <c r="G52" s="785">
        <v>0</v>
      </c>
      <c r="H52" s="785">
        <v>0</v>
      </c>
      <c r="I52" s="785">
        <v>0</v>
      </c>
      <c r="J52" s="785">
        <v>0.5</v>
      </c>
      <c r="K52" s="785">
        <v>-1</v>
      </c>
      <c r="L52" s="785">
        <v>0</v>
      </c>
      <c r="M52" s="785">
        <v>0</v>
      </c>
      <c r="N52" s="785">
        <v>0</v>
      </c>
      <c r="O52" s="785">
        <v>-0.1</v>
      </c>
      <c r="P52" s="785">
        <v>0</v>
      </c>
      <c r="Q52" s="785"/>
      <c r="R52" s="785">
        <v>0.5</v>
      </c>
      <c r="S52" s="785">
        <v>2</v>
      </c>
      <c r="T52" s="786">
        <v>0.05</v>
      </c>
    </row>
    <row r="53" spans="1:20" x14ac:dyDescent="0.25">
      <c r="A53" s="787"/>
      <c r="C53" s="788"/>
      <c r="D53" s="789"/>
      <c r="E53" s="790"/>
      <c r="F53" s="790"/>
      <c r="G53" s="790"/>
      <c r="H53" s="790"/>
      <c r="I53" s="790"/>
      <c r="J53" s="790"/>
      <c r="K53" s="790"/>
      <c r="L53" s="790"/>
      <c r="M53" s="790"/>
      <c r="N53" s="790"/>
      <c r="O53" s="790"/>
      <c r="P53" s="790"/>
      <c r="Q53" s="790"/>
      <c r="R53" s="790"/>
      <c r="S53" s="790"/>
      <c r="T53" s="787"/>
    </row>
    <row r="54" spans="1:20" ht="15.75" thickBot="1" x14ac:dyDescent="0.3"/>
    <row r="55" spans="1:20" ht="45.75" thickBot="1" x14ac:dyDescent="0.3">
      <c r="C55" s="656" t="s">
        <v>614</v>
      </c>
      <c r="D55" s="791" t="s">
        <v>615</v>
      </c>
      <c r="E55" s="792" t="s">
        <v>616</v>
      </c>
      <c r="F55" s="793" t="s">
        <v>617</v>
      </c>
      <c r="G55" s="793" t="s">
        <v>618</v>
      </c>
      <c r="H55" s="794" t="s">
        <v>619</v>
      </c>
      <c r="I55" s="794" t="s">
        <v>620</v>
      </c>
      <c r="J55" s="793" t="s">
        <v>621</v>
      </c>
      <c r="K55" s="793" t="s">
        <v>622</v>
      </c>
      <c r="L55" s="794" t="s">
        <v>675</v>
      </c>
      <c r="M55" s="793" t="s">
        <v>676</v>
      </c>
      <c r="N55" s="795" t="s">
        <v>625</v>
      </c>
      <c r="O55" s="794" t="s">
        <v>626</v>
      </c>
      <c r="P55" s="796" t="s">
        <v>627</v>
      </c>
    </row>
    <row r="56" spans="1:20" x14ac:dyDescent="0.25">
      <c r="C56" s="669" t="s">
        <v>635</v>
      </c>
      <c r="D56" s="797">
        <v>0.05</v>
      </c>
      <c r="E56" s="798">
        <f>E7/(1+J48)</f>
        <v>2</v>
      </c>
      <c r="F56" s="798">
        <v>0.3</v>
      </c>
      <c r="G56" s="798">
        <f>1-F56</f>
        <v>0.7</v>
      </c>
      <c r="H56" s="798">
        <f>H7*(1+J48)</f>
        <v>75000</v>
      </c>
      <c r="I56" s="798">
        <f>I7*(1+R48)</f>
        <v>2880</v>
      </c>
      <c r="J56" s="798">
        <v>2</v>
      </c>
      <c r="K56" s="798">
        <v>4</v>
      </c>
      <c r="L56" s="798">
        <f>L7*(1+F48)</f>
        <v>6.4799999999999996E-2</v>
      </c>
      <c r="M56" s="798">
        <f t="shared" ref="M56:N60" si="6">M7</f>
        <v>9.64</v>
      </c>
      <c r="N56" s="798">
        <f t="shared" si="6"/>
        <v>33167</v>
      </c>
      <c r="O56" s="798">
        <f>O7*(1+E48)</f>
        <v>272000</v>
      </c>
      <c r="P56" s="799">
        <f>P7/O7*O56</f>
        <v>52000</v>
      </c>
    </row>
    <row r="57" spans="1:20" x14ac:dyDescent="0.25">
      <c r="C57" s="682" t="s">
        <v>636</v>
      </c>
      <c r="D57" s="800">
        <v>0.05</v>
      </c>
      <c r="E57" s="686">
        <f>E8/(1+J49)</f>
        <v>5.333333333333333</v>
      </c>
      <c r="F57" s="686">
        <v>0.3</v>
      </c>
      <c r="G57" s="686">
        <f>1-F57</f>
        <v>0.7</v>
      </c>
      <c r="H57" s="674">
        <f>H8*(1+J49)</f>
        <v>67500</v>
      </c>
      <c r="I57" s="674">
        <f>I8*(1+R49)</f>
        <v>3000</v>
      </c>
      <c r="J57" s="686">
        <v>2</v>
      </c>
      <c r="K57" s="686">
        <v>6</v>
      </c>
      <c r="L57" s="686">
        <f>L8*(1+F49)</f>
        <v>0.14760000000000001</v>
      </c>
      <c r="M57" s="674">
        <f t="shared" si="6"/>
        <v>9.64</v>
      </c>
      <c r="N57" s="686">
        <f t="shared" si="6"/>
        <v>58095</v>
      </c>
      <c r="O57" s="674">
        <f>O8*(1+E49)</f>
        <v>963000</v>
      </c>
      <c r="P57" s="675">
        <f>P8/O8*O57</f>
        <v>94000</v>
      </c>
    </row>
    <row r="58" spans="1:20" x14ac:dyDescent="0.25">
      <c r="C58" s="682" t="s">
        <v>637</v>
      </c>
      <c r="D58" s="800">
        <v>0.05</v>
      </c>
      <c r="E58" s="686">
        <f>E9/(1+J50)</f>
        <v>5.333333333333333</v>
      </c>
      <c r="F58" s="686">
        <v>0.3</v>
      </c>
      <c r="G58" s="686">
        <f>1-F58</f>
        <v>0.7</v>
      </c>
      <c r="H58" s="674">
        <f>H9*(1+J50)</f>
        <v>90000</v>
      </c>
      <c r="I58" s="674">
        <f>I9*(1+R50)</f>
        <v>3000</v>
      </c>
      <c r="J58" s="686">
        <v>3</v>
      </c>
      <c r="K58" s="686">
        <v>10</v>
      </c>
      <c r="L58" s="686">
        <f>L9*(1+F50)</f>
        <v>0.19980000000000001</v>
      </c>
      <c r="M58" s="674">
        <f t="shared" si="6"/>
        <v>9.64</v>
      </c>
      <c r="N58" s="686">
        <f t="shared" si="6"/>
        <v>72906</v>
      </c>
      <c r="O58" s="674">
        <f>O9*(1+E50)</f>
        <v>1542000</v>
      </c>
      <c r="P58" s="675">
        <f>P9/O9*O58</f>
        <v>125000</v>
      </c>
    </row>
    <row r="59" spans="1:20" x14ac:dyDescent="0.25">
      <c r="C59" s="682" t="s">
        <v>638</v>
      </c>
      <c r="D59" s="800">
        <v>0.05</v>
      </c>
      <c r="E59" s="686">
        <f>E10/(1+J51)</f>
        <v>4.666666666666667</v>
      </c>
      <c r="F59" s="686">
        <v>0.3</v>
      </c>
      <c r="G59" s="686">
        <f>1-F59</f>
        <v>0.7</v>
      </c>
      <c r="H59" s="674">
        <f>H10*(1+J51)</f>
        <v>187500</v>
      </c>
      <c r="I59" s="674">
        <f>I10*(1+R51)</f>
        <v>5250</v>
      </c>
      <c r="J59" s="686">
        <v>7</v>
      </c>
      <c r="K59" s="686">
        <v>18</v>
      </c>
      <c r="L59" s="686">
        <f>L10*(1+F51)</f>
        <v>0.24390000000000003</v>
      </c>
      <c r="M59" s="674">
        <f t="shared" si="6"/>
        <v>9.64</v>
      </c>
      <c r="N59" s="686">
        <f t="shared" si="6"/>
        <v>109046</v>
      </c>
      <c r="O59" s="674">
        <f>O10*(1+E51)</f>
        <v>2451000</v>
      </c>
      <c r="P59" s="675">
        <f>P10/O10*O59</f>
        <v>219000</v>
      </c>
    </row>
    <row r="60" spans="1:20" ht="13.9" customHeight="1" thickBot="1" x14ac:dyDescent="0.3">
      <c r="C60" s="694" t="s">
        <v>639</v>
      </c>
      <c r="D60" s="801">
        <v>0.05</v>
      </c>
      <c r="E60" s="699">
        <f>E11/(1+J52)</f>
        <v>4.666666666666667</v>
      </c>
      <c r="F60" s="699">
        <v>0.3</v>
      </c>
      <c r="G60" s="699">
        <f>1-F60</f>
        <v>0.7</v>
      </c>
      <c r="H60" s="698">
        <f>H11*(1+J52)</f>
        <v>187500</v>
      </c>
      <c r="I60" s="698">
        <f>I11*(1+R52)</f>
        <v>5250</v>
      </c>
      <c r="J60" s="699">
        <v>7</v>
      </c>
      <c r="K60" s="699">
        <v>26</v>
      </c>
      <c r="L60" s="699">
        <f>L11*(1+F52)</f>
        <v>0.31679999999999997</v>
      </c>
      <c r="M60" s="698">
        <f t="shared" si="6"/>
        <v>9.64</v>
      </c>
      <c r="N60" s="699">
        <f t="shared" si="6"/>
        <v>112696</v>
      </c>
      <c r="O60" s="698">
        <f>O11*(1+E52)</f>
        <v>2682000</v>
      </c>
      <c r="P60" s="802">
        <f>P11/O11*O60</f>
        <v>240000</v>
      </c>
    </row>
    <row r="61" spans="1:20" ht="13.9" customHeight="1" thickBot="1" x14ac:dyDescent="0.3"/>
    <row r="62" spans="1:20" ht="13.9" customHeight="1" x14ac:dyDescent="0.25">
      <c r="C62" s="706" t="s">
        <v>640</v>
      </c>
      <c r="D62" s="707"/>
      <c r="E62" s="708"/>
      <c r="F62" s="708"/>
      <c r="G62" s="708"/>
      <c r="H62" s="708"/>
      <c r="I62" s="708"/>
      <c r="J62" s="709"/>
    </row>
    <row r="63" spans="1:20" ht="13.9" customHeight="1" thickBot="1" x14ac:dyDescent="0.3">
      <c r="C63" s="710" t="s">
        <v>641</v>
      </c>
      <c r="D63" s="615" t="s">
        <v>642</v>
      </c>
      <c r="E63" s="803" t="s">
        <v>643</v>
      </c>
      <c r="F63" s="803" t="s">
        <v>644</v>
      </c>
      <c r="G63" s="804" t="s">
        <v>645</v>
      </c>
      <c r="H63" s="803" t="s">
        <v>646</v>
      </c>
      <c r="I63" s="803" t="s">
        <v>647</v>
      </c>
      <c r="J63" s="805" t="s">
        <v>648</v>
      </c>
    </row>
    <row r="64" spans="1:20" ht="13.9" customHeight="1" x14ac:dyDescent="0.25">
      <c r="C64" s="806" t="s">
        <v>635</v>
      </c>
      <c r="D64" s="807">
        <f>[3]Database_obsolete!L6/([3]Database_obsolete!L6+[3]Database_obsolete!M6)*N56*(1+O48)</f>
        <v>11191.624175164965</v>
      </c>
      <c r="E64" s="808">
        <f>[3]Database_obsolete!M6/([3]Database_obsolete!L6+[3]Database_obsolete!M6)*N56*(1+P48)</f>
        <v>20731.862027594478</v>
      </c>
      <c r="F64" s="808">
        <f>(O56-P56)/E56</f>
        <v>110000</v>
      </c>
      <c r="G64" s="808">
        <f>F64*F56</f>
        <v>33000</v>
      </c>
      <c r="H64" s="808">
        <f>O56*D56/2</f>
        <v>6800</v>
      </c>
      <c r="I64" s="808">
        <f>I15*(1+N48)</f>
        <v>3651</v>
      </c>
      <c r="J64" s="809">
        <f>D64+E64+G64+H64+I64</f>
        <v>75374.486202759435</v>
      </c>
    </row>
    <row r="65" spans="2:31" ht="13.9" customHeight="1" x14ac:dyDescent="0.25">
      <c r="C65" s="810" t="s">
        <v>636</v>
      </c>
      <c r="D65" s="811">
        <f>[3]Database_obsolete!L7/([3]Database_obsolete!L7+[3]Database_obsolete!M7)*N57*(1+O49)</f>
        <v>33132.529931761783</v>
      </c>
      <c r="E65" s="723">
        <f>[3]Database_obsolete!M7/([3]Database_obsolete!L7+[3]Database_obsolete!M7)*N57*(1+P49)</f>
        <v>21281.077853598013</v>
      </c>
      <c r="F65" s="723">
        <f>(O57-P57)/E57</f>
        <v>162937.5</v>
      </c>
      <c r="G65" s="723">
        <f>F65*F57</f>
        <v>48881.25</v>
      </c>
      <c r="H65" s="723">
        <f>O57*D57/2</f>
        <v>24075</v>
      </c>
      <c r="I65" s="723">
        <f>I16*(1+N49)</f>
        <v>10553</v>
      </c>
      <c r="J65" s="724">
        <f>D65+E65+G65+H65+I65</f>
        <v>137922.85778535978</v>
      </c>
    </row>
    <row r="66" spans="2:31" ht="13.9" customHeight="1" x14ac:dyDescent="0.25">
      <c r="C66" s="810" t="s">
        <v>637</v>
      </c>
      <c r="D66" s="811">
        <f>[3]Database_obsolete!L8/([3]Database_obsolete!L8+[3]Database_obsolete!M8)*N58*(1+O50)</f>
        <v>36754.562831342853</v>
      </c>
      <c r="E66" s="723">
        <f>[3]Database_obsolete!M8/([3]Database_obsolete!L8+[3]Database_obsolete!M8)*N58*(1+P50)</f>
        <v>32067.5968540635</v>
      </c>
      <c r="F66" s="723">
        <f>(O58-P58)/E58</f>
        <v>265687.5</v>
      </c>
      <c r="G66" s="723">
        <f>F66*F58</f>
        <v>79706.25</v>
      </c>
      <c r="H66" s="723">
        <f>O58*D58/2</f>
        <v>38550</v>
      </c>
      <c r="I66" s="723">
        <f>I17*(1+N50)</f>
        <v>12898</v>
      </c>
      <c r="J66" s="724">
        <f>D66+E66+G66+H66+I66</f>
        <v>199976.40968540637</v>
      </c>
    </row>
    <row r="67" spans="2:31" ht="13.9" customHeight="1" x14ac:dyDescent="0.25">
      <c r="C67" s="810" t="s">
        <v>638</v>
      </c>
      <c r="D67" s="811">
        <f>[3]Database_obsolete!L9/([3]Database_obsolete!L9+[3]Database_obsolete!M9)*N59*(1+O51)</f>
        <v>56577.656210526315</v>
      </c>
      <c r="E67" s="723">
        <f>[3]Database_obsolete!M9/([3]Database_obsolete!L9+[3]Database_obsolete!M9)*N59*(1+P51)</f>
        <v>46181.937543859647</v>
      </c>
      <c r="F67" s="723">
        <f>(O59-P59)/E59</f>
        <v>478285.71428571426</v>
      </c>
      <c r="G67" s="723">
        <f>F67*F59</f>
        <v>143485.71428571426</v>
      </c>
      <c r="H67" s="723">
        <f>O59*D59/2</f>
        <v>61275</v>
      </c>
      <c r="I67" s="723">
        <f>I18*(1+N51)</f>
        <v>27818</v>
      </c>
      <c r="J67" s="724">
        <f>D67+E67+G67+H67+I67</f>
        <v>335338.30804010021</v>
      </c>
    </row>
    <row r="68" spans="2:31" ht="13.9" customHeight="1" thickBot="1" x14ac:dyDescent="0.3">
      <c r="C68" s="812" t="s">
        <v>639</v>
      </c>
      <c r="D68" s="813">
        <f>[3]Database_obsolete!L10/([3]Database_obsolete!L10+[3]Database_obsolete!M10)*N60*(1+O52)</f>
        <v>59755.873053892217</v>
      </c>
      <c r="E68" s="729">
        <f>[3]Database_obsolete!M10/([3]Database_obsolete!L10+[3]Database_obsolete!M10)*N60*(1+P52)</f>
        <v>46300.58549567531</v>
      </c>
      <c r="F68" s="729">
        <f>(O60-P60)/E60</f>
        <v>523285.71428571426</v>
      </c>
      <c r="G68" s="729">
        <f>F68*F60</f>
        <v>156985.71428571426</v>
      </c>
      <c r="H68" s="729">
        <f>O60*D60/2</f>
        <v>67050</v>
      </c>
      <c r="I68" s="729">
        <f>I19*(1+N52)</f>
        <v>27818</v>
      </c>
      <c r="J68" s="731">
        <f>D68+E68+G68+H68+I68</f>
        <v>357910.17283528182</v>
      </c>
    </row>
    <row r="69" spans="2:31" ht="13.9" customHeight="1" x14ac:dyDescent="0.25"/>
    <row r="70" spans="2:31" x14ac:dyDescent="0.25">
      <c r="D70" s="814"/>
      <c r="E70" s="814"/>
      <c r="F70" s="814"/>
      <c r="G70" s="814"/>
      <c r="H70" s="814"/>
      <c r="I70" s="814"/>
      <c r="J70" s="814"/>
      <c r="K70" s="814"/>
      <c r="L70" s="814"/>
      <c r="M70" s="814"/>
      <c r="N70" s="814"/>
      <c r="O70" s="814"/>
      <c r="P70" s="814"/>
      <c r="Q70" s="814"/>
    </row>
    <row r="71" spans="2:31" ht="15.75" thickBot="1" x14ac:dyDescent="0.3">
      <c r="B71" s="815" t="s">
        <v>649</v>
      </c>
      <c r="C71" s="816"/>
      <c r="D71" s="817"/>
      <c r="E71" s="817"/>
      <c r="F71" s="817"/>
      <c r="G71" s="817"/>
      <c r="H71" s="817"/>
      <c r="I71" s="817"/>
      <c r="J71" s="817"/>
      <c r="K71" s="817"/>
      <c r="L71" s="817"/>
      <c r="M71" s="817"/>
      <c r="N71" s="817"/>
      <c r="O71" s="817"/>
      <c r="P71" s="817"/>
      <c r="Q71" s="817"/>
      <c r="R71" s="818"/>
    </row>
    <row r="72" spans="2:31" ht="15.75" thickBot="1" x14ac:dyDescent="0.3">
      <c r="B72" s="819"/>
      <c r="C72" s="820" t="s">
        <v>677</v>
      </c>
      <c r="D72" s="821" t="s">
        <v>678</v>
      </c>
      <c r="E72" s="822"/>
      <c r="F72" s="822"/>
      <c r="G72" s="822"/>
      <c r="H72" s="823"/>
      <c r="I72" s="821" t="s">
        <v>679</v>
      </c>
      <c r="J72" s="822"/>
      <c r="K72" s="822"/>
      <c r="L72" s="822"/>
      <c r="M72" s="822"/>
      <c r="N72" s="822"/>
      <c r="O72" s="822"/>
      <c r="P72" s="823"/>
      <c r="Q72" s="823"/>
      <c r="R72" s="735" t="s">
        <v>781</v>
      </c>
      <c r="S72" s="735"/>
      <c r="T72" s="735"/>
      <c r="U72" s="735"/>
      <c r="V72" s="735"/>
      <c r="W72" s="735"/>
      <c r="X72" s="735"/>
      <c r="Y72" s="735"/>
      <c r="Z72" s="736"/>
    </row>
    <row r="73" spans="2:31" ht="15.75" thickBot="1" x14ac:dyDescent="0.3">
      <c r="B73" s="819"/>
      <c r="C73" s="774" t="s">
        <v>641</v>
      </c>
      <c r="D73" s="824" t="s">
        <v>680</v>
      </c>
      <c r="E73" s="825" t="s">
        <v>681</v>
      </c>
      <c r="F73" s="825" t="s">
        <v>682</v>
      </c>
      <c r="G73" s="826" t="s">
        <v>683</v>
      </c>
      <c r="H73" s="827" t="s">
        <v>684</v>
      </c>
      <c r="I73" s="828" t="s">
        <v>685</v>
      </c>
      <c r="J73" s="829" t="s">
        <v>686</v>
      </c>
      <c r="K73" s="829" t="s">
        <v>683</v>
      </c>
      <c r="L73" s="829" t="s">
        <v>647</v>
      </c>
      <c r="M73" s="829" t="s">
        <v>642</v>
      </c>
      <c r="N73" s="829" t="s">
        <v>643</v>
      </c>
      <c r="O73" s="830" t="s">
        <v>687</v>
      </c>
      <c r="P73" s="830"/>
      <c r="Q73" s="831" t="s">
        <v>688</v>
      </c>
      <c r="R73" s="738" t="s">
        <v>685</v>
      </c>
      <c r="S73" s="738" t="s">
        <v>686</v>
      </c>
      <c r="T73" s="738" t="s">
        <v>683</v>
      </c>
      <c r="U73" s="738" t="s">
        <v>647</v>
      </c>
      <c r="V73" s="738" t="s">
        <v>642</v>
      </c>
      <c r="W73" s="738" t="s">
        <v>643</v>
      </c>
      <c r="X73" s="738" t="s">
        <v>687</v>
      </c>
      <c r="Y73" s="738"/>
      <c r="Z73" s="738" t="s">
        <v>688</v>
      </c>
      <c r="AA73" s="1028" t="s">
        <v>782</v>
      </c>
      <c r="AB73" s="1028" t="s">
        <v>783</v>
      </c>
      <c r="AC73" s="1028" t="s">
        <v>784</v>
      </c>
      <c r="AD73" s="1028" t="s">
        <v>785</v>
      </c>
      <c r="AE73" s="1028" t="s">
        <v>784</v>
      </c>
    </row>
    <row r="74" spans="2:31" ht="15.75" thickBot="1" x14ac:dyDescent="0.3">
      <c r="B74" s="819"/>
      <c r="C74" s="832" t="s">
        <v>689</v>
      </c>
      <c r="D74" s="833">
        <f>L56*M56</f>
        <v>0.62467200000000001</v>
      </c>
      <c r="E74" s="834">
        <f t="shared" ref="E74:F78" si="7">E24*(1+G48)</f>
        <v>0.33</v>
      </c>
      <c r="F74" s="834">
        <f t="shared" si="7"/>
        <v>0.51</v>
      </c>
      <c r="G74" s="834">
        <f>F64*G56/H56</f>
        <v>1.0266666666666666</v>
      </c>
      <c r="H74" s="835">
        <f>SUM(D74:G74)</f>
        <v>2.4913386666666666</v>
      </c>
      <c r="I74" s="836">
        <f>I24*(1+K48)</f>
        <v>0</v>
      </c>
      <c r="J74" s="837">
        <f>H64/I56</f>
        <v>2.3611111111111112</v>
      </c>
      <c r="K74" s="837">
        <f>F64*F56/I56</f>
        <v>11.458333333333334</v>
      </c>
      <c r="L74" s="837">
        <f>I64/I56</f>
        <v>1.2677083333333334</v>
      </c>
      <c r="M74" s="837">
        <f>D64/I56</f>
        <v>3.8859806163767239</v>
      </c>
      <c r="N74" s="837">
        <f>E64/I56</f>
        <v>7.1985632040258603</v>
      </c>
      <c r="O74" s="837">
        <f>I24*S48*T48</f>
        <v>25.400000000000002</v>
      </c>
      <c r="P74" s="838"/>
      <c r="Q74" s="839">
        <f>SUM(I74:O74)</f>
        <v>51.571696598180367</v>
      </c>
      <c r="R74" s="748" t="e">
        <f>I74/'AVs - antaganden'!#REF!</f>
        <v>#REF!</v>
      </c>
      <c r="S74" s="748" t="e">
        <f>J74/'AVs - antaganden'!#REF!</f>
        <v>#REF!</v>
      </c>
      <c r="T74" s="748" t="e">
        <f>K74/'AVs - antaganden'!#REF!</f>
        <v>#REF!</v>
      </c>
      <c r="U74" s="748" t="e">
        <f>L74/'AVs - antaganden'!#REF!</f>
        <v>#REF!</v>
      </c>
      <c r="V74" s="748" t="e">
        <f>M74/'AVs - antaganden'!#REF!</f>
        <v>#REF!</v>
      </c>
      <c r="W74" s="748" t="e">
        <f>N74/'AVs - antaganden'!#REF!</f>
        <v>#REF!</v>
      </c>
      <c r="X74" s="748" t="e">
        <f>O74/'AVs - antaganden'!#REF!</f>
        <v>#REF!</v>
      </c>
      <c r="Y74" s="748" t="e">
        <f>P74/'AVs - antaganden'!#REF!</f>
        <v>#REF!</v>
      </c>
      <c r="Z74" s="748" t="e">
        <f>Q74/'AVs - antaganden'!#REF!</f>
        <v>#REF!</v>
      </c>
      <c r="AA74" s="765" t="e">
        <f>H74+Z74</f>
        <v>#REF!</v>
      </c>
      <c r="AB74" s="765" t="e">
        <f>AA74*10</f>
        <v>#REF!</v>
      </c>
      <c r="AC74" s="1029" t="e">
        <f>(AB74-AB33)/AB33</f>
        <v>#REF!</v>
      </c>
      <c r="AD74" s="997" t="e">
        <f>AB74-(D74*10)</f>
        <v>#REF!</v>
      </c>
      <c r="AE74" s="1029" t="e">
        <f>(AD74-AC33)/AC33</f>
        <v>#REF!</v>
      </c>
    </row>
    <row r="75" spans="2:31" ht="15.75" thickBot="1" x14ac:dyDescent="0.3">
      <c r="B75" s="819"/>
      <c r="C75" s="840" t="s">
        <v>690</v>
      </c>
      <c r="D75" s="841">
        <f>L57*M57</f>
        <v>1.4228640000000001</v>
      </c>
      <c r="E75" s="842">
        <f t="shared" si="7"/>
        <v>1.06</v>
      </c>
      <c r="F75" s="842">
        <f t="shared" si="7"/>
        <v>0.32</v>
      </c>
      <c r="G75" s="842">
        <f>F65*G57/H57</f>
        <v>1.6897222222222221</v>
      </c>
      <c r="H75" s="843">
        <f>SUM(D75:G75)</f>
        <v>4.4925862222222221</v>
      </c>
      <c r="I75" s="844">
        <f>I25*(1+K49)</f>
        <v>0</v>
      </c>
      <c r="J75" s="845">
        <f>H65/I57</f>
        <v>8.0250000000000004</v>
      </c>
      <c r="K75" s="845">
        <f>F65*F57/I57</f>
        <v>16.293749999999999</v>
      </c>
      <c r="L75" s="845">
        <f>I65/I57</f>
        <v>3.5176666666666665</v>
      </c>
      <c r="M75" s="845">
        <f>D65/I57</f>
        <v>11.044176643920594</v>
      </c>
      <c r="N75" s="845">
        <f>E65/I57</f>
        <v>7.0936926178660045</v>
      </c>
      <c r="O75" s="845">
        <f>I25*S49*T49</f>
        <v>25.400000000000002</v>
      </c>
      <c r="P75" s="846"/>
      <c r="Q75" s="847">
        <f>SUM(I75:O75)</f>
        <v>71.374285928453261</v>
      </c>
      <c r="R75" s="748">
        <f>I75/'AVs - antaganden'!$E11</f>
        <v>0</v>
      </c>
      <c r="S75" s="748">
        <f>J75/'AVs - antaganden'!$E11</f>
        <v>0.35666666666666669</v>
      </c>
      <c r="T75" s="748">
        <f>K75/'AVs - antaganden'!$E11</f>
        <v>0.72416666666666663</v>
      </c>
      <c r="U75" s="748">
        <f>L75/'AVs - antaganden'!$E11</f>
        <v>0.15634074074074072</v>
      </c>
      <c r="V75" s="748">
        <f>M75/'AVs - antaganden'!$E11</f>
        <v>0.49085229528535973</v>
      </c>
      <c r="W75" s="748">
        <f>N75/'AVs - antaganden'!$E11</f>
        <v>0.31527522746071129</v>
      </c>
      <c r="X75" s="748">
        <f>O75/'AVs - antaganden'!$E11</f>
        <v>1.1288888888888891</v>
      </c>
      <c r="Y75" s="748">
        <f>P75/'AVs - antaganden'!$E11</f>
        <v>0</v>
      </c>
      <c r="Z75" s="748">
        <f>Q75/'AVs - antaganden'!$E11</f>
        <v>3.1721904857090339</v>
      </c>
      <c r="AA75" s="765">
        <f t="shared" ref="AA75:AA78" si="8">H75+Z75</f>
        <v>7.6647767079312565</v>
      </c>
      <c r="AB75" s="765">
        <f t="shared" ref="AB75:AB78" si="9">AA75*10</f>
        <v>76.647767079312558</v>
      </c>
      <c r="AC75" s="1029">
        <f t="shared" ref="AC75:AC78" si="10">(AB75-AB34)/AB34</f>
        <v>-0.5917828082126253</v>
      </c>
      <c r="AD75" s="997">
        <f t="shared" ref="AD75:AD78" si="11">AB75-(D75*10)</f>
        <v>62.41912707931256</v>
      </c>
      <c r="AE75" s="1029">
        <f t="shared" ref="AE75:AE78" si="12">(AD75-AC34)/AC34</f>
        <v>-0.63701837372949288</v>
      </c>
    </row>
    <row r="76" spans="2:31" ht="15.75" thickBot="1" x14ac:dyDescent="0.3">
      <c r="B76" s="819"/>
      <c r="C76" s="840" t="s">
        <v>691</v>
      </c>
      <c r="D76" s="841">
        <f>L58*M58</f>
        <v>1.9260720000000002</v>
      </c>
      <c r="E76" s="842">
        <f t="shared" si="7"/>
        <v>1.26</v>
      </c>
      <c r="F76" s="842">
        <f t="shared" si="7"/>
        <v>0.64</v>
      </c>
      <c r="G76" s="842">
        <f>F66*G58/H58</f>
        <v>2.0664583333333333</v>
      </c>
      <c r="H76" s="843">
        <f>SUM(D76:G76)</f>
        <v>5.8925303333333332</v>
      </c>
      <c r="I76" s="844">
        <f>I26*(1+K50)</f>
        <v>0</v>
      </c>
      <c r="J76" s="845">
        <f>H66/I58</f>
        <v>12.85</v>
      </c>
      <c r="K76" s="845">
        <f>F66*F58/I58</f>
        <v>26.568750000000001</v>
      </c>
      <c r="L76" s="845">
        <f>I66/I58</f>
        <v>4.2993333333333332</v>
      </c>
      <c r="M76" s="845">
        <f>D66/I58</f>
        <v>12.251520943780951</v>
      </c>
      <c r="N76" s="845">
        <f>E66/I58</f>
        <v>10.6891989513545</v>
      </c>
      <c r="O76" s="845">
        <f>I26*S50*T50</f>
        <v>24.5</v>
      </c>
      <c r="P76" s="846"/>
      <c r="Q76" s="847">
        <f>SUM(I76:O76)</f>
        <v>91.158803228468798</v>
      </c>
      <c r="R76" s="748">
        <f>I76/'AVs - antaganden'!$E12</f>
        <v>0</v>
      </c>
      <c r="S76" s="748">
        <f>J76/'AVs - antaganden'!$E12</f>
        <v>0.42833333333333334</v>
      </c>
      <c r="T76" s="748">
        <f>K76/'AVs - antaganden'!$E12</f>
        <v>0.885625</v>
      </c>
      <c r="U76" s="748">
        <f>L76/'AVs - antaganden'!$E12</f>
        <v>0.14331111111111111</v>
      </c>
      <c r="V76" s="748">
        <f>M76/'AVs - antaganden'!$E12</f>
        <v>0.40838403145936503</v>
      </c>
      <c r="W76" s="748">
        <f>N76/'AVs - antaganden'!$E12</f>
        <v>0.3563066317118167</v>
      </c>
      <c r="X76" s="748">
        <f>O76/'AVs - antaganden'!$E12</f>
        <v>0.81666666666666665</v>
      </c>
      <c r="Y76" s="748">
        <f>P76/'AVs - antaganden'!$E12</f>
        <v>0</v>
      </c>
      <c r="Z76" s="748">
        <f>Q76/'AVs - antaganden'!$E12</f>
        <v>3.0386267742822932</v>
      </c>
      <c r="AA76" s="765">
        <f t="shared" si="8"/>
        <v>8.9311571076156255</v>
      </c>
      <c r="AB76" s="765">
        <f t="shared" si="9"/>
        <v>89.311571076156255</v>
      </c>
      <c r="AC76" s="1029">
        <f t="shared" si="10"/>
        <v>-0.48336987924015878</v>
      </c>
      <c r="AD76" s="997">
        <f t="shared" si="11"/>
        <v>70.050851076156249</v>
      </c>
      <c r="AE76" s="1029">
        <f t="shared" si="12"/>
        <v>-0.53753674303844723</v>
      </c>
    </row>
    <row r="77" spans="2:31" ht="15.75" thickBot="1" x14ac:dyDescent="0.3">
      <c r="B77" s="819"/>
      <c r="C77" s="840" t="s">
        <v>692</v>
      </c>
      <c r="D77" s="841">
        <f>L59*M59</f>
        <v>2.3511960000000003</v>
      </c>
      <c r="E77" s="842">
        <f t="shared" si="7"/>
        <v>1.19</v>
      </c>
      <c r="F77" s="842">
        <f t="shared" si="7"/>
        <v>0.94</v>
      </c>
      <c r="G77" s="842">
        <f>F67*G59/H59</f>
        <v>1.7855999999999996</v>
      </c>
      <c r="H77" s="843">
        <f>SUM(D77:G77)</f>
        <v>6.2667960000000003</v>
      </c>
      <c r="I77" s="844">
        <f>I27*(1+K51)</f>
        <v>0</v>
      </c>
      <c r="J77" s="845">
        <f>H67/I59</f>
        <v>11.671428571428571</v>
      </c>
      <c r="K77" s="845">
        <f>F67*F59/I59</f>
        <v>27.330612244897953</v>
      </c>
      <c r="L77" s="845">
        <f>I67/I59</f>
        <v>5.2986666666666666</v>
      </c>
      <c r="M77" s="845">
        <f>D67/I59</f>
        <v>10.776696421052632</v>
      </c>
      <c r="N77" s="845">
        <f>E67/I59</f>
        <v>8.7965595321637426</v>
      </c>
      <c r="O77" s="845">
        <f>I27*S51*T51</f>
        <v>24.5</v>
      </c>
      <c r="P77" s="846"/>
      <c r="Q77" s="847">
        <f>SUM(I77:O77)</f>
        <v>88.373963436209579</v>
      </c>
      <c r="R77" s="748">
        <f>I77/'AVs - antaganden'!$E13</f>
        <v>0</v>
      </c>
      <c r="S77" s="748">
        <f>J77/'AVs - antaganden'!$E13</f>
        <v>0.32679999999999998</v>
      </c>
      <c r="T77" s="748">
        <f>K77/'AVs - antaganden'!$E13</f>
        <v>0.76525714285714264</v>
      </c>
      <c r="U77" s="748">
        <f>L77/'AVs - antaganden'!$E13</f>
        <v>0.14836266666666667</v>
      </c>
      <c r="V77" s="748">
        <f>M77/'AVs - antaganden'!$E13</f>
        <v>0.30174749978947368</v>
      </c>
      <c r="W77" s="748">
        <f>N77/'AVs - antaganden'!$E13</f>
        <v>0.24630366690058478</v>
      </c>
      <c r="X77" s="748">
        <f>O77/'AVs - antaganden'!$E13</f>
        <v>0.68599999999999994</v>
      </c>
      <c r="Y77" s="748">
        <f>P77/'AVs - antaganden'!$E13</f>
        <v>0</v>
      </c>
      <c r="Z77" s="748">
        <f>Q77/'AVs - antaganden'!$E13</f>
        <v>2.4744709762138681</v>
      </c>
      <c r="AA77" s="765">
        <f t="shared" si="8"/>
        <v>8.7412669762138684</v>
      </c>
      <c r="AB77" s="765">
        <f t="shared" si="9"/>
        <v>87.412669762138677</v>
      </c>
      <c r="AC77" s="1029">
        <f t="shared" si="10"/>
        <v>-0.44609867076254039</v>
      </c>
      <c r="AD77" s="997">
        <f t="shared" si="11"/>
        <v>63.900709762138675</v>
      </c>
      <c r="AE77" s="1029">
        <f t="shared" si="12"/>
        <v>-0.51447918799022407</v>
      </c>
    </row>
    <row r="78" spans="2:31" ht="15.75" thickBot="1" x14ac:dyDescent="0.3">
      <c r="B78" s="819"/>
      <c r="C78" s="848" t="s">
        <v>693</v>
      </c>
      <c r="D78" s="849">
        <f>L60*M60</f>
        <v>3.0539519999999998</v>
      </c>
      <c r="E78" s="850">
        <f t="shared" si="7"/>
        <v>1.04</v>
      </c>
      <c r="F78" s="850">
        <f t="shared" si="7"/>
        <v>1.18</v>
      </c>
      <c r="G78" s="850">
        <f>F68*G60/H60</f>
        <v>1.9535999999999998</v>
      </c>
      <c r="H78" s="851">
        <f>SUM(D78:G78)</f>
        <v>7.2275519999999993</v>
      </c>
      <c r="I78" s="852">
        <f>I28*(1+K52)</f>
        <v>0</v>
      </c>
      <c r="J78" s="853">
        <f>H68/I60</f>
        <v>12.771428571428572</v>
      </c>
      <c r="K78" s="853">
        <f>F68*F60/I60</f>
        <v>29.902040816326526</v>
      </c>
      <c r="L78" s="853">
        <f>I68/I60</f>
        <v>5.2986666666666666</v>
      </c>
      <c r="M78" s="853">
        <f>D68/I60</f>
        <v>11.382071057884232</v>
      </c>
      <c r="N78" s="853">
        <f>E68/I60</f>
        <v>8.8191591420333921</v>
      </c>
      <c r="O78" s="853">
        <f>I28*S52*T52</f>
        <v>25.400000000000002</v>
      </c>
      <c r="P78" s="854"/>
      <c r="Q78" s="855">
        <f>SUM(I78:O78)</f>
        <v>93.57336625433939</v>
      </c>
      <c r="R78" s="748">
        <f>I78/'AVs - antaganden'!$E14</f>
        <v>0</v>
      </c>
      <c r="S78" s="748">
        <f>J78/'AVs - antaganden'!$E14</f>
        <v>0.35760000000000003</v>
      </c>
      <c r="T78" s="748">
        <f>K78/'AVs - antaganden'!$E14</f>
        <v>0.8372571428571427</v>
      </c>
      <c r="U78" s="748">
        <f>L78/'AVs - antaganden'!$E14</f>
        <v>0.14836266666666667</v>
      </c>
      <c r="V78" s="748">
        <f>M78/'AVs - antaganden'!$E14</f>
        <v>0.31869798962075852</v>
      </c>
      <c r="W78" s="748">
        <f>N78/'AVs - antaganden'!$E14</f>
        <v>0.24693645597693498</v>
      </c>
      <c r="X78" s="748">
        <f>O78/'AVs - antaganden'!$E14</f>
        <v>0.71120000000000005</v>
      </c>
      <c r="Y78" s="748">
        <f>P78/'AVs - antaganden'!$E14</f>
        <v>0</v>
      </c>
      <c r="Z78" s="748">
        <f>Q78/'AVs - antaganden'!$E14</f>
        <v>2.6200542551215027</v>
      </c>
      <c r="AA78" s="765">
        <f t="shared" si="8"/>
        <v>9.8476062551215016</v>
      </c>
      <c r="AB78" s="765">
        <f t="shared" si="9"/>
        <v>98.476062551215023</v>
      </c>
      <c r="AC78" s="1029">
        <f t="shared" si="10"/>
        <v>-0.42806472719858268</v>
      </c>
      <c r="AD78" s="997">
        <f t="shared" si="11"/>
        <v>67.936542551215027</v>
      </c>
      <c r="AE78" s="1029">
        <f t="shared" si="12"/>
        <v>-0.50870458391552376</v>
      </c>
    </row>
    <row r="79" spans="2:31" x14ac:dyDescent="0.25">
      <c r="B79" s="856"/>
      <c r="C79" s="857"/>
      <c r="D79" s="858"/>
      <c r="E79" s="858"/>
      <c r="F79" s="858"/>
      <c r="G79" s="858"/>
      <c r="H79" s="858"/>
      <c r="I79" s="858"/>
      <c r="J79" s="858"/>
      <c r="K79" s="858"/>
      <c r="L79" s="858"/>
      <c r="M79" s="858"/>
      <c r="N79" s="858"/>
      <c r="O79" s="858"/>
      <c r="P79" s="858"/>
      <c r="Q79" s="858"/>
      <c r="R79" s="859"/>
    </row>
    <row r="81" spans="2:19" ht="15.75" thickBot="1" x14ac:dyDescent="0.3">
      <c r="B81" s="860" t="s">
        <v>653</v>
      </c>
      <c r="C81" s="861"/>
      <c r="D81" s="862"/>
      <c r="E81" s="862"/>
      <c r="F81" s="862"/>
      <c r="G81" s="862"/>
      <c r="H81" s="862"/>
      <c r="I81" s="862"/>
      <c r="J81" s="862"/>
      <c r="K81" s="862"/>
      <c r="L81" s="862"/>
      <c r="M81" s="862"/>
      <c r="N81" s="862"/>
      <c r="O81" s="862"/>
      <c r="P81" s="862"/>
      <c r="Q81" s="862"/>
      <c r="R81" s="863"/>
    </row>
    <row r="82" spans="2:19" ht="15.75" thickBot="1" x14ac:dyDescent="0.3">
      <c r="B82" s="864"/>
      <c r="C82" s="820" t="s">
        <v>677</v>
      </c>
      <c r="D82" s="821" t="s">
        <v>678</v>
      </c>
      <c r="E82" s="822"/>
      <c r="F82" s="822"/>
      <c r="G82" s="822"/>
      <c r="H82" s="823"/>
      <c r="I82" s="821" t="s">
        <v>679</v>
      </c>
      <c r="J82" s="822"/>
      <c r="K82" s="822"/>
      <c r="L82" s="822"/>
      <c r="M82" s="822"/>
      <c r="N82" s="822"/>
      <c r="O82" s="822"/>
      <c r="P82" s="823"/>
      <c r="Q82" s="823"/>
      <c r="R82" s="865"/>
    </row>
    <row r="83" spans="2:19" ht="15.75" thickBot="1" x14ac:dyDescent="0.3">
      <c r="B83" s="864"/>
      <c r="C83" s="774" t="s">
        <v>641</v>
      </c>
      <c r="D83" s="824" t="s">
        <v>680</v>
      </c>
      <c r="E83" s="825" t="s">
        <v>681</v>
      </c>
      <c r="F83" s="825" t="s">
        <v>682</v>
      </c>
      <c r="G83" s="826" t="s">
        <v>683</v>
      </c>
      <c r="H83" s="827" t="s">
        <v>684</v>
      </c>
      <c r="I83" s="828" t="s">
        <v>685</v>
      </c>
      <c r="J83" s="829" t="s">
        <v>686</v>
      </c>
      <c r="K83" s="829" t="s">
        <v>683</v>
      </c>
      <c r="L83" s="829" t="s">
        <v>647</v>
      </c>
      <c r="M83" s="829" t="s">
        <v>642</v>
      </c>
      <c r="N83" s="829" t="s">
        <v>643</v>
      </c>
      <c r="O83" s="830" t="s">
        <v>687</v>
      </c>
      <c r="P83" s="830"/>
      <c r="Q83" s="831" t="s">
        <v>688</v>
      </c>
      <c r="R83" s="866" t="s">
        <v>694</v>
      </c>
      <c r="S83" s="646"/>
    </row>
    <row r="84" spans="2:19" ht="15.75" thickBot="1" x14ac:dyDescent="0.3">
      <c r="B84" s="864"/>
      <c r="C84" s="832" t="s">
        <v>689</v>
      </c>
      <c r="D84" s="833">
        <f>D74*'[3]ASEK adjustment'!B29</f>
        <v>0.63</v>
      </c>
      <c r="E84" s="833">
        <f>E74*'[3]ASEK adjustment'!C29</f>
        <v>0.33</v>
      </c>
      <c r="F84" s="833">
        <f>F74*'[3]ASEK adjustment'!D29</f>
        <v>0.51</v>
      </c>
      <c r="G84" s="833">
        <f>G74*'[3]ASEK adjustment'!E29</f>
        <v>1.08</v>
      </c>
      <c r="H84" s="835">
        <f>SUM(D84:G84)</f>
        <v>2.5499999999999998</v>
      </c>
      <c r="I84" s="836">
        <f>I74*'[3]ASEK adjustment'!G29</f>
        <v>0</v>
      </c>
      <c r="J84" s="836">
        <f>J74*'[3]ASEK adjustment'!H29</f>
        <v>2.913333333333334</v>
      </c>
      <c r="K84" s="836">
        <f>K74*'[3]ASEK adjustment'!I29</f>
        <v>12.060000000000002</v>
      </c>
      <c r="L84" s="836">
        <f>L74*'[3]ASEK adjustment'!J29</f>
        <v>1.2666666666666668</v>
      </c>
      <c r="M84" s="836">
        <f>M74*'[3]ASEK adjustment'!K29</f>
        <v>3.8849730053989195</v>
      </c>
      <c r="N84" s="836">
        <f>N74*'[3]ASEK adjustment'!L29</f>
        <v>7.1966966606678655</v>
      </c>
      <c r="O84" s="836">
        <f>O74</f>
        <v>25.400000000000002</v>
      </c>
      <c r="P84" s="836">
        <f>P74*'[3]ASEK adjustment'!N29</f>
        <v>0</v>
      </c>
      <c r="Q84" s="839">
        <f>SUM(I84:O84)</f>
        <v>52.721669666066788</v>
      </c>
      <c r="R84" s="867">
        <f>Q84-O84</f>
        <v>27.321669666066786</v>
      </c>
      <c r="S84" s="868"/>
    </row>
    <row r="85" spans="2:19" ht="15.75" thickBot="1" x14ac:dyDescent="0.3">
      <c r="B85" s="864"/>
      <c r="C85" s="840" t="s">
        <v>690</v>
      </c>
      <c r="D85" s="833">
        <f>D75*'[3]ASEK adjustment'!B30</f>
        <v>1.4219999999999999</v>
      </c>
      <c r="E85" s="833">
        <f>E75*'[3]ASEK adjustment'!C30</f>
        <v>1.06</v>
      </c>
      <c r="F85" s="833">
        <f>F75*'[3]ASEK adjustment'!D30</f>
        <v>0.32</v>
      </c>
      <c r="G85" s="833">
        <f>G75*'[3]ASEK adjustment'!E30</f>
        <v>1.69</v>
      </c>
      <c r="H85" s="843">
        <f>SUM(D85:G85)</f>
        <v>4.492</v>
      </c>
      <c r="I85" s="836">
        <f>I75*'[3]ASEK adjustment'!G30</f>
        <v>0</v>
      </c>
      <c r="J85" s="836">
        <f>J75*'[3]ASEK adjustment'!H30</f>
        <v>8.8066666666666684</v>
      </c>
      <c r="K85" s="836">
        <f>K75*'[3]ASEK adjustment'!I30</f>
        <v>16.3</v>
      </c>
      <c r="L85" s="836">
        <f>L75*'[3]ASEK adjustment'!J30</f>
        <v>3.52</v>
      </c>
      <c r="M85" s="836">
        <f>M75*'[3]ASEK adjustment'!K30</f>
        <v>11.04512717121588</v>
      </c>
      <c r="N85" s="836">
        <f>N75*'[3]ASEK adjustment'!L30</f>
        <v>7.094303143093466</v>
      </c>
      <c r="O85" s="836">
        <f t="shared" ref="O85:O88" si="13">O75</f>
        <v>25.400000000000002</v>
      </c>
      <c r="P85" s="836">
        <f>P75*'[3]ASEK adjustment'!N30</f>
        <v>0</v>
      </c>
      <c r="Q85" s="847">
        <f>SUM(I85:O85)</f>
        <v>72.166096980976022</v>
      </c>
      <c r="R85" s="867">
        <f t="shared" ref="R85:R88" si="14">Q85-O85</f>
        <v>46.766096980976016</v>
      </c>
      <c r="S85" s="868"/>
    </row>
    <row r="86" spans="2:19" ht="15.75" thickBot="1" x14ac:dyDescent="0.3">
      <c r="B86" s="864"/>
      <c r="C86" s="840" t="s">
        <v>691</v>
      </c>
      <c r="D86" s="833">
        <f>D76*'[3]ASEK adjustment'!B31</f>
        <v>1.9260000000000002</v>
      </c>
      <c r="E86" s="833">
        <f>E76*'[3]ASEK adjustment'!C31</f>
        <v>1.26</v>
      </c>
      <c r="F86" s="833">
        <f>F76*'[3]ASEK adjustment'!D31</f>
        <v>0.64</v>
      </c>
      <c r="G86" s="833">
        <f>G76*'[3]ASEK adjustment'!E31</f>
        <v>2.0699999999999998</v>
      </c>
      <c r="H86" s="843">
        <f>SUM(D86:G86)</f>
        <v>5.8959999999999999</v>
      </c>
      <c r="I86" s="836">
        <f>I76*'[3]ASEK adjustment'!G31</f>
        <v>0</v>
      </c>
      <c r="J86" s="836">
        <f>J76*'[3]ASEK adjustment'!H31</f>
        <v>13.893333333333334</v>
      </c>
      <c r="K86" s="836">
        <f>K76*'[3]ASEK adjustment'!I31</f>
        <v>26.580000000000002</v>
      </c>
      <c r="L86" s="836">
        <f>L76*'[3]ASEK adjustment'!J31</f>
        <v>4.3000000000000007</v>
      </c>
      <c r="M86" s="836">
        <f>M76*'[3]ASEK adjustment'!K31</f>
        <v>12.250512671133123</v>
      </c>
      <c r="N86" s="836">
        <f>N76*'[3]ASEK adjustment'!L31</f>
        <v>10.688319254296534</v>
      </c>
      <c r="O86" s="836">
        <f t="shared" si="13"/>
        <v>24.5</v>
      </c>
      <c r="P86" s="836">
        <f>P76*'[3]ASEK adjustment'!N31</f>
        <v>0</v>
      </c>
      <c r="Q86" s="847">
        <f>SUM(I86:O86)</f>
        <v>92.212165258762994</v>
      </c>
      <c r="R86" s="867">
        <f t="shared" si="14"/>
        <v>67.712165258762994</v>
      </c>
      <c r="S86" s="868"/>
    </row>
    <row r="87" spans="2:19" ht="15.75" thickBot="1" x14ac:dyDescent="0.3">
      <c r="B87" s="864"/>
      <c r="C87" s="840" t="s">
        <v>692</v>
      </c>
      <c r="D87" s="833">
        <f>D77*'[3]ASEK adjustment'!B32</f>
        <v>2.3580000000000001</v>
      </c>
      <c r="E87" s="833">
        <f>E77*'[3]ASEK adjustment'!C32</f>
        <v>1.19</v>
      </c>
      <c r="F87" s="833">
        <f>F77*'[3]ASEK adjustment'!D32</f>
        <v>0.93705197132616491</v>
      </c>
      <c r="G87" s="833">
        <f>G77*'[3]ASEK adjustment'!E32</f>
        <v>1.7799999999999998</v>
      </c>
      <c r="H87" s="843">
        <f>SUM(D87:G87)</f>
        <v>6.2650519713261641</v>
      </c>
      <c r="I87" s="836">
        <f>I77*'[3]ASEK adjustment'!G32</f>
        <v>0</v>
      </c>
      <c r="J87" s="836">
        <f>J77*'[3]ASEK adjustment'!H32</f>
        <v>12.713333333333333</v>
      </c>
      <c r="K87" s="836">
        <f>K77*'[3]ASEK adjustment'!I32</f>
        <v>27.329999999999995</v>
      </c>
      <c r="L87" s="836">
        <f>L77*'[3]ASEK adjustment'!J32</f>
        <v>5.2985479689366786</v>
      </c>
      <c r="M87" s="836">
        <f>M77*'[3]ASEK adjustment'!K32</f>
        <v>10.778080000000001</v>
      </c>
      <c r="N87" s="836">
        <f>N77*'[3]ASEK adjustment'!L32</f>
        <v>8.7976888888888887</v>
      </c>
      <c r="O87" s="836">
        <f t="shared" si="13"/>
        <v>24.5</v>
      </c>
      <c r="P87" s="836">
        <f>P77*'[3]ASEK adjustment'!N32</f>
        <v>0</v>
      </c>
      <c r="Q87" s="847">
        <f>SUM(I87:O87)</f>
        <v>89.417650191158899</v>
      </c>
      <c r="R87" s="867">
        <f t="shared" si="14"/>
        <v>64.917650191158899</v>
      </c>
      <c r="S87" s="868"/>
    </row>
    <row r="88" spans="2:19" ht="15.75" thickBot="1" x14ac:dyDescent="0.3">
      <c r="B88" s="864"/>
      <c r="C88" s="848" t="s">
        <v>693</v>
      </c>
      <c r="D88" s="833">
        <f>D78*'[3]ASEK adjustment'!B33</f>
        <v>3.0510000000000002</v>
      </c>
      <c r="E88" s="833">
        <f>E78*'[3]ASEK adjustment'!C33</f>
        <v>1.04</v>
      </c>
      <c r="F88" s="833">
        <f>F78*'[3]ASEK adjustment'!D33</f>
        <v>1.18</v>
      </c>
      <c r="G88" s="833">
        <f>G78*'[3]ASEK adjustment'!E33</f>
        <v>1.9499999999999997</v>
      </c>
      <c r="H88" s="851">
        <f>SUM(D88:G88)</f>
        <v>7.2210000000000001</v>
      </c>
      <c r="I88" s="836">
        <f>I78*'[3]ASEK adjustment'!G33</f>
        <v>0</v>
      </c>
      <c r="J88" s="836">
        <f>J78*'[3]ASEK adjustment'!H33</f>
        <v>13.913333333333334</v>
      </c>
      <c r="K88" s="836">
        <f>K78*'[3]ASEK adjustment'!I33</f>
        <v>29.91</v>
      </c>
      <c r="L88" s="836">
        <f>L78*'[3]ASEK adjustment'!J33</f>
        <v>5.3000770406770412</v>
      </c>
      <c r="M88" s="836">
        <f>M78*'[3]ASEK adjustment'!K33</f>
        <v>11.382475049900204</v>
      </c>
      <c r="N88" s="836">
        <f>N78*'[3]ASEK adjustment'!L33</f>
        <v>8.8194721667775582</v>
      </c>
      <c r="O88" s="836">
        <f t="shared" si="13"/>
        <v>25.400000000000002</v>
      </c>
      <c r="P88" s="836">
        <f>P78*'[3]ASEK adjustment'!N33</f>
        <v>0</v>
      </c>
      <c r="Q88" s="855">
        <f>SUM(I88:O88)</f>
        <v>94.725357590688148</v>
      </c>
      <c r="R88" s="869">
        <f t="shared" si="14"/>
        <v>69.325357590688142</v>
      </c>
      <c r="S88" s="868"/>
    </row>
    <row r="89" spans="2:19" x14ac:dyDescent="0.25">
      <c r="B89" s="870"/>
      <c r="C89" s="871"/>
      <c r="D89" s="872"/>
      <c r="E89" s="872"/>
      <c r="F89" s="872"/>
      <c r="G89" s="872"/>
      <c r="H89" s="872"/>
      <c r="I89" s="872"/>
      <c r="J89" s="872"/>
      <c r="K89" s="872"/>
      <c r="L89" s="872"/>
      <c r="M89" s="872"/>
      <c r="N89" s="872"/>
      <c r="O89" s="872"/>
      <c r="P89" s="872"/>
      <c r="Q89" s="872"/>
      <c r="R89" s="873"/>
    </row>
    <row r="90" spans="2:19" ht="14.25" customHeight="1" thickBot="1" x14ac:dyDescent="0.3"/>
    <row r="91" spans="2:19" ht="15" customHeight="1" thickBot="1" x14ac:dyDescent="0.3">
      <c r="C91" s="1181" t="s">
        <v>695</v>
      </c>
      <c r="D91" s="820" t="s">
        <v>696</v>
      </c>
      <c r="E91" s="821" t="s">
        <v>678</v>
      </c>
      <c r="F91" s="822"/>
      <c r="G91" s="822"/>
      <c r="H91" s="822"/>
      <c r="I91" s="822"/>
      <c r="J91" s="821" t="s">
        <v>679</v>
      </c>
      <c r="K91" s="822"/>
      <c r="L91" s="822"/>
      <c r="M91" s="822"/>
      <c r="N91" s="822"/>
      <c r="O91" s="822"/>
      <c r="P91" s="822"/>
      <c r="Q91" s="822"/>
      <c r="R91" s="823"/>
    </row>
    <row r="92" spans="2:19" ht="15.75" thickBot="1" x14ac:dyDescent="0.3">
      <c r="C92" s="1182"/>
      <c r="D92" s="774" t="s">
        <v>641</v>
      </c>
      <c r="E92" s="874" t="s">
        <v>680</v>
      </c>
      <c r="F92" s="825" t="s">
        <v>681</v>
      </c>
      <c r="G92" s="825" t="s">
        <v>682</v>
      </c>
      <c r="H92" s="825" t="s">
        <v>683</v>
      </c>
      <c r="I92" s="875" t="s">
        <v>684</v>
      </c>
      <c r="J92" s="828" t="s">
        <v>685</v>
      </c>
      <c r="K92" s="876" t="s">
        <v>686</v>
      </c>
      <c r="L92" s="876" t="s">
        <v>683</v>
      </c>
      <c r="M92" s="876" t="s">
        <v>647</v>
      </c>
      <c r="N92" s="876" t="s">
        <v>642</v>
      </c>
      <c r="O92" s="876" t="s">
        <v>643</v>
      </c>
      <c r="P92" s="876"/>
      <c r="Q92" s="877" t="s">
        <v>687</v>
      </c>
      <c r="R92" s="877" t="s">
        <v>688</v>
      </c>
    </row>
    <row r="93" spans="2:19" x14ac:dyDescent="0.25">
      <c r="C93" s="1182"/>
      <c r="D93" s="832" t="s">
        <v>689</v>
      </c>
      <c r="E93" s="833">
        <f>D84-D24</f>
        <v>-6.4080000000000026E-2</v>
      </c>
      <c r="F93" s="833">
        <f t="shared" ref="F93:H94" si="15">E84-E24</f>
        <v>0</v>
      </c>
      <c r="G93" s="833">
        <f t="shared" si="15"/>
        <v>0</v>
      </c>
      <c r="H93" s="833">
        <f t="shared" si="15"/>
        <v>5.3333333333333455E-2</v>
      </c>
      <c r="I93" s="835">
        <f>H84-H24</f>
        <v>-1.0746666666666904E-2</v>
      </c>
      <c r="J93" s="836">
        <f>I84-I24</f>
        <v>-254</v>
      </c>
      <c r="K93" s="836">
        <f t="shared" ref="K93:Q94" si="16">J84-J24</f>
        <v>-0.62833333333333252</v>
      </c>
      <c r="L93" s="836">
        <f t="shared" si="16"/>
        <v>0.60166666666667012</v>
      </c>
      <c r="M93" s="836">
        <f t="shared" si="16"/>
        <v>-0.63489583333333321</v>
      </c>
      <c r="N93" s="836">
        <f t="shared" si="16"/>
        <v>-2.5916613552289536</v>
      </c>
      <c r="O93" s="836">
        <f t="shared" si="16"/>
        <v>-3.6011481453709253</v>
      </c>
      <c r="P93" s="836">
        <f t="shared" si="16"/>
        <v>25.400000000000002</v>
      </c>
      <c r="Q93" s="836">
        <f t="shared" si="16"/>
        <v>0</v>
      </c>
      <c r="R93" s="878">
        <f>ROUND(SUM(J93:Q93),2)</f>
        <v>-235.45</v>
      </c>
    </row>
    <row r="94" spans="2:19" x14ac:dyDescent="0.25">
      <c r="C94" s="1182"/>
      <c r="D94" s="840" t="s">
        <v>690</v>
      </c>
      <c r="E94" s="841">
        <f>D85-D25</f>
        <v>-0.15896000000000021</v>
      </c>
      <c r="F94" s="841">
        <f t="shared" si="15"/>
        <v>0</v>
      </c>
      <c r="G94" s="841">
        <f t="shared" si="15"/>
        <v>0</v>
      </c>
      <c r="H94" s="841">
        <f t="shared" si="15"/>
        <v>2.777777777778212E-4</v>
      </c>
      <c r="I94" s="843">
        <f>H85-H25</f>
        <v>-0.15868222222222261</v>
      </c>
      <c r="J94" s="844">
        <f>I85-I25</f>
        <v>-254</v>
      </c>
      <c r="K94" s="844">
        <f t="shared" si="16"/>
        <v>-3.2308333333333312</v>
      </c>
      <c r="L94" s="844">
        <f t="shared" si="16"/>
        <v>6.2500000000014211E-3</v>
      </c>
      <c r="M94" s="844">
        <f t="shared" si="16"/>
        <v>-1.7565000000000004</v>
      </c>
      <c r="N94" s="844">
        <f t="shared" si="16"/>
        <v>-7.3618339019851096</v>
      </c>
      <c r="O94" s="844">
        <f t="shared" si="16"/>
        <v>-3.5462357837055407</v>
      </c>
      <c r="P94" s="844">
        <f t="shared" si="16"/>
        <v>25.400000000000002</v>
      </c>
      <c r="Q94" s="844">
        <f t="shared" si="16"/>
        <v>0</v>
      </c>
      <c r="R94" s="879">
        <f>ROUND(SUM(J94:Q94),2)</f>
        <v>-244.49</v>
      </c>
    </row>
    <row r="95" spans="2:19" x14ac:dyDescent="0.25">
      <c r="C95" s="1182"/>
      <c r="D95" s="840" t="s">
        <v>691</v>
      </c>
      <c r="E95" s="841">
        <f t="shared" ref="E95:H97" si="17">D86-D26</f>
        <v>-0.21408000000000005</v>
      </c>
      <c r="F95" s="841">
        <f t="shared" si="17"/>
        <v>0</v>
      </c>
      <c r="G95" s="841">
        <f t="shared" si="17"/>
        <v>0</v>
      </c>
      <c r="H95" s="841">
        <f t="shared" si="17"/>
        <v>3.5416666666665542E-3</v>
      </c>
      <c r="I95" s="843">
        <f>H86-H26</f>
        <v>-0.21053833333333305</v>
      </c>
      <c r="J95" s="844">
        <f t="shared" ref="J95:Q97" si="18">I86-I26</f>
        <v>-245</v>
      </c>
      <c r="K95" s="844">
        <f t="shared" si="18"/>
        <v>-5.3816666666666642</v>
      </c>
      <c r="L95" s="844">
        <f t="shared" si="18"/>
        <v>1.1250000000003979E-2</v>
      </c>
      <c r="M95" s="844">
        <f t="shared" si="18"/>
        <v>-2.1489999999999991</v>
      </c>
      <c r="N95" s="844">
        <f t="shared" si="18"/>
        <v>-8.1686889018351252</v>
      </c>
      <c r="O95" s="844">
        <f t="shared" si="18"/>
        <v>-5.3454791727352173</v>
      </c>
      <c r="P95" s="844">
        <f t="shared" si="18"/>
        <v>24.5</v>
      </c>
      <c r="Q95" s="844">
        <f t="shared" si="18"/>
        <v>0</v>
      </c>
      <c r="R95" s="879">
        <f>ROUND(SUM(J95:Q95),2)</f>
        <v>-241.53</v>
      </c>
    </row>
    <row r="96" spans="2:19" x14ac:dyDescent="0.25">
      <c r="C96" s="1182"/>
      <c r="D96" s="840" t="s">
        <v>692</v>
      </c>
      <c r="E96" s="841">
        <f t="shared" si="17"/>
        <v>-0.25444000000000022</v>
      </c>
      <c r="F96" s="841">
        <f t="shared" si="17"/>
        <v>0</v>
      </c>
      <c r="G96" s="841">
        <f t="shared" si="17"/>
        <v>-2.9480286738350348E-3</v>
      </c>
      <c r="H96" s="841">
        <f t="shared" si="17"/>
        <v>-5.6000000000000494E-3</v>
      </c>
      <c r="I96" s="843">
        <f>H87-H27</f>
        <v>-0.26298802867383575</v>
      </c>
      <c r="J96" s="844">
        <f t="shared" si="18"/>
        <v>-245</v>
      </c>
      <c r="K96" s="844">
        <f t="shared" si="18"/>
        <v>-4.7938095238095233</v>
      </c>
      <c r="L96" s="844">
        <f t="shared" si="18"/>
        <v>-6.1224489796174453E-4</v>
      </c>
      <c r="M96" s="844">
        <f t="shared" si="18"/>
        <v>-2.6494520310633218</v>
      </c>
      <c r="N96" s="844">
        <f t="shared" si="18"/>
        <v>-7.183080701754383</v>
      </c>
      <c r="O96" s="844">
        <f t="shared" si="18"/>
        <v>-4.3971504093567244</v>
      </c>
      <c r="P96" s="844">
        <f t="shared" si="18"/>
        <v>24.5</v>
      </c>
      <c r="Q96" s="844">
        <f t="shared" si="18"/>
        <v>0</v>
      </c>
      <c r="R96" s="879">
        <f>ROUND(SUM(J96:Q96),2)</f>
        <v>-239.52</v>
      </c>
    </row>
    <row r="97" spans="1:18" ht="15.75" thickBot="1" x14ac:dyDescent="0.3">
      <c r="C97" s="1182"/>
      <c r="D97" s="848" t="s">
        <v>693</v>
      </c>
      <c r="E97" s="841">
        <f t="shared" si="17"/>
        <v>-0.3422799999999997</v>
      </c>
      <c r="F97" s="841">
        <f t="shared" si="17"/>
        <v>0</v>
      </c>
      <c r="G97" s="841">
        <f t="shared" si="17"/>
        <v>0</v>
      </c>
      <c r="H97" s="841">
        <f t="shared" si="17"/>
        <v>-3.6000000000002697E-3</v>
      </c>
      <c r="I97" s="851">
        <f>H88-H28</f>
        <v>-0.3458799999999993</v>
      </c>
      <c r="J97" s="844">
        <f t="shared" si="18"/>
        <v>-254</v>
      </c>
      <c r="K97" s="844">
        <f t="shared" si="18"/>
        <v>-5.2438095238095244</v>
      </c>
      <c r="L97" s="844">
        <f t="shared" si="18"/>
        <v>7.9591836734742571E-3</v>
      </c>
      <c r="M97" s="844">
        <f t="shared" si="18"/>
        <v>-2.6479229593229592</v>
      </c>
      <c r="N97" s="844">
        <f t="shared" si="18"/>
        <v>-7.5876433799068472</v>
      </c>
      <c r="O97" s="844">
        <f t="shared" si="18"/>
        <v>-4.40926654627253</v>
      </c>
      <c r="P97" s="844">
        <f t="shared" si="18"/>
        <v>25.400000000000002</v>
      </c>
      <c r="Q97" s="844">
        <f t="shared" si="18"/>
        <v>0</v>
      </c>
      <c r="R97" s="880">
        <f>ROUND(SUM(J97:Q97),2)</f>
        <v>-248.48</v>
      </c>
    </row>
    <row r="98" spans="1:18" ht="15.75" thickBot="1" x14ac:dyDescent="0.3">
      <c r="C98" s="1182"/>
      <c r="D98" s="820" t="s">
        <v>697</v>
      </c>
      <c r="E98" s="821" t="s">
        <v>678</v>
      </c>
      <c r="F98" s="822"/>
      <c r="G98" s="822"/>
      <c r="H98" s="822"/>
      <c r="I98" s="822"/>
      <c r="J98" s="821" t="s">
        <v>679</v>
      </c>
      <c r="K98" s="822"/>
      <c r="L98" s="822"/>
      <c r="M98" s="822"/>
      <c r="N98" s="822"/>
      <c r="O98" s="822"/>
      <c r="P98" s="822"/>
      <c r="Q98" s="822"/>
      <c r="R98" s="823"/>
    </row>
    <row r="99" spans="1:18" ht="15.75" thickBot="1" x14ac:dyDescent="0.3">
      <c r="C99" s="1182"/>
      <c r="D99" s="774" t="s">
        <v>641</v>
      </c>
      <c r="E99" s="874" t="s">
        <v>680</v>
      </c>
      <c r="F99" s="825" t="s">
        <v>681</v>
      </c>
      <c r="G99" s="825" t="s">
        <v>682</v>
      </c>
      <c r="H99" s="825" t="s">
        <v>683</v>
      </c>
      <c r="I99" s="875" t="s">
        <v>684</v>
      </c>
      <c r="J99" s="828" t="s">
        <v>685</v>
      </c>
      <c r="K99" s="876" t="s">
        <v>686</v>
      </c>
      <c r="L99" s="876" t="s">
        <v>683</v>
      </c>
      <c r="M99" s="876" t="s">
        <v>647</v>
      </c>
      <c r="N99" s="876" t="s">
        <v>642</v>
      </c>
      <c r="O99" s="876" t="s">
        <v>643</v>
      </c>
      <c r="P99" s="876"/>
      <c r="Q99" s="877" t="s">
        <v>687</v>
      </c>
      <c r="R99" s="877" t="s">
        <v>688</v>
      </c>
    </row>
    <row r="100" spans="1:18" x14ac:dyDescent="0.25">
      <c r="C100" s="1182"/>
      <c r="D100" s="832" t="s">
        <v>689</v>
      </c>
      <c r="E100" s="881">
        <f t="shared" ref="E100:O104" si="19">E93/D24</f>
        <v>-9.232365145228219E-2</v>
      </c>
      <c r="F100" s="882">
        <f t="shared" si="19"/>
        <v>0</v>
      </c>
      <c r="G100" s="882">
        <f t="shared" si="19"/>
        <v>0</v>
      </c>
      <c r="H100" s="882">
        <f t="shared" si="19"/>
        <v>5.1948051948052069E-2</v>
      </c>
      <c r="I100" s="883">
        <f t="shared" si="19"/>
        <v>-4.1966926313159588E-3</v>
      </c>
      <c r="J100" s="884">
        <f t="shared" si="19"/>
        <v>-1</v>
      </c>
      <c r="K100" s="885">
        <f t="shared" si="19"/>
        <v>-0.17741176470588213</v>
      </c>
      <c r="L100" s="885">
        <f t="shared" si="19"/>
        <v>5.2509090909091213E-2</v>
      </c>
      <c r="M100" s="885">
        <f t="shared" si="19"/>
        <v>-0.33388112845795664</v>
      </c>
      <c r="N100" s="885">
        <f t="shared" si="19"/>
        <v>-0.40015557632586607</v>
      </c>
      <c r="O100" s="885">
        <f t="shared" si="19"/>
        <v>-0.33350619591762898</v>
      </c>
      <c r="P100" s="885"/>
      <c r="Q100" s="885"/>
      <c r="R100" s="886">
        <f>R93/Q24</f>
        <v>-0.81703530466403274</v>
      </c>
    </row>
    <row r="101" spans="1:18" x14ac:dyDescent="0.25">
      <c r="C101" s="1182"/>
      <c r="D101" s="840" t="s">
        <v>690</v>
      </c>
      <c r="E101" s="887">
        <f t="shared" si="19"/>
        <v>-0.10054650339034524</v>
      </c>
      <c r="F101" s="888">
        <f t="shared" si="19"/>
        <v>0</v>
      </c>
      <c r="G101" s="888">
        <f t="shared" si="19"/>
        <v>0</v>
      </c>
      <c r="H101" s="888">
        <f t="shared" si="19"/>
        <v>1.643925694558863E-4</v>
      </c>
      <c r="I101" s="889">
        <f t="shared" si="19"/>
        <v>-3.4120203152990303E-2</v>
      </c>
      <c r="J101" s="890">
        <f t="shared" si="19"/>
        <v>-1</v>
      </c>
      <c r="K101" s="891">
        <f t="shared" si="19"/>
        <v>-0.26839736933194858</v>
      </c>
      <c r="L101" s="891">
        <f t="shared" si="19"/>
        <v>3.8358266206376193E-4</v>
      </c>
      <c r="M101" s="891">
        <f t="shared" si="19"/>
        <v>-0.33289112100824414</v>
      </c>
      <c r="N101" s="891">
        <f t="shared" si="19"/>
        <v>-0.39994836044410015</v>
      </c>
      <c r="O101" s="891">
        <f t="shared" si="19"/>
        <v>-0.33327595604900012</v>
      </c>
      <c r="P101" s="891"/>
      <c r="Q101" s="891"/>
      <c r="R101" s="892">
        <f>R94/Q25</f>
        <v>-0.7721015205021865</v>
      </c>
    </row>
    <row r="102" spans="1:18" x14ac:dyDescent="0.25">
      <c r="C102" s="1182"/>
      <c r="D102" s="840" t="s">
        <v>691</v>
      </c>
      <c r="E102" s="887">
        <f t="shared" si="19"/>
        <v>-0.10003364360210834</v>
      </c>
      <c r="F102" s="888">
        <f t="shared" si="19"/>
        <v>0</v>
      </c>
      <c r="G102" s="888">
        <f t="shared" si="19"/>
        <v>0</v>
      </c>
      <c r="H102" s="888">
        <f t="shared" si="19"/>
        <v>1.7138824478273476E-3</v>
      </c>
      <c r="I102" s="889">
        <f t="shared" si="19"/>
        <v>-3.4477525865035878E-2</v>
      </c>
      <c r="J102" s="890">
        <f t="shared" si="19"/>
        <v>-1</v>
      </c>
      <c r="K102" s="891">
        <f t="shared" si="19"/>
        <v>-0.27920449632511879</v>
      </c>
      <c r="L102" s="891">
        <f t="shared" si="19"/>
        <v>4.2342978122809617E-4</v>
      </c>
      <c r="M102" s="891">
        <f t="shared" si="19"/>
        <v>-0.33322995813304374</v>
      </c>
      <c r="N102" s="891">
        <f t="shared" si="19"/>
        <v>-0.40004937865196261</v>
      </c>
      <c r="O102" s="891">
        <f t="shared" si="19"/>
        <v>-0.33338819850218088</v>
      </c>
      <c r="P102" s="891"/>
      <c r="Q102" s="891"/>
      <c r="R102" s="892">
        <f>R95/Q26</f>
        <v>-0.72369460884520631</v>
      </c>
    </row>
    <row r="103" spans="1:18" x14ac:dyDescent="0.25">
      <c r="C103" s="1182"/>
      <c r="D103" s="840" t="s">
        <v>692</v>
      </c>
      <c r="E103" s="887">
        <f t="shared" si="19"/>
        <v>-9.7395538270735479E-2</v>
      </c>
      <c r="F103" s="888">
        <f t="shared" si="19"/>
        <v>0</v>
      </c>
      <c r="G103" s="888">
        <f t="shared" si="19"/>
        <v>-3.136200716845782E-3</v>
      </c>
      <c r="H103" s="888">
        <f t="shared" si="19"/>
        <v>-3.136200716845906E-3</v>
      </c>
      <c r="I103" s="889">
        <f t="shared" si="19"/>
        <v>-4.0285909503286706E-2</v>
      </c>
      <c r="J103" s="890">
        <f t="shared" si="19"/>
        <v>-1</v>
      </c>
      <c r="K103" s="891">
        <f t="shared" si="19"/>
        <v>-0.27382020943832447</v>
      </c>
      <c r="L103" s="891">
        <f t="shared" si="19"/>
        <v>-2.2401433691849975E-5</v>
      </c>
      <c r="M103" s="891">
        <f t="shared" si="19"/>
        <v>-0.33334826762246123</v>
      </c>
      <c r="N103" s="891">
        <f t="shared" si="19"/>
        <v>-0.39992296828861201</v>
      </c>
      <c r="O103" s="891">
        <f t="shared" si="19"/>
        <v>-0.33324774254290235</v>
      </c>
      <c r="P103" s="891"/>
      <c r="Q103" s="891"/>
      <c r="R103" s="892">
        <f>R96/Q27</f>
        <v>-0.72815322556328754</v>
      </c>
    </row>
    <row r="104" spans="1:18" ht="15.75" thickBot="1" x14ac:dyDescent="0.3">
      <c r="C104" s="1183"/>
      <c r="D104" s="848" t="s">
        <v>693</v>
      </c>
      <c r="E104" s="893">
        <f t="shared" si="19"/>
        <v>-0.10086995473406253</v>
      </c>
      <c r="F104" s="894">
        <f t="shared" si="19"/>
        <v>0</v>
      </c>
      <c r="G104" s="894">
        <f t="shared" si="19"/>
        <v>0</v>
      </c>
      <c r="H104" s="894">
        <f t="shared" si="19"/>
        <v>-1.8427518427519807E-3</v>
      </c>
      <c r="I104" s="895">
        <f t="shared" si="19"/>
        <v>-4.5709724483538702E-2</v>
      </c>
      <c r="J104" s="896">
        <f t="shared" si="19"/>
        <v>-1</v>
      </c>
      <c r="K104" s="897">
        <f t="shared" si="19"/>
        <v>-0.27372607506835694</v>
      </c>
      <c r="L104" s="897">
        <f t="shared" si="19"/>
        <v>2.6617526617542909E-4</v>
      </c>
      <c r="M104" s="897">
        <f t="shared" si="19"/>
        <v>-0.33315588315588313</v>
      </c>
      <c r="N104" s="897">
        <f t="shared" si="19"/>
        <v>-0.39997870376943251</v>
      </c>
      <c r="O104" s="897">
        <f t="shared" si="19"/>
        <v>-0.33330967085492508</v>
      </c>
      <c r="P104" s="897"/>
      <c r="Q104" s="897"/>
      <c r="R104" s="898">
        <f>R97/Q28</f>
        <v>-0.72399658062248096</v>
      </c>
    </row>
    <row r="105" spans="1:18" x14ac:dyDescent="0.25">
      <c r="H105" s="997">
        <f>H88*'AVs - antaganden'!C14</f>
        <v>902625</v>
      </c>
      <c r="R105" s="997">
        <f>Q78*'AVs - antaganden'!D14</f>
        <v>327506.78189018788</v>
      </c>
    </row>
    <row r="106" spans="1:18" ht="28.5" x14ac:dyDescent="0.45">
      <c r="B106" s="652" t="s">
        <v>698</v>
      </c>
    </row>
    <row r="107" spans="1:18" ht="15.75" thickBot="1" x14ac:dyDescent="0.3"/>
    <row r="108" spans="1:18" ht="15.75" thickBot="1" x14ac:dyDescent="0.3">
      <c r="C108" s="770"/>
      <c r="D108" s="770" t="s">
        <v>699</v>
      </c>
      <c r="E108" s="771" t="s">
        <v>700</v>
      </c>
      <c r="F108" s="771" t="s">
        <v>701</v>
      </c>
      <c r="G108" s="771" t="s">
        <v>702</v>
      </c>
      <c r="H108" s="771" t="s">
        <v>703</v>
      </c>
      <c r="I108" s="771" t="s">
        <v>704</v>
      </c>
      <c r="J108" s="771" t="s">
        <v>705</v>
      </c>
      <c r="K108" s="771" t="s">
        <v>706</v>
      </c>
      <c r="L108" s="771" t="s">
        <v>707</v>
      </c>
      <c r="M108" s="770" t="s">
        <v>708</v>
      </c>
      <c r="N108" s="772" t="s">
        <v>709</v>
      </c>
      <c r="O108" s="612"/>
    </row>
    <row r="109" spans="1:18" x14ac:dyDescent="0.25">
      <c r="A109" t="s">
        <v>710</v>
      </c>
      <c r="C109" s="899" t="s">
        <v>635</v>
      </c>
      <c r="D109" s="900">
        <v>10.43</v>
      </c>
      <c r="E109" s="901">
        <v>999999</v>
      </c>
      <c r="F109" s="902">
        <v>104.3</v>
      </c>
      <c r="G109">
        <v>0.25</v>
      </c>
      <c r="H109" s="903">
        <v>999999</v>
      </c>
      <c r="I109">
        <v>2</v>
      </c>
      <c r="J109" s="904">
        <v>999999</v>
      </c>
      <c r="K109" s="903">
        <v>999999</v>
      </c>
      <c r="L109">
        <v>2</v>
      </c>
      <c r="M109" s="905">
        <f>Q33</f>
        <v>289.60000000000002</v>
      </c>
      <c r="N109" s="906">
        <f>I24</f>
        <v>254</v>
      </c>
      <c r="O109" s="612"/>
    </row>
    <row r="110" spans="1:18" x14ac:dyDescent="0.25">
      <c r="C110" s="779" t="s">
        <v>636</v>
      </c>
      <c r="D110" s="905">
        <v>10.43</v>
      </c>
      <c r="E110" s="907">
        <v>999999</v>
      </c>
      <c r="F110" s="906">
        <v>52.15</v>
      </c>
      <c r="G110">
        <v>0.25</v>
      </c>
      <c r="H110" s="903">
        <v>999999</v>
      </c>
      <c r="I110">
        <v>2</v>
      </c>
      <c r="J110" s="904">
        <v>999999</v>
      </c>
      <c r="K110" s="903">
        <v>999999</v>
      </c>
      <c r="L110">
        <v>9</v>
      </c>
      <c r="M110" s="905">
        <f t="shared" ref="M110:M113" si="20">Q34</f>
        <v>317.83999999999997</v>
      </c>
      <c r="N110" s="906">
        <f>I25</f>
        <v>254</v>
      </c>
      <c r="O110" s="612"/>
    </row>
    <row r="111" spans="1:18" x14ac:dyDescent="0.25">
      <c r="C111" s="779" t="s">
        <v>637</v>
      </c>
      <c r="D111" s="905">
        <v>10.43</v>
      </c>
      <c r="E111" s="908">
        <v>15.65</v>
      </c>
      <c r="F111" s="906">
        <v>41.72</v>
      </c>
      <c r="G111">
        <v>0.25</v>
      </c>
      <c r="H111">
        <v>1</v>
      </c>
      <c r="I111">
        <v>2</v>
      </c>
      <c r="J111" s="904">
        <v>999999</v>
      </c>
      <c r="K111" s="903">
        <v>999999</v>
      </c>
      <c r="L111">
        <v>15</v>
      </c>
      <c r="M111" s="905">
        <f t="shared" si="20"/>
        <v>335.31999999999994</v>
      </c>
      <c r="N111" s="906">
        <f>I26</f>
        <v>245</v>
      </c>
      <c r="O111" s="612"/>
    </row>
    <row r="112" spans="1:18" x14ac:dyDescent="0.25">
      <c r="C112" s="779" t="s">
        <v>638</v>
      </c>
      <c r="D112" s="905">
        <v>10.43</v>
      </c>
      <c r="E112" s="908">
        <v>15.65</v>
      </c>
      <c r="F112" s="906">
        <v>20.86</v>
      </c>
      <c r="G112">
        <v>0.42</v>
      </c>
      <c r="H112">
        <v>1.5</v>
      </c>
      <c r="I112">
        <v>1</v>
      </c>
      <c r="J112" s="719">
        <v>9.39</v>
      </c>
      <c r="K112">
        <v>0.75</v>
      </c>
      <c r="L112">
        <v>28</v>
      </c>
      <c r="M112" s="905">
        <f>Q36</f>
        <v>330.50782195340497</v>
      </c>
      <c r="N112" s="906">
        <f>I27</f>
        <v>245</v>
      </c>
      <c r="O112" s="612"/>
    </row>
    <row r="113" spans="2:27" ht="15.75" thickBot="1" x14ac:dyDescent="0.3">
      <c r="C113" s="783" t="s">
        <v>639</v>
      </c>
      <c r="D113" s="909">
        <v>10.43</v>
      </c>
      <c r="E113" s="910">
        <v>15.65</v>
      </c>
      <c r="F113" s="911">
        <v>20.86</v>
      </c>
      <c r="G113" s="912">
        <v>0.57999999999999996</v>
      </c>
      <c r="H113" s="912">
        <v>2</v>
      </c>
      <c r="I113" s="912">
        <v>1</v>
      </c>
      <c r="J113" s="910">
        <v>9.39</v>
      </c>
      <c r="K113" s="912">
        <v>0.75</v>
      </c>
      <c r="L113" s="912">
        <v>47</v>
      </c>
      <c r="M113" s="909">
        <f t="shared" si="20"/>
        <v>344.93011556101555</v>
      </c>
      <c r="N113" s="911">
        <f>I28</f>
        <v>254</v>
      </c>
      <c r="O113" s="612"/>
    </row>
    <row r="114" spans="2:27" ht="15.75" thickBot="1" x14ac:dyDescent="0.3">
      <c r="C114" s="913"/>
    </row>
    <row r="115" spans="2:27" x14ac:dyDescent="0.25">
      <c r="C115" s="914"/>
      <c r="D115" s="915"/>
      <c r="E115" s="916"/>
      <c r="F115" s="917"/>
      <c r="G115" s="915" t="s">
        <v>711</v>
      </c>
      <c r="H115" s="916"/>
      <c r="I115" s="916"/>
      <c r="J115" s="916"/>
      <c r="K115" s="917"/>
      <c r="L115" s="915" t="s">
        <v>712</v>
      </c>
      <c r="M115" s="916"/>
      <c r="N115" s="916"/>
      <c r="O115" s="916"/>
      <c r="P115" s="917"/>
      <c r="Q115" s="915" t="s">
        <v>713</v>
      </c>
      <c r="R115" s="916"/>
      <c r="S115" s="916"/>
      <c r="T115" s="916"/>
      <c r="U115" s="917"/>
      <c r="V115" s="915" t="s">
        <v>714</v>
      </c>
      <c r="W115" s="916"/>
      <c r="X115" s="916"/>
      <c r="Y115" s="916"/>
      <c r="Z115" s="740"/>
    </row>
    <row r="116" spans="2:27" ht="15.75" thickBot="1" x14ac:dyDescent="0.3">
      <c r="C116" s="918"/>
      <c r="D116" s="919" t="s">
        <v>687</v>
      </c>
      <c r="E116" s="646" t="s">
        <v>715</v>
      </c>
      <c r="F116" s="920" t="s">
        <v>716</v>
      </c>
      <c r="G116" s="921" t="s">
        <v>717</v>
      </c>
      <c r="H116" s="922" t="s">
        <v>718</v>
      </c>
      <c r="I116" s="922" t="s">
        <v>719</v>
      </c>
      <c r="J116" s="922" t="s">
        <v>720</v>
      </c>
      <c r="K116" s="923" t="s">
        <v>721</v>
      </c>
      <c r="L116" s="921" t="s">
        <v>717</v>
      </c>
      <c r="M116" s="922" t="s">
        <v>718</v>
      </c>
      <c r="N116" s="922" t="s">
        <v>719</v>
      </c>
      <c r="O116" s="922" t="s">
        <v>720</v>
      </c>
      <c r="P116" s="923" t="s">
        <v>721</v>
      </c>
      <c r="Q116" s="921" t="s">
        <v>717</v>
      </c>
      <c r="R116" s="922" t="s">
        <v>718</v>
      </c>
      <c r="S116" s="922" t="s">
        <v>719</v>
      </c>
      <c r="T116" s="922" t="s">
        <v>720</v>
      </c>
      <c r="U116" s="923" t="s">
        <v>721</v>
      </c>
      <c r="V116" s="921" t="s">
        <v>717</v>
      </c>
      <c r="W116" s="922" t="s">
        <v>718</v>
      </c>
      <c r="X116" s="922" t="s">
        <v>719</v>
      </c>
      <c r="Y116" s="922" t="s">
        <v>720</v>
      </c>
      <c r="Z116" s="923" t="s">
        <v>721</v>
      </c>
      <c r="AA116" s="646" t="s">
        <v>722</v>
      </c>
    </row>
    <row r="117" spans="2:27" x14ac:dyDescent="0.25">
      <c r="C117" s="924" t="s">
        <v>689</v>
      </c>
      <c r="D117" s="925">
        <f>O84</f>
        <v>25.400000000000002</v>
      </c>
      <c r="E117" s="926">
        <f>Q84</f>
        <v>52.721669666066788</v>
      </c>
      <c r="F117" s="927">
        <f>E117-D117+N109*H117</f>
        <v>281.32166966606678</v>
      </c>
      <c r="G117" s="790">
        <v>0.53</v>
      </c>
      <c r="H117" s="790">
        <v>1</v>
      </c>
      <c r="I117" s="720">
        <f>D109*L109*G117</f>
        <v>11.0558</v>
      </c>
      <c r="J117" s="720">
        <f>G109*F117</f>
        <v>70.330417416516696</v>
      </c>
      <c r="K117" s="928">
        <f>I117+J117</f>
        <v>81.3862174165167</v>
      </c>
      <c r="L117" s="929"/>
      <c r="M117" s="930"/>
      <c r="N117" s="931"/>
      <c r="O117" s="931"/>
      <c r="P117" s="932"/>
      <c r="Q117" s="933">
        <v>0.53</v>
      </c>
      <c r="R117" s="790">
        <v>1</v>
      </c>
      <c r="S117" s="720">
        <f>F109*L109*Q117</f>
        <v>110.55800000000001</v>
      </c>
      <c r="T117" s="720">
        <f>I109*F117*R117</f>
        <v>562.64333933213356</v>
      </c>
      <c r="U117" s="928">
        <f>S117+T117</f>
        <v>673.20133933213356</v>
      </c>
      <c r="V117" s="929"/>
      <c r="W117" s="930"/>
      <c r="X117" s="931">
        <v>999999</v>
      </c>
      <c r="Y117" s="931">
        <v>999999</v>
      </c>
      <c r="Z117" s="932"/>
      <c r="AA117" s="868">
        <f>E117-D117</f>
        <v>27.321669666066786</v>
      </c>
    </row>
    <row r="118" spans="2:27" x14ac:dyDescent="0.25">
      <c r="C118" s="924" t="s">
        <v>690</v>
      </c>
      <c r="D118" s="934">
        <f t="shared" ref="D118:D121" si="21">O85</f>
        <v>25.400000000000002</v>
      </c>
      <c r="E118" s="720">
        <f t="shared" ref="E118:E121" si="22">Q85</f>
        <v>72.166096980976022</v>
      </c>
      <c r="F118" s="928">
        <f t="shared" ref="F118:F121" si="23">E118-D118+N110*H118</f>
        <v>300.76609698097604</v>
      </c>
      <c r="G118" s="790">
        <v>0.73</v>
      </c>
      <c r="H118" s="790">
        <v>1</v>
      </c>
      <c r="I118" s="720">
        <f>D110*L110*G118</f>
        <v>68.525099999999995</v>
      </c>
      <c r="J118" s="720">
        <f>G110*F118*H118</f>
        <v>75.191524245244011</v>
      </c>
      <c r="K118" s="928">
        <f>I118+J118</f>
        <v>143.71662424524402</v>
      </c>
      <c r="L118" s="929"/>
      <c r="M118" s="930"/>
      <c r="N118" s="931"/>
      <c r="O118" s="931"/>
      <c r="P118" s="932"/>
      <c r="Q118" s="933">
        <v>0.73</v>
      </c>
      <c r="R118" s="790">
        <v>1</v>
      </c>
      <c r="S118" s="720">
        <f>F110*L110*Q118</f>
        <v>342.62549999999999</v>
      </c>
      <c r="T118" s="720">
        <f>I110*F118*R118</f>
        <v>601.53219396195209</v>
      </c>
      <c r="U118" s="928">
        <f>S118+T118</f>
        <v>944.15769396195208</v>
      </c>
      <c r="V118" s="929"/>
      <c r="W118" s="930"/>
      <c r="X118" s="931">
        <v>999999</v>
      </c>
      <c r="Y118" s="931">
        <v>999999</v>
      </c>
      <c r="Z118" s="932"/>
      <c r="AA118" s="868">
        <f t="shared" ref="AA118:AA121" si="24">E118-D118</f>
        <v>46.766096980976016</v>
      </c>
    </row>
    <row r="119" spans="2:27" x14ac:dyDescent="0.25">
      <c r="C119" s="924" t="s">
        <v>691</v>
      </c>
      <c r="D119" s="934">
        <f t="shared" si="21"/>
        <v>24.5</v>
      </c>
      <c r="E119" s="720">
        <f t="shared" si="22"/>
        <v>92.212165258762994</v>
      </c>
      <c r="F119" s="928">
        <f t="shared" si="23"/>
        <v>312.71216525876298</v>
      </c>
      <c r="G119" s="790">
        <v>0.88</v>
      </c>
      <c r="H119" s="790">
        <v>1</v>
      </c>
      <c r="I119" s="720">
        <f>D111*L111*G119</f>
        <v>137.67599999999999</v>
      </c>
      <c r="J119" s="720">
        <f>G111*F119*H119</f>
        <v>78.178041314690745</v>
      </c>
      <c r="K119" s="928">
        <f>I119+J119</f>
        <v>215.85404131469073</v>
      </c>
      <c r="L119" s="933">
        <v>0.88</v>
      </c>
      <c r="M119" s="790">
        <v>1</v>
      </c>
      <c r="N119" s="720">
        <f>E111*L111*L119</f>
        <v>206.58</v>
      </c>
      <c r="O119" s="720">
        <f>H111*F119*M119</f>
        <v>312.71216525876298</v>
      </c>
      <c r="P119" s="928">
        <f>N119+O119</f>
        <v>519.29216525876302</v>
      </c>
      <c r="Q119" s="933">
        <v>0.88</v>
      </c>
      <c r="R119" s="790">
        <v>1</v>
      </c>
      <c r="S119" s="720">
        <f>F111*L111*Q119</f>
        <v>550.70399999999995</v>
      </c>
      <c r="T119" s="720">
        <f>I111*F119*R119</f>
        <v>625.42433051752596</v>
      </c>
      <c r="U119" s="928">
        <f>S119+T119</f>
        <v>1176.1283305175259</v>
      </c>
      <c r="V119" s="929"/>
      <c r="W119" s="930"/>
      <c r="X119" s="931">
        <v>999999</v>
      </c>
      <c r="Y119" s="931">
        <v>999999</v>
      </c>
      <c r="Z119" s="932"/>
      <c r="AA119" s="868">
        <f t="shared" si="24"/>
        <v>67.712165258762994</v>
      </c>
    </row>
    <row r="120" spans="2:27" x14ac:dyDescent="0.25">
      <c r="C120" s="924" t="s">
        <v>692</v>
      </c>
      <c r="D120" s="934">
        <f t="shared" si="21"/>
        <v>24.5</v>
      </c>
      <c r="E120" s="720">
        <f t="shared" si="22"/>
        <v>89.417650191158899</v>
      </c>
      <c r="F120" s="928">
        <f t="shared" si="23"/>
        <v>309.91765019115888</v>
      </c>
      <c r="G120" s="790">
        <v>0.87</v>
      </c>
      <c r="H120" s="790">
        <v>1</v>
      </c>
      <c r="I120" s="720">
        <f>D112*L112*G120</f>
        <v>254.07479999999995</v>
      </c>
      <c r="J120" s="720">
        <f>G112*F120*H120</f>
        <v>130.16541308028673</v>
      </c>
      <c r="K120" s="928">
        <f>I120+J120</f>
        <v>384.24021308028671</v>
      </c>
      <c r="L120" s="933">
        <v>0.87</v>
      </c>
      <c r="M120" s="790">
        <v>1</v>
      </c>
      <c r="N120" s="720">
        <f>E112*L112*L120</f>
        <v>381.23399999999998</v>
      </c>
      <c r="O120" s="720">
        <f>H112*F120*M120</f>
        <v>464.87647528673835</v>
      </c>
      <c r="P120" s="928">
        <f>N120+O120</f>
        <v>846.11047528673839</v>
      </c>
      <c r="Q120" s="933">
        <v>0.87</v>
      </c>
      <c r="R120" s="790">
        <v>1</v>
      </c>
      <c r="S120" s="720">
        <f>F112*L112*Q120</f>
        <v>508.14959999999991</v>
      </c>
      <c r="T120" s="720">
        <f>I112*F120*R120</f>
        <v>309.91765019115888</v>
      </c>
      <c r="U120" s="928">
        <f>S120+T120</f>
        <v>818.06725019115879</v>
      </c>
      <c r="V120" s="933">
        <v>1</v>
      </c>
      <c r="W120" s="790">
        <v>1</v>
      </c>
      <c r="X120" s="720">
        <f>J112*L112</f>
        <v>262.92</v>
      </c>
      <c r="Y120" s="720">
        <f>K112*F120*W120</f>
        <v>232.43823764336918</v>
      </c>
      <c r="Z120" s="906">
        <f>X120+Y120</f>
        <v>495.35823764336919</v>
      </c>
      <c r="AA120" s="868">
        <f t="shared" si="24"/>
        <v>64.917650191158899</v>
      </c>
    </row>
    <row r="121" spans="2:27" ht="15.75" thickBot="1" x14ac:dyDescent="0.3">
      <c r="C121" s="935" t="s">
        <v>693</v>
      </c>
      <c r="D121" s="936">
        <f t="shared" si="21"/>
        <v>25.400000000000002</v>
      </c>
      <c r="E121" s="937">
        <f t="shared" si="22"/>
        <v>94.725357590688148</v>
      </c>
      <c r="F121" s="938">
        <f t="shared" si="23"/>
        <v>323.32535759068816</v>
      </c>
      <c r="G121" s="939">
        <v>0.81</v>
      </c>
      <c r="H121" s="939">
        <v>1</v>
      </c>
      <c r="I121" s="937">
        <f>D113*L113*G121</f>
        <v>397.07010000000002</v>
      </c>
      <c r="J121" s="937">
        <f>G113*F121*H121</f>
        <v>187.52870740259911</v>
      </c>
      <c r="K121" s="938">
        <f>I121+J121</f>
        <v>584.59880740259916</v>
      </c>
      <c r="L121" s="940">
        <v>0.81</v>
      </c>
      <c r="M121" s="939">
        <v>1</v>
      </c>
      <c r="N121" s="937">
        <f>E113*L113*L121</f>
        <v>595.79550000000006</v>
      </c>
      <c r="O121" s="937">
        <f>H113*F121*M121</f>
        <v>646.65071518137631</v>
      </c>
      <c r="P121" s="938">
        <f>N121+O121</f>
        <v>1242.4462151813764</v>
      </c>
      <c r="Q121" s="940">
        <v>0.81</v>
      </c>
      <c r="R121" s="939">
        <v>1</v>
      </c>
      <c r="S121" s="937">
        <f>F113*L113*Q121</f>
        <v>794.14020000000005</v>
      </c>
      <c r="T121" s="937">
        <f>I113*F121*R121</f>
        <v>323.32535759068816</v>
      </c>
      <c r="U121" s="938">
        <f>S121+T121</f>
        <v>1117.4655575906881</v>
      </c>
      <c r="V121" s="940">
        <v>1</v>
      </c>
      <c r="W121" s="939">
        <v>1</v>
      </c>
      <c r="X121" s="937">
        <f>J113*L113</f>
        <v>441.33000000000004</v>
      </c>
      <c r="Y121" s="937">
        <f>K113*F121*W121</f>
        <v>242.49401819301613</v>
      </c>
      <c r="Z121" s="911">
        <f>X121+Y121</f>
        <v>683.82401819301617</v>
      </c>
      <c r="AA121" s="868">
        <f t="shared" si="24"/>
        <v>69.325357590688142</v>
      </c>
    </row>
    <row r="122" spans="2:27" ht="15.75" thickBot="1" x14ac:dyDescent="0.3">
      <c r="B122" s="941"/>
      <c r="C122" s="942"/>
      <c r="D122" s="943"/>
      <c r="E122" s="943"/>
      <c r="F122" s="943"/>
      <c r="G122" s="944"/>
      <c r="H122" s="944" t="s">
        <v>723</v>
      </c>
      <c r="I122" s="943"/>
      <c r="J122" s="943"/>
      <c r="K122" s="943"/>
      <c r="L122" s="944" t="s">
        <v>724</v>
      </c>
      <c r="M122" s="944"/>
      <c r="N122" s="943"/>
      <c r="O122" s="943"/>
      <c r="P122" s="943"/>
      <c r="Q122" s="790"/>
      <c r="R122" s="790"/>
      <c r="S122" s="720"/>
      <c r="T122" s="720"/>
      <c r="U122" s="720"/>
      <c r="V122" s="790"/>
      <c r="W122" s="790"/>
      <c r="X122" s="720"/>
      <c r="Y122" s="720"/>
      <c r="Z122" s="908"/>
      <c r="AA122" s="868"/>
    </row>
    <row r="123" spans="2:27" ht="15.75" thickBot="1" x14ac:dyDescent="0.3">
      <c r="B123" s="941"/>
      <c r="C123" s="945"/>
      <c r="D123" s="946" t="s">
        <v>699</v>
      </c>
      <c r="E123" s="947" t="s">
        <v>700</v>
      </c>
      <c r="F123" s="947" t="s">
        <v>701</v>
      </c>
      <c r="G123" s="947" t="s">
        <v>705</v>
      </c>
      <c r="H123" s="948" t="s">
        <v>711</v>
      </c>
      <c r="I123" s="949" t="s">
        <v>712</v>
      </c>
      <c r="J123" s="949" t="s">
        <v>713</v>
      </c>
      <c r="K123" s="950" t="s">
        <v>725</v>
      </c>
      <c r="L123" s="948" t="s">
        <v>711</v>
      </c>
      <c r="M123" s="949" t="s">
        <v>712</v>
      </c>
      <c r="N123" s="949" t="s">
        <v>713</v>
      </c>
      <c r="O123" s="950" t="s">
        <v>725</v>
      </c>
      <c r="P123" s="943"/>
      <c r="Q123" s="790"/>
      <c r="R123" s="790"/>
      <c r="S123" s="720"/>
      <c r="T123" s="720"/>
      <c r="U123" s="720"/>
      <c r="V123" s="790"/>
      <c r="W123" s="790"/>
      <c r="X123" s="720"/>
      <c r="Y123" s="720"/>
      <c r="Z123" s="908"/>
      <c r="AA123" s="868"/>
    </row>
    <row r="124" spans="2:27" x14ac:dyDescent="0.25">
      <c r="B124" s="941"/>
      <c r="C124" s="951" t="s">
        <v>689</v>
      </c>
      <c r="D124" s="952">
        <f>D109+(H124/(L109*G117))</f>
        <v>64.345094339622648</v>
      </c>
      <c r="E124" s="953">
        <v>999999</v>
      </c>
      <c r="F124" s="953">
        <f>F109+J124/(L109*Q117)</f>
        <v>535.62075471698108</v>
      </c>
      <c r="G124" s="954"/>
      <c r="H124" s="952">
        <f>G109*(N109-D117)</f>
        <v>57.15</v>
      </c>
      <c r="I124" s="953"/>
      <c r="J124" s="953">
        <f>I109*(N109-D117)</f>
        <v>457.2</v>
      </c>
      <c r="K124" s="955"/>
      <c r="L124" s="952">
        <f>D124*G117*L109+E117*G109</f>
        <v>81.3862174165167</v>
      </c>
      <c r="M124" s="953"/>
      <c r="N124" s="953"/>
      <c r="O124" s="955"/>
      <c r="P124" s="943"/>
      <c r="Q124" s="790"/>
      <c r="R124" s="790"/>
      <c r="S124" s="720"/>
      <c r="T124" s="720"/>
      <c r="U124" s="720"/>
      <c r="V124" s="790"/>
      <c r="W124" s="790"/>
      <c r="X124" s="720"/>
      <c r="Y124" s="720"/>
      <c r="Z124" s="908"/>
      <c r="AA124" s="868"/>
    </row>
    <row r="125" spans="2:27" x14ac:dyDescent="0.25">
      <c r="B125" s="941"/>
      <c r="C125" s="951" t="s">
        <v>690</v>
      </c>
      <c r="D125" s="956">
        <f t="shared" ref="D125:D128" si="25">D110+(H125/(L110*G118))</f>
        <v>19.128630136986303</v>
      </c>
      <c r="E125" s="943">
        <v>999999</v>
      </c>
      <c r="F125" s="943">
        <f t="shared" ref="F125:F128" si="26">F110+J125/(L110*Q118)</f>
        <v>121.7390410958904</v>
      </c>
      <c r="G125" s="957"/>
      <c r="H125" s="956">
        <f t="shared" ref="H125:H128" si="27">G110*(N110-D118)</f>
        <v>57.15</v>
      </c>
      <c r="I125" s="943"/>
      <c r="J125" s="943">
        <f t="shared" ref="J125:J128" si="28">I110*(N110-D118)</f>
        <v>457.2</v>
      </c>
      <c r="K125" s="958"/>
      <c r="L125" s="956">
        <f t="shared" ref="L125:L128" si="29">D125*G118*L110+E118*G110</f>
        <v>143.71662424524402</v>
      </c>
      <c r="M125" s="943"/>
      <c r="N125" s="943"/>
      <c r="O125" s="958"/>
      <c r="P125" s="943"/>
      <c r="Q125" s="790"/>
      <c r="R125" s="790"/>
      <c r="S125" s="720"/>
      <c r="T125" s="720"/>
      <c r="U125" s="720"/>
      <c r="V125" s="790"/>
      <c r="W125" s="790"/>
      <c r="X125" s="720"/>
      <c r="Y125" s="720"/>
      <c r="Z125" s="908"/>
      <c r="AA125" s="868"/>
    </row>
    <row r="126" spans="2:27" x14ac:dyDescent="0.25">
      <c r="B126" s="941"/>
      <c r="C126" s="951" t="s">
        <v>691</v>
      </c>
      <c r="D126" s="956">
        <f t="shared" si="25"/>
        <v>14.606136363636363</v>
      </c>
      <c r="E126" s="943">
        <f>E111+I126/(L111*L119)</f>
        <v>32.354545454545459</v>
      </c>
      <c r="F126" s="943">
        <f t="shared" si="26"/>
        <v>75.129090909090905</v>
      </c>
      <c r="G126" s="957"/>
      <c r="H126" s="956">
        <f t="shared" si="27"/>
        <v>55.125</v>
      </c>
      <c r="I126" s="943">
        <f>H111*(N111-D119)</f>
        <v>220.5</v>
      </c>
      <c r="J126" s="943">
        <f t="shared" si="28"/>
        <v>441</v>
      </c>
      <c r="K126" s="958"/>
      <c r="L126" s="956">
        <f t="shared" si="29"/>
        <v>215.85404131469073</v>
      </c>
      <c r="M126" s="943">
        <f>E126*$G119*$L111+$E119*H111</f>
        <v>519.29216525876313</v>
      </c>
      <c r="N126" s="943">
        <f t="shared" ref="N126:N128" si="30">F126*$G119*$L111+$E119*I111</f>
        <v>1176.1283305175259</v>
      </c>
      <c r="O126" s="958"/>
      <c r="P126" s="943"/>
      <c r="Q126" s="790"/>
      <c r="R126" s="790"/>
      <c r="S126" s="720"/>
      <c r="T126" s="720"/>
      <c r="U126" s="720"/>
      <c r="V126" s="790"/>
      <c r="W126" s="790"/>
      <c r="X126" s="720"/>
      <c r="Y126" s="720"/>
      <c r="Z126" s="908"/>
      <c r="AA126" s="868"/>
    </row>
    <row r="127" spans="2:27" x14ac:dyDescent="0.25">
      <c r="B127" s="941"/>
      <c r="C127" s="951" t="s">
        <v>692</v>
      </c>
      <c r="D127" s="956">
        <f t="shared" si="25"/>
        <v>14.231724137931035</v>
      </c>
      <c r="E127" s="943">
        <f t="shared" ref="E127:E128" si="31">E112+I127/(L112*L120)</f>
        <v>29.227586206896554</v>
      </c>
      <c r="F127" s="943">
        <f>F112+J127/(L112*Q120)</f>
        <v>29.911724137931031</v>
      </c>
      <c r="G127" s="958">
        <f>J112+K127/L112</f>
        <v>15.296250000000001</v>
      </c>
      <c r="H127" s="956">
        <f t="shared" si="27"/>
        <v>92.61</v>
      </c>
      <c r="I127" s="943">
        <f t="shared" ref="I127:I128" si="32">H112*(N112-D120)</f>
        <v>330.75</v>
      </c>
      <c r="J127" s="943">
        <f t="shared" si="28"/>
        <v>220.5</v>
      </c>
      <c r="K127" s="958">
        <f>(N112-D120)*K112</f>
        <v>165.375</v>
      </c>
      <c r="L127" s="956">
        <f t="shared" si="29"/>
        <v>384.24021308028671</v>
      </c>
      <c r="M127" s="943">
        <f t="shared" ref="M127:M128" si="33">E127*$G120*$L112+$E120*H112</f>
        <v>846.11047528673839</v>
      </c>
      <c r="N127" s="943">
        <f t="shared" si="30"/>
        <v>818.06725019115879</v>
      </c>
      <c r="O127" s="958">
        <f>G127*$V120*$L112+$E120*K112</f>
        <v>495.35823764336919</v>
      </c>
      <c r="P127" s="943"/>
      <c r="Q127" s="790"/>
      <c r="R127" s="790"/>
      <c r="S127" s="720"/>
      <c r="T127" s="720"/>
      <c r="U127" s="720"/>
      <c r="V127" s="790"/>
      <c r="W127" s="790"/>
      <c r="X127" s="720"/>
      <c r="Y127" s="720"/>
      <c r="Z127" s="908"/>
      <c r="AA127" s="868"/>
    </row>
    <row r="128" spans="2:27" ht="15.75" thickBot="1" x14ac:dyDescent="0.3">
      <c r="B128" s="941"/>
      <c r="C128" s="959" t="s">
        <v>693</v>
      </c>
      <c r="D128" s="960">
        <f t="shared" si="25"/>
        <v>13.91274231678487</v>
      </c>
      <c r="E128" s="961">
        <f t="shared" si="31"/>
        <v>27.659456264775415</v>
      </c>
      <c r="F128" s="961">
        <f t="shared" si="26"/>
        <v>26.864728132387707</v>
      </c>
      <c r="G128" s="962">
        <f>J113+K128/L113</f>
        <v>13.037872340425533</v>
      </c>
      <c r="H128" s="960">
        <f t="shared" si="27"/>
        <v>132.58799999999999</v>
      </c>
      <c r="I128" s="961">
        <f t="shared" si="32"/>
        <v>457.2</v>
      </c>
      <c r="J128" s="961">
        <f t="shared" si="28"/>
        <v>228.6</v>
      </c>
      <c r="K128" s="962">
        <f>(N113-D121)*K113</f>
        <v>171.45</v>
      </c>
      <c r="L128" s="960">
        <f t="shared" si="29"/>
        <v>584.59880740259916</v>
      </c>
      <c r="M128" s="961">
        <f t="shared" si="33"/>
        <v>1242.4462151813764</v>
      </c>
      <c r="N128" s="961">
        <f t="shared" si="30"/>
        <v>1117.4655575906884</v>
      </c>
      <c r="O128" s="962">
        <f>G128*$V121*$L113+$E121*K113</f>
        <v>683.82401819301617</v>
      </c>
      <c r="P128" s="943"/>
      <c r="Q128" s="790"/>
      <c r="R128" s="790"/>
      <c r="S128" s="720"/>
      <c r="T128" s="720"/>
      <c r="U128" s="720"/>
      <c r="V128" s="790"/>
      <c r="W128" s="790"/>
      <c r="X128" s="720"/>
      <c r="Y128" s="720"/>
      <c r="Z128" s="908"/>
      <c r="AA128" s="868"/>
    </row>
    <row r="129" spans="2:26" ht="15.75" thickBot="1" x14ac:dyDescent="0.3">
      <c r="B129" s="941"/>
      <c r="C129" s="963"/>
      <c r="D129" s="941"/>
      <c r="E129" s="941"/>
      <c r="F129" s="941"/>
      <c r="G129" s="941"/>
      <c r="H129" s="941"/>
      <c r="I129" s="941"/>
      <c r="J129" s="941"/>
      <c r="K129" s="941"/>
      <c r="L129" s="941"/>
      <c r="M129" s="941"/>
      <c r="N129" s="941"/>
      <c r="O129" s="941"/>
      <c r="P129" s="941"/>
    </row>
    <row r="130" spans="2:26" ht="15.75" thickBot="1" x14ac:dyDescent="0.3">
      <c r="C130" s="770"/>
      <c r="D130" s="771" t="s">
        <v>726</v>
      </c>
      <c r="E130" s="771" t="s">
        <v>727</v>
      </c>
      <c r="F130" s="771" t="s">
        <v>728</v>
      </c>
      <c r="G130" s="771" t="s">
        <v>729</v>
      </c>
      <c r="H130" s="772" t="s">
        <v>730</v>
      </c>
      <c r="I130" s="914" t="s">
        <v>731</v>
      </c>
      <c r="J130" s="740" t="s">
        <v>732</v>
      </c>
    </row>
    <row r="131" spans="2:26" x14ac:dyDescent="0.25">
      <c r="C131" s="832" t="s">
        <v>689</v>
      </c>
      <c r="D131" s="964">
        <v>0.4</v>
      </c>
      <c r="E131" s="965">
        <v>0</v>
      </c>
      <c r="F131" s="965">
        <v>0.6</v>
      </c>
      <c r="G131" s="965">
        <v>0</v>
      </c>
      <c r="H131" s="966">
        <f>D131*K117+F131*U117+E131*P117+G131*Z117</f>
        <v>436.47529056588684</v>
      </c>
      <c r="I131" s="967">
        <f>D131*G109+E131*H109+F131*I109+G131*K109</f>
        <v>1.3</v>
      </c>
      <c r="J131" s="968">
        <f>2*H131</f>
        <v>872.95058113177367</v>
      </c>
    </row>
    <row r="132" spans="2:26" x14ac:dyDescent="0.25">
      <c r="C132" s="840" t="s">
        <v>690</v>
      </c>
      <c r="D132" s="969">
        <v>0.78</v>
      </c>
      <c r="E132" s="634">
        <v>0</v>
      </c>
      <c r="F132" s="634">
        <v>0.22</v>
      </c>
      <c r="G132" s="634">
        <v>0</v>
      </c>
      <c r="H132" s="970">
        <f>D132*K118+F132*U118+E132*P118+G132*Z118</f>
        <v>319.8136595829198</v>
      </c>
      <c r="I132" s="967">
        <f>D132*G110+E132*H110+F132*I110+G132*K110</f>
        <v>0.63500000000000001</v>
      </c>
      <c r="J132" s="968">
        <f t="shared" ref="J132:J135" si="34">2*H132</f>
        <v>639.62731916583959</v>
      </c>
    </row>
    <row r="133" spans="2:26" x14ac:dyDescent="0.25">
      <c r="C133" s="840" t="s">
        <v>691</v>
      </c>
      <c r="D133" s="969">
        <v>0.56999999999999995</v>
      </c>
      <c r="E133" s="634">
        <v>0.31</v>
      </c>
      <c r="F133" s="634">
        <v>0.12</v>
      </c>
      <c r="G133" s="634">
        <v>0</v>
      </c>
      <c r="H133" s="970">
        <f>D133*K119+F133*U119+E133*P119+G133*Z119</f>
        <v>425.15277444169334</v>
      </c>
      <c r="I133" s="967">
        <f>D133*G111+E133*H111+F133*I111+G133*K111</f>
        <v>0.6925</v>
      </c>
      <c r="J133" s="968">
        <f t="shared" si="34"/>
        <v>850.30554888338668</v>
      </c>
    </row>
    <row r="134" spans="2:26" x14ac:dyDescent="0.25">
      <c r="C134" s="840" t="s">
        <v>692</v>
      </c>
      <c r="D134" s="969">
        <v>0.52</v>
      </c>
      <c r="E134" s="634">
        <v>0.06</v>
      </c>
      <c r="F134" s="634">
        <v>0.42</v>
      </c>
      <c r="G134" s="634">
        <v>0</v>
      </c>
      <c r="H134" s="970">
        <f>D134*K120+F134*U120+E134*P120+G134*Z120</f>
        <v>594.15978439924004</v>
      </c>
      <c r="I134" s="967">
        <f>D134*G112+E134*H112+F134*I112+G134*K112</f>
        <v>0.72839999999999994</v>
      </c>
      <c r="J134" s="968">
        <f t="shared" si="34"/>
        <v>1188.3195687984801</v>
      </c>
    </row>
    <row r="135" spans="2:26" ht="15.75" thickBot="1" x14ac:dyDescent="0.3">
      <c r="C135" s="848" t="s">
        <v>693</v>
      </c>
      <c r="D135" s="971">
        <v>0.59</v>
      </c>
      <c r="E135" s="972">
        <v>0.1</v>
      </c>
      <c r="F135" s="972">
        <v>0.31</v>
      </c>
      <c r="G135" s="972">
        <v>0</v>
      </c>
      <c r="H135" s="973">
        <f>D135*K121+F135*U121+E135*P121+G135*Z121</f>
        <v>815.57224073878433</v>
      </c>
      <c r="I135" s="974">
        <f>D135*G113+E135*H113+F135*I113+G135*K113</f>
        <v>0.85220000000000007</v>
      </c>
      <c r="J135" s="975">
        <f t="shared" si="34"/>
        <v>1631.1444814775687</v>
      </c>
    </row>
    <row r="136" spans="2:26" ht="15.75" thickBot="1" x14ac:dyDescent="0.3"/>
    <row r="137" spans="2:26" x14ac:dyDescent="0.25">
      <c r="C137" s="914"/>
      <c r="D137" s="915"/>
      <c r="E137" s="916"/>
      <c r="F137" s="917"/>
      <c r="G137" s="915" t="s">
        <v>711</v>
      </c>
      <c r="H137" s="916"/>
      <c r="I137" s="916"/>
      <c r="J137" s="916"/>
      <c r="K137" s="917"/>
      <c r="L137" s="915" t="s">
        <v>712</v>
      </c>
      <c r="M137" s="916"/>
      <c r="N137" s="916"/>
      <c r="O137" s="916"/>
      <c r="P137" s="917"/>
      <c r="Q137" s="915" t="s">
        <v>713</v>
      </c>
      <c r="R137" s="916"/>
      <c r="S137" s="916"/>
      <c r="T137" s="916"/>
      <c r="U137" s="917"/>
      <c r="V137" s="915" t="s">
        <v>714</v>
      </c>
      <c r="W137" s="916"/>
      <c r="X137" s="916"/>
      <c r="Y137" s="916"/>
      <c r="Z137" s="740"/>
    </row>
    <row r="138" spans="2:26" ht="15.75" thickBot="1" x14ac:dyDescent="0.3">
      <c r="C138" s="918"/>
      <c r="D138" s="921" t="s">
        <v>687</v>
      </c>
      <c r="E138" s="922" t="s">
        <v>715</v>
      </c>
      <c r="F138" s="923" t="s">
        <v>716</v>
      </c>
      <c r="G138" s="921" t="s">
        <v>717</v>
      </c>
      <c r="H138" s="922" t="s">
        <v>718</v>
      </c>
      <c r="I138" s="922" t="s">
        <v>719</v>
      </c>
      <c r="J138" s="922" t="s">
        <v>720</v>
      </c>
      <c r="K138" s="923" t="s">
        <v>721</v>
      </c>
      <c r="L138" s="921" t="s">
        <v>717</v>
      </c>
      <c r="M138" s="922" t="s">
        <v>718</v>
      </c>
      <c r="N138" s="922" t="s">
        <v>719</v>
      </c>
      <c r="O138" s="922" t="s">
        <v>720</v>
      </c>
      <c r="P138" s="923" t="s">
        <v>721</v>
      </c>
      <c r="Q138" s="921" t="s">
        <v>717</v>
      </c>
      <c r="R138" s="922" t="s">
        <v>718</v>
      </c>
      <c r="S138" s="922" t="s">
        <v>719</v>
      </c>
      <c r="T138" s="922" t="s">
        <v>720</v>
      </c>
      <c r="U138" s="923" t="s">
        <v>721</v>
      </c>
      <c r="V138" s="921" t="s">
        <v>717</v>
      </c>
      <c r="W138" s="922" t="s">
        <v>718</v>
      </c>
      <c r="X138" s="922" t="s">
        <v>719</v>
      </c>
      <c r="Y138" s="922" t="s">
        <v>720</v>
      </c>
      <c r="Z138" s="923" t="s">
        <v>721</v>
      </c>
    </row>
    <row r="139" spans="2:26" x14ac:dyDescent="0.25">
      <c r="C139" s="899" t="s">
        <v>635</v>
      </c>
      <c r="D139" s="925">
        <v>0</v>
      </c>
      <c r="E139" s="926">
        <f>M109</f>
        <v>289.60000000000002</v>
      </c>
      <c r="F139" s="927">
        <f>M109</f>
        <v>289.60000000000002</v>
      </c>
      <c r="G139" s="976">
        <v>0.55000000000000004</v>
      </c>
      <c r="H139" s="977">
        <v>1</v>
      </c>
      <c r="I139" s="926">
        <f>D109*L109*G139</f>
        <v>11.473000000000001</v>
      </c>
      <c r="J139" s="926">
        <f>G109*F139*H139</f>
        <v>72.400000000000006</v>
      </c>
      <c r="K139" s="927">
        <f>I139+J139</f>
        <v>83.873000000000005</v>
      </c>
      <c r="L139" s="978"/>
      <c r="M139" s="979"/>
      <c r="N139" s="980"/>
      <c r="O139" s="980"/>
      <c r="P139" s="981"/>
      <c r="Q139" s="976">
        <v>0.5</v>
      </c>
      <c r="R139" s="977">
        <v>1</v>
      </c>
      <c r="S139" s="926">
        <f>F109*L109*Q139</f>
        <v>104.3</v>
      </c>
      <c r="T139" s="926">
        <f>I109*F139*R139</f>
        <v>579.20000000000005</v>
      </c>
      <c r="U139" s="927">
        <f>S139+T139</f>
        <v>683.5</v>
      </c>
      <c r="V139" s="978"/>
      <c r="W139" s="979"/>
      <c r="X139" s="980">
        <v>999999</v>
      </c>
      <c r="Y139" s="980">
        <v>999999</v>
      </c>
      <c r="Z139" s="981"/>
    </row>
    <row r="140" spans="2:26" x14ac:dyDescent="0.25">
      <c r="C140" s="779" t="s">
        <v>636</v>
      </c>
      <c r="D140" s="934">
        <v>0</v>
      </c>
      <c r="E140" s="720">
        <f>M110</f>
        <v>317.83999999999997</v>
      </c>
      <c r="F140" s="928">
        <f>M110</f>
        <v>317.83999999999997</v>
      </c>
      <c r="G140" s="933">
        <v>0.48</v>
      </c>
      <c r="H140" s="790">
        <v>1</v>
      </c>
      <c r="I140" s="720">
        <f>D110*L110*G140</f>
        <v>45.057600000000001</v>
      </c>
      <c r="J140" s="720">
        <f>G110*F140*H140</f>
        <v>79.459999999999994</v>
      </c>
      <c r="K140" s="928">
        <f>I140+J140</f>
        <v>124.51759999999999</v>
      </c>
      <c r="L140" s="929"/>
      <c r="M140" s="930"/>
      <c r="N140" s="931"/>
      <c r="O140" s="931"/>
      <c r="P140" s="932"/>
      <c r="Q140" s="933">
        <v>0.48</v>
      </c>
      <c r="R140" s="790">
        <v>1</v>
      </c>
      <c r="S140" s="720">
        <f>F110*L110*Q140</f>
        <v>225.28799999999998</v>
      </c>
      <c r="T140" s="720">
        <f>I110*F140*R140</f>
        <v>635.67999999999995</v>
      </c>
      <c r="U140" s="928">
        <f>S140+T140</f>
        <v>860.96799999999996</v>
      </c>
      <c r="V140" s="929"/>
      <c r="W140" s="930"/>
      <c r="X140" s="931">
        <v>999999</v>
      </c>
      <c r="Y140" s="931">
        <v>999999</v>
      </c>
      <c r="Z140" s="932"/>
    </row>
    <row r="141" spans="2:26" x14ac:dyDescent="0.25">
      <c r="C141" s="779" t="s">
        <v>637</v>
      </c>
      <c r="D141" s="934">
        <v>0</v>
      </c>
      <c r="E141" s="720">
        <f>M111</f>
        <v>335.31999999999994</v>
      </c>
      <c r="F141" s="928">
        <f>M111</f>
        <v>335.31999999999994</v>
      </c>
      <c r="G141" s="933">
        <v>0.5</v>
      </c>
      <c r="H141" s="790">
        <v>1</v>
      </c>
      <c r="I141" s="720">
        <f>D111*L111*G141</f>
        <v>78.224999999999994</v>
      </c>
      <c r="J141" s="720">
        <f>G111*F141*H141</f>
        <v>83.829999999999984</v>
      </c>
      <c r="K141" s="928">
        <f>I141+J141</f>
        <v>162.05499999999998</v>
      </c>
      <c r="L141" s="933">
        <v>0.5</v>
      </c>
      <c r="M141" s="790">
        <v>1</v>
      </c>
      <c r="N141" s="720">
        <f>E111*L111*L141</f>
        <v>117.375</v>
      </c>
      <c r="O141" s="720">
        <f>H111*F141*M141</f>
        <v>335.31999999999994</v>
      </c>
      <c r="P141" s="928">
        <f>N141+O141</f>
        <v>452.69499999999994</v>
      </c>
      <c r="Q141" s="933">
        <v>0.5</v>
      </c>
      <c r="R141" s="790">
        <v>1</v>
      </c>
      <c r="S141" s="720">
        <f>F111*L111*Q141</f>
        <v>312.89999999999998</v>
      </c>
      <c r="T141" s="720">
        <f>I111*F141*R141</f>
        <v>670.63999999999987</v>
      </c>
      <c r="U141" s="928">
        <f>S141+T141</f>
        <v>983.53999999999985</v>
      </c>
      <c r="V141" s="929"/>
      <c r="W141" s="930"/>
      <c r="X141" s="931">
        <v>999999</v>
      </c>
      <c r="Y141" s="931">
        <v>999999</v>
      </c>
      <c r="Z141" s="932"/>
    </row>
    <row r="142" spans="2:26" x14ac:dyDescent="0.25">
      <c r="C142" s="779" t="s">
        <v>638</v>
      </c>
      <c r="D142" s="934">
        <v>0</v>
      </c>
      <c r="E142" s="720">
        <f>M112</f>
        <v>330.50782195340497</v>
      </c>
      <c r="F142" s="928">
        <f>M112</f>
        <v>330.50782195340497</v>
      </c>
      <c r="G142" s="933">
        <v>0.5</v>
      </c>
      <c r="H142" s="790">
        <v>1</v>
      </c>
      <c r="I142" s="720">
        <f>D112*L112*G142</f>
        <v>146.01999999999998</v>
      </c>
      <c r="J142" s="720">
        <f>G112*F142*H142</f>
        <v>138.81328522043009</v>
      </c>
      <c r="K142" s="928">
        <f>I142+J142</f>
        <v>284.83328522043007</v>
      </c>
      <c r="L142" s="933">
        <v>0.5</v>
      </c>
      <c r="M142" s="790">
        <v>1</v>
      </c>
      <c r="N142" s="720">
        <f>E112*L112*L142</f>
        <v>219.1</v>
      </c>
      <c r="O142" s="720">
        <f>H112*F142*M142</f>
        <v>495.76173293010743</v>
      </c>
      <c r="P142" s="928">
        <f>N142+O142</f>
        <v>714.86173293010745</v>
      </c>
      <c r="Q142" s="933">
        <v>0.5</v>
      </c>
      <c r="R142" s="790">
        <v>1</v>
      </c>
      <c r="S142" s="720">
        <f>F112*L112*Q142</f>
        <v>292.03999999999996</v>
      </c>
      <c r="T142" s="720">
        <f>I112*F142*R142</f>
        <v>330.50782195340497</v>
      </c>
      <c r="U142" s="928">
        <f>S142+T142</f>
        <v>622.54782195340499</v>
      </c>
      <c r="V142" s="933">
        <v>1</v>
      </c>
      <c r="W142" s="790">
        <v>1</v>
      </c>
      <c r="X142" s="720">
        <f>J112*L112</f>
        <v>262.92</v>
      </c>
      <c r="Y142" s="720">
        <f>K112*F142*W142</f>
        <v>247.88086646505371</v>
      </c>
      <c r="Z142" s="906">
        <f>X142+Y142</f>
        <v>510.80086646505373</v>
      </c>
    </row>
    <row r="143" spans="2:26" ht="15.75" thickBot="1" x14ac:dyDescent="0.3">
      <c r="C143" s="783" t="s">
        <v>639</v>
      </c>
      <c r="D143" s="936">
        <v>0</v>
      </c>
      <c r="E143" s="937">
        <f>M113</f>
        <v>344.93011556101555</v>
      </c>
      <c r="F143" s="938">
        <f>M113</f>
        <v>344.93011556101555</v>
      </c>
      <c r="G143" s="940">
        <v>0.5</v>
      </c>
      <c r="H143" s="939">
        <v>1</v>
      </c>
      <c r="I143" s="937">
        <f>D113*L113*G143</f>
        <v>245.10499999999999</v>
      </c>
      <c r="J143" s="937">
        <f>G113*F143*H143</f>
        <v>200.05946702538901</v>
      </c>
      <c r="K143" s="938">
        <f>I143+J143</f>
        <v>445.164467025389</v>
      </c>
      <c r="L143" s="940">
        <v>0.5</v>
      </c>
      <c r="M143" s="939">
        <v>1</v>
      </c>
      <c r="N143" s="937">
        <f>E113*L113*L143</f>
        <v>367.77500000000003</v>
      </c>
      <c r="O143" s="937">
        <f>H113*F143*M143</f>
        <v>689.86023112203111</v>
      </c>
      <c r="P143" s="938">
        <f>N143+O143</f>
        <v>1057.6352311220312</v>
      </c>
      <c r="Q143" s="940">
        <v>0.5</v>
      </c>
      <c r="R143" s="939">
        <v>1</v>
      </c>
      <c r="S143" s="937">
        <f>F113*L113*Q143</f>
        <v>490.21</v>
      </c>
      <c r="T143" s="937">
        <f>I113*F143*R143</f>
        <v>344.93011556101555</v>
      </c>
      <c r="U143" s="938">
        <f>S143+T143</f>
        <v>835.14011556101559</v>
      </c>
      <c r="V143" s="940">
        <v>1</v>
      </c>
      <c r="W143" s="939">
        <v>1</v>
      </c>
      <c r="X143" s="937">
        <f>J113*L113</f>
        <v>441.33000000000004</v>
      </c>
      <c r="Y143" s="937">
        <f>K113*F143*W143</f>
        <v>258.69758667076167</v>
      </c>
      <c r="Z143" s="911">
        <f>X143+Y143</f>
        <v>700.02758667076171</v>
      </c>
    </row>
    <row r="144" spans="2:26" ht="15.75" thickBot="1" x14ac:dyDescent="0.3">
      <c r="C144" s="913"/>
    </row>
    <row r="145" spans="1:27" ht="15.75" thickBot="1" x14ac:dyDescent="0.3">
      <c r="C145" s="770"/>
      <c r="D145" s="771" t="s">
        <v>726</v>
      </c>
      <c r="E145" s="771" t="s">
        <v>727</v>
      </c>
      <c r="F145" s="771" t="s">
        <v>728</v>
      </c>
      <c r="G145" s="771" t="s">
        <v>729</v>
      </c>
      <c r="H145" s="772" t="s">
        <v>730</v>
      </c>
      <c r="I145" s="914" t="s">
        <v>731</v>
      </c>
      <c r="J145" s="740" t="s">
        <v>732</v>
      </c>
    </row>
    <row r="146" spans="1:27" x14ac:dyDescent="0.25">
      <c r="C146" s="899" t="s">
        <v>635</v>
      </c>
      <c r="D146" s="964">
        <v>0.4</v>
      </c>
      <c r="E146" s="965">
        <v>0</v>
      </c>
      <c r="F146" s="965">
        <v>0.6</v>
      </c>
      <c r="G146" s="965">
        <v>0</v>
      </c>
      <c r="H146" s="902">
        <f>D146*K139+F146*U139+E146*P139+G146*Z139</f>
        <v>443.64919999999995</v>
      </c>
      <c r="I146" s="737">
        <f>I131</f>
        <v>1.3</v>
      </c>
      <c r="J146" s="740">
        <f>2*H146</f>
        <v>887.2983999999999</v>
      </c>
    </row>
    <row r="147" spans="1:27" x14ac:dyDescent="0.25">
      <c r="C147" s="779" t="s">
        <v>636</v>
      </c>
      <c r="D147" s="969">
        <v>0.78</v>
      </c>
      <c r="E147" s="634">
        <v>0</v>
      </c>
      <c r="F147" s="634">
        <v>0.22</v>
      </c>
      <c r="G147" s="634">
        <v>0</v>
      </c>
      <c r="H147" s="906">
        <f>D147*K140+F147*U140+E147*P140+G147*Z140</f>
        <v>286.53668800000003</v>
      </c>
      <c r="I147" s="967">
        <f t="shared" ref="I147:I150" si="35">I132</f>
        <v>0.63500000000000001</v>
      </c>
      <c r="J147" s="968">
        <f t="shared" ref="J147:J150" si="36">2*H147</f>
        <v>573.07337600000005</v>
      </c>
    </row>
    <row r="148" spans="1:27" x14ac:dyDescent="0.25">
      <c r="C148" s="779" t="s">
        <v>637</v>
      </c>
      <c r="D148" s="969">
        <v>0.56999999999999995</v>
      </c>
      <c r="E148" s="634">
        <v>0.31</v>
      </c>
      <c r="F148" s="634">
        <v>0.12</v>
      </c>
      <c r="G148" s="634">
        <v>0</v>
      </c>
      <c r="H148" s="906">
        <f>D148*K141+F148*U141+E148*P141+G148*Z141</f>
        <v>350.73159999999996</v>
      </c>
      <c r="I148" s="967">
        <f t="shared" si="35"/>
        <v>0.6925</v>
      </c>
      <c r="J148" s="968">
        <f t="shared" si="36"/>
        <v>701.46319999999992</v>
      </c>
    </row>
    <row r="149" spans="1:27" x14ac:dyDescent="0.25">
      <c r="C149" s="779" t="s">
        <v>638</v>
      </c>
      <c r="D149" s="969">
        <v>0.52</v>
      </c>
      <c r="E149" s="634">
        <v>0.06</v>
      </c>
      <c r="F149" s="634">
        <v>0.42</v>
      </c>
      <c r="G149" s="634">
        <v>0</v>
      </c>
      <c r="H149" s="906">
        <f>D149*K142+F149*U142+E149*P142+G149*Z142</f>
        <v>452.47509751086011</v>
      </c>
      <c r="I149" s="967">
        <f t="shared" si="35"/>
        <v>0.72839999999999994</v>
      </c>
      <c r="J149" s="968">
        <f t="shared" si="36"/>
        <v>904.95019502172022</v>
      </c>
    </row>
    <row r="150" spans="1:27" ht="15.75" thickBot="1" x14ac:dyDescent="0.3">
      <c r="C150" s="783" t="s">
        <v>639</v>
      </c>
      <c r="D150" s="971">
        <v>0.59</v>
      </c>
      <c r="E150" s="972">
        <v>0.1</v>
      </c>
      <c r="F150" s="972">
        <v>0.31</v>
      </c>
      <c r="G150" s="972">
        <v>0</v>
      </c>
      <c r="H150" s="911">
        <f>D150*K143+F150*U143+E150*P143+G150*Z143</f>
        <v>627.30399448109733</v>
      </c>
      <c r="I150" s="974">
        <f t="shared" si="35"/>
        <v>0.85220000000000007</v>
      </c>
      <c r="J150" s="975">
        <f t="shared" si="36"/>
        <v>1254.6079889621947</v>
      </c>
    </row>
    <row r="151" spans="1:27" ht="15.75" thickBot="1" x14ac:dyDescent="0.3"/>
    <row r="152" spans="1:27" ht="15.75" thickBot="1" x14ac:dyDescent="0.3">
      <c r="A152" t="s">
        <v>733</v>
      </c>
      <c r="C152" s="770"/>
      <c r="D152" s="770" t="s">
        <v>734</v>
      </c>
      <c r="E152" s="771" t="s">
        <v>735</v>
      </c>
      <c r="F152" s="771" t="s">
        <v>736</v>
      </c>
      <c r="G152" s="771" t="s">
        <v>737</v>
      </c>
      <c r="H152" s="771" t="s">
        <v>738</v>
      </c>
      <c r="I152" s="771" t="s">
        <v>739</v>
      </c>
      <c r="J152" s="771" t="s">
        <v>740</v>
      </c>
      <c r="K152" s="771" t="s">
        <v>741</v>
      </c>
      <c r="L152" s="771" t="s">
        <v>707</v>
      </c>
      <c r="M152" s="770" t="s">
        <v>708</v>
      </c>
      <c r="N152" s="772" t="s">
        <v>709</v>
      </c>
      <c r="O152" s="612"/>
    </row>
    <row r="153" spans="1:27" x14ac:dyDescent="0.25">
      <c r="A153" t="s">
        <v>742</v>
      </c>
      <c r="C153" s="899" t="s">
        <v>635</v>
      </c>
      <c r="D153" s="900">
        <f>D109*$A$154</f>
        <v>1.0429999999999999</v>
      </c>
      <c r="E153" s="901">
        <v>999999</v>
      </c>
      <c r="F153" s="902">
        <f>$A$154*F109</f>
        <v>10.43</v>
      </c>
      <c r="G153" s="982">
        <v>0.25</v>
      </c>
      <c r="H153" s="980">
        <v>999999</v>
      </c>
      <c r="I153" s="743">
        <v>0.25</v>
      </c>
      <c r="J153" s="901">
        <v>999999</v>
      </c>
      <c r="K153" s="980">
        <v>999999</v>
      </c>
      <c r="L153" s="740">
        <v>2</v>
      </c>
      <c r="M153" s="900">
        <f>M109</f>
        <v>289.60000000000002</v>
      </c>
      <c r="N153" s="902">
        <f>N109</f>
        <v>254</v>
      </c>
      <c r="O153" s="612"/>
    </row>
    <row r="154" spans="1:27" x14ac:dyDescent="0.25">
      <c r="A154">
        <v>0.1</v>
      </c>
      <c r="C154" s="779" t="s">
        <v>636</v>
      </c>
      <c r="D154" s="905">
        <v>1.0429999999999999</v>
      </c>
      <c r="E154" s="907">
        <v>999999</v>
      </c>
      <c r="F154" s="906">
        <f t="shared" ref="F154:F157" si="37">$A$154*F110</f>
        <v>5.2149999999999999</v>
      </c>
      <c r="G154" s="983">
        <v>0.25</v>
      </c>
      <c r="H154" s="931">
        <v>999999</v>
      </c>
      <c r="I154" s="612">
        <v>0.25</v>
      </c>
      <c r="J154" s="907">
        <v>999999</v>
      </c>
      <c r="K154" s="931">
        <v>999999</v>
      </c>
      <c r="L154" s="968">
        <v>9</v>
      </c>
      <c r="M154" s="905">
        <f t="shared" ref="M154:N157" si="38">M110</f>
        <v>317.83999999999997</v>
      </c>
      <c r="N154" s="906">
        <f t="shared" si="38"/>
        <v>254</v>
      </c>
      <c r="O154" s="612"/>
    </row>
    <row r="155" spans="1:27" x14ac:dyDescent="0.25">
      <c r="C155" s="779" t="s">
        <v>637</v>
      </c>
      <c r="D155" s="905">
        <v>1.0429999999999999</v>
      </c>
      <c r="E155" s="908">
        <f>$A$154*E111</f>
        <v>1.5650000000000002</v>
      </c>
      <c r="F155" s="906">
        <f t="shared" si="37"/>
        <v>4.1719999999999997</v>
      </c>
      <c r="G155" s="983">
        <v>0.25</v>
      </c>
      <c r="H155" s="612">
        <v>0.25</v>
      </c>
      <c r="I155" s="612">
        <v>0.25</v>
      </c>
      <c r="J155" s="907">
        <v>999999</v>
      </c>
      <c r="K155" s="931">
        <v>999999</v>
      </c>
      <c r="L155" s="968">
        <v>15</v>
      </c>
      <c r="M155" s="905">
        <f t="shared" si="38"/>
        <v>335.31999999999994</v>
      </c>
      <c r="N155" s="906">
        <f t="shared" si="38"/>
        <v>245</v>
      </c>
      <c r="O155" s="612"/>
    </row>
    <row r="156" spans="1:27" x14ac:dyDescent="0.25">
      <c r="C156" s="779" t="s">
        <v>638</v>
      </c>
      <c r="D156" s="905">
        <v>1.0429999999999999</v>
      </c>
      <c r="E156" s="908">
        <f t="shared" ref="E156:E157" si="39">$A$154*E112</f>
        <v>1.5650000000000002</v>
      </c>
      <c r="F156" s="906">
        <f t="shared" si="37"/>
        <v>2.0859999999999999</v>
      </c>
      <c r="G156" s="983">
        <v>0.25</v>
      </c>
      <c r="H156" s="612">
        <v>0.25</v>
      </c>
      <c r="I156" s="612">
        <v>0.25</v>
      </c>
      <c r="J156" s="908">
        <v>9.39</v>
      </c>
      <c r="K156" s="612">
        <f>A154*K112</f>
        <v>7.5000000000000011E-2</v>
      </c>
      <c r="L156" s="968">
        <v>28</v>
      </c>
      <c r="M156" s="905">
        <f t="shared" si="38"/>
        <v>330.50782195340497</v>
      </c>
      <c r="N156" s="906">
        <f t="shared" si="38"/>
        <v>245</v>
      </c>
      <c r="O156" s="612"/>
    </row>
    <row r="157" spans="1:27" ht="15.75" thickBot="1" x14ac:dyDescent="0.3">
      <c r="C157" s="783" t="s">
        <v>639</v>
      </c>
      <c r="D157" s="909">
        <v>1.0429999999999999</v>
      </c>
      <c r="E157" s="910">
        <f t="shared" si="39"/>
        <v>1.5650000000000002</v>
      </c>
      <c r="F157" s="911">
        <f t="shared" si="37"/>
        <v>2.0859999999999999</v>
      </c>
      <c r="G157" s="984">
        <v>0.25</v>
      </c>
      <c r="H157" s="912">
        <v>0.25</v>
      </c>
      <c r="I157" s="912">
        <v>0.25</v>
      </c>
      <c r="J157" s="910">
        <v>9.39</v>
      </c>
      <c r="K157" s="985">
        <f>$A$154*K113</f>
        <v>7.5000000000000011E-2</v>
      </c>
      <c r="L157" s="975">
        <v>47</v>
      </c>
      <c r="M157" s="909">
        <f t="shared" si="38"/>
        <v>344.93011556101555</v>
      </c>
      <c r="N157" s="911">
        <f t="shared" si="38"/>
        <v>254</v>
      </c>
      <c r="O157" s="612"/>
    </row>
    <row r="158" spans="1:27" ht="15.75" thickBot="1" x14ac:dyDescent="0.3">
      <c r="C158" s="913"/>
    </row>
    <row r="159" spans="1:27" x14ac:dyDescent="0.25">
      <c r="C159" s="914"/>
      <c r="D159" s="915" t="s">
        <v>743</v>
      </c>
      <c r="E159" s="916"/>
      <c r="F159" s="917"/>
      <c r="G159" s="915" t="s">
        <v>711</v>
      </c>
      <c r="H159" s="916"/>
      <c r="I159" s="916"/>
      <c r="J159" s="916"/>
      <c r="K159" s="917"/>
      <c r="L159" s="915" t="s">
        <v>712</v>
      </c>
      <c r="M159" s="916"/>
      <c r="N159" s="916"/>
      <c r="O159" s="916"/>
      <c r="P159" s="917"/>
      <c r="Q159" s="915" t="s">
        <v>713</v>
      </c>
      <c r="R159" s="916"/>
      <c r="S159" s="916"/>
      <c r="T159" s="916"/>
      <c r="U159" s="917"/>
      <c r="V159" s="915" t="s">
        <v>714</v>
      </c>
      <c r="W159" s="916"/>
      <c r="X159" s="916"/>
      <c r="Y159" s="916"/>
      <c r="Z159" s="740"/>
    </row>
    <row r="160" spans="1:27" ht="15.75" thickBot="1" x14ac:dyDescent="0.3">
      <c r="C160" s="918"/>
      <c r="D160" s="919" t="s">
        <v>687</v>
      </c>
      <c r="E160" s="646" t="s">
        <v>715</v>
      </c>
      <c r="F160" s="920" t="s">
        <v>716</v>
      </c>
      <c r="G160" s="921" t="s">
        <v>717</v>
      </c>
      <c r="H160" s="922" t="s">
        <v>718</v>
      </c>
      <c r="I160" s="922" t="s">
        <v>719</v>
      </c>
      <c r="J160" s="922" t="s">
        <v>720</v>
      </c>
      <c r="K160" s="923" t="s">
        <v>721</v>
      </c>
      <c r="L160" s="921" t="s">
        <v>717</v>
      </c>
      <c r="M160" s="922" t="s">
        <v>718</v>
      </c>
      <c r="N160" s="922" t="s">
        <v>719</v>
      </c>
      <c r="O160" s="922" t="s">
        <v>720</v>
      </c>
      <c r="P160" s="923" t="s">
        <v>721</v>
      </c>
      <c r="Q160" s="921" t="s">
        <v>717</v>
      </c>
      <c r="R160" s="922" t="s">
        <v>718</v>
      </c>
      <c r="S160" s="922" t="s">
        <v>719</v>
      </c>
      <c r="T160" s="922" t="s">
        <v>720</v>
      </c>
      <c r="U160" s="923" t="s">
        <v>721</v>
      </c>
      <c r="V160" s="921" t="s">
        <v>717</v>
      </c>
      <c r="W160" s="922" t="s">
        <v>718</v>
      </c>
      <c r="X160" s="922" t="s">
        <v>719</v>
      </c>
      <c r="Y160" s="922" t="s">
        <v>720</v>
      </c>
      <c r="Z160" s="923" t="s">
        <v>721</v>
      </c>
      <c r="AA160" s="646" t="s">
        <v>722</v>
      </c>
    </row>
    <row r="161" spans="3:27" x14ac:dyDescent="0.25">
      <c r="C161" s="986" t="s">
        <v>689</v>
      </c>
      <c r="D161" s="925">
        <f>D117</f>
        <v>25.400000000000002</v>
      </c>
      <c r="E161" s="926">
        <f t="shared" ref="E161" si="40">E117</f>
        <v>52.721669666066788</v>
      </c>
      <c r="F161" s="927">
        <f>E161-D161+N153*H161</f>
        <v>27.321669666066786</v>
      </c>
      <c r="G161" s="976">
        <v>0.53</v>
      </c>
      <c r="H161" s="977">
        <v>0</v>
      </c>
      <c r="I161" s="926">
        <f>D153*L153*G161</f>
        <v>1.10558</v>
      </c>
      <c r="J161" s="926">
        <f>G153*E161</f>
        <v>13.180417416516697</v>
      </c>
      <c r="K161" s="927">
        <f>I161+J161</f>
        <v>14.285997416516697</v>
      </c>
      <c r="L161" s="978"/>
      <c r="M161" s="979">
        <f>H161</f>
        <v>0</v>
      </c>
      <c r="N161" s="980"/>
      <c r="O161" s="980"/>
      <c r="P161" s="981"/>
      <c r="Q161" s="976">
        <v>0.53</v>
      </c>
      <c r="R161" s="977">
        <v>1</v>
      </c>
      <c r="S161" s="926">
        <f>F153*L153*Q161</f>
        <v>11.0558</v>
      </c>
      <c r="T161" s="926">
        <f>I153*E161</f>
        <v>13.180417416516697</v>
      </c>
      <c r="U161" s="927">
        <f>S161+T161</f>
        <v>24.236217416516695</v>
      </c>
      <c r="V161" s="929"/>
      <c r="W161" s="930"/>
      <c r="X161" s="931">
        <v>999999</v>
      </c>
      <c r="Y161" s="931">
        <v>999999</v>
      </c>
      <c r="Z161" s="932"/>
      <c r="AA161" s="868">
        <f>E161-D161</f>
        <v>27.321669666066786</v>
      </c>
    </row>
    <row r="162" spans="3:27" x14ac:dyDescent="0.25">
      <c r="C162" s="986" t="s">
        <v>690</v>
      </c>
      <c r="D162" s="934">
        <f t="shared" ref="D162:E165" si="41">D118</f>
        <v>25.400000000000002</v>
      </c>
      <c r="E162" s="720">
        <f t="shared" si="41"/>
        <v>72.166096980976022</v>
      </c>
      <c r="F162" s="928">
        <f t="shared" ref="F162:F165" si="42">E162-D162+N154*H162</f>
        <v>46.766096980976016</v>
      </c>
      <c r="G162" s="933">
        <v>0.73</v>
      </c>
      <c r="H162" s="790">
        <v>0</v>
      </c>
      <c r="I162" s="720">
        <f>D154*L154*G162</f>
        <v>6.8525099999999988</v>
      </c>
      <c r="J162" s="720">
        <f>G154*E162</f>
        <v>18.041524245244005</v>
      </c>
      <c r="K162" s="928">
        <f>I162+J162</f>
        <v>24.894034245244004</v>
      </c>
      <c r="L162" s="929"/>
      <c r="M162" s="930">
        <f t="shared" ref="M162:M165" si="43">H162</f>
        <v>0</v>
      </c>
      <c r="N162" s="931"/>
      <c r="O162" s="931"/>
      <c r="P162" s="932"/>
      <c r="Q162" s="933">
        <v>0.73</v>
      </c>
      <c r="R162" s="790">
        <v>1</v>
      </c>
      <c r="S162" s="720">
        <f>F154*L154*Q162</f>
        <v>34.262549999999997</v>
      </c>
      <c r="T162" s="720">
        <f t="shared" ref="T162:T165" si="44">I154*E162</f>
        <v>18.041524245244005</v>
      </c>
      <c r="U162" s="928">
        <f>S162+T162</f>
        <v>52.304074245244003</v>
      </c>
      <c r="V162" s="929"/>
      <c r="W162" s="930"/>
      <c r="X162" s="931">
        <v>999999</v>
      </c>
      <c r="Y162" s="931">
        <v>999999</v>
      </c>
      <c r="Z162" s="932"/>
      <c r="AA162" s="868">
        <f t="shared" ref="AA162:AA165" si="45">E162-D162</f>
        <v>46.766096980976016</v>
      </c>
    </row>
    <row r="163" spans="3:27" x14ac:dyDescent="0.25">
      <c r="C163" s="986" t="s">
        <v>691</v>
      </c>
      <c r="D163" s="934">
        <f t="shared" si="41"/>
        <v>24.5</v>
      </c>
      <c r="E163" s="720">
        <f t="shared" si="41"/>
        <v>92.212165258762994</v>
      </c>
      <c r="F163" s="928">
        <f t="shared" si="42"/>
        <v>67.712165258762994</v>
      </c>
      <c r="G163" s="933">
        <v>0.88</v>
      </c>
      <c r="H163" s="790">
        <v>0</v>
      </c>
      <c r="I163" s="720">
        <f>D155*L155*G163</f>
        <v>13.7676</v>
      </c>
      <c r="J163" s="720">
        <f t="shared" ref="J163:J165" si="46">G155*E163</f>
        <v>23.053041314690748</v>
      </c>
      <c r="K163" s="928">
        <f>I163+J163</f>
        <v>36.820641314690747</v>
      </c>
      <c r="L163" s="933">
        <v>0.88</v>
      </c>
      <c r="M163" s="790">
        <f t="shared" si="43"/>
        <v>0</v>
      </c>
      <c r="N163" s="720">
        <f>E155*L155*L163</f>
        <v>20.658000000000001</v>
      </c>
      <c r="O163" s="720">
        <f>H155*E163</f>
        <v>23.053041314690748</v>
      </c>
      <c r="P163" s="928">
        <f>N163+O163</f>
        <v>43.711041314690746</v>
      </c>
      <c r="Q163" s="933">
        <v>0.88</v>
      </c>
      <c r="R163" s="790">
        <v>1</v>
      </c>
      <c r="S163" s="720">
        <f>F155*L155*Q163</f>
        <v>55.070399999999999</v>
      </c>
      <c r="T163" s="720">
        <f t="shared" si="44"/>
        <v>23.053041314690748</v>
      </c>
      <c r="U163" s="928">
        <f>S163+T163</f>
        <v>78.123441314690751</v>
      </c>
      <c r="V163" s="929"/>
      <c r="W163" s="930"/>
      <c r="X163" s="931">
        <v>999999</v>
      </c>
      <c r="Y163" s="931">
        <v>999999</v>
      </c>
      <c r="Z163" s="932"/>
      <c r="AA163" s="868">
        <f t="shared" si="45"/>
        <v>67.712165258762994</v>
      </c>
    </row>
    <row r="164" spans="3:27" x14ac:dyDescent="0.25">
      <c r="C164" s="986" t="s">
        <v>692</v>
      </c>
      <c r="D164" s="934">
        <f t="shared" si="41"/>
        <v>24.5</v>
      </c>
      <c r="E164" s="720">
        <f t="shared" si="41"/>
        <v>89.417650191158899</v>
      </c>
      <c r="F164" s="928">
        <f t="shared" si="42"/>
        <v>64.917650191158899</v>
      </c>
      <c r="G164" s="933">
        <v>0.87</v>
      </c>
      <c r="H164" s="790">
        <v>0</v>
      </c>
      <c r="I164" s="720">
        <f>D156*L156*G164</f>
        <v>25.407479999999996</v>
      </c>
      <c r="J164" s="720">
        <f t="shared" si="46"/>
        <v>22.354412547789725</v>
      </c>
      <c r="K164" s="928">
        <f>I164+J164</f>
        <v>47.761892547789721</v>
      </c>
      <c r="L164" s="933">
        <v>0.87</v>
      </c>
      <c r="M164" s="790">
        <f t="shared" si="43"/>
        <v>0</v>
      </c>
      <c r="N164" s="720">
        <f>E156*L156*L164</f>
        <v>38.123400000000004</v>
      </c>
      <c r="O164" s="720">
        <f t="shared" ref="O164:O165" si="47">H156*E164</f>
        <v>22.354412547789725</v>
      </c>
      <c r="P164" s="928">
        <f>N164+O164</f>
        <v>60.477812547789725</v>
      </c>
      <c r="Q164" s="933">
        <v>0.87</v>
      </c>
      <c r="R164" s="790">
        <v>1</v>
      </c>
      <c r="S164" s="720">
        <f>F156*L156*Q164</f>
        <v>50.814959999999992</v>
      </c>
      <c r="T164" s="720">
        <f t="shared" si="44"/>
        <v>22.354412547789725</v>
      </c>
      <c r="U164" s="928">
        <f>S164+T164</f>
        <v>73.16937254778972</v>
      </c>
      <c r="V164" s="933">
        <v>1</v>
      </c>
      <c r="W164" s="790">
        <v>1</v>
      </c>
      <c r="X164" s="720">
        <f>J156*L156</f>
        <v>262.92</v>
      </c>
      <c r="Y164" s="720">
        <f>E164*K156</f>
        <v>6.7063237643369185</v>
      </c>
      <c r="Z164" s="906">
        <f>X164+Y164</f>
        <v>269.62632376433692</v>
      </c>
      <c r="AA164" s="868">
        <f t="shared" si="45"/>
        <v>64.917650191158899</v>
      </c>
    </row>
    <row r="165" spans="3:27" ht="15.75" thickBot="1" x14ac:dyDescent="0.3">
      <c r="C165" s="987" t="s">
        <v>693</v>
      </c>
      <c r="D165" s="936">
        <f t="shared" si="41"/>
        <v>25.400000000000002</v>
      </c>
      <c r="E165" s="937">
        <f t="shared" si="41"/>
        <v>94.725357590688148</v>
      </c>
      <c r="F165" s="938">
        <f t="shared" si="42"/>
        <v>69.325357590688142</v>
      </c>
      <c r="G165" s="940">
        <v>0.81</v>
      </c>
      <c r="H165" s="939">
        <v>0</v>
      </c>
      <c r="I165" s="937">
        <f>D157*L157*G165</f>
        <v>39.707009999999997</v>
      </c>
      <c r="J165" s="937">
        <f t="shared" si="46"/>
        <v>23.681339397672037</v>
      </c>
      <c r="K165" s="938">
        <f>I165+J165</f>
        <v>63.38834939767203</v>
      </c>
      <c r="L165" s="940">
        <v>0.81</v>
      </c>
      <c r="M165" s="939">
        <f t="shared" si="43"/>
        <v>0</v>
      </c>
      <c r="N165" s="937">
        <f>E157*L157*L165</f>
        <v>59.579550000000012</v>
      </c>
      <c r="O165" s="937">
        <f t="shared" si="47"/>
        <v>23.681339397672037</v>
      </c>
      <c r="P165" s="938">
        <f>N165+O165</f>
        <v>83.260889397672045</v>
      </c>
      <c r="Q165" s="940">
        <v>0.81</v>
      </c>
      <c r="R165" s="939">
        <v>1</v>
      </c>
      <c r="S165" s="937">
        <f>F157*L157*Q165</f>
        <v>79.414019999999994</v>
      </c>
      <c r="T165" s="937">
        <f t="shared" si="44"/>
        <v>23.681339397672037</v>
      </c>
      <c r="U165" s="938">
        <f>S165+T165</f>
        <v>103.09535939767203</v>
      </c>
      <c r="V165" s="940">
        <v>1</v>
      </c>
      <c r="W165" s="939">
        <v>1</v>
      </c>
      <c r="X165" s="937">
        <f>J157*L157</f>
        <v>441.33000000000004</v>
      </c>
      <c r="Y165" s="937">
        <f>K157*F165*W165</f>
        <v>5.1994018193016114</v>
      </c>
      <c r="Z165" s="911">
        <f>X165+Y165</f>
        <v>446.52940181930165</v>
      </c>
      <c r="AA165" s="868">
        <f t="shared" si="45"/>
        <v>69.325357590688142</v>
      </c>
    </row>
    <row r="166" spans="3:27" ht="15.75" thickBot="1" x14ac:dyDescent="0.3"/>
    <row r="167" spans="3:27" x14ac:dyDescent="0.25">
      <c r="C167" s="914"/>
      <c r="D167" s="915"/>
      <c r="E167" s="916"/>
      <c r="F167" s="917"/>
      <c r="G167" s="915" t="s">
        <v>711</v>
      </c>
      <c r="H167" s="916"/>
      <c r="I167" s="916"/>
      <c r="J167" s="916"/>
      <c r="K167" s="917"/>
      <c r="L167" s="915" t="s">
        <v>712</v>
      </c>
      <c r="M167" s="916"/>
      <c r="N167" s="916"/>
      <c r="O167" s="916"/>
      <c r="P167" s="917"/>
      <c r="Q167" s="915" t="s">
        <v>713</v>
      </c>
      <c r="R167" s="916"/>
      <c r="S167" s="916"/>
      <c r="T167" s="916"/>
      <c r="U167" s="917"/>
      <c r="V167" s="915" t="s">
        <v>714</v>
      </c>
      <c r="W167" s="916"/>
      <c r="X167" s="916"/>
      <c r="Y167" s="916"/>
      <c r="Z167" s="740"/>
    </row>
    <row r="168" spans="3:27" ht="15.75" thickBot="1" x14ac:dyDescent="0.3">
      <c r="C168" s="918"/>
      <c r="D168" s="919"/>
      <c r="E168" s="646" t="s">
        <v>715</v>
      </c>
      <c r="F168" s="920" t="s">
        <v>716</v>
      </c>
      <c r="G168" s="921" t="s">
        <v>717</v>
      </c>
      <c r="H168" s="922" t="s">
        <v>718</v>
      </c>
      <c r="I168" s="922" t="s">
        <v>719</v>
      </c>
      <c r="J168" s="922" t="s">
        <v>720</v>
      </c>
      <c r="K168" s="923" t="s">
        <v>721</v>
      </c>
      <c r="L168" s="921" t="s">
        <v>717</v>
      </c>
      <c r="M168" s="922" t="s">
        <v>718</v>
      </c>
      <c r="N168" s="922" t="s">
        <v>719</v>
      </c>
      <c r="O168" s="922" t="s">
        <v>720</v>
      </c>
      <c r="P168" s="923" t="s">
        <v>721</v>
      </c>
      <c r="Q168" s="921" t="s">
        <v>717</v>
      </c>
      <c r="R168" s="922" t="s">
        <v>718</v>
      </c>
      <c r="S168" s="922" t="s">
        <v>719</v>
      </c>
      <c r="T168" s="922" t="s">
        <v>720</v>
      </c>
      <c r="U168" s="923" t="s">
        <v>721</v>
      </c>
      <c r="V168" s="921" t="s">
        <v>717</v>
      </c>
      <c r="W168" s="922" t="s">
        <v>718</v>
      </c>
      <c r="X168" s="922" t="s">
        <v>719</v>
      </c>
      <c r="Y168" s="922" t="s">
        <v>720</v>
      </c>
      <c r="Z168" s="923" t="s">
        <v>721</v>
      </c>
      <c r="AA168" s="646" t="s">
        <v>722</v>
      </c>
    </row>
    <row r="169" spans="3:27" x14ac:dyDescent="0.25">
      <c r="C169" s="899" t="s">
        <v>635</v>
      </c>
      <c r="D169" s="925"/>
      <c r="E169" s="926">
        <f>M153</f>
        <v>289.60000000000002</v>
      </c>
      <c r="F169" s="927"/>
      <c r="G169" s="976">
        <v>0.53</v>
      </c>
      <c r="H169" s="977"/>
      <c r="I169" s="926">
        <f>D153*L153*G169</f>
        <v>1.10558</v>
      </c>
      <c r="J169" s="926">
        <f>G153*E169</f>
        <v>72.400000000000006</v>
      </c>
      <c r="K169" s="927">
        <f>I169+J169</f>
        <v>73.505580000000009</v>
      </c>
      <c r="L169" s="929"/>
      <c r="M169" s="930"/>
      <c r="N169" s="931"/>
      <c r="O169" s="931"/>
      <c r="P169" s="932"/>
      <c r="Q169" s="933">
        <v>0.53</v>
      </c>
      <c r="R169" s="790">
        <v>1</v>
      </c>
      <c r="S169" s="720">
        <f>F161*L161*Q169</f>
        <v>0</v>
      </c>
      <c r="T169" s="720">
        <f>I161*F169*R169</f>
        <v>0</v>
      </c>
      <c r="U169" s="928">
        <f>S169+T169</f>
        <v>0</v>
      </c>
      <c r="V169" s="929"/>
      <c r="W169" s="930"/>
      <c r="X169" s="931">
        <v>999999</v>
      </c>
      <c r="Y169" s="931">
        <v>999999</v>
      </c>
      <c r="Z169" s="932"/>
      <c r="AA169" s="868">
        <f>E169-D169</f>
        <v>289.60000000000002</v>
      </c>
    </row>
    <row r="170" spans="3:27" x14ac:dyDescent="0.25">
      <c r="C170" s="779" t="s">
        <v>636</v>
      </c>
      <c r="D170" s="934"/>
      <c r="E170" s="720">
        <f t="shared" ref="E170:E173" si="48">M154</f>
        <v>317.83999999999997</v>
      </c>
      <c r="F170" s="928"/>
      <c r="G170" s="933">
        <v>0.73</v>
      </c>
      <c r="H170" s="790"/>
      <c r="I170" s="720">
        <f t="shared" ref="I170:I173" si="49">D154*L154*G170</f>
        <v>6.8525099999999988</v>
      </c>
      <c r="J170" s="720">
        <f t="shared" ref="J170:J173" si="50">G154*E170</f>
        <v>79.459999999999994</v>
      </c>
      <c r="K170" s="928">
        <f>I170+J170</f>
        <v>86.312509999999989</v>
      </c>
      <c r="L170" s="929"/>
      <c r="M170" s="930"/>
      <c r="N170" s="931"/>
      <c r="O170" s="931"/>
      <c r="P170" s="932"/>
      <c r="Q170" s="933">
        <v>0.73</v>
      </c>
      <c r="R170" s="790">
        <v>1</v>
      </c>
      <c r="S170" s="720">
        <f>F162*L162*Q170</f>
        <v>0</v>
      </c>
      <c r="T170" s="720">
        <f>I162*F170*R170</f>
        <v>0</v>
      </c>
      <c r="U170" s="928">
        <f>S170+T170</f>
        <v>0</v>
      </c>
      <c r="V170" s="929"/>
      <c r="W170" s="930"/>
      <c r="X170" s="931">
        <v>999999</v>
      </c>
      <c r="Y170" s="931">
        <v>999999</v>
      </c>
      <c r="Z170" s="932"/>
      <c r="AA170" s="868">
        <f t="shared" ref="AA170:AA173" si="51">E170-D170</f>
        <v>317.83999999999997</v>
      </c>
    </row>
    <row r="171" spans="3:27" x14ac:dyDescent="0.25">
      <c r="C171" s="779" t="s">
        <v>637</v>
      </c>
      <c r="D171" s="934"/>
      <c r="E171" s="720">
        <f t="shared" si="48"/>
        <v>335.31999999999994</v>
      </c>
      <c r="F171" s="928"/>
      <c r="G171" s="933">
        <v>0.88</v>
      </c>
      <c r="H171" s="790"/>
      <c r="I171" s="720">
        <f t="shared" si="49"/>
        <v>13.7676</v>
      </c>
      <c r="J171" s="720">
        <f t="shared" si="50"/>
        <v>83.829999999999984</v>
      </c>
      <c r="K171" s="928">
        <f>I171+J171</f>
        <v>97.597599999999986</v>
      </c>
      <c r="L171" s="933">
        <v>0.88</v>
      </c>
      <c r="M171" s="790"/>
      <c r="N171" s="720">
        <f>E155*L155*L171</f>
        <v>20.658000000000001</v>
      </c>
      <c r="O171" s="720">
        <f>H155*E171</f>
        <v>83.829999999999984</v>
      </c>
      <c r="P171" s="928">
        <f>N171+O171</f>
        <v>104.48799999999999</v>
      </c>
      <c r="Q171" s="933">
        <v>0.88</v>
      </c>
      <c r="R171" s="790">
        <v>1</v>
      </c>
      <c r="S171" s="720">
        <f>F163*L163*Q171</f>
        <v>52.436300776386062</v>
      </c>
      <c r="T171" s="720">
        <f>I163*F171*R171</f>
        <v>0</v>
      </c>
      <c r="U171" s="928">
        <f>S171+T171</f>
        <v>52.436300776386062</v>
      </c>
      <c r="V171" s="929"/>
      <c r="W171" s="930"/>
      <c r="X171" s="931">
        <v>999999</v>
      </c>
      <c r="Y171" s="931">
        <v>999999</v>
      </c>
      <c r="Z171" s="932"/>
      <c r="AA171" s="868">
        <f t="shared" si="51"/>
        <v>335.31999999999994</v>
      </c>
    </row>
    <row r="172" spans="3:27" x14ac:dyDescent="0.25">
      <c r="C172" s="779" t="s">
        <v>638</v>
      </c>
      <c r="D172" s="934"/>
      <c r="E172" s="720">
        <f t="shared" si="48"/>
        <v>330.50782195340497</v>
      </c>
      <c r="F172" s="928"/>
      <c r="G172" s="933">
        <v>0.87</v>
      </c>
      <c r="H172" s="790"/>
      <c r="I172" s="720">
        <f t="shared" si="49"/>
        <v>25.407479999999996</v>
      </c>
      <c r="J172" s="720">
        <f t="shared" si="50"/>
        <v>82.626955488351243</v>
      </c>
      <c r="K172" s="928">
        <f>I172+J172</f>
        <v>108.03443548835124</v>
      </c>
      <c r="L172" s="933">
        <v>0.87</v>
      </c>
      <c r="M172" s="790"/>
      <c r="N172" s="720">
        <f t="shared" ref="N172:N173" si="52">E156*L156*L172</f>
        <v>38.123400000000004</v>
      </c>
      <c r="O172" s="720">
        <f t="shared" ref="O172:O173" si="53">H156*E172</f>
        <v>82.626955488351243</v>
      </c>
      <c r="P172" s="928">
        <f>N172+O172</f>
        <v>120.75035548835125</v>
      </c>
      <c r="Q172" s="933">
        <v>0.87</v>
      </c>
      <c r="R172" s="790">
        <v>1</v>
      </c>
      <c r="S172" s="720">
        <f>F164*L164*Q172</f>
        <v>49.136169429688167</v>
      </c>
      <c r="T172" s="720">
        <f>I164*F172*R172</f>
        <v>0</v>
      </c>
      <c r="U172" s="928">
        <f>S172+T172</f>
        <v>49.136169429688167</v>
      </c>
      <c r="V172" s="933">
        <v>1</v>
      </c>
      <c r="W172" s="790">
        <v>1</v>
      </c>
      <c r="X172" s="720">
        <f>J164*L164</f>
        <v>19.448338916577061</v>
      </c>
      <c r="Y172" s="720">
        <f>K164*F172*W172</f>
        <v>0</v>
      </c>
      <c r="Z172" s="906">
        <f>X172+Y172</f>
        <v>19.448338916577061</v>
      </c>
      <c r="AA172" s="868">
        <f t="shared" si="51"/>
        <v>330.50782195340497</v>
      </c>
    </row>
    <row r="173" spans="3:27" ht="15.75" thickBot="1" x14ac:dyDescent="0.3">
      <c r="C173" s="783" t="s">
        <v>639</v>
      </c>
      <c r="D173" s="936"/>
      <c r="E173" s="937">
        <f t="shared" si="48"/>
        <v>344.93011556101555</v>
      </c>
      <c r="F173" s="938"/>
      <c r="G173" s="940">
        <v>0.81</v>
      </c>
      <c r="H173" s="939"/>
      <c r="I173" s="937">
        <f t="shared" si="49"/>
        <v>39.707009999999997</v>
      </c>
      <c r="J173" s="937">
        <f t="shared" si="50"/>
        <v>86.232528890253889</v>
      </c>
      <c r="K173" s="938">
        <f>I173+J173</f>
        <v>125.93953889025389</v>
      </c>
      <c r="L173" s="940">
        <v>0.81</v>
      </c>
      <c r="M173" s="939"/>
      <c r="N173" s="720">
        <f t="shared" si="52"/>
        <v>59.579550000000012</v>
      </c>
      <c r="O173" s="720">
        <f t="shared" si="53"/>
        <v>86.232528890253889</v>
      </c>
      <c r="P173" s="938">
        <f>N173+O173</f>
        <v>145.8120788902539</v>
      </c>
      <c r="Q173" s="940">
        <v>0.81</v>
      </c>
      <c r="R173" s="939">
        <v>1</v>
      </c>
      <c r="S173" s="937">
        <f>F165*L165*Q173</f>
        <v>45.484367115250492</v>
      </c>
      <c r="T173" s="937">
        <f>I165*F173*R173</f>
        <v>0</v>
      </c>
      <c r="U173" s="938">
        <f>S173+T173</f>
        <v>45.484367115250492</v>
      </c>
      <c r="V173" s="940">
        <v>1</v>
      </c>
      <c r="W173" s="939">
        <v>1</v>
      </c>
      <c r="X173" s="937">
        <f>J165*L165</f>
        <v>19.181884912114352</v>
      </c>
      <c r="Y173" s="937">
        <f>K165*F173*W173</f>
        <v>0</v>
      </c>
      <c r="Z173" s="911">
        <f>X173+Y173</f>
        <v>19.181884912114352</v>
      </c>
      <c r="AA173" s="868">
        <f t="shared" si="51"/>
        <v>344.93011556101555</v>
      </c>
    </row>
    <row r="174" spans="3:27" x14ac:dyDescent="0.25">
      <c r="K174" s="988">
        <f>K169/K139</f>
        <v>0.87639144897642873</v>
      </c>
      <c r="P174" s="988" t="e">
        <f>P169/P139</f>
        <v>#DIV/0!</v>
      </c>
      <c r="U174" s="988">
        <f>U169/U139</f>
        <v>0</v>
      </c>
      <c r="Z174" s="988" t="e">
        <f>Z169/Z139</f>
        <v>#DIV/0!</v>
      </c>
    </row>
    <row r="175" spans="3:27" x14ac:dyDescent="0.25">
      <c r="K175" s="988">
        <f t="shared" ref="K175:K178" si="54">K170/K140</f>
        <v>0.6931751816610664</v>
      </c>
      <c r="P175" s="988" t="e">
        <f t="shared" ref="P175:P178" si="55">P170/P140</f>
        <v>#DIV/0!</v>
      </c>
      <c r="U175" s="988">
        <f t="shared" ref="U175:U178" si="56">U170/U140</f>
        <v>0</v>
      </c>
      <c r="Z175" s="988" t="e">
        <f t="shared" ref="Z175:Z178" si="57">Z170/Z140</f>
        <v>#DIV/0!</v>
      </c>
    </row>
    <row r="176" spans="3:27" x14ac:dyDescent="0.25">
      <c r="K176" s="988">
        <f t="shared" si="54"/>
        <v>0.60224985344481807</v>
      </c>
      <c r="P176" s="988">
        <f t="shared" si="55"/>
        <v>0.23081324070290152</v>
      </c>
      <c r="U176" s="988">
        <f t="shared" si="56"/>
        <v>5.3313846692952062E-2</v>
      </c>
      <c r="Z176" s="988" t="e">
        <f t="shared" si="57"/>
        <v>#DIV/0!</v>
      </c>
    </row>
    <row r="177" spans="1:26" x14ac:dyDescent="0.25">
      <c r="K177" s="988">
        <f t="shared" si="54"/>
        <v>0.3792900657826711</v>
      </c>
      <c r="P177" s="988">
        <f t="shared" si="55"/>
        <v>0.16891428079862977</v>
      </c>
      <c r="U177" s="988">
        <f t="shared" si="56"/>
        <v>7.8927542105136139E-2</v>
      </c>
      <c r="Z177" s="988">
        <f t="shared" si="57"/>
        <v>3.8074208940104867E-2</v>
      </c>
    </row>
    <row r="178" spans="1:26" x14ac:dyDescent="0.25">
      <c r="K178" s="988">
        <f t="shared" si="54"/>
        <v>0.28290564099104343</v>
      </c>
      <c r="P178" s="988">
        <f t="shared" si="55"/>
        <v>0.13786613248082119</v>
      </c>
      <c r="U178" s="988">
        <f t="shared" si="56"/>
        <v>5.4463156861643283E-2</v>
      </c>
      <c r="Z178" s="988">
        <f t="shared" si="57"/>
        <v>2.7401612846917722E-2</v>
      </c>
    </row>
    <row r="182" spans="1:26" ht="15.75" thickBot="1" x14ac:dyDescent="0.3">
      <c r="A182" t="s">
        <v>744</v>
      </c>
    </row>
    <row r="183" spans="1:26" ht="45" x14ac:dyDescent="0.25">
      <c r="B183" t="s">
        <v>745</v>
      </c>
      <c r="C183" s="989" t="s">
        <v>746</v>
      </c>
      <c r="D183" s="990" t="s">
        <v>747</v>
      </c>
    </row>
    <row r="184" spans="1:26" ht="15.75" thickBot="1" x14ac:dyDescent="0.3">
      <c r="C184" s="984">
        <v>0.25</v>
      </c>
      <c r="D184" s="975">
        <v>200</v>
      </c>
    </row>
    <row r="185" spans="1:26" ht="15.75" thickBot="1" x14ac:dyDescent="0.3">
      <c r="A185" t="s">
        <v>748</v>
      </c>
      <c r="D185" t="s">
        <v>749</v>
      </c>
      <c r="E185" t="s">
        <v>750</v>
      </c>
      <c r="F185" t="s">
        <v>751</v>
      </c>
      <c r="G185" t="s">
        <v>752</v>
      </c>
      <c r="H185" t="s">
        <v>679</v>
      </c>
      <c r="I185" t="s">
        <v>753</v>
      </c>
    </row>
    <row r="186" spans="1:26" x14ac:dyDescent="0.25">
      <c r="C186" s="775">
        <v>40</v>
      </c>
      <c r="D186" s="991">
        <f>$C$184*E142</f>
        <v>82.626955488351243</v>
      </c>
      <c r="E186" s="992">
        <f>$C$184*AA120</f>
        <v>16.229412547789725</v>
      </c>
      <c r="F186" s="743">
        <f>$D$184</f>
        <v>200</v>
      </c>
      <c r="G186" s="992">
        <f>D186+E186+F186</f>
        <v>298.85636803614096</v>
      </c>
      <c r="H186" s="993">
        <f>D186+E186</f>
        <v>98.856368036140964</v>
      </c>
      <c r="I186" s="993">
        <f>G186-J134</f>
        <v>-889.46320076233906</v>
      </c>
    </row>
    <row r="187" spans="1:26" ht="15.75" thickBot="1" x14ac:dyDescent="0.3">
      <c r="C187" s="783">
        <v>60</v>
      </c>
      <c r="D187" s="994">
        <f>$C$184*E143</f>
        <v>86.232528890253889</v>
      </c>
      <c r="E187" s="995">
        <f>$C$184*AA121</f>
        <v>17.331339397672036</v>
      </c>
      <c r="F187" s="912">
        <f>$D$184</f>
        <v>200</v>
      </c>
      <c r="G187" s="995">
        <f>D187+E187+F187</f>
        <v>303.56386828792591</v>
      </c>
      <c r="H187" s="996">
        <f>D187+E187</f>
        <v>103.56386828792593</v>
      </c>
      <c r="I187" s="996">
        <f>G187-J135</f>
        <v>-1327.5806131896427</v>
      </c>
    </row>
    <row r="188" spans="1:26" x14ac:dyDescent="0.25">
      <c r="C188" s="899"/>
      <c r="D188" s="997"/>
      <c r="E188" s="997"/>
      <c r="G188" s="997"/>
    </row>
    <row r="189" spans="1:26" ht="15.75" thickBot="1" x14ac:dyDescent="0.3">
      <c r="A189" t="s">
        <v>754</v>
      </c>
    </row>
    <row r="190" spans="1:26" ht="15.75" thickBot="1" x14ac:dyDescent="0.3">
      <c r="C190" s="998"/>
      <c r="D190" s="743" t="s">
        <v>755</v>
      </c>
      <c r="E190" s="743"/>
      <c r="F190" s="743"/>
      <c r="G190" s="743"/>
      <c r="H190" s="743" t="s">
        <v>756</v>
      </c>
      <c r="I190" s="743"/>
      <c r="J190" s="743"/>
      <c r="K190" s="743"/>
      <c r="L190" s="743" t="s">
        <v>757</v>
      </c>
      <c r="M190" s="743"/>
      <c r="N190" s="743"/>
      <c r="O190" s="740"/>
    </row>
    <row r="191" spans="1:26" ht="15.75" thickBot="1" x14ac:dyDescent="0.3">
      <c r="C191" s="924"/>
      <c r="D191" s="771" t="s">
        <v>711</v>
      </c>
      <c r="E191" s="771" t="s">
        <v>758</v>
      </c>
      <c r="F191" s="771" t="s">
        <v>713</v>
      </c>
      <c r="G191" s="771" t="s">
        <v>714</v>
      </c>
      <c r="H191" s="771" t="s">
        <v>711</v>
      </c>
      <c r="I191" s="771" t="s">
        <v>758</v>
      </c>
      <c r="J191" s="771" t="s">
        <v>713</v>
      </c>
      <c r="K191" s="771" t="s">
        <v>714</v>
      </c>
      <c r="L191" s="771" t="s">
        <v>711</v>
      </c>
      <c r="M191" s="771" t="s">
        <v>758</v>
      </c>
      <c r="N191" s="771" t="s">
        <v>713</v>
      </c>
      <c r="O191" s="772" t="s">
        <v>714</v>
      </c>
    </row>
    <row r="192" spans="1:26" x14ac:dyDescent="0.25">
      <c r="C192" s="924" t="s">
        <v>759</v>
      </c>
      <c r="D192" s="982">
        <f t="shared" ref="D192:F193" si="58">G112</f>
        <v>0.42</v>
      </c>
      <c r="E192" s="743">
        <f t="shared" si="58"/>
        <v>1.5</v>
      </c>
      <c r="F192" s="743">
        <f t="shared" si="58"/>
        <v>1</v>
      </c>
      <c r="G192" s="743">
        <f>K112</f>
        <v>0.75</v>
      </c>
      <c r="H192" s="992">
        <f t="shared" ref="H192:K193" si="59">D192*$F142</f>
        <v>138.81328522043009</v>
      </c>
      <c r="I192" s="992">
        <f t="shared" si="59"/>
        <v>495.76173293010743</v>
      </c>
      <c r="J192" s="992">
        <f t="shared" si="59"/>
        <v>330.50782195340497</v>
      </c>
      <c r="K192" s="992">
        <f t="shared" si="59"/>
        <v>247.88086646505371</v>
      </c>
      <c r="L192" s="992">
        <f t="shared" ref="L192:O193" si="60">H192-$H186</f>
        <v>39.956917184289125</v>
      </c>
      <c r="M192" s="992">
        <f t="shared" si="60"/>
        <v>396.90536489396646</v>
      </c>
      <c r="N192" s="992">
        <f t="shared" si="60"/>
        <v>231.65145391726401</v>
      </c>
      <c r="O192" s="993">
        <f t="shared" si="60"/>
        <v>149.02449842891275</v>
      </c>
    </row>
    <row r="193" spans="2:19" ht="15.75" thickBot="1" x14ac:dyDescent="0.3">
      <c r="C193" s="935" t="s">
        <v>639</v>
      </c>
      <c r="D193" s="984">
        <f t="shared" si="58"/>
        <v>0.57999999999999996</v>
      </c>
      <c r="E193" s="912">
        <f t="shared" si="58"/>
        <v>2</v>
      </c>
      <c r="F193" s="912">
        <f t="shared" si="58"/>
        <v>1</v>
      </c>
      <c r="G193" s="912">
        <f>K113</f>
        <v>0.75</v>
      </c>
      <c r="H193" s="995">
        <f t="shared" si="59"/>
        <v>200.05946702538901</v>
      </c>
      <c r="I193" s="995">
        <f t="shared" si="59"/>
        <v>689.86023112203111</v>
      </c>
      <c r="J193" s="995">
        <f t="shared" si="59"/>
        <v>344.93011556101555</v>
      </c>
      <c r="K193" s="995">
        <f t="shared" si="59"/>
        <v>258.69758667076167</v>
      </c>
      <c r="L193" s="995">
        <f t="shared" si="60"/>
        <v>96.495598737463084</v>
      </c>
      <c r="M193" s="995">
        <f t="shared" si="60"/>
        <v>586.29636283410514</v>
      </c>
      <c r="N193" s="995">
        <f t="shared" si="60"/>
        <v>241.36624727308964</v>
      </c>
      <c r="O193" s="996">
        <f t="shared" si="60"/>
        <v>155.13371838283575</v>
      </c>
    </row>
    <row r="194" spans="2:19" ht="15.75" thickBot="1" x14ac:dyDescent="0.3">
      <c r="D194" t="s">
        <v>760</v>
      </c>
    </row>
    <row r="195" spans="2:19" x14ac:dyDescent="0.25">
      <c r="C195" s="998" t="s">
        <v>692</v>
      </c>
      <c r="D195" s="743">
        <f t="shared" ref="D195:G196" si="61">H195/ $E120</f>
        <v>-0.4468571596196993</v>
      </c>
      <c r="E195" s="743">
        <f t="shared" si="61"/>
        <v>-4.4387809794313986</v>
      </c>
      <c r="F195" s="743">
        <f t="shared" si="61"/>
        <v>-2.5906680998889451</v>
      </c>
      <c r="G195" s="743">
        <f t="shared" si="61"/>
        <v>-1.6666116601177183</v>
      </c>
      <c r="H195" s="992">
        <f>-L192</f>
        <v>-39.956917184289125</v>
      </c>
      <c r="I195" s="992">
        <f t="shared" ref="I195:K196" si="62">-M192</f>
        <v>-396.90536489396646</v>
      </c>
      <c r="J195" s="992">
        <f t="shared" si="62"/>
        <v>-231.65145391726401</v>
      </c>
      <c r="K195" s="992">
        <f t="shared" si="62"/>
        <v>-149.02449842891275</v>
      </c>
      <c r="L195" s="992">
        <f>L192+H195</f>
        <v>0</v>
      </c>
      <c r="M195" s="992">
        <f t="shared" ref="M195:O196" si="63">M192+I195</f>
        <v>0</v>
      </c>
      <c r="N195" s="992">
        <f t="shared" si="63"/>
        <v>0</v>
      </c>
      <c r="O195" s="993">
        <f t="shared" si="63"/>
        <v>0</v>
      </c>
    </row>
    <row r="196" spans="2:19" ht="15.75" thickBot="1" x14ac:dyDescent="0.3">
      <c r="C196" s="935" t="s">
        <v>693</v>
      </c>
      <c r="D196" s="912">
        <f t="shared" si="61"/>
        <v>-1.0186881442498661</v>
      </c>
      <c r="E196" s="912">
        <f t="shared" si="61"/>
        <v>-6.1894341467415082</v>
      </c>
      <c r="F196" s="912">
        <f t="shared" si="61"/>
        <v>-2.5480637224516198</v>
      </c>
      <c r="G196" s="912">
        <f t="shared" si="61"/>
        <v>-1.6377211163791476</v>
      </c>
      <c r="H196" s="995">
        <f>-L193</f>
        <v>-96.495598737463084</v>
      </c>
      <c r="I196" s="995">
        <f t="shared" si="62"/>
        <v>-586.29636283410514</v>
      </c>
      <c r="J196" s="995">
        <f t="shared" si="62"/>
        <v>-241.36624727308964</v>
      </c>
      <c r="K196" s="995">
        <f t="shared" si="62"/>
        <v>-155.13371838283575</v>
      </c>
      <c r="L196" s="995">
        <f>L193+H196</f>
        <v>0</v>
      </c>
      <c r="M196" s="995">
        <f t="shared" si="63"/>
        <v>0</v>
      </c>
      <c r="N196" s="995">
        <f t="shared" si="63"/>
        <v>0</v>
      </c>
      <c r="O196" s="996">
        <f t="shared" si="63"/>
        <v>0</v>
      </c>
    </row>
    <row r="198" spans="2:19" ht="15.75" thickBot="1" x14ac:dyDescent="0.3">
      <c r="D198" t="s">
        <v>761</v>
      </c>
      <c r="H198" t="s">
        <v>762</v>
      </c>
      <c r="L198" t="s">
        <v>763</v>
      </c>
      <c r="P198" t="s">
        <v>764</v>
      </c>
    </row>
    <row r="199" spans="2:19" ht="15.75" thickBot="1" x14ac:dyDescent="0.3">
      <c r="C199" s="737"/>
      <c r="D199" s="771" t="s">
        <v>711</v>
      </c>
      <c r="E199" s="771" t="s">
        <v>758</v>
      </c>
      <c r="F199" s="771" t="s">
        <v>713</v>
      </c>
      <c r="G199" s="771" t="s">
        <v>714</v>
      </c>
      <c r="H199" s="771" t="s">
        <v>711</v>
      </c>
      <c r="I199" s="771" t="s">
        <v>758</v>
      </c>
      <c r="J199" s="771" t="s">
        <v>713</v>
      </c>
      <c r="K199" s="771" t="s">
        <v>714</v>
      </c>
      <c r="L199" s="771" t="s">
        <v>711</v>
      </c>
      <c r="M199" s="771" t="s">
        <v>758</v>
      </c>
      <c r="N199" s="771" t="s">
        <v>713</v>
      </c>
      <c r="O199" s="771" t="s">
        <v>714</v>
      </c>
      <c r="P199" s="771" t="s">
        <v>711</v>
      </c>
      <c r="Q199" s="771" t="s">
        <v>758</v>
      </c>
      <c r="R199" s="771" t="s">
        <v>713</v>
      </c>
      <c r="S199" s="772" t="s">
        <v>714</v>
      </c>
    </row>
    <row r="200" spans="2:19" x14ac:dyDescent="0.25">
      <c r="C200" s="924" t="s">
        <v>759</v>
      </c>
      <c r="D200" s="999">
        <f>I120</f>
        <v>254.07479999999995</v>
      </c>
      <c r="E200" s="999">
        <f>N120</f>
        <v>381.23399999999998</v>
      </c>
      <c r="F200" s="999">
        <f>S120</f>
        <v>508.14959999999991</v>
      </c>
      <c r="G200" s="999">
        <f>X120</f>
        <v>262.92</v>
      </c>
      <c r="H200" s="999">
        <f t="shared" ref="H200:K201" si="64">$F186-D200</f>
        <v>-54.074799999999954</v>
      </c>
      <c r="I200" s="999">
        <f t="shared" si="64"/>
        <v>-181.23399999999998</v>
      </c>
      <c r="J200" s="999">
        <f t="shared" si="64"/>
        <v>-308.14959999999991</v>
      </c>
      <c r="K200" s="999">
        <f t="shared" si="64"/>
        <v>-62.920000000000016</v>
      </c>
      <c r="L200" s="999">
        <f>D200+H192</f>
        <v>392.88808522043007</v>
      </c>
      <c r="M200" s="999">
        <f t="shared" ref="M200:O201" si="65">E200+I192</f>
        <v>876.99573293010735</v>
      </c>
      <c r="N200" s="999">
        <f t="shared" si="65"/>
        <v>838.65742195340488</v>
      </c>
      <c r="O200" s="999">
        <f t="shared" si="65"/>
        <v>510.80086646505373</v>
      </c>
      <c r="P200" s="999">
        <f t="shared" ref="P200:S201" si="66">$G186-L200</f>
        <v>-94.031717184289107</v>
      </c>
      <c r="Q200" s="999">
        <f t="shared" si="66"/>
        <v>-578.13936489396633</v>
      </c>
      <c r="R200" s="999">
        <f t="shared" si="66"/>
        <v>-539.80105391726397</v>
      </c>
      <c r="S200" s="1000">
        <f t="shared" si="66"/>
        <v>-211.94449842891277</v>
      </c>
    </row>
    <row r="201" spans="2:19" ht="15.75" thickBot="1" x14ac:dyDescent="0.3">
      <c r="C201" s="935" t="s">
        <v>639</v>
      </c>
      <c r="D201" s="995">
        <f>I121</f>
        <v>397.07010000000002</v>
      </c>
      <c r="E201" s="995">
        <f>N121</f>
        <v>595.79550000000006</v>
      </c>
      <c r="F201" s="995">
        <f>S121</f>
        <v>794.14020000000005</v>
      </c>
      <c r="G201" s="995">
        <f>X121</f>
        <v>441.33000000000004</v>
      </c>
      <c r="H201" s="995">
        <f t="shared" si="64"/>
        <v>-197.07010000000002</v>
      </c>
      <c r="I201" s="995">
        <f t="shared" si="64"/>
        <v>-395.79550000000006</v>
      </c>
      <c r="J201" s="995">
        <f t="shared" si="64"/>
        <v>-594.14020000000005</v>
      </c>
      <c r="K201" s="995">
        <f t="shared" si="64"/>
        <v>-241.33000000000004</v>
      </c>
      <c r="L201" s="995">
        <f>D201+H193</f>
        <v>597.12956702538906</v>
      </c>
      <c r="M201" s="995">
        <f t="shared" si="65"/>
        <v>1285.6557311220313</v>
      </c>
      <c r="N201" s="995">
        <f t="shared" si="65"/>
        <v>1139.0703155610156</v>
      </c>
      <c r="O201" s="995">
        <f t="shared" si="65"/>
        <v>700.02758667076171</v>
      </c>
      <c r="P201" s="995">
        <f t="shared" si="66"/>
        <v>-293.56569873746315</v>
      </c>
      <c r="Q201" s="995">
        <f t="shared" si="66"/>
        <v>-982.09186283410531</v>
      </c>
      <c r="R201" s="995">
        <f t="shared" si="66"/>
        <v>-835.50644727308963</v>
      </c>
      <c r="S201" s="996">
        <f t="shared" si="66"/>
        <v>-396.46371838283579</v>
      </c>
    </row>
    <row r="203" spans="2:19" ht="15.75" thickBot="1" x14ac:dyDescent="0.3">
      <c r="C203" t="s">
        <v>765</v>
      </c>
      <c r="D203" t="s">
        <v>755</v>
      </c>
      <c r="H203" t="s">
        <v>756</v>
      </c>
      <c r="L203" t="s">
        <v>766</v>
      </c>
    </row>
    <row r="204" spans="2:19" ht="15.75" thickBot="1" x14ac:dyDescent="0.3">
      <c r="C204" s="737"/>
      <c r="D204" s="771" t="s">
        <v>711</v>
      </c>
      <c r="E204" s="771" t="s">
        <v>758</v>
      </c>
      <c r="F204" s="771" t="s">
        <v>713</v>
      </c>
      <c r="G204" s="771" t="s">
        <v>714</v>
      </c>
      <c r="H204" s="771" t="s">
        <v>711</v>
      </c>
      <c r="I204" s="771" t="s">
        <v>758</v>
      </c>
      <c r="J204" s="771" t="s">
        <v>713</v>
      </c>
      <c r="K204" s="771" t="s">
        <v>714</v>
      </c>
      <c r="L204" s="771" t="s">
        <v>711</v>
      </c>
      <c r="M204" s="771" t="s">
        <v>758</v>
      </c>
      <c r="N204" s="771" t="s">
        <v>713</v>
      </c>
      <c r="O204" s="772" t="s">
        <v>714</v>
      </c>
    </row>
    <row r="205" spans="2:19" x14ac:dyDescent="0.25">
      <c r="C205" s="924" t="s">
        <v>692</v>
      </c>
      <c r="D205" s="1001">
        <f t="shared" ref="D205:G206" si="67">IF(2*$C$184-D192&lt;=0,0.1,2*$C$184-D192)</f>
        <v>8.0000000000000016E-2</v>
      </c>
      <c r="E205" s="1002">
        <f t="shared" si="67"/>
        <v>0.1</v>
      </c>
      <c r="F205" s="1002">
        <f t="shared" si="67"/>
        <v>0.1</v>
      </c>
      <c r="G205" s="1002">
        <f t="shared" si="67"/>
        <v>0.1</v>
      </c>
      <c r="H205" s="992">
        <f t="shared" ref="H205:K206" si="68">D205*$E120</f>
        <v>7.1534120152927132</v>
      </c>
      <c r="I205" s="992">
        <f t="shared" si="68"/>
        <v>8.9417650191158895</v>
      </c>
      <c r="J205" s="992">
        <f t="shared" si="68"/>
        <v>8.9417650191158895</v>
      </c>
      <c r="K205" s="992">
        <f t="shared" si="68"/>
        <v>8.9417650191158895</v>
      </c>
      <c r="L205" s="992">
        <f>P200-H205</f>
        <v>-101.18512919958182</v>
      </c>
      <c r="M205" s="992">
        <f>Q200-I205</f>
        <v>-587.08112991308224</v>
      </c>
      <c r="N205" s="992">
        <f t="shared" ref="N205:O205" si="69">R200-J205</f>
        <v>-548.74281893637988</v>
      </c>
      <c r="O205" s="993">
        <f t="shared" si="69"/>
        <v>-220.88626344802864</v>
      </c>
    </row>
    <row r="206" spans="2:19" ht="15.75" thickBot="1" x14ac:dyDescent="0.3">
      <c r="C206" s="935" t="s">
        <v>693</v>
      </c>
      <c r="D206" s="1003">
        <f t="shared" si="67"/>
        <v>0.1</v>
      </c>
      <c r="E206" s="1004">
        <f t="shared" si="67"/>
        <v>0.1</v>
      </c>
      <c r="F206" s="1004">
        <f t="shared" si="67"/>
        <v>0.1</v>
      </c>
      <c r="G206" s="1004">
        <f t="shared" si="67"/>
        <v>0.1</v>
      </c>
      <c r="H206" s="995">
        <f t="shared" si="68"/>
        <v>9.4725357590688155</v>
      </c>
      <c r="I206" s="995">
        <f t="shared" si="68"/>
        <v>9.4725357590688155</v>
      </c>
      <c r="J206" s="995">
        <f t="shared" si="68"/>
        <v>9.4725357590688155</v>
      </c>
      <c r="K206" s="995">
        <f t="shared" si="68"/>
        <v>9.4725357590688155</v>
      </c>
      <c r="L206" s="995">
        <f>P201-H206</f>
        <v>-303.03823449653197</v>
      </c>
      <c r="M206" s="995">
        <f t="shared" ref="M206:O206" si="70">Q201-I206</f>
        <v>-991.56439859317413</v>
      </c>
      <c r="N206" s="995">
        <f t="shared" si="70"/>
        <v>-844.97898303215845</v>
      </c>
      <c r="O206" s="996">
        <f t="shared" si="70"/>
        <v>-405.93625414190461</v>
      </c>
    </row>
    <row r="208" spans="2:19" ht="15.75" thickBot="1" x14ac:dyDescent="0.3">
      <c r="B208" t="s">
        <v>767</v>
      </c>
      <c r="D208" t="s">
        <v>768</v>
      </c>
      <c r="H208" t="s">
        <v>769</v>
      </c>
      <c r="L208" t="s">
        <v>770</v>
      </c>
    </row>
    <row r="209" spans="2:19" ht="15.75" thickBot="1" x14ac:dyDescent="0.3">
      <c r="C209" s="737"/>
      <c r="D209" s="771" t="s">
        <v>711</v>
      </c>
      <c r="E209" s="771" t="s">
        <v>758</v>
      </c>
      <c r="F209" s="771" t="s">
        <v>713</v>
      </c>
      <c r="G209" s="771" t="s">
        <v>714</v>
      </c>
      <c r="H209" s="771" t="s">
        <v>711</v>
      </c>
      <c r="I209" s="771" t="s">
        <v>758</v>
      </c>
      <c r="J209" s="771" t="s">
        <v>713</v>
      </c>
      <c r="K209" s="771" t="s">
        <v>714</v>
      </c>
      <c r="L209" s="771" t="s">
        <v>711</v>
      </c>
      <c r="M209" s="771" t="s">
        <v>758</v>
      </c>
      <c r="N209" s="771" t="s">
        <v>713</v>
      </c>
      <c r="O209" s="772" t="s">
        <v>714</v>
      </c>
    </row>
    <row r="210" spans="2:19" x14ac:dyDescent="0.25">
      <c r="C210" s="924" t="s">
        <v>692</v>
      </c>
      <c r="D210" s="612">
        <f>G142*$L112</f>
        <v>14</v>
      </c>
      <c r="E210" s="612">
        <f>L142*$L112</f>
        <v>14</v>
      </c>
      <c r="F210" s="612">
        <f>Q142*$L112</f>
        <v>14</v>
      </c>
      <c r="G210" s="612">
        <f>V142*$L112</f>
        <v>28</v>
      </c>
      <c r="H210" s="1005">
        <f>L205/D210</f>
        <v>-7.2275092285415585</v>
      </c>
      <c r="I210" s="1005">
        <f t="shared" ref="I210:K211" si="71">M205/E210</f>
        <v>-41.93436642236302</v>
      </c>
      <c r="J210" s="1005">
        <f t="shared" si="71"/>
        <v>-39.195915638312847</v>
      </c>
      <c r="K210" s="1005">
        <f t="shared" si="71"/>
        <v>-7.88879512314388</v>
      </c>
      <c r="L210" s="999">
        <f>D210*H210</f>
        <v>-101.18512919958182</v>
      </c>
      <c r="M210" s="999">
        <f t="shared" ref="M210:O211" si="72">E210*I210</f>
        <v>-587.08112991308224</v>
      </c>
      <c r="N210" s="999">
        <f t="shared" si="72"/>
        <v>-548.74281893637988</v>
      </c>
      <c r="O210" s="1000">
        <f t="shared" si="72"/>
        <v>-220.88626344802864</v>
      </c>
    </row>
    <row r="211" spans="2:19" ht="15.75" thickBot="1" x14ac:dyDescent="0.3">
      <c r="C211" s="935" t="s">
        <v>693</v>
      </c>
      <c r="D211" s="912">
        <f>G143*$L113</f>
        <v>23.5</v>
      </c>
      <c r="E211" s="912">
        <f>L143*$L113</f>
        <v>23.5</v>
      </c>
      <c r="F211" s="912">
        <f>Q143*$L113</f>
        <v>23.5</v>
      </c>
      <c r="G211" s="912">
        <f>V143*$L113</f>
        <v>47</v>
      </c>
      <c r="H211" s="1006">
        <f>L206/D211</f>
        <v>-12.89524402112902</v>
      </c>
      <c r="I211" s="1006">
        <f t="shared" si="71"/>
        <v>-42.194229727369112</v>
      </c>
      <c r="J211" s="1006">
        <f t="shared" si="71"/>
        <v>-35.956552469453548</v>
      </c>
      <c r="K211" s="1006">
        <f t="shared" si="71"/>
        <v>-8.6369415774873328</v>
      </c>
      <c r="L211" s="995">
        <f>D211*H211</f>
        <v>-303.03823449653197</v>
      </c>
      <c r="M211" s="995">
        <f t="shared" si="72"/>
        <v>-991.56439859317413</v>
      </c>
      <c r="N211" s="995">
        <f t="shared" si="72"/>
        <v>-844.97898303215834</v>
      </c>
      <c r="O211" s="996">
        <f t="shared" si="72"/>
        <v>-405.93625414190467</v>
      </c>
    </row>
    <row r="212" spans="2:19" ht="15.75" thickBot="1" x14ac:dyDescent="0.3">
      <c r="H212" t="s">
        <v>771</v>
      </c>
    </row>
    <row r="213" spans="2:19" ht="15.75" thickBot="1" x14ac:dyDescent="0.3">
      <c r="B213" t="s">
        <v>772</v>
      </c>
      <c r="C213" s="737" t="s">
        <v>773</v>
      </c>
      <c r="D213" s="771" t="s">
        <v>711</v>
      </c>
      <c r="E213" s="771" t="s">
        <v>758</v>
      </c>
      <c r="F213" s="771" t="s">
        <v>713</v>
      </c>
      <c r="G213" s="771" t="s">
        <v>714</v>
      </c>
      <c r="H213" s="771" t="s">
        <v>711</v>
      </c>
      <c r="I213" s="771" t="s">
        <v>758</v>
      </c>
      <c r="J213" s="771" t="s">
        <v>713</v>
      </c>
      <c r="K213" s="772" t="s">
        <v>714</v>
      </c>
    </row>
    <row r="214" spans="2:19" x14ac:dyDescent="0.25">
      <c r="C214" s="967">
        <v>40</v>
      </c>
      <c r="D214" s="999">
        <f>L210+H205+L200</f>
        <v>298.85636803614096</v>
      </c>
      <c r="E214" s="999">
        <f t="shared" ref="E214:G215" si="73">M210+I205+M200</f>
        <v>298.85636803614102</v>
      </c>
      <c r="F214" s="999">
        <f t="shared" si="73"/>
        <v>298.85636803614091</v>
      </c>
      <c r="G214" s="999">
        <f t="shared" si="73"/>
        <v>298.85636803614096</v>
      </c>
      <c r="H214" s="999">
        <f t="shared" ref="H214:K215" si="74">D214-$G186</f>
        <v>0</v>
      </c>
      <c r="I214" s="999">
        <f t="shared" si="74"/>
        <v>0</v>
      </c>
      <c r="J214" s="999">
        <f t="shared" si="74"/>
        <v>0</v>
      </c>
      <c r="K214" s="1000">
        <f t="shared" si="74"/>
        <v>0</v>
      </c>
    </row>
    <row r="215" spans="2:19" ht="15.75" thickBot="1" x14ac:dyDescent="0.3">
      <c r="C215" s="974">
        <v>60</v>
      </c>
      <c r="D215" s="995">
        <f>L211+H206+L201</f>
        <v>303.56386828792591</v>
      </c>
      <c r="E215" s="995">
        <f t="shared" si="73"/>
        <v>303.56386828792597</v>
      </c>
      <c r="F215" s="995">
        <f t="shared" si="73"/>
        <v>303.56386828792608</v>
      </c>
      <c r="G215" s="995">
        <f t="shared" si="73"/>
        <v>303.56386828792586</v>
      </c>
      <c r="H215" s="995">
        <f t="shared" si="74"/>
        <v>0</v>
      </c>
      <c r="I215" s="995">
        <f t="shared" si="74"/>
        <v>0</v>
      </c>
      <c r="J215" s="995">
        <f t="shared" si="74"/>
        <v>0</v>
      </c>
      <c r="K215" s="996">
        <f t="shared" si="74"/>
        <v>0</v>
      </c>
    </row>
    <row r="217" spans="2:19" ht="15.75" thickBot="1" x14ac:dyDescent="0.3">
      <c r="B217" t="s">
        <v>774</v>
      </c>
    </row>
    <row r="218" spans="2:19" ht="15.75" thickBot="1" x14ac:dyDescent="0.3">
      <c r="C218" s="737"/>
      <c r="D218" s="743" t="s">
        <v>768</v>
      </c>
      <c r="E218" s="743"/>
      <c r="F218" s="743"/>
      <c r="G218" s="743"/>
      <c r="H218" s="743" t="s">
        <v>769</v>
      </c>
      <c r="I218" s="743"/>
      <c r="J218" s="743"/>
      <c r="K218" s="743"/>
      <c r="L218" s="743" t="s">
        <v>770</v>
      </c>
      <c r="M218" s="743"/>
      <c r="N218" s="743"/>
      <c r="O218" s="740"/>
    </row>
    <row r="219" spans="2:19" ht="15.75" thickBot="1" x14ac:dyDescent="0.3">
      <c r="C219" s="967"/>
      <c r="D219" s="771" t="s">
        <v>711</v>
      </c>
      <c r="E219" s="771" t="s">
        <v>758</v>
      </c>
      <c r="F219" s="771" t="s">
        <v>713</v>
      </c>
      <c r="G219" s="771" t="s">
        <v>714</v>
      </c>
      <c r="H219" s="771" t="s">
        <v>711</v>
      </c>
      <c r="I219" s="771" t="s">
        <v>758</v>
      </c>
      <c r="J219" s="771" t="s">
        <v>713</v>
      </c>
      <c r="K219" s="771" t="s">
        <v>714</v>
      </c>
      <c r="L219" s="771" t="s">
        <v>711</v>
      </c>
      <c r="M219" s="771" t="s">
        <v>758</v>
      </c>
      <c r="N219" s="771" t="s">
        <v>713</v>
      </c>
      <c r="O219" s="772" t="s">
        <v>714</v>
      </c>
    </row>
    <row r="220" spans="2:19" x14ac:dyDescent="0.25">
      <c r="C220" s="924" t="s">
        <v>692</v>
      </c>
      <c r="D220" s="612">
        <f>D210</f>
        <v>14</v>
      </c>
      <c r="E220" s="612">
        <f t="shared" ref="E220:G221" si="75">E210</f>
        <v>14</v>
      </c>
      <c r="F220" s="612">
        <f t="shared" si="75"/>
        <v>14</v>
      </c>
      <c r="G220" s="612">
        <f t="shared" si="75"/>
        <v>28</v>
      </c>
      <c r="H220" s="1005">
        <f>IF(L205/D220&gt;0,L205/D220,0.1)</f>
        <v>0.1</v>
      </c>
      <c r="I220" s="1005">
        <f t="shared" ref="I220:K221" si="76">IF(M205/E220&gt;0,M205/E220,0.1)</f>
        <v>0.1</v>
      </c>
      <c r="J220" s="1005">
        <f t="shared" si="76"/>
        <v>0.1</v>
      </c>
      <c r="K220" s="1005">
        <f t="shared" si="76"/>
        <v>0.1</v>
      </c>
      <c r="L220" s="999">
        <f>D220*H220</f>
        <v>1.4000000000000001</v>
      </c>
      <c r="M220" s="999">
        <f t="shared" ref="M220:O221" si="77">E220*I220</f>
        <v>1.4000000000000001</v>
      </c>
      <c r="N220" s="999">
        <f t="shared" si="77"/>
        <v>1.4000000000000001</v>
      </c>
      <c r="O220" s="1000">
        <f t="shared" si="77"/>
        <v>2.8000000000000003</v>
      </c>
    </row>
    <row r="221" spans="2:19" ht="15.75" thickBot="1" x14ac:dyDescent="0.3">
      <c r="C221" s="935" t="s">
        <v>693</v>
      </c>
      <c r="D221" s="912">
        <f>D211</f>
        <v>23.5</v>
      </c>
      <c r="E221" s="912">
        <f t="shared" si="75"/>
        <v>23.5</v>
      </c>
      <c r="F221" s="912">
        <f t="shared" si="75"/>
        <v>23.5</v>
      </c>
      <c r="G221" s="912">
        <f t="shared" si="75"/>
        <v>47</v>
      </c>
      <c r="H221" s="1006">
        <f>IF(L206/D221&gt;0,L206/D221,0.1)</f>
        <v>0.1</v>
      </c>
      <c r="I221" s="1006">
        <f t="shared" si="76"/>
        <v>0.1</v>
      </c>
      <c r="J221" s="1006">
        <f t="shared" si="76"/>
        <v>0.1</v>
      </c>
      <c r="K221" s="1006">
        <f t="shared" si="76"/>
        <v>0.1</v>
      </c>
      <c r="L221" s="995">
        <f>D221*H221</f>
        <v>2.35</v>
      </c>
      <c r="M221" s="995">
        <f t="shared" si="77"/>
        <v>2.35</v>
      </c>
      <c r="N221" s="995">
        <f t="shared" si="77"/>
        <v>2.35</v>
      </c>
      <c r="O221" s="996">
        <f t="shared" si="77"/>
        <v>4.7</v>
      </c>
    </row>
    <row r="222" spans="2:19" ht="15.75" thickBot="1" x14ac:dyDescent="0.3">
      <c r="H222" t="s">
        <v>771</v>
      </c>
      <c r="L222" s="646" t="s">
        <v>775</v>
      </c>
      <c r="P222" s="646" t="s">
        <v>775</v>
      </c>
    </row>
    <row r="223" spans="2:19" ht="15.75" thickBot="1" x14ac:dyDescent="0.3">
      <c r="B223" t="s">
        <v>772</v>
      </c>
      <c r="C223" s="737" t="s">
        <v>773</v>
      </c>
      <c r="D223" s="771" t="s">
        <v>711</v>
      </c>
      <c r="E223" s="771" t="s">
        <v>758</v>
      </c>
      <c r="F223" s="771" t="s">
        <v>713</v>
      </c>
      <c r="G223" s="771" t="s">
        <v>714</v>
      </c>
      <c r="H223" s="771" t="s">
        <v>711</v>
      </c>
      <c r="I223" s="771" t="s">
        <v>758</v>
      </c>
      <c r="J223" s="771" t="s">
        <v>713</v>
      </c>
      <c r="K223" s="772" t="s">
        <v>714</v>
      </c>
      <c r="L223" s="771" t="s">
        <v>711</v>
      </c>
      <c r="M223" s="771" t="s">
        <v>758</v>
      </c>
      <c r="N223" s="771" t="s">
        <v>713</v>
      </c>
      <c r="O223" s="772" t="s">
        <v>714</v>
      </c>
      <c r="P223" s="771" t="s">
        <v>711</v>
      </c>
      <c r="Q223" s="771" t="s">
        <v>758</v>
      </c>
      <c r="R223" s="771" t="s">
        <v>713</v>
      </c>
      <c r="S223" s="772" t="s">
        <v>714</v>
      </c>
    </row>
    <row r="224" spans="2:19" ht="15.75" thickBot="1" x14ac:dyDescent="0.3">
      <c r="C224" s="967">
        <v>40</v>
      </c>
      <c r="D224" s="999">
        <f>L220+H205+L200</f>
        <v>401.44149723572281</v>
      </c>
      <c r="E224" s="999">
        <f t="shared" ref="E224:G225" si="78">M220+I205+M200</f>
        <v>887.33749794922323</v>
      </c>
      <c r="F224" s="999">
        <f t="shared" si="78"/>
        <v>848.99918697252076</v>
      </c>
      <c r="G224" s="999">
        <f t="shared" si="78"/>
        <v>522.54263148416965</v>
      </c>
      <c r="H224" s="999">
        <f t="shared" ref="H224:K225" si="79">D224-$G186</f>
        <v>102.58512919958184</v>
      </c>
      <c r="I224" s="999">
        <f t="shared" si="79"/>
        <v>588.48112991308221</v>
      </c>
      <c r="J224" s="999">
        <f t="shared" si="79"/>
        <v>550.14281893637985</v>
      </c>
      <c r="K224" s="1000">
        <f t="shared" si="79"/>
        <v>223.68626344802868</v>
      </c>
      <c r="L224" s="991">
        <f>D224-2*$K120</f>
        <v>-367.03892892485061</v>
      </c>
      <c r="M224" s="991">
        <f>E224-2*$P120</f>
        <v>-804.88345262425355</v>
      </c>
      <c r="N224" s="992">
        <f>F224-2*$U120</f>
        <v>-787.13531340979682</v>
      </c>
      <c r="O224" s="993">
        <f>G224-2*$Z120</f>
        <v>-468.17384380256874</v>
      </c>
      <c r="P224" s="1007">
        <f t="shared" ref="P224:S225" si="80">L224/$J134</f>
        <v>-0.30887224157721038</v>
      </c>
      <c r="Q224" s="1007">
        <f t="shared" si="80"/>
        <v>-0.67732912404874224</v>
      </c>
      <c r="R224" s="1007">
        <f t="shared" si="80"/>
        <v>-0.66239363053296851</v>
      </c>
      <c r="S224" s="1008">
        <f t="shared" si="80"/>
        <v>-0.39397974761615956</v>
      </c>
    </row>
    <row r="225" spans="3:19" ht="15.75" thickBot="1" x14ac:dyDescent="0.3">
      <c r="C225" s="974">
        <v>60</v>
      </c>
      <c r="D225" s="995">
        <f>L221+H206+L201</f>
        <v>608.95210278445791</v>
      </c>
      <c r="E225" s="995">
        <f t="shared" si="78"/>
        <v>1297.4782668811001</v>
      </c>
      <c r="F225" s="995">
        <f t="shared" si="78"/>
        <v>1150.8928513200844</v>
      </c>
      <c r="G225" s="995">
        <f t="shared" si="78"/>
        <v>714.20012242983057</v>
      </c>
      <c r="H225" s="995">
        <f t="shared" si="79"/>
        <v>305.38823449653199</v>
      </c>
      <c r="I225" s="995">
        <f t="shared" si="79"/>
        <v>993.91439859317416</v>
      </c>
      <c r="J225" s="995">
        <f t="shared" si="79"/>
        <v>847.32898303215848</v>
      </c>
      <c r="K225" s="996">
        <f t="shared" si="79"/>
        <v>410.63625414190466</v>
      </c>
      <c r="L225" s="1009">
        <f>D225-2*$K121</f>
        <v>-560.24551202074042</v>
      </c>
      <c r="M225" s="1009">
        <f>E225-2*$P121</f>
        <v>-1187.4141634816526</v>
      </c>
      <c r="N225" s="1010">
        <f>F225-2*$U121</f>
        <v>-1084.0382638612919</v>
      </c>
      <c r="O225" s="1011">
        <f>G225-2*$Z121</f>
        <v>-653.44791395620177</v>
      </c>
      <c r="P225" s="1012">
        <f t="shared" si="80"/>
        <v>-0.34346774205632796</v>
      </c>
      <c r="Q225" s="1012">
        <f t="shared" si="80"/>
        <v>-0.7279638174087657</v>
      </c>
      <c r="R225" s="1012">
        <f t="shared" si="80"/>
        <v>-0.66458751886854206</v>
      </c>
      <c r="S225" s="1013">
        <f t="shared" si="80"/>
        <v>-0.4006070102167022</v>
      </c>
    </row>
  </sheetData>
  <mergeCells count="2">
    <mergeCell ref="C45:C52"/>
    <mergeCell ref="C91:C104"/>
  </mergeCells>
  <conditionalFormatting sqref="D195:G196">
    <cfRule type="cellIs" dxfId="5" priority="2" operator="lessThan">
      <formula>0</formula>
    </cfRule>
  </conditionalFormatting>
  <conditionalFormatting sqref="L205:O206">
    <cfRule type="cellIs" dxfId="4" priority="1" operator="lessThan">
      <formula>0</formula>
    </cfRule>
  </conditionalFormatting>
  <pageMargins left="0.7" right="0.7" top="0.75" bottom="0.75" header="0.3" footer="0.3"/>
  <pageSetup paperSize="9"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95"/>
  <sheetViews>
    <sheetView topLeftCell="L37" zoomScale="84" zoomScaleNormal="84" zoomScaleSheetLayoutView="381" workbookViewId="0">
      <selection activeCell="AC75" sqref="AC75:AC78"/>
    </sheetView>
  </sheetViews>
  <sheetFormatPr defaultRowHeight="15" x14ac:dyDescent="0.25"/>
  <cols>
    <col min="3" max="3" width="15.7109375" bestFit="1" customWidth="1"/>
    <col min="4" max="4" width="17.5703125" customWidth="1"/>
    <col min="5" max="5" width="15.28515625" bestFit="1" customWidth="1"/>
    <col min="6" max="6" width="18.28515625" bestFit="1" customWidth="1"/>
    <col min="7" max="7" width="17.5703125" bestFit="1" customWidth="1"/>
    <col min="8" max="8" width="20.7109375" bestFit="1" customWidth="1"/>
    <col min="9" max="9" width="18.28515625" bestFit="1" customWidth="1"/>
    <col min="10" max="10" width="20.7109375" bestFit="1" customWidth="1"/>
    <col min="11" max="11" width="17.7109375" bestFit="1" customWidth="1"/>
    <col min="12" max="12" width="15.7109375" bestFit="1" customWidth="1"/>
    <col min="13" max="13" width="25.42578125" bestFit="1" customWidth="1"/>
    <col min="14" max="14" width="17" bestFit="1" customWidth="1"/>
    <col min="15" max="15" width="19.140625" bestFit="1" customWidth="1"/>
    <col min="16" max="16" width="19.85546875" bestFit="1" customWidth="1"/>
    <col min="17" max="18" width="18.28515625" bestFit="1" customWidth="1"/>
    <col min="19" max="20" width="21.7109375" bestFit="1" customWidth="1"/>
    <col min="21" max="21" width="13" bestFit="1" customWidth="1"/>
    <col min="22" max="22" width="16.28515625" bestFit="1" customWidth="1"/>
    <col min="23" max="23" width="11.85546875" customWidth="1"/>
    <col min="24" max="24" width="14.7109375" bestFit="1" customWidth="1"/>
    <col min="25" max="25" width="17.28515625" bestFit="1" customWidth="1"/>
    <col min="26" max="26" width="13.42578125" customWidth="1"/>
    <col min="27" max="27" width="14.28515625" customWidth="1"/>
    <col min="28" max="28" width="12.7109375" customWidth="1"/>
  </cols>
  <sheetData>
    <row r="1" spans="1:26 16384:16384" x14ac:dyDescent="0.25">
      <c r="B1" t="s">
        <v>609</v>
      </c>
    </row>
    <row r="2" spans="1:26 16384:16384" x14ac:dyDescent="0.25">
      <c r="L2" t="s">
        <v>610</v>
      </c>
      <c r="M2" t="s">
        <v>611</v>
      </c>
    </row>
    <row r="3" spans="1:26 16384:16384" ht="28.5" x14ac:dyDescent="0.45">
      <c r="B3" s="652" t="s">
        <v>612</v>
      </c>
      <c r="K3" s="653">
        <v>8.6920999999999999</v>
      </c>
      <c r="L3" s="653">
        <v>1</v>
      </c>
      <c r="M3">
        <f>1/L3</f>
        <v>1</v>
      </c>
    </row>
    <row r="4" spans="1:26 16384:16384" ht="28.5" x14ac:dyDescent="0.45">
      <c r="B4" s="652"/>
    </row>
    <row r="5" spans="1:26 16384:16384" ht="15.75" thickBot="1" x14ac:dyDescent="0.3">
      <c r="A5" s="654" t="s">
        <v>613</v>
      </c>
      <c r="B5" s="654"/>
      <c r="C5" s="654"/>
      <c r="D5" s="654"/>
      <c r="E5" s="654"/>
      <c r="F5" s="654"/>
      <c r="G5" s="654"/>
      <c r="H5" s="654"/>
      <c r="I5" s="654"/>
      <c r="J5" s="654"/>
      <c r="K5" s="654"/>
      <c r="L5" s="654"/>
      <c r="M5" s="654"/>
      <c r="N5" s="654"/>
      <c r="O5" s="654"/>
      <c r="P5" s="654"/>
      <c r="Q5" s="654"/>
      <c r="R5" s="655"/>
      <c r="S5" s="655"/>
      <c r="T5" s="655"/>
      <c r="U5" s="655"/>
      <c r="V5" s="655"/>
      <c r="W5" s="655"/>
      <c r="X5" s="655"/>
      <c r="Y5" s="655"/>
      <c r="Z5" s="655"/>
    </row>
    <row r="6" spans="1:26 16384:16384" ht="93.75" thickBot="1" x14ac:dyDescent="0.5">
      <c r="B6" s="652"/>
      <c r="C6" s="656" t="s">
        <v>614</v>
      </c>
      <c r="D6" s="657" t="s">
        <v>615</v>
      </c>
      <c r="E6" s="658" t="s">
        <v>616</v>
      </c>
      <c r="F6" s="659" t="s">
        <v>617</v>
      </c>
      <c r="G6" s="659" t="s">
        <v>618</v>
      </c>
      <c r="H6" s="660" t="s">
        <v>619</v>
      </c>
      <c r="I6" s="660" t="s">
        <v>620</v>
      </c>
      <c r="J6" s="659" t="s">
        <v>621</v>
      </c>
      <c r="K6" s="659" t="s">
        <v>622</v>
      </c>
      <c r="L6" s="660" t="s">
        <v>623</v>
      </c>
      <c r="M6" s="659" t="s">
        <v>624</v>
      </c>
      <c r="N6" s="661" t="s">
        <v>625</v>
      </c>
      <c r="O6" s="660" t="s">
        <v>626</v>
      </c>
      <c r="P6" s="662" t="s">
        <v>627</v>
      </c>
      <c r="Q6" s="663" t="s">
        <v>628</v>
      </c>
      <c r="R6" s="662" t="s">
        <v>629</v>
      </c>
      <c r="S6" s="664" t="s">
        <v>630</v>
      </c>
      <c r="T6" s="665" t="s">
        <v>631</v>
      </c>
      <c r="U6" s="666" t="s">
        <v>632</v>
      </c>
      <c r="V6" s="667" t="s">
        <v>633</v>
      </c>
      <c r="W6" s="667" t="s">
        <v>634</v>
      </c>
      <c r="XFD6" s="668"/>
    </row>
    <row r="7" spans="1:26 16384:16384" ht="16.149999999999999" customHeight="1" x14ac:dyDescent="0.45">
      <c r="B7" s="652"/>
      <c r="C7" s="669" t="s">
        <v>635</v>
      </c>
      <c r="D7" s="670">
        <v>0.05</v>
      </c>
      <c r="E7" s="671">
        <v>3</v>
      </c>
      <c r="F7" s="672">
        <v>0.3</v>
      </c>
      <c r="G7" s="672">
        <f>1-F7</f>
        <v>0.7</v>
      </c>
      <c r="H7" s="671">
        <f>50000</f>
        <v>50000</v>
      </c>
      <c r="I7" s="671">
        <v>1920</v>
      </c>
      <c r="J7" s="671">
        <v>2</v>
      </c>
      <c r="K7" s="671">
        <v>4</v>
      </c>
      <c r="L7" s="671">
        <v>7.1999999999999995E-2</v>
      </c>
      <c r="M7" s="673">
        <v>9.64</v>
      </c>
      <c r="N7" s="674">
        <v>33167</v>
      </c>
      <c r="O7" s="674">
        <v>272000</v>
      </c>
      <c r="P7" s="675">
        <v>52000</v>
      </c>
      <c r="Q7" s="676">
        <v>4.9000000000000002E-2</v>
      </c>
      <c r="R7" s="677">
        <v>0.16200000000000001</v>
      </c>
      <c r="S7" s="677">
        <v>0.68</v>
      </c>
      <c r="T7" s="678">
        <v>15.79</v>
      </c>
      <c r="U7" s="679">
        <v>19.170000000000002</v>
      </c>
      <c r="V7" s="680">
        <v>0.90329999999999999</v>
      </c>
      <c r="W7" s="681">
        <v>1.4034</v>
      </c>
    </row>
    <row r="8" spans="1:26 16384:16384" ht="16.149999999999999" customHeight="1" x14ac:dyDescent="0.45">
      <c r="B8" s="652"/>
      <c r="C8" s="682" t="s">
        <v>636</v>
      </c>
      <c r="D8" s="683">
        <v>0.05</v>
      </c>
      <c r="E8" s="684">
        <v>8</v>
      </c>
      <c r="F8" s="685">
        <v>0.3</v>
      </c>
      <c r="G8" s="685">
        <f>1-F8</f>
        <v>0.7</v>
      </c>
      <c r="H8" s="684">
        <v>45000</v>
      </c>
      <c r="I8" s="684">
        <v>2000</v>
      </c>
      <c r="J8" s="684">
        <v>2</v>
      </c>
      <c r="K8" s="684">
        <v>6</v>
      </c>
      <c r="L8" s="684">
        <v>0.16400000000000001</v>
      </c>
      <c r="M8" s="674">
        <f>M7</f>
        <v>9.64</v>
      </c>
      <c r="N8" s="686">
        <v>58095</v>
      </c>
      <c r="O8" s="686">
        <v>963000</v>
      </c>
      <c r="P8" s="687">
        <v>94000</v>
      </c>
      <c r="Q8" s="688">
        <v>0.11</v>
      </c>
      <c r="R8" s="689">
        <v>0.84699999999999998</v>
      </c>
      <c r="S8" s="689">
        <v>0.85</v>
      </c>
      <c r="T8" s="690">
        <f>T7</f>
        <v>15.79</v>
      </c>
      <c r="U8" s="691">
        <f>U7</f>
        <v>19.170000000000002</v>
      </c>
      <c r="V8" s="692">
        <f>V7</f>
        <v>0.90329999999999999</v>
      </c>
      <c r="W8" s="693">
        <f>W7</f>
        <v>1.4034</v>
      </c>
    </row>
    <row r="9" spans="1:26 16384:16384" ht="16.149999999999999" customHeight="1" x14ac:dyDescent="0.45">
      <c r="B9" s="652"/>
      <c r="C9" s="682" t="s">
        <v>637</v>
      </c>
      <c r="D9" s="683">
        <v>0.05</v>
      </c>
      <c r="E9" s="684">
        <v>8</v>
      </c>
      <c r="F9" s="685">
        <v>0.3</v>
      </c>
      <c r="G9" s="685">
        <f>1-F9</f>
        <v>0.7</v>
      </c>
      <c r="H9" s="684">
        <v>60000</v>
      </c>
      <c r="I9" s="684">
        <v>2000</v>
      </c>
      <c r="J9" s="684">
        <v>3</v>
      </c>
      <c r="K9" s="684">
        <v>10</v>
      </c>
      <c r="L9" s="684">
        <v>0.222</v>
      </c>
      <c r="M9" s="674">
        <f>M8</f>
        <v>9.64</v>
      </c>
      <c r="N9" s="686">
        <v>72906</v>
      </c>
      <c r="O9" s="686">
        <v>1542000</v>
      </c>
      <c r="P9" s="687">
        <v>125000</v>
      </c>
      <c r="Q9" s="688">
        <v>0.14299999999999999</v>
      </c>
      <c r="R9" s="689">
        <v>0.84699999999999998</v>
      </c>
      <c r="S9" s="689">
        <v>0.85</v>
      </c>
      <c r="T9" s="690">
        <f t="shared" ref="T9:W11" si="0">T8</f>
        <v>15.79</v>
      </c>
      <c r="U9" s="691">
        <f t="shared" si="0"/>
        <v>19.170000000000002</v>
      </c>
      <c r="V9" s="692">
        <f t="shared" si="0"/>
        <v>0.90329999999999999</v>
      </c>
      <c r="W9" s="693">
        <f t="shared" si="0"/>
        <v>1.4034</v>
      </c>
    </row>
    <row r="10" spans="1:26 16384:16384" ht="16.149999999999999" customHeight="1" x14ac:dyDescent="0.45">
      <c r="B10" s="652"/>
      <c r="C10" s="682" t="s">
        <v>638</v>
      </c>
      <c r="D10" s="683">
        <v>0.05</v>
      </c>
      <c r="E10" s="684">
        <v>7</v>
      </c>
      <c r="F10" s="685">
        <v>0.3</v>
      </c>
      <c r="G10" s="685">
        <f>1-F10</f>
        <v>0.7</v>
      </c>
      <c r="H10" s="684">
        <v>125000</v>
      </c>
      <c r="I10" s="684">
        <v>3500</v>
      </c>
      <c r="J10" s="684">
        <v>7</v>
      </c>
      <c r="K10" s="684">
        <v>18</v>
      </c>
      <c r="L10" s="684">
        <v>0.27100000000000002</v>
      </c>
      <c r="M10" s="674">
        <f>M9</f>
        <v>9.64</v>
      </c>
      <c r="N10" s="686">
        <v>109046</v>
      </c>
      <c r="O10" s="686">
        <v>2451000</v>
      </c>
      <c r="P10" s="687">
        <v>219000</v>
      </c>
      <c r="Q10" s="688">
        <v>0.17699999999999999</v>
      </c>
      <c r="R10" s="689">
        <v>1.337</v>
      </c>
      <c r="S10" s="689">
        <v>0.36</v>
      </c>
      <c r="T10" s="690">
        <f t="shared" si="0"/>
        <v>15.79</v>
      </c>
      <c r="U10" s="691">
        <f t="shared" si="0"/>
        <v>19.170000000000002</v>
      </c>
      <c r="V10" s="692">
        <f t="shared" si="0"/>
        <v>0.90329999999999999</v>
      </c>
      <c r="W10" s="693">
        <f t="shared" si="0"/>
        <v>1.4034</v>
      </c>
    </row>
    <row r="11" spans="1:26 16384:16384" ht="16.149999999999999" customHeight="1" thickBot="1" x14ac:dyDescent="0.5">
      <c r="A11">
        <v>25</v>
      </c>
      <c r="B11" s="652"/>
      <c r="C11" s="694" t="s">
        <v>639</v>
      </c>
      <c r="D11" s="695">
        <v>0.05</v>
      </c>
      <c r="E11" s="696">
        <v>7</v>
      </c>
      <c r="F11" s="697">
        <v>0.3</v>
      </c>
      <c r="G11" s="697">
        <f>1-F11</f>
        <v>0.7</v>
      </c>
      <c r="H11" s="696">
        <v>125000</v>
      </c>
      <c r="I11" s="696">
        <v>3500</v>
      </c>
      <c r="J11" s="696">
        <v>7</v>
      </c>
      <c r="K11" s="696">
        <v>26</v>
      </c>
      <c r="L11" s="696">
        <v>0.35199999999999998</v>
      </c>
      <c r="M11" s="698">
        <f>M10</f>
        <v>9.64</v>
      </c>
      <c r="N11" s="699">
        <v>112696</v>
      </c>
      <c r="O11" s="699">
        <v>2682000</v>
      </c>
      <c r="P11" s="700">
        <v>240000</v>
      </c>
      <c r="Q11" s="701">
        <v>0.23</v>
      </c>
      <c r="R11" s="702">
        <v>1.518</v>
      </c>
      <c r="S11" s="702">
        <v>0.19</v>
      </c>
      <c r="T11" s="703">
        <f t="shared" si="0"/>
        <v>15.79</v>
      </c>
      <c r="U11" s="704">
        <f t="shared" si="0"/>
        <v>19.170000000000002</v>
      </c>
      <c r="V11" s="703">
        <f t="shared" si="0"/>
        <v>0.90329999999999999</v>
      </c>
      <c r="W11" s="704">
        <f t="shared" si="0"/>
        <v>1.4034</v>
      </c>
    </row>
    <row r="12" spans="1:26 16384:16384" ht="16.149999999999999" customHeight="1" thickBot="1" x14ac:dyDescent="0.5">
      <c r="B12" s="652"/>
      <c r="C12" s="705"/>
      <c r="D12" s="634"/>
      <c r="E12" s="612"/>
      <c r="F12" s="634"/>
      <c r="G12" s="634"/>
      <c r="H12" s="612"/>
      <c r="I12" s="612"/>
      <c r="J12" s="646"/>
      <c r="K12" s="646"/>
      <c r="L12" s="646"/>
      <c r="M12" s="646"/>
      <c r="N12" s="612"/>
      <c r="O12" s="612"/>
      <c r="P12" s="612"/>
    </row>
    <row r="13" spans="1:26 16384:16384" ht="16.149999999999999" customHeight="1" x14ac:dyDescent="0.45">
      <c r="B13" s="652"/>
      <c r="C13" s="706" t="s">
        <v>640</v>
      </c>
      <c r="D13" s="707"/>
      <c r="E13" s="708"/>
      <c r="F13" s="708"/>
      <c r="G13" s="708"/>
      <c r="H13" s="708"/>
      <c r="I13" s="708"/>
      <c r="J13" s="709"/>
      <c r="L13" s="646"/>
      <c r="M13" s="646"/>
      <c r="N13" s="612"/>
      <c r="O13" s="612"/>
      <c r="P13" s="612"/>
    </row>
    <row r="14" spans="1:26 16384:16384" ht="16.149999999999999" customHeight="1" thickBot="1" x14ac:dyDescent="0.5">
      <c r="B14" s="652"/>
      <c r="C14" s="710" t="s">
        <v>641</v>
      </c>
      <c r="D14" s="711" t="s">
        <v>642</v>
      </c>
      <c r="E14" s="712" t="s">
        <v>643</v>
      </c>
      <c r="F14" s="712" t="s">
        <v>644</v>
      </c>
      <c r="G14" s="713" t="s">
        <v>645</v>
      </c>
      <c r="H14" s="712" t="s">
        <v>646</v>
      </c>
      <c r="I14" s="712" t="s">
        <v>647</v>
      </c>
      <c r="J14" s="714" t="s">
        <v>648</v>
      </c>
      <c r="L14" s="646"/>
      <c r="M14" s="646"/>
      <c r="N14" s="612"/>
      <c r="O14" s="612"/>
      <c r="P14" s="612"/>
    </row>
    <row r="15" spans="1:26 16384:16384" ht="16.149999999999999" customHeight="1" x14ac:dyDescent="0.45">
      <c r="B15" s="652"/>
      <c r="C15" s="715" t="s">
        <v>635</v>
      </c>
      <c r="D15" s="716">
        <f>[3]Database_obsolete!L6/([3]Database_obsolete!L6+[3]Database_obsolete!M6)*N7</f>
        <v>12435.137972405517</v>
      </c>
      <c r="E15" s="717">
        <f>[3]Database_obsolete!M6/([3]Database_obsolete!L6+[3]Database_obsolete!M6)*N7</f>
        <v>20731.862027594478</v>
      </c>
      <c r="F15" s="717">
        <f>(O7-P7)/E7</f>
        <v>73333.333333333328</v>
      </c>
      <c r="G15" s="717">
        <f>F15*F7</f>
        <v>21999.999999999996</v>
      </c>
      <c r="H15" s="717">
        <f>O7*D7/2</f>
        <v>6800</v>
      </c>
      <c r="I15" s="717">
        <v>3651</v>
      </c>
      <c r="J15" s="718">
        <f>D15+E15+G15+H15+I15</f>
        <v>65617.999999999985</v>
      </c>
      <c r="K15" s="719"/>
      <c r="L15" s="720"/>
      <c r="M15" s="646"/>
      <c r="N15" s="612"/>
      <c r="O15" s="612"/>
      <c r="P15" s="612"/>
    </row>
    <row r="16" spans="1:26 16384:16384" ht="16.149999999999999" customHeight="1" x14ac:dyDescent="0.45">
      <c r="B16" s="652"/>
      <c r="C16" s="721" t="s">
        <v>636</v>
      </c>
      <c r="D16" s="722">
        <f>[3]Database_obsolete!L7/([3]Database_obsolete!L7+[3]Database_obsolete!M7)*N8</f>
        <v>36813.922146401979</v>
      </c>
      <c r="E16" s="723">
        <f>[3]Database_obsolete!M7/([3]Database_obsolete!L7+[3]Database_obsolete!M7)*N8</f>
        <v>21281.077853598013</v>
      </c>
      <c r="F16" s="723">
        <f>(O8-P8)/E8</f>
        <v>108625</v>
      </c>
      <c r="G16" s="723">
        <f>F16*F8</f>
        <v>32587.5</v>
      </c>
      <c r="H16" s="723">
        <f>O8*D8/2</f>
        <v>24075</v>
      </c>
      <c r="I16" s="723">
        <v>10553</v>
      </c>
      <c r="J16" s="724">
        <f>D16+E16+G16+H16+I16</f>
        <v>125310.5</v>
      </c>
      <c r="K16" s="719"/>
      <c r="L16" s="720"/>
      <c r="M16" s="646"/>
      <c r="N16" s="612"/>
      <c r="O16" s="612"/>
      <c r="P16" s="612"/>
    </row>
    <row r="17" spans="1:28" ht="16.149999999999999" customHeight="1" x14ac:dyDescent="0.45">
      <c r="B17" s="652"/>
      <c r="C17" s="721" t="s">
        <v>637</v>
      </c>
      <c r="D17" s="722">
        <f>[3]Database_obsolete!L8/([3]Database_obsolete!L8+[3]Database_obsolete!M8)*N9</f>
        <v>40838.4031459365</v>
      </c>
      <c r="E17" s="723">
        <f>[3]Database_obsolete!M8/([3]Database_obsolete!L8+[3]Database_obsolete!M8)*N9</f>
        <v>32067.5968540635</v>
      </c>
      <c r="F17" s="723">
        <f>(O9-P9)/E9</f>
        <v>177125</v>
      </c>
      <c r="G17" s="723">
        <f>F17*F9</f>
        <v>53137.5</v>
      </c>
      <c r="H17" s="723">
        <f>O9*D9/2</f>
        <v>38550</v>
      </c>
      <c r="I17" s="723">
        <v>12898</v>
      </c>
      <c r="J17" s="724">
        <f>D17+E17+G17+H17+I17</f>
        <v>177491.5</v>
      </c>
      <c r="K17" s="719"/>
      <c r="L17" s="720"/>
      <c r="M17" s="646"/>
      <c r="N17" s="612"/>
      <c r="O17" s="612"/>
      <c r="P17" s="612"/>
    </row>
    <row r="18" spans="1:28" ht="16.149999999999999" customHeight="1" x14ac:dyDescent="0.45">
      <c r="B18" s="652"/>
      <c r="C18" s="721" t="s">
        <v>638</v>
      </c>
      <c r="D18" s="722">
        <f>[3]Database_obsolete!L9/([3]Database_obsolete!L9+[3]Database_obsolete!M9)*N10</f>
        <v>62864.062456140346</v>
      </c>
      <c r="E18" s="723">
        <f>[3]Database_obsolete!M9/([3]Database_obsolete!L9+[3]Database_obsolete!M9)*N10</f>
        <v>46181.937543859647</v>
      </c>
      <c r="F18" s="723">
        <f>(O10-P10)/E10</f>
        <v>318857.14285714284</v>
      </c>
      <c r="G18" s="723">
        <f>F18*F10</f>
        <v>95657.142857142855</v>
      </c>
      <c r="H18" s="723">
        <f>O10*D10/2</f>
        <v>61275</v>
      </c>
      <c r="I18" s="725">
        <v>27818</v>
      </c>
      <c r="J18" s="724">
        <f>D18+E18+G18+H18+I18</f>
        <v>293796.14285714284</v>
      </c>
      <c r="K18" s="719"/>
      <c r="L18" s="720"/>
      <c r="M18" s="726"/>
      <c r="N18" s="612"/>
      <c r="O18" s="612"/>
      <c r="P18" s="612"/>
    </row>
    <row r="19" spans="1:28" ht="16.149999999999999" customHeight="1" thickBot="1" x14ac:dyDescent="0.5">
      <c r="B19" s="652"/>
      <c r="C19" s="727" t="s">
        <v>639</v>
      </c>
      <c r="D19" s="728">
        <f>[3]Database_obsolete!L10/([3]Database_obsolete!L10+[3]Database_obsolete!M10)*N11</f>
        <v>66395.414504324683</v>
      </c>
      <c r="E19" s="729">
        <f>[3]Database_obsolete!M10/([3]Database_obsolete!L10+[3]Database_obsolete!M10)*N11</f>
        <v>46300.58549567531</v>
      </c>
      <c r="F19" s="729">
        <f>(O11-P11)/E11</f>
        <v>348857.14285714284</v>
      </c>
      <c r="G19" s="729">
        <f>F19*F11</f>
        <v>104657.14285714286</v>
      </c>
      <c r="H19" s="729">
        <f>(O11*D11)/2</f>
        <v>67050</v>
      </c>
      <c r="I19" s="730">
        <v>27818</v>
      </c>
      <c r="J19" s="731" t="s">
        <v>776</v>
      </c>
      <c r="K19" s="719"/>
      <c r="L19" s="720"/>
      <c r="M19" s="646"/>
      <c r="N19" s="612"/>
      <c r="O19" s="612"/>
      <c r="P19" s="612"/>
    </row>
    <row r="20" spans="1:28" ht="16.149999999999999" customHeight="1" x14ac:dyDescent="0.45">
      <c r="B20" s="652"/>
      <c r="C20" s="705"/>
      <c r="D20" s="634"/>
      <c r="E20" s="612"/>
      <c r="F20" s="634"/>
      <c r="G20" s="634"/>
      <c r="H20" s="612"/>
      <c r="I20" s="612"/>
      <c r="J20" s="646"/>
      <c r="K20" s="646"/>
      <c r="L20" s="646"/>
      <c r="M20" s="646"/>
      <c r="N20" s="612"/>
      <c r="O20" s="612"/>
      <c r="P20" s="612"/>
    </row>
    <row r="21" spans="1:28" ht="16.149999999999999" customHeight="1" thickBot="1" x14ac:dyDescent="0.5">
      <c r="A21" t="s">
        <v>649</v>
      </c>
      <c r="B21" s="652"/>
      <c r="C21" s="732" t="s">
        <v>650</v>
      </c>
      <c r="D21" s="733" t="s">
        <v>651</v>
      </c>
      <c r="E21" s="646"/>
    </row>
    <row r="22" spans="1:28" ht="16.149999999999999" customHeight="1" thickBot="1" x14ac:dyDescent="0.5">
      <c r="B22" s="652"/>
      <c r="C22" s="734" t="s">
        <v>652</v>
      </c>
      <c r="D22" s="735" t="str">
        <f>[3]Database_obsolete!C20</f>
        <v>Distance costs</v>
      </c>
      <c r="E22" s="735"/>
      <c r="F22" s="735"/>
      <c r="G22" s="735"/>
      <c r="H22" s="735"/>
      <c r="I22" s="735" t="str">
        <f>[3]Database_obsolete!H20</f>
        <v>Time costs</v>
      </c>
      <c r="J22" s="735"/>
      <c r="K22" s="735"/>
      <c r="L22" s="735"/>
      <c r="M22" s="735"/>
      <c r="N22" s="735"/>
      <c r="O22" s="735"/>
      <c r="P22" s="735"/>
      <c r="Q22" s="736"/>
    </row>
    <row r="23" spans="1:28" ht="16.149999999999999" customHeight="1" thickBot="1" x14ac:dyDescent="0.5">
      <c r="B23" s="652"/>
      <c r="C23" s="737" t="str">
        <f>[3]Database_obsolete!B21</f>
        <v>Truck type</v>
      </c>
      <c r="D23" s="738" t="str">
        <f>[3]Database_obsolete!C21</f>
        <v>Fuel</v>
      </c>
      <c r="E23" s="739" t="str">
        <f>[3]Database_obsolete!D21</f>
        <v>Maintenance</v>
      </c>
      <c r="F23" s="739" t="str">
        <f>[3]Database_obsolete!E21</f>
        <v>Tires</v>
      </c>
      <c r="G23" s="738" t="str">
        <f>[3]Database_obsolete!F21</f>
        <v>Depreciation</v>
      </c>
      <c r="H23" s="740" t="str">
        <f>[3]Database_obsolete!G21</f>
        <v>Total distance</v>
      </c>
      <c r="I23" s="741" t="str">
        <f>[3]Database_obsolete!H21</f>
        <v>Driver</v>
      </c>
      <c r="J23" s="742" t="str">
        <f>[3]Database_obsolete!I21</f>
        <v xml:space="preserve">Capital </v>
      </c>
      <c r="K23" s="742" t="str">
        <f>[3]Database_obsolete!J21</f>
        <v>Depreciation</v>
      </c>
      <c r="L23" s="742" t="str">
        <f>[3]Database_obsolete!K21</f>
        <v>Taxes</v>
      </c>
      <c r="M23" s="742" t="str">
        <f>[3]Database_obsolete!L21</f>
        <v>Insurance</v>
      </c>
      <c r="N23" s="742" t="str">
        <f>[3]Database_obsolete!M21</f>
        <v>Other</v>
      </c>
      <c r="O23" s="743"/>
      <c r="P23" s="743"/>
      <c r="Q23" s="740" t="str">
        <f>[3]Database_obsolete!O21</f>
        <v>Total time</v>
      </c>
    </row>
    <row r="24" spans="1:28" ht="16.149999999999999" customHeight="1" x14ac:dyDescent="0.45">
      <c r="B24" s="652"/>
      <c r="C24" s="744" t="s">
        <v>635</v>
      </c>
      <c r="D24" s="745">
        <f>L7*M7</f>
        <v>0.69408000000000003</v>
      </c>
      <c r="E24" s="746">
        <v>0.33</v>
      </c>
      <c r="F24" s="746">
        <v>0.51</v>
      </c>
      <c r="G24" s="746">
        <f>F15/H7*G7</f>
        <v>1.0266666666666666</v>
      </c>
      <c r="H24" s="747">
        <f>SUM(D24:G24)</f>
        <v>2.5607466666666667</v>
      </c>
      <c r="I24" s="748">
        <v>254</v>
      </c>
      <c r="J24" s="749">
        <f>H15/I7</f>
        <v>3.5416666666666665</v>
      </c>
      <c r="K24" s="749">
        <f>F15/I7*F7</f>
        <v>11.458333333333332</v>
      </c>
      <c r="L24" s="749">
        <f>I15/I7</f>
        <v>1.9015625</v>
      </c>
      <c r="M24" s="749">
        <f>D15/I7</f>
        <v>6.4766343606278731</v>
      </c>
      <c r="N24" s="749">
        <f>E15/I7</f>
        <v>10.797844806038791</v>
      </c>
      <c r="O24" s="749"/>
      <c r="P24" s="749"/>
      <c r="Q24" s="750">
        <f>SUM(I24:N24)</f>
        <v>288.17604166666666</v>
      </c>
    </row>
    <row r="25" spans="1:28" ht="16.149999999999999" customHeight="1" x14ac:dyDescent="0.45">
      <c r="B25" s="652"/>
      <c r="C25" s="751" t="s">
        <v>636</v>
      </c>
      <c r="D25" s="752">
        <f>L8*M8</f>
        <v>1.5809600000000001</v>
      </c>
      <c r="E25" s="753">
        <v>1.06</v>
      </c>
      <c r="F25" s="753">
        <v>0.32</v>
      </c>
      <c r="G25" s="753">
        <f>F16/H8*G8</f>
        <v>1.6897222222222221</v>
      </c>
      <c r="H25" s="754">
        <f>SUM(D25:G25)</f>
        <v>4.6506822222222226</v>
      </c>
      <c r="I25" s="755">
        <v>254</v>
      </c>
      <c r="J25" s="756">
        <f>H16/I8</f>
        <v>12.0375</v>
      </c>
      <c r="K25" s="756">
        <f>F16/I8*F8</f>
        <v>16.293749999999999</v>
      </c>
      <c r="L25" s="756">
        <f>I16/I8</f>
        <v>5.2765000000000004</v>
      </c>
      <c r="M25" s="756">
        <f>D16/I8</f>
        <v>18.406961073200989</v>
      </c>
      <c r="N25" s="756">
        <f>E16/I8</f>
        <v>10.640538926799007</v>
      </c>
      <c r="O25" s="756"/>
      <c r="P25" s="756"/>
      <c r="Q25" s="757">
        <f>SUM(I25:N25)</f>
        <v>316.65525000000002</v>
      </c>
    </row>
    <row r="26" spans="1:28" ht="16.149999999999999" customHeight="1" x14ac:dyDescent="0.45">
      <c r="B26" s="652"/>
      <c r="C26" s="751" t="s">
        <v>637</v>
      </c>
      <c r="D26" s="752">
        <f>L9*M9</f>
        <v>2.1400800000000002</v>
      </c>
      <c r="E26" s="753">
        <v>1.26</v>
      </c>
      <c r="F26" s="753">
        <v>0.64</v>
      </c>
      <c r="G26" s="753">
        <f>F17/H9*G9</f>
        <v>2.0664583333333333</v>
      </c>
      <c r="H26" s="754">
        <f>SUM(D26:G26)</f>
        <v>6.106538333333333</v>
      </c>
      <c r="I26" s="755">
        <v>245</v>
      </c>
      <c r="J26" s="756">
        <f>H17/I9</f>
        <v>19.274999999999999</v>
      </c>
      <c r="K26" s="756">
        <f>F17/I9*F9</f>
        <v>26.568749999999998</v>
      </c>
      <c r="L26" s="756">
        <f>I17/I9</f>
        <v>6.4489999999999998</v>
      </c>
      <c r="M26" s="756">
        <f>D17/I9</f>
        <v>20.419201572968248</v>
      </c>
      <c r="N26" s="756">
        <f>E17/I9</f>
        <v>16.033798427031751</v>
      </c>
      <c r="O26" s="756"/>
      <c r="P26" s="756"/>
      <c r="Q26" s="757">
        <f>SUM(I26:N26)</f>
        <v>333.74574999999999</v>
      </c>
    </row>
    <row r="27" spans="1:28" ht="16.149999999999999" customHeight="1" x14ac:dyDescent="0.45">
      <c r="B27" s="652"/>
      <c r="C27" s="751" t="s">
        <v>638</v>
      </c>
      <c r="D27" s="752">
        <f>L10*M10</f>
        <v>2.6124400000000003</v>
      </c>
      <c r="E27" s="753">
        <v>1.19</v>
      </c>
      <c r="F27" s="753">
        <v>0.94</v>
      </c>
      <c r="G27" s="753">
        <f>F18/H10*G10</f>
        <v>1.7855999999999999</v>
      </c>
      <c r="H27" s="754">
        <f>SUM(D27:G27)</f>
        <v>6.5280399999999998</v>
      </c>
      <c r="I27" s="755">
        <v>245</v>
      </c>
      <c r="J27" s="756">
        <f>H18/I10</f>
        <v>17.507142857142856</v>
      </c>
      <c r="K27" s="756">
        <f>F18/I10*F10</f>
        <v>27.330612244897956</v>
      </c>
      <c r="L27" s="756">
        <f>I18/I10</f>
        <v>7.9480000000000004</v>
      </c>
      <c r="M27" s="756">
        <f>D18/I10</f>
        <v>17.961160701754384</v>
      </c>
      <c r="N27" s="756">
        <f>E18/I10</f>
        <v>13.194839298245613</v>
      </c>
      <c r="O27" s="756"/>
      <c r="P27" s="756"/>
      <c r="Q27" s="757">
        <f>SUM(I27:N27)</f>
        <v>328.94175510204082</v>
      </c>
    </row>
    <row r="28" spans="1:28" ht="29.25" thickBot="1" x14ac:dyDescent="0.5">
      <c r="B28" s="652"/>
      <c r="C28" s="758" t="s">
        <v>639</v>
      </c>
      <c r="D28" s="759">
        <f>L11*M11</f>
        <v>3.3932799999999999</v>
      </c>
      <c r="E28" s="760">
        <v>1.04</v>
      </c>
      <c r="F28" s="760">
        <v>1.18</v>
      </c>
      <c r="G28" s="760">
        <f>F19/H11*G11</f>
        <v>1.9536</v>
      </c>
      <c r="H28" s="761">
        <f>SUM(D28:G28)</f>
        <v>7.5668799999999994</v>
      </c>
      <c r="I28" s="762">
        <v>254</v>
      </c>
      <c r="J28" s="763">
        <f>H19/I11</f>
        <v>19.157142857142858</v>
      </c>
      <c r="K28" s="763">
        <f>F19/I11*F11</f>
        <v>29.902040816326526</v>
      </c>
      <c r="L28" s="763">
        <f>I19/I11</f>
        <v>7.9480000000000004</v>
      </c>
      <c r="M28" s="763">
        <f>D19/I11</f>
        <v>18.970118429807052</v>
      </c>
      <c r="N28" s="763">
        <f>E19/I11</f>
        <v>13.228738713050088</v>
      </c>
      <c r="O28" s="763"/>
      <c r="P28" s="763"/>
      <c r="Q28" s="764">
        <f>SUM(I28:N28)</f>
        <v>343.20604081632644</v>
      </c>
    </row>
    <row r="29" spans="1:28" ht="16.149999999999999" customHeight="1" x14ac:dyDescent="0.25"/>
    <row r="30" spans="1:28" ht="16.149999999999999" customHeight="1" thickBot="1" x14ac:dyDescent="0.5">
      <c r="A30" t="s">
        <v>653</v>
      </c>
      <c r="B30" s="652"/>
      <c r="C30" s="732" t="s">
        <v>650</v>
      </c>
      <c r="D30" s="733" t="s">
        <v>651</v>
      </c>
      <c r="E30" s="646"/>
    </row>
    <row r="31" spans="1:28" ht="16.149999999999999" customHeight="1" thickBot="1" x14ac:dyDescent="0.5">
      <c r="B31" s="652"/>
      <c r="C31" s="734" t="s">
        <v>652</v>
      </c>
      <c r="D31" s="735" t="str">
        <f>D22</f>
        <v>Distance costs</v>
      </c>
      <c r="E31" s="735"/>
      <c r="F31" s="735"/>
      <c r="G31" s="735"/>
      <c r="H31" s="735"/>
      <c r="I31" s="735" t="str">
        <f>I22</f>
        <v>Time costs</v>
      </c>
      <c r="J31" s="735"/>
      <c r="K31" s="735"/>
      <c r="L31" s="735"/>
      <c r="M31" s="735"/>
      <c r="N31" s="735"/>
      <c r="O31" s="735"/>
      <c r="P31" s="735"/>
      <c r="Q31" s="736"/>
      <c r="R31" s="735" t="s">
        <v>781</v>
      </c>
      <c r="S31" s="735"/>
      <c r="T31" s="735"/>
      <c r="U31" s="735"/>
      <c r="V31" s="735"/>
      <c r="W31" s="735"/>
      <c r="X31" s="735"/>
      <c r="Y31" s="735"/>
      <c r="Z31" s="736"/>
    </row>
    <row r="32" spans="1:28" ht="16.149999999999999" customHeight="1" thickBot="1" x14ac:dyDescent="0.5">
      <c r="B32" s="652"/>
      <c r="C32" s="737">
        <f>[3]Database_obsolete!B30</f>
        <v>0</v>
      </c>
      <c r="D32" s="738" t="str">
        <f>D23</f>
        <v>Fuel</v>
      </c>
      <c r="E32" s="738" t="str">
        <f t="shared" ref="E32:Q32" si="1">E23</f>
        <v>Maintenance</v>
      </c>
      <c r="F32" s="738" t="str">
        <f t="shared" si="1"/>
        <v>Tires</v>
      </c>
      <c r="G32" s="738" t="str">
        <f t="shared" si="1"/>
        <v>Depreciation</v>
      </c>
      <c r="H32" s="738" t="str">
        <f t="shared" si="1"/>
        <v>Total distance</v>
      </c>
      <c r="I32" s="738">
        <v>0</v>
      </c>
      <c r="J32" s="738" t="str">
        <f t="shared" si="1"/>
        <v xml:space="preserve">Capital </v>
      </c>
      <c r="K32" s="738" t="str">
        <f t="shared" si="1"/>
        <v>Depreciation</v>
      </c>
      <c r="L32" s="738" t="str">
        <f t="shared" si="1"/>
        <v>Taxes</v>
      </c>
      <c r="M32" s="738" t="str">
        <f t="shared" si="1"/>
        <v>Insurance</v>
      </c>
      <c r="N32" s="738" t="str">
        <f t="shared" si="1"/>
        <v>Other</v>
      </c>
      <c r="O32" s="738"/>
      <c r="P32" s="738"/>
      <c r="Q32" s="738" t="str">
        <f t="shared" si="1"/>
        <v>Total time</v>
      </c>
      <c r="R32" s="738" t="s">
        <v>685</v>
      </c>
      <c r="S32" s="738" t="s">
        <v>686</v>
      </c>
      <c r="T32" s="738" t="s">
        <v>683</v>
      </c>
      <c r="U32" s="738" t="s">
        <v>647</v>
      </c>
      <c r="V32" s="738" t="s">
        <v>642</v>
      </c>
      <c r="W32" s="738" t="s">
        <v>643</v>
      </c>
      <c r="X32" s="738"/>
      <c r="Y32" s="738"/>
      <c r="Z32" s="738" t="s">
        <v>688</v>
      </c>
      <c r="AA32" s="1028" t="s">
        <v>782</v>
      </c>
      <c r="AB32" s="1028" t="s">
        <v>783</v>
      </c>
    </row>
    <row r="33" spans="1:28" ht="16.149999999999999" customHeight="1" thickBot="1" x14ac:dyDescent="0.5">
      <c r="B33" s="652"/>
      <c r="C33" s="744" t="s">
        <v>635</v>
      </c>
      <c r="D33" s="745">
        <f>D24*'[3]ASEK adjustment'!B29</f>
        <v>0.7</v>
      </c>
      <c r="E33" s="745">
        <f>E24*'[3]ASEK adjustment'!C29</f>
        <v>0.33</v>
      </c>
      <c r="F33" s="745">
        <f>F24*'[3]ASEK adjustment'!D29</f>
        <v>0.51</v>
      </c>
      <c r="G33" s="745">
        <f>G24*'[3]ASEK adjustment'!E29</f>
        <v>1.08</v>
      </c>
      <c r="H33" s="747">
        <f>SUM(D33:G33)</f>
        <v>2.62</v>
      </c>
      <c r="I33" s="748">
        <f>'[3]ASEK adjustment'!G29*I24</f>
        <v>254</v>
      </c>
      <c r="J33" s="748">
        <f>'[3]ASEK adjustment'!H29*J24</f>
        <v>4.37</v>
      </c>
      <c r="K33" s="748">
        <f>'[3]ASEK adjustment'!I29*K24</f>
        <v>12.06</v>
      </c>
      <c r="L33" s="748">
        <f>'[3]ASEK adjustment'!J29*L24</f>
        <v>1.9</v>
      </c>
      <c r="M33" s="748">
        <f>'[3]ASEK adjustment'!K29*M24</f>
        <v>6.4749550089981991</v>
      </c>
      <c r="N33" s="748">
        <f>'[3]ASEK adjustment'!L29*N24</f>
        <v>10.795044991001799</v>
      </c>
      <c r="O33" s="749"/>
      <c r="P33" s="749"/>
      <c r="Q33" s="750">
        <f>SUM(I33:N33)</f>
        <v>289.60000000000002</v>
      </c>
      <c r="R33" s="748" t="e">
        <f>I33/'AVs - antaganden'!#REF!</f>
        <v>#REF!</v>
      </c>
      <c r="S33" s="748" t="e">
        <f>J33/'AVs - antaganden'!#REF!</f>
        <v>#REF!</v>
      </c>
      <c r="T33" s="748" t="e">
        <f>K33/'AVs - antaganden'!#REF!</f>
        <v>#REF!</v>
      </c>
      <c r="U33" s="748" t="e">
        <f>L33/'AVs - antaganden'!#REF!</f>
        <v>#REF!</v>
      </c>
      <c r="V33" s="748" t="e">
        <f>M33/'AVs - antaganden'!#REF!</f>
        <v>#REF!</v>
      </c>
      <c r="W33" s="748" t="e">
        <f>N33/'AVs - antaganden'!#REF!</f>
        <v>#REF!</v>
      </c>
      <c r="X33" s="749"/>
      <c r="Y33" s="749"/>
      <c r="Z33" s="750" t="e">
        <f>SUM(R33:Y33)</f>
        <v>#REF!</v>
      </c>
      <c r="AA33" s="765" t="e">
        <f>H33+Z33</f>
        <v>#REF!</v>
      </c>
      <c r="AB33" s="765" t="e">
        <f>AA33*10</f>
        <v>#REF!</v>
      </c>
    </row>
    <row r="34" spans="1:28" ht="16.149999999999999" customHeight="1" thickBot="1" x14ac:dyDescent="0.5">
      <c r="B34" s="652"/>
      <c r="C34" s="751" t="s">
        <v>636</v>
      </c>
      <c r="D34" s="745">
        <f>D25*'[3]ASEK adjustment'!B30</f>
        <v>1.58</v>
      </c>
      <c r="E34" s="745">
        <f>E25*'[3]ASEK adjustment'!C30</f>
        <v>1.06</v>
      </c>
      <c r="F34" s="745">
        <f>F25*'[3]ASEK adjustment'!D30</f>
        <v>0.32</v>
      </c>
      <c r="G34" s="745">
        <f>G25*'[3]ASEK adjustment'!E30</f>
        <v>1.69</v>
      </c>
      <c r="H34" s="754">
        <f>SUM(D34:G34)</f>
        <v>4.6500000000000004</v>
      </c>
      <c r="I34" s="748">
        <f>'[3]ASEK adjustment'!G30*I25</f>
        <v>254</v>
      </c>
      <c r="J34" s="748">
        <f>'[3]ASEK adjustment'!H30*J25</f>
        <v>13.210000000000003</v>
      </c>
      <c r="K34" s="748">
        <f>'[3]ASEK adjustment'!I30*K25</f>
        <v>16.3</v>
      </c>
      <c r="L34" s="748">
        <f>'[3]ASEK adjustment'!J30*L25</f>
        <v>5.2800000000000011</v>
      </c>
      <c r="M34" s="748">
        <f>'[3]ASEK adjustment'!K30*M25</f>
        <v>18.4085452853598</v>
      </c>
      <c r="N34" s="748">
        <f>'[3]ASEK adjustment'!L30*N25</f>
        <v>10.641454714640199</v>
      </c>
      <c r="O34" s="756"/>
      <c r="P34" s="756"/>
      <c r="Q34" s="757">
        <f>SUM(I34:N34)</f>
        <v>317.83999999999997</v>
      </c>
      <c r="R34" s="748">
        <f>I34/'AVs - antaganden'!$E11</f>
        <v>11.28888888888889</v>
      </c>
      <c r="S34" s="748">
        <f>J34/'AVs - antaganden'!$E11</f>
        <v>0.58711111111111125</v>
      </c>
      <c r="T34" s="748">
        <f>K34/'AVs - antaganden'!$E11</f>
        <v>0.72444444444444445</v>
      </c>
      <c r="U34" s="748">
        <f>L34/'AVs - antaganden'!$E11</f>
        <v>0.23466666666666672</v>
      </c>
      <c r="V34" s="748">
        <f>M34/'AVs - antaganden'!$E11</f>
        <v>0.81815756823821328</v>
      </c>
      <c r="W34" s="748">
        <f>N34/'AVs - antaganden'!$E11</f>
        <v>0.47295354287289776</v>
      </c>
      <c r="X34" s="756"/>
      <c r="Y34" s="756"/>
      <c r="Z34" s="750">
        <f t="shared" ref="Z34:Z37" si="2">SUM(R34:Y34)</f>
        <v>14.126222222222223</v>
      </c>
      <c r="AA34" s="765">
        <f t="shared" ref="AA34:AA37" si="3">H34+Z34</f>
        <v>18.776222222222223</v>
      </c>
      <c r="AB34" s="765">
        <f t="shared" ref="AB34:AB37" si="4">AA34*10</f>
        <v>187.76222222222225</v>
      </c>
    </row>
    <row r="35" spans="1:28" ht="16.149999999999999" customHeight="1" thickBot="1" x14ac:dyDescent="0.5">
      <c r="B35" s="652"/>
      <c r="C35" s="751" t="s">
        <v>637</v>
      </c>
      <c r="D35" s="745">
        <f>D26*'[3]ASEK adjustment'!B31</f>
        <v>2.14</v>
      </c>
      <c r="E35" s="745">
        <f>E26*'[3]ASEK adjustment'!C31</f>
        <v>1.26</v>
      </c>
      <c r="F35" s="745">
        <f>F26*'[3]ASEK adjustment'!D31</f>
        <v>0.64</v>
      </c>
      <c r="G35" s="745">
        <f>G26*'[3]ASEK adjustment'!E31</f>
        <v>2.0699999999999998</v>
      </c>
      <c r="H35" s="754">
        <f>SUM(D35:G35)</f>
        <v>6.1099999999999994</v>
      </c>
      <c r="I35" s="748">
        <f>'[3]ASEK adjustment'!G31*I26</f>
        <v>245</v>
      </c>
      <c r="J35" s="748">
        <f>'[3]ASEK adjustment'!H31*J26</f>
        <v>20.84</v>
      </c>
      <c r="K35" s="748">
        <f>'[3]ASEK adjustment'!I31*K26</f>
        <v>26.58</v>
      </c>
      <c r="L35" s="748">
        <f>'[3]ASEK adjustment'!J31*L26</f>
        <v>6.4500000000000011</v>
      </c>
      <c r="M35" s="748">
        <f>'[3]ASEK adjustment'!K31*M26</f>
        <v>20.4175211185552</v>
      </c>
      <c r="N35" s="748">
        <f>'[3]ASEK adjustment'!L31*N26</f>
        <v>16.032478881444803</v>
      </c>
      <c r="O35" s="756"/>
      <c r="P35" s="756"/>
      <c r="Q35" s="757">
        <f>SUM(I35:N35)</f>
        <v>335.31999999999994</v>
      </c>
      <c r="R35" s="748">
        <f>I35/'AVs - antaganden'!$E12</f>
        <v>8.1666666666666661</v>
      </c>
      <c r="S35" s="748">
        <f>J35/'AVs - antaganden'!$E12</f>
        <v>0.69466666666666665</v>
      </c>
      <c r="T35" s="748">
        <f>K35/'AVs - antaganden'!$E12</f>
        <v>0.8859999999999999</v>
      </c>
      <c r="U35" s="748">
        <f>L35/'AVs - antaganden'!$E12</f>
        <v>0.21500000000000002</v>
      </c>
      <c r="V35" s="748">
        <f>M35/'AVs - antaganden'!$E12</f>
        <v>0.68058403728517336</v>
      </c>
      <c r="W35" s="748">
        <f>N35/'AVs - antaganden'!$E12</f>
        <v>0.53441596271482672</v>
      </c>
      <c r="X35" s="756"/>
      <c r="Y35" s="756"/>
      <c r="Z35" s="750">
        <f t="shared" si="2"/>
        <v>11.177333333333332</v>
      </c>
      <c r="AA35" s="765">
        <f t="shared" si="3"/>
        <v>17.287333333333329</v>
      </c>
      <c r="AB35" s="765">
        <f t="shared" si="4"/>
        <v>172.87333333333328</v>
      </c>
    </row>
    <row r="36" spans="1:28" ht="16.149999999999999" customHeight="1" thickBot="1" x14ac:dyDescent="0.5">
      <c r="B36" s="652"/>
      <c r="C36" s="751" t="s">
        <v>638</v>
      </c>
      <c r="D36" s="745">
        <f>D27*'[3]ASEK adjustment'!B32</f>
        <v>2.62</v>
      </c>
      <c r="E36" s="745">
        <f>E27*'[3]ASEK adjustment'!C32</f>
        <v>1.19</v>
      </c>
      <c r="F36" s="745">
        <f>F27*'[3]ASEK adjustment'!D32</f>
        <v>0.93705197132616491</v>
      </c>
      <c r="G36" s="745">
        <f>G27*'[3]ASEK adjustment'!E32</f>
        <v>1.78</v>
      </c>
      <c r="H36" s="754">
        <f>SUM(D36:G36)</f>
        <v>6.5270519713261654</v>
      </c>
      <c r="I36" s="748">
        <f>'[3]ASEK adjustment'!G32*I27</f>
        <v>245</v>
      </c>
      <c r="J36" s="748">
        <f>'[3]ASEK adjustment'!H32*J27</f>
        <v>19.07</v>
      </c>
      <c r="K36" s="748">
        <f>'[3]ASEK adjustment'!I32*K27</f>
        <v>27.33</v>
      </c>
      <c r="L36" s="748">
        <f>'[3]ASEK adjustment'!J32*L27</f>
        <v>7.9478219534050192</v>
      </c>
      <c r="M36" s="748">
        <f>'[3]ASEK adjustment'!K32*M27</f>
        <v>17.963466666666665</v>
      </c>
      <c r="N36" s="748">
        <f>'[3]ASEK adjustment'!L32*N27</f>
        <v>13.196533333333333</v>
      </c>
      <c r="O36" s="756"/>
      <c r="P36" s="756"/>
      <c r="Q36" s="757">
        <f>SUM(I36:N36)</f>
        <v>330.50782195340497</v>
      </c>
      <c r="R36" s="748">
        <f>I36/'AVs - antaganden'!$E13</f>
        <v>6.8599999999999994</v>
      </c>
      <c r="S36" s="748">
        <f>J36/'AVs - antaganden'!$E13</f>
        <v>0.53395999999999999</v>
      </c>
      <c r="T36" s="748">
        <f>K36/'AVs - antaganden'!$E13</f>
        <v>0.76523999999999992</v>
      </c>
      <c r="U36" s="748">
        <f>L36/'AVs - antaganden'!$E13</f>
        <v>0.22253901469534054</v>
      </c>
      <c r="V36" s="748">
        <f>M36/'AVs - antaganden'!$E13</f>
        <v>0.50297706666666664</v>
      </c>
      <c r="W36" s="748">
        <f>N36/'AVs - antaganden'!$E13</f>
        <v>0.36950293333333334</v>
      </c>
      <c r="X36" s="756"/>
      <c r="Y36" s="756"/>
      <c r="Z36" s="750">
        <f t="shared" si="2"/>
        <v>9.2542190146953409</v>
      </c>
      <c r="AA36" s="765">
        <f t="shared" si="3"/>
        <v>15.781270986021507</v>
      </c>
      <c r="AB36" s="765">
        <f t="shared" si="4"/>
        <v>157.81270986021508</v>
      </c>
    </row>
    <row r="37" spans="1:28" ht="16.149999999999999" customHeight="1" thickBot="1" x14ac:dyDescent="0.5">
      <c r="B37" s="652"/>
      <c r="C37" s="758" t="s">
        <v>639</v>
      </c>
      <c r="D37" s="766">
        <f>D28*'[3]ASEK adjustment'!B33</f>
        <v>3.39</v>
      </c>
      <c r="E37" s="766">
        <f>E28*'[3]ASEK adjustment'!C33</f>
        <v>1.04</v>
      </c>
      <c r="F37" s="766">
        <f>F28*'[3]ASEK adjustment'!D33</f>
        <v>1.18</v>
      </c>
      <c r="G37" s="766">
        <f>G28*'[3]ASEK adjustment'!E33</f>
        <v>1.95</v>
      </c>
      <c r="H37" s="761">
        <f>SUM(D37:G37)</f>
        <v>7.56</v>
      </c>
      <c r="I37" s="748">
        <f>'[3]ASEK adjustment'!G33*I28</f>
        <v>254</v>
      </c>
      <c r="J37" s="748">
        <f>'[3]ASEK adjustment'!H33*J28</f>
        <v>20.87</v>
      </c>
      <c r="K37" s="748">
        <f>'[3]ASEK adjustment'!I33*K28</f>
        <v>29.91</v>
      </c>
      <c r="L37" s="748">
        <f>'[3]ASEK adjustment'!J33*L28</f>
        <v>7.9501155610155632</v>
      </c>
      <c r="M37" s="748">
        <f>'[3]ASEK adjustment'!K33*M28</f>
        <v>18.970791749833673</v>
      </c>
      <c r="N37" s="748">
        <f>'[3]ASEK adjustment'!L33*N28</f>
        <v>13.229208250166337</v>
      </c>
      <c r="O37" s="763"/>
      <c r="P37" s="763"/>
      <c r="Q37" s="764">
        <f>SUM(I37:N37)</f>
        <v>344.93011556101555</v>
      </c>
      <c r="R37" s="748">
        <f>I37/'AVs - antaganden'!$E14</f>
        <v>7.1120000000000001</v>
      </c>
      <c r="S37" s="748">
        <f>J37/'AVs - antaganden'!$E14</f>
        <v>0.58435999999999999</v>
      </c>
      <c r="T37" s="748">
        <f>K37/'AVs - antaganden'!$E14</f>
        <v>0.83748</v>
      </c>
      <c r="U37" s="748">
        <f>L37/'AVs - antaganden'!$E14</f>
        <v>0.22260323570843576</v>
      </c>
      <c r="V37" s="748">
        <f>M37/'AVs - antaganden'!$E14</f>
        <v>0.53118216899534287</v>
      </c>
      <c r="W37" s="748">
        <f>N37/'AVs - antaganden'!$E14</f>
        <v>0.37041783100465742</v>
      </c>
      <c r="X37" s="763"/>
      <c r="Y37" s="763"/>
      <c r="Z37" s="750">
        <f t="shared" si="2"/>
        <v>9.6580432357084351</v>
      </c>
      <c r="AA37" s="765">
        <f t="shared" si="3"/>
        <v>17.218043235708436</v>
      </c>
      <c r="AB37" s="765">
        <f t="shared" si="4"/>
        <v>172.18043235708436</v>
      </c>
    </row>
    <row r="38" spans="1:28" ht="16.149999999999999" customHeight="1" x14ac:dyDescent="0.25">
      <c r="R38" s="765"/>
      <c r="S38" s="767"/>
    </row>
    <row r="39" spans="1:28" ht="16.149999999999999" customHeight="1" x14ac:dyDescent="0.25">
      <c r="R39" s="765"/>
      <c r="S39" s="767"/>
    </row>
    <row r="40" spans="1:28" ht="16.149999999999999" customHeight="1" x14ac:dyDescent="0.25">
      <c r="R40" s="765"/>
      <c r="S40" s="767"/>
    </row>
    <row r="41" spans="1:28" ht="16.149999999999999" customHeight="1" x14ac:dyDescent="0.45">
      <c r="B41" s="652"/>
    </row>
    <row r="42" spans="1:28" ht="16.149999999999999" customHeight="1" x14ac:dyDescent="0.25">
      <c r="A42" s="654" t="s">
        <v>654</v>
      </c>
      <c r="B42" s="654"/>
      <c r="C42" s="654"/>
      <c r="D42" s="654"/>
      <c r="E42" s="654"/>
      <c r="F42" s="654"/>
      <c r="G42" s="654"/>
      <c r="H42" s="654"/>
      <c r="I42" s="654"/>
      <c r="J42" s="654"/>
      <c r="K42" s="654"/>
      <c r="L42" s="654"/>
      <c r="M42" s="654"/>
      <c r="N42" s="654"/>
      <c r="O42" s="654"/>
      <c r="P42" s="654"/>
      <c r="Q42" s="654"/>
      <c r="R42" s="655"/>
      <c r="S42" s="655"/>
      <c r="T42" s="655"/>
      <c r="U42" s="655"/>
      <c r="V42" s="655"/>
      <c r="W42" s="655"/>
      <c r="X42" s="655"/>
      <c r="Y42" s="655"/>
      <c r="Z42" s="655"/>
    </row>
    <row r="43" spans="1:28" ht="16.149999999999999" customHeight="1" x14ac:dyDescent="0.45">
      <c r="B43" s="652"/>
    </row>
    <row r="44" spans="1:28" ht="15.75" thickBot="1" x14ac:dyDescent="0.3">
      <c r="B44" s="768"/>
    </row>
    <row r="45" spans="1:28" ht="15" customHeight="1" thickBot="1" x14ac:dyDescent="0.3">
      <c r="C45" s="1177" t="s">
        <v>655</v>
      </c>
      <c r="D45" s="769" t="s">
        <v>656</v>
      </c>
      <c r="E45" s="770" t="s">
        <v>657</v>
      </c>
      <c r="F45" s="771"/>
      <c r="G45" s="771"/>
      <c r="H45" s="771"/>
      <c r="I45" s="771"/>
      <c r="J45" s="771"/>
      <c r="K45" s="771"/>
      <c r="L45" s="771"/>
      <c r="M45" s="771"/>
      <c r="N45" s="771"/>
      <c r="O45" s="771"/>
      <c r="P45" s="771"/>
      <c r="Q45" s="771"/>
      <c r="R45" s="771"/>
      <c r="S45" s="771"/>
      <c r="T45" s="772"/>
    </row>
    <row r="46" spans="1:28" ht="15.75" thickBot="1" x14ac:dyDescent="0.3">
      <c r="C46" s="1178"/>
      <c r="D46" s="773"/>
      <c r="E46" s="770" t="s">
        <v>658</v>
      </c>
      <c r="F46" s="771"/>
      <c r="G46" s="771"/>
      <c r="H46" s="771"/>
      <c r="I46" s="771"/>
      <c r="J46" s="771"/>
      <c r="K46" s="771"/>
      <c r="L46" s="771"/>
      <c r="M46" s="771"/>
      <c r="N46" s="771"/>
      <c r="O46" s="771"/>
      <c r="P46" s="771"/>
      <c r="Q46" s="771"/>
      <c r="R46" s="771"/>
      <c r="S46" s="771" t="s">
        <v>659</v>
      </c>
      <c r="T46" s="772"/>
    </row>
    <row r="47" spans="1:28" ht="15.75" thickBot="1" x14ac:dyDescent="0.3">
      <c r="C47" s="1178"/>
      <c r="D47" s="770"/>
      <c r="E47" s="735" t="s">
        <v>660</v>
      </c>
      <c r="F47" s="735" t="s">
        <v>661</v>
      </c>
      <c r="G47" s="735" t="s">
        <v>662</v>
      </c>
      <c r="H47" s="735" t="s">
        <v>663</v>
      </c>
      <c r="I47" s="735" t="s">
        <v>664</v>
      </c>
      <c r="J47" s="736" t="s">
        <v>665</v>
      </c>
      <c r="K47" s="735" t="s">
        <v>666</v>
      </c>
      <c r="L47" s="735" t="s">
        <v>667</v>
      </c>
      <c r="M47" s="735" t="s">
        <v>668</v>
      </c>
      <c r="N47" s="735" t="s">
        <v>669</v>
      </c>
      <c r="O47" s="735" t="s">
        <v>670</v>
      </c>
      <c r="P47" s="735" t="s">
        <v>671</v>
      </c>
      <c r="Q47" s="735"/>
      <c r="R47" s="735" t="s">
        <v>672</v>
      </c>
      <c r="S47" s="774" t="s">
        <v>673</v>
      </c>
      <c r="T47" s="736" t="s">
        <v>674</v>
      </c>
    </row>
    <row r="48" spans="1:28" x14ac:dyDescent="0.25">
      <c r="C48" s="1179"/>
      <c r="D48" s="775" t="s">
        <v>635</v>
      </c>
      <c r="E48" s="776">
        <v>0.25</v>
      </c>
      <c r="F48" s="777">
        <v>0</v>
      </c>
      <c r="G48" s="777">
        <v>0.25</v>
      </c>
      <c r="H48" s="777">
        <v>0</v>
      </c>
      <c r="I48" s="777">
        <v>0</v>
      </c>
      <c r="J48" s="777">
        <v>0.2</v>
      </c>
      <c r="K48" s="777">
        <v>-1</v>
      </c>
      <c r="L48" s="777">
        <v>0</v>
      </c>
      <c r="M48" s="777">
        <v>0</v>
      </c>
      <c r="N48" s="777">
        <v>0</v>
      </c>
      <c r="O48" s="777">
        <v>0.2</v>
      </c>
      <c r="P48" s="777">
        <v>0.2</v>
      </c>
      <c r="Q48" s="777"/>
      <c r="R48" s="777">
        <v>0.2</v>
      </c>
      <c r="S48" s="777">
        <v>2</v>
      </c>
      <c r="T48" s="778">
        <v>0.2</v>
      </c>
    </row>
    <row r="49" spans="1:20" x14ac:dyDescent="0.25">
      <c r="C49" s="1179"/>
      <c r="D49" s="779" t="s">
        <v>636</v>
      </c>
      <c r="E49" s="780">
        <v>0.25</v>
      </c>
      <c r="F49" s="781">
        <v>0</v>
      </c>
      <c r="G49" s="781">
        <v>0.25</v>
      </c>
      <c r="H49" s="781">
        <v>0</v>
      </c>
      <c r="I49" s="781">
        <v>0</v>
      </c>
      <c r="J49" s="781">
        <v>0.2</v>
      </c>
      <c r="K49" s="781">
        <v>-1</v>
      </c>
      <c r="L49" s="781">
        <v>0</v>
      </c>
      <c r="M49" s="781">
        <v>0</v>
      </c>
      <c r="N49" s="781">
        <v>0</v>
      </c>
      <c r="O49" s="781">
        <v>0.2</v>
      </c>
      <c r="P49" s="781">
        <v>0.2</v>
      </c>
      <c r="Q49" s="781"/>
      <c r="R49" s="781">
        <v>0.2</v>
      </c>
      <c r="S49" s="781">
        <v>2</v>
      </c>
      <c r="T49" s="782">
        <v>0.2</v>
      </c>
    </row>
    <row r="50" spans="1:20" x14ac:dyDescent="0.25">
      <c r="C50" s="1179"/>
      <c r="D50" s="779" t="s">
        <v>637</v>
      </c>
      <c r="E50" s="780">
        <v>0.25</v>
      </c>
      <c r="F50" s="781">
        <v>0</v>
      </c>
      <c r="G50" s="781">
        <v>0.25</v>
      </c>
      <c r="H50" s="781">
        <v>0</v>
      </c>
      <c r="I50" s="781">
        <v>0</v>
      </c>
      <c r="J50" s="781">
        <v>0.2</v>
      </c>
      <c r="K50" s="781">
        <v>-1</v>
      </c>
      <c r="L50" s="781">
        <v>0</v>
      </c>
      <c r="M50" s="781">
        <v>0</v>
      </c>
      <c r="N50" s="781">
        <v>0</v>
      </c>
      <c r="O50" s="781">
        <v>0.2</v>
      </c>
      <c r="P50" s="781">
        <v>0.2</v>
      </c>
      <c r="Q50" s="781"/>
      <c r="R50" s="781">
        <v>0.2</v>
      </c>
      <c r="S50" s="781">
        <v>2</v>
      </c>
      <c r="T50" s="782">
        <v>0.2</v>
      </c>
    </row>
    <row r="51" spans="1:20" x14ac:dyDescent="0.25">
      <c r="C51" s="1179"/>
      <c r="D51" s="779" t="s">
        <v>638</v>
      </c>
      <c r="E51" s="780">
        <v>0.25</v>
      </c>
      <c r="F51" s="781">
        <v>0</v>
      </c>
      <c r="G51" s="781">
        <v>0.25</v>
      </c>
      <c r="H51" s="781">
        <v>0</v>
      </c>
      <c r="I51" s="781">
        <v>0</v>
      </c>
      <c r="J51" s="781">
        <v>0.2</v>
      </c>
      <c r="K51" s="781">
        <v>-1</v>
      </c>
      <c r="L51" s="781">
        <v>0</v>
      </c>
      <c r="M51" s="781">
        <v>0</v>
      </c>
      <c r="N51" s="781">
        <v>0</v>
      </c>
      <c r="O51" s="781">
        <v>0.2</v>
      </c>
      <c r="P51" s="781">
        <v>0.2</v>
      </c>
      <c r="Q51" s="781"/>
      <c r="R51" s="781">
        <v>0.2</v>
      </c>
      <c r="S51" s="781">
        <v>2</v>
      </c>
      <c r="T51" s="782">
        <v>0.2</v>
      </c>
    </row>
    <row r="52" spans="1:20" ht="15.75" thickBot="1" x14ac:dyDescent="0.3">
      <c r="C52" s="1180"/>
      <c r="D52" s="783" t="s">
        <v>639</v>
      </c>
      <c r="E52" s="784">
        <v>0.25</v>
      </c>
      <c r="F52" s="785">
        <v>0</v>
      </c>
      <c r="G52" s="785">
        <v>0.25</v>
      </c>
      <c r="H52" s="785">
        <v>0</v>
      </c>
      <c r="I52" s="785">
        <v>0</v>
      </c>
      <c r="J52" s="785">
        <v>0.2</v>
      </c>
      <c r="K52" s="785">
        <v>-1</v>
      </c>
      <c r="L52" s="785">
        <v>0</v>
      </c>
      <c r="M52" s="785">
        <v>0</v>
      </c>
      <c r="N52" s="785">
        <v>0</v>
      </c>
      <c r="O52" s="785">
        <v>0.2</v>
      </c>
      <c r="P52" s="785">
        <v>0.2</v>
      </c>
      <c r="Q52" s="785"/>
      <c r="R52" s="785">
        <v>0.2</v>
      </c>
      <c r="S52" s="785">
        <v>2</v>
      </c>
      <c r="T52" s="786">
        <v>0.2</v>
      </c>
    </row>
    <row r="53" spans="1:20" x14ac:dyDescent="0.25">
      <c r="A53" s="787"/>
      <c r="C53" s="788"/>
      <c r="D53" s="789"/>
      <c r="E53" s="790"/>
      <c r="F53" s="790"/>
      <c r="G53" s="790"/>
      <c r="H53" s="790"/>
      <c r="I53" s="790"/>
      <c r="J53" s="790"/>
      <c r="K53" s="790"/>
      <c r="L53" s="790"/>
      <c r="M53" s="790"/>
      <c r="N53" s="790"/>
      <c r="O53" s="790"/>
      <c r="P53" s="790"/>
      <c r="Q53" s="790"/>
      <c r="R53" s="790"/>
      <c r="S53" s="790"/>
      <c r="T53" s="787"/>
    </row>
    <row r="54" spans="1:20" ht="15.75" thickBot="1" x14ac:dyDescent="0.3"/>
    <row r="55" spans="1:20" ht="45.75" thickBot="1" x14ac:dyDescent="0.3">
      <c r="C55" s="656" t="s">
        <v>614</v>
      </c>
      <c r="D55" s="791" t="s">
        <v>615</v>
      </c>
      <c r="E55" s="792" t="s">
        <v>616</v>
      </c>
      <c r="F55" s="793" t="s">
        <v>617</v>
      </c>
      <c r="G55" s="793" t="s">
        <v>618</v>
      </c>
      <c r="H55" s="794" t="s">
        <v>619</v>
      </c>
      <c r="I55" s="794" t="s">
        <v>620</v>
      </c>
      <c r="J55" s="793" t="s">
        <v>621</v>
      </c>
      <c r="K55" s="793" t="s">
        <v>622</v>
      </c>
      <c r="L55" s="794" t="s">
        <v>675</v>
      </c>
      <c r="M55" s="793" t="s">
        <v>676</v>
      </c>
      <c r="N55" s="795" t="s">
        <v>625</v>
      </c>
      <c r="O55" s="794" t="s">
        <v>626</v>
      </c>
      <c r="P55" s="796" t="s">
        <v>627</v>
      </c>
    </row>
    <row r="56" spans="1:20" x14ac:dyDescent="0.25">
      <c r="C56" s="669" t="s">
        <v>635</v>
      </c>
      <c r="D56" s="797">
        <v>0.05</v>
      </c>
      <c r="E56" s="798">
        <f>E7/(1+J48)</f>
        <v>2.5</v>
      </c>
      <c r="F56" s="798">
        <v>0.3</v>
      </c>
      <c r="G56" s="798">
        <f>1-F56</f>
        <v>0.7</v>
      </c>
      <c r="H56" s="798">
        <f>H7*(1+J48)</f>
        <v>60000</v>
      </c>
      <c r="I56" s="798">
        <f>I7*(1+R48)</f>
        <v>2304</v>
      </c>
      <c r="J56" s="798">
        <v>2</v>
      </c>
      <c r="K56" s="798">
        <v>4</v>
      </c>
      <c r="L56" s="798">
        <f>L7*(1+F48)</f>
        <v>7.1999999999999995E-2</v>
      </c>
      <c r="M56" s="798">
        <f t="shared" ref="M56:N60" si="5">M7</f>
        <v>9.64</v>
      </c>
      <c r="N56" s="798">
        <f t="shared" si="5"/>
        <v>33167</v>
      </c>
      <c r="O56" s="798">
        <f>O7*(1+E48)</f>
        <v>340000</v>
      </c>
      <c r="P56" s="799">
        <f>P7/O7*O56</f>
        <v>64999.999999999993</v>
      </c>
    </row>
    <row r="57" spans="1:20" x14ac:dyDescent="0.25">
      <c r="C57" s="682" t="s">
        <v>636</v>
      </c>
      <c r="D57" s="800">
        <v>0.05</v>
      </c>
      <c r="E57" s="686">
        <f>E8/(1+J49)</f>
        <v>6.666666666666667</v>
      </c>
      <c r="F57" s="686">
        <v>0.3</v>
      </c>
      <c r="G57" s="686">
        <f>1-F57</f>
        <v>0.7</v>
      </c>
      <c r="H57" s="674">
        <f>H8*(1+J49)</f>
        <v>54000</v>
      </c>
      <c r="I57" s="674">
        <f>I8*(1+R49)</f>
        <v>2400</v>
      </c>
      <c r="J57" s="686">
        <v>2</v>
      </c>
      <c r="K57" s="686">
        <v>6</v>
      </c>
      <c r="L57" s="686">
        <f>L8*(1+F49)</f>
        <v>0.16400000000000001</v>
      </c>
      <c r="M57" s="674">
        <f t="shared" si="5"/>
        <v>9.64</v>
      </c>
      <c r="N57" s="686">
        <f t="shared" si="5"/>
        <v>58095</v>
      </c>
      <c r="O57" s="674">
        <f>O8*(1+E49)</f>
        <v>1203750</v>
      </c>
      <c r="P57" s="675">
        <f>P8/O8*O57</f>
        <v>117500</v>
      </c>
    </row>
    <row r="58" spans="1:20" x14ac:dyDescent="0.25">
      <c r="C58" s="682" t="s">
        <v>637</v>
      </c>
      <c r="D58" s="800">
        <v>0.05</v>
      </c>
      <c r="E58" s="686">
        <f>E9/(1+J50)</f>
        <v>6.666666666666667</v>
      </c>
      <c r="F58" s="686">
        <v>0.3</v>
      </c>
      <c r="G58" s="686">
        <f>1-F58</f>
        <v>0.7</v>
      </c>
      <c r="H58" s="674">
        <f>H9*(1+J50)</f>
        <v>72000</v>
      </c>
      <c r="I58" s="674">
        <f>I9*(1+R50)</f>
        <v>2400</v>
      </c>
      <c r="J58" s="686">
        <v>3</v>
      </c>
      <c r="K58" s="686">
        <v>10</v>
      </c>
      <c r="L58" s="686">
        <f>L9*(1+F50)</f>
        <v>0.222</v>
      </c>
      <c r="M58" s="674">
        <f t="shared" si="5"/>
        <v>9.64</v>
      </c>
      <c r="N58" s="686">
        <f t="shared" si="5"/>
        <v>72906</v>
      </c>
      <c r="O58" s="674">
        <f>O9*(1+E50)</f>
        <v>1927500</v>
      </c>
      <c r="P58" s="675">
        <f>P9/O9*O58</f>
        <v>156250</v>
      </c>
    </row>
    <row r="59" spans="1:20" x14ac:dyDescent="0.25">
      <c r="C59" s="682" t="s">
        <v>638</v>
      </c>
      <c r="D59" s="800">
        <v>0.05</v>
      </c>
      <c r="E59" s="686">
        <f>E10/(1+J51)</f>
        <v>5.8333333333333339</v>
      </c>
      <c r="F59" s="686">
        <v>0.3</v>
      </c>
      <c r="G59" s="686">
        <f>1-F59</f>
        <v>0.7</v>
      </c>
      <c r="H59" s="674">
        <f>H10*(1+J51)</f>
        <v>150000</v>
      </c>
      <c r="I59" s="674">
        <f>I10*(1+R51)</f>
        <v>4200</v>
      </c>
      <c r="J59" s="686">
        <v>7</v>
      </c>
      <c r="K59" s="686">
        <v>18</v>
      </c>
      <c r="L59" s="686">
        <f>L10*(1+F51)</f>
        <v>0.27100000000000002</v>
      </c>
      <c r="M59" s="674">
        <f t="shared" si="5"/>
        <v>9.64</v>
      </c>
      <c r="N59" s="686">
        <f t="shared" si="5"/>
        <v>109046</v>
      </c>
      <c r="O59" s="674">
        <f>O10*(1+E51)</f>
        <v>3063750</v>
      </c>
      <c r="P59" s="675">
        <f>P10/O10*O59</f>
        <v>273750</v>
      </c>
    </row>
    <row r="60" spans="1:20" ht="13.9" customHeight="1" thickBot="1" x14ac:dyDescent="0.3">
      <c r="C60" s="694" t="s">
        <v>639</v>
      </c>
      <c r="D60" s="801">
        <v>0.05</v>
      </c>
      <c r="E60" s="699">
        <f>E11/(1+J52)</f>
        <v>5.8333333333333339</v>
      </c>
      <c r="F60" s="699">
        <v>0.3</v>
      </c>
      <c r="G60" s="699">
        <f>1-F60</f>
        <v>0.7</v>
      </c>
      <c r="H60" s="698">
        <f>H11*(1+J52)</f>
        <v>150000</v>
      </c>
      <c r="I60" s="698">
        <f>I11*(1+R52)</f>
        <v>4200</v>
      </c>
      <c r="J60" s="699">
        <v>7</v>
      </c>
      <c r="K60" s="699">
        <v>26</v>
      </c>
      <c r="L60" s="699">
        <f>L11*(1+F52)</f>
        <v>0.35199999999999998</v>
      </c>
      <c r="M60" s="698">
        <f t="shared" si="5"/>
        <v>9.64</v>
      </c>
      <c r="N60" s="699">
        <f t="shared" si="5"/>
        <v>112696</v>
      </c>
      <c r="O60" s="698">
        <f>O11*(1+E52)</f>
        <v>3352500</v>
      </c>
      <c r="P60" s="802">
        <f>P11/O11*O60</f>
        <v>300000</v>
      </c>
    </row>
    <row r="61" spans="1:20" ht="13.9" customHeight="1" thickBot="1" x14ac:dyDescent="0.3"/>
    <row r="62" spans="1:20" ht="13.9" customHeight="1" x14ac:dyDescent="0.25">
      <c r="C62" s="706" t="s">
        <v>640</v>
      </c>
      <c r="D62" s="707"/>
      <c r="E62" s="708"/>
      <c r="F62" s="708"/>
      <c r="G62" s="708"/>
      <c r="H62" s="708"/>
      <c r="I62" s="708"/>
      <c r="J62" s="709"/>
    </row>
    <row r="63" spans="1:20" ht="13.9" customHeight="1" thickBot="1" x14ac:dyDescent="0.3">
      <c r="C63" s="710" t="s">
        <v>641</v>
      </c>
      <c r="D63" s="615" t="s">
        <v>642</v>
      </c>
      <c r="E63" s="803" t="s">
        <v>643</v>
      </c>
      <c r="F63" s="803" t="s">
        <v>644</v>
      </c>
      <c r="G63" s="804" t="s">
        <v>645</v>
      </c>
      <c r="H63" s="803" t="s">
        <v>646</v>
      </c>
      <c r="I63" s="803" t="s">
        <v>647</v>
      </c>
      <c r="J63" s="805" t="s">
        <v>648</v>
      </c>
    </row>
    <row r="64" spans="1:20" ht="13.9" customHeight="1" x14ac:dyDescent="0.25">
      <c r="C64" s="806" t="s">
        <v>635</v>
      </c>
      <c r="D64" s="807">
        <f>[3]Database_obsolete!L6/([3]Database_obsolete!L6+[3]Database_obsolete!M6)*N56*(1+O48)</f>
        <v>14922.165566886619</v>
      </c>
      <c r="E64" s="808">
        <f>[3]Database_obsolete!M6/([3]Database_obsolete!L6+[3]Database_obsolete!M6)*N56*(1+P48)</f>
        <v>24878.234433113372</v>
      </c>
      <c r="F64" s="808">
        <f>(O56-P56)/E56</f>
        <v>110000</v>
      </c>
      <c r="G64" s="808">
        <f>F64*F56</f>
        <v>33000</v>
      </c>
      <c r="H64" s="808">
        <f>O56*D56/2</f>
        <v>8500</v>
      </c>
      <c r="I64" s="808">
        <f>I15*(1+N48)</f>
        <v>3651</v>
      </c>
      <c r="J64" s="809">
        <f>D64+E64+G64+H64+I64</f>
        <v>84951.4</v>
      </c>
    </row>
    <row r="65" spans="2:29" ht="13.9" customHeight="1" x14ac:dyDescent="0.25">
      <c r="C65" s="810" t="s">
        <v>636</v>
      </c>
      <c r="D65" s="811">
        <f>[3]Database_obsolete!L7/([3]Database_obsolete!L7+[3]Database_obsolete!M7)*N57*(1+O49)</f>
        <v>44176.706575682372</v>
      </c>
      <c r="E65" s="723">
        <f>[3]Database_obsolete!M7/([3]Database_obsolete!L7+[3]Database_obsolete!M7)*N57*(1+P49)</f>
        <v>25537.293424317617</v>
      </c>
      <c r="F65" s="723">
        <f>(O57-P57)/E57</f>
        <v>162937.5</v>
      </c>
      <c r="G65" s="723">
        <f>F65*F57</f>
        <v>48881.25</v>
      </c>
      <c r="H65" s="723">
        <f>O57*D57/2</f>
        <v>30093.75</v>
      </c>
      <c r="I65" s="723">
        <f>I16*(1+N49)</f>
        <v>10553</v>
      </c>
      <c r="J65" s="724">
        <f>D65+E65+G65+H65+I65</f>
        <v>159242</v>
      </c>
    </row>
    <row r="66" spans="2:29" ht="13.9" customHeight="1" x14ac:dyDescent="0.25">
      <c r="C66" s="810" t="s">
        <v>637</v>
      </c>
      <c r="D66" s="811">
        <f>[3]Database_obsolete!L8/([3]Database_obsolete!L8+[3]Database_obsolete!M8)*N58*(1+O50)</f>
        <v>49006.0837751238</v>
      </c>
      <c r="E66" s="723">
        <f>[3]Database_obsolete!M8/([3]Database_obsolete!L8+[3]Database_obsolete!M8)*N58*(1+P50)</f>
        <v>38481.116224876198</v>
      </c>
      <c r="F66" s="723">
        <f>(O58-P58)/E58</f>
        <v>265687.5</v>
      </c>
      <c r="G66" s="723">
        <f>F66*F58</f>
        <v>79706.25</v>
      </c>
      <c r="H66" s="723">
        <f>O58*D58/2</f>
        <v>48187.5</v>
      </c>
      <c r="I66" s="723">
        <f>I17*(1+N50)</f>
        <v>12898</v>
      </c>
      <c r="J66" s="724">
        <f>D66+E66+G66+H66+I66</f>
        <v>228278.95</v>
      </c>
    </row>
    <row r="67" spans="2:29" ht="13.9" customHeight="1" x14ac:dyDescent="0.25">
      <c r="C67" s="810" t="s">
        <v>638</v>
      </c>
      <c r="D67" s="811">
        <f>[3]Database_obsolete!L9/([3]Database_obsolete!L9+[3]Database_obsolete!M9)*N59*(1+O51)</f>
        <v>75436.874947368415</v>
      </c>
      <c r="E67" s="723">
        <f>[3]Database_obsolete!M9/([3]Database_obsolete!L9+[3]Database_obsolete!M9)*N59*(1+P51)</f>
        <v>55418.325052631575</v>
      </c>
      <c r="F67" s="723">
        <f>(O59-P59)/E59</f>
        <v>478285.71428571426</v>
      </c>
      <c r="G67" s="723">
        <f>F67*F59</f>
        <v>143485.71428571426</v>
      </c>
      <c r="H67" s="723">
        <f>O59*D59/2</f>
        <v>76593.75</v>
      </c>
      <c r="I67" s="723">
        <f>I18*(1+N51)</f>
        <v>27818</v>
      </c>
      <c r="J67" s="724">
        <f>D67+E67+G67+H67+I67</f>
        <v>378752.66428571427</v>
      </c>
    </row>
    <row r="68" spans="2:29" ht="13.9" customHeight="1" thickBot="1" x14ac:dyDescent="0.3">
      <c r="C68" s="812" t="s">
        <v>639</v>
      </c>
      <c r="D68" s="813">
        <f>[3]Database_obsolete!L10/([3]Database_obsolete!L10+[3]Database_obsolete!M10)*N60*(1+O52)</f>
        <v>79674.497405189613</v>
      </c>
      <c r="E68" s="729">
        <f>[3]Database_obsolete!M10/([3]Database_obsolete!L10+[3]Database_obsolete!M10)*N60*(1+P52)</f>
        <v>55560.702594810369</v>
      </c>
      <c r="F68" s="729">
        <f>(O60-P60)/E60</f>
        <v>523285.71428571426</v>
      </c>
      <c r="G68" s="729">
        <f>F68*F60</f>
        <v>156985.71428571426</v>
      </c>
      <c r="H68" s="729">
        <f>O60*D60/2</f>
        <v>83812.5</v>
      </c>
      <c r="I68" s="729">
        <f>I19*(1+N52)</f>
        <v>27818</v>
      </c>
      <c r="J68" s="731">
        <f>D68+E68+G68+H68+I68</f>
        <v>403851.41428571427</v>
      </c>
    </row>
    <row r="69" spans="2:29" ht="13.9" customHeight="1" x14ac:dyDescent="0.25"/>
    <row r="70" spans="2:29" x14ac:dyDescent="0.25">
      <c r="D70" s="814"/>
      <c r="E70" s="814"/>
      <c r="F70" s="814"/>
      <c r="G70" s="814"/>
      <c r="H70" s="814"/>
      <c r="I70" s="814"/>
      <c r="J70" s="814"/>
      <c r="K70" s="814"/>
      <c r="L70" s="814"/>
      <c r="M70" s="814"/>
      <c r="N70" s="814"/>
      <c r="O70" s="814"/>
      <c r="P70" s="814"/>
      <c r="Q70" s="814"/>
    </row>
    <row r="71" spans="2:29" ht="15.75" thickBot="1" x14ac:dyDescent="0.3">
      <c r="B71" s="815" t="s">
        <v>649</v>
      </c>
      <c r="C71" s="816"/>
      <c r="D71" s="817"/>
      <c r="E71" s="817"/>
      <c r="F71" s="817"/>
      <c r="G71" s="817"/>
      <c r="H71" s="817"/>
      <c r="I71" s="817"/>
      <c r="J71" s="817"/>
      <c r="K71" s="817"/>
      <c r="L71" s="817"/>
      <c r="M71" s="817"/>
      <c r="N71" s="817"/>
      <c r="O71" s="817"/>
      <c r="P71" s="817"/>
      <c r="Q71" s="817"/>
      <c r="R71" s="818"/>
    </row>
    <row r="72" spans="2:29" ht="15.75" thickBot="1" x14ac:dyDescent="0.3">
      <c r="B72" s="819"/>
      <c r="C72" s="820" t="s">
        <v>677</v>
      </c>
      <c r="D72" s="821" t="s">
        <v>678</v>
      </c>
      <c r="E72" s="822"/>
      <c r="F72" s="822"/>
      <c r="G72" s="822"/>
      <c r="H72" s="823"/>
      <c r="I72" s="821" t="s">
        <v>679</v>
      </c>
      <c r="J72" s="822"/>
      <c r="K72" s="822"/>
      <c r="L72" s="822"/>
      <c r="M72" s="822"/>
      <c r="N72" s="822"/>
      <c r="O72" s="822"/>
      <c r="P72" s="823"/>
      <c r="Q72" s="823"/>
      <c r="R72" s="735" t="s">
        <v>781</v>
      </c>
      <c r="S72" s="735"/>
      <c r="T72" s="735"/>
      <c r="U72" s="735"/>
      <c r="V72" s="735"/>
      <c r="W72" s="735"/>
      <c r="X72" s="735"/>
      <c r="Y72" s="735"/>
      <c r="Z72" s="736"/>
    </row>
    <row r="73" spans="2:29" ht="15.75" thickBot="1" x14ac:dyDescent="0.3">
      <c r="B73" s="819"/>
      <c r="C73" s="774" t="s">
        <v>641</v>
      </c>
      <c r="D73" s="824" t="s">
        <v>680</v>
      </c>
      <c r="E73" s="825" t="s">
        <v>681</v>
      </c>
      <c r="F73" s="825" t="s">
        <v>682</v>
      </c>
      <c r="G73" s="826" t="s">
        <v>683</v>
      </c>
      <c r="H73" s="827" t="s">
        <v>684</v>
      </c>
      <c r="I73" s="828" t="s">
        <v>685</v>
      </c>
      <c r="J73" s="829" t="s">
        <v>686</v>
      </c>
      <c r="K73" s="829" t="s">
        <v>683</v>
      </c>
      <c r="L73" s="829" t="s">
        <v>647</v>
      </c>
      <c r="M73" s="829" t="s">
        <v>642</v>
      </c>
      <c r="N73" s="829" t="s">
        <v>643</v>
      </c>
      <c r="O73" s="830" t="s">
        <v>687</v>
      </c>
      <c r="P73" s="830"/>
      <c r="Q73" s="831" t="s">
        <v>688</v>
      </c>
      <c r="R73" s="738" t="s">
        <v>685</v>
      </c>
      <c r="S73" s="738" t="s">
        <v>686</v>
      </c>
      <c r="T73" s="738" t="s">
        <v>683</v>
      </c>
      <c r="U73" s="738" t="s">
        <v>647</v>
      </c>
      <c r="V73" s="738" t="s">
        <v>642</v>
      </c>
      <c r="W73" s="738" t="s">
        <v>643</v>
      </c>
      <c r="X73" s="738"/>
      <c r="Y73" s="738"/>
      <c r="Z73" s="738" t="s">
        <v>688</v>
      </c>
      <c r="AA73" s="1028" t="s">
        <v>782</v>
      </c>
      <c r="AB73" s="1028" t="s">
        <v>783</v>
      </c>
      <c r="AC73" s="1028" t="s">
        <v>784</v>
      </c>
    </row>
    <row r="74" spans="2:29" ht="15.75" thickBot="1" x14ac:dyDescent="0.3">
      <c r="B74" s="819"/>
      <c r="C74" s="832" t="s">
        <v>689</v>
      </c>
      <c r="D74" s="833">
        <f>L56*M56</f>
        <v>0.69408000000000003</v>
      </c>
      <c r="E74" s="834">
        <f t="shared" ref="E74:F78" si="6">E24*(1+G48)</f>
        <v>0.41250000000000003</v>
      </c>
      <c r="F74" s="834">
        <f t="shared" si="6"/>
        <v>0.51</v>
      </c>
      <c r="G74" s="834">
        <f>F64*G56/H56</f>
        <v>1.2833333333333334</v>
      </c>
      <c r="H74" s="835">
        <f>SUM(D74:G74)</f>
        <v>2.8999133333333336</v>
      </c>
      <c r="I74" s="836">
        <f>I24*(1+K48)</f>
        <v>0</v>
      </c>
      <c r="J74" s="837">
        <f>H64/I56</f>
        <v>3.6892361111111112</v>
      </c>
      <c r="K74" s="837">
        <f>F64*F56/I56</f>
        <v>14.322916666666666</v>
      </c>
      <c r="L74" s="837">
        <f>I64/I56</f>
        <v>1.5846354166666667</v>
      </c>
      <c r="M74" s="837">
        <f>D64/I56</f>
        <v>6.4766343606278731</v>
      </c>
      <c r="N74" s="837">
        <f>E64/I56</f>
        <v>10.797844806038789</v>
      </c>
      <c r="O74" s="837">
        <f>I24*S48*T48</f>
        <v>101.60000000000001</v>
      </c>
      <c r="P74" s="838"/>
      <c r="Q74" s="839">
        <f>SUM(I74:O74)</f>
        <v>138.47126736111113</v>
      </c>
      <c r="R74" s="748" t="e">
        <f>I74/'AVs - antaganden'!#REF!</f>
        <v>#REF!</v>
      </c>
      <c r="S74" s="748" t="e">
        <f>J74/'AVs - antaganden'!#REF!</f>
        <v>#REF!</v>
      </c>
      <c r="T74" s="748" t="e">
        <f>K74/'AVs - antaganden'!#REF!</f>
        <v>#REF!</v>
      </c>
      <c r="U74" s="748" t="e">
        <f>L74/'AVs - antaganden'!#REF!</f>
        <v>#REF!</v>
      </c>
      <c r="V74" s="748" t="e">
        <f>M74/'AVs - antaganden'!#REF!</f>
        <v>#REF!</v>
      </c>
      <c r="W74" s="748" t="e">
        <f>N74/'AVs - antaganden'!#REF!</f>
        <v>#REF!</v>
      </c>
      <c r="X74" s="748" t="e">
        <f>O74/'AVs - antaganden'!#REF!</f>
        <v>#REF!</v>
      </c>
      <c r="Y74" s="748" t="e">
        <f>P74/'AVs - antaganden'!#REF!</f>
        <v>#REF!</v>
      </c>
      <c r="Z74" s="748" t="e">
        <f>Q74/'AVs - antaganden'!#REF!</f>
        <v>#REF!</v>
      </c>
      <c r="AA74" s="765" t="e">
        <f>H74+Z74</f>
        <v>#REF!</v>
      </c>
      <c r="AB74" s="765" t="e">
        <f>AA74*10</f>
        <v>#REF!</v>
      </c>
      <c r="AC74" s="1029" t="e">
        <f>(AB74-AB33)/AB33</f>
        <v>#REF!</v>
      </c>
    </row>
    <row r="75" spans="2:29" ht="15.75" thickBot="1" x14ac:dyDescent="0.3">
      <c r="B75" s="819"/>
      <c r="C75" s="840" t="s">
        <v>690</v>
      </c>
      <c r="D75" s="841">
        <f>L57*M57</f>
        <v>1.5809600000000001</v>
      </c>
      <c r="E75" s="842">
        <f t="shared" si="6"/>
        <v>1.3250000000000002</v>
      </c>
      <c r="F75" s="842">
        <f t="shared" si="6"/>
        <v>0.32</v>
      </c>
      <c r="G75" s="842">
        <f>F65*G57/H57</f>
        <v>2.1121527777777778</v>
      </c>
      <c r="H75" s="843">
        <f>SUM(D75:G75)</f>
        <v>5.3381127777777779</v>
      </c>
      <c r="I75" s="844">
        <f>I25*(1+K49)</f>
        <v>0</v>
      </c>
      <c r="J75" s="845">
        <f>H65/I57</f>
        <v>12.5390625</v>
      </c>
      <c r="K75" s="845">
        <f>F65*F57/I57</f>
        <v>20.3671875</v>
      </c>
      <c r="L75" s="845">
        <f>I65/I57</f>
        <v>4.3970833333333337</v>
      </c>
      <c r="M75" s="845">
        <f>D65/I57</f>
        <v>18.406961073200989</v>
      </c>
      <c r="N75" s="845">
        <f>E65/I57</f>
        <v>10.640538926799007</v>
      </c>
      <c r="O75" s="845">
        <f>I25*S49*T49</f>
        <v>101.60000000000001</v>
      </c>
      <c r="P75" s="846"/>
      <c r="Q75" s="847">
        <f>SUM(I75:O75)</f>
        <v>167.95083333333332</v>
      </c>
      <c r="R75" s="748">
        <f>I75/'AVs - antaganden'!$E11</f>
        <v>0</v>
      </c>
      <c r="S75" s="748">
        <f>J75/'AVs - antaganden'!$E11</f>
        <v>0.55729166666666663</v>
      </c>
      <c r="T75" s="748">
        <f>K75/'AVs - antaganden'!$E11</f>
        <v>0.90520833333333328</v>
      </c>
      <c r="U75" s="748">
        <f>L75/'AVs - antaganden'!$E11</f>
        <v>0.19542592592592595</v>
      </c>
      <c r="V75" s="748">
        <f>M75/'AVs - antaganden'!$E11</f>
        <v>0.8180871588089329</v>
      </c>
      <c r="W75" s="748">
        <f>N75/'AVs - antaganden'!$E11</f>
        <v>0.47291284119106697</v>
      </c>
      <c r="X75" s="748">
        <f>O75/'AVs - antaganden'!$E11</f>
        <v>4.5155555555555562</v>
      </c>
      <c r="Y75" s="748">
        <f>P75/'AVs - antaganden'!$E11</f>
        <v>0</v>
      </c>
      <c r="Z75" s="748">
        <f>Q75/'AVs - antaganden'!$E11</f>
        <v>7.4644814814814806</v>
      </c>
      <c r="AA75" s="765">
        <f t="shared" ref="AA75:AA78" si="7">H75+Z75</f>
        <v>12.802594259259259</v>
      </c>
      <c r="AB75" s="765">
        <f t="shared" ref="AB75:AB78" si="8">AA75*10</f>
        <v>128.02594259259257</v>
      </c>
      <c r="AC75" s="1029">
        <f t="shared" ref="AC75:AC78" si="9">(AB75-AB34)/AB34</f>
        <v>-0.31814855471261938</v>
      </c>
    </row>
    <row r="76" spans="2:29" ht="15.75" thickBot="1" x14ac:dyDescent="0.3">
      <c r="B76" s="819"/>
      <c r="C76" s="840" t="s">
        <v>691</v>
      </c>
      <c r="D76" s="841">
        <f>L58*M58</f>
        <v>2.1400800000000002</v>
      </c>
      <c r="E76" s="842">
        <f t="shared" si="6"/>
        <v>1.575</v>
      </c>
      <c r="F76" s="842">
        <f t="shared" si="6"/>
        <v>0.64</v>
      </c>
      <c r="G76" s="842">
        <f>F66*G58/H58</f>
        <v>2.5830729166666666</v>
      </c>
      <c r="H76" s="843">
        <f>SUM(D76:G76)</f>
        <v>6.9381529166666667</v>
      </c>
      <c r="I76" s="844">
        <f>I26*(1+K50)</f>
        <v>0</v>
      </c>
      <c r="J76" s="845">
        <f>H66/I58</f>
        <v>20.078125</v>
      </c>
      <c r="K76" s="845">
        <f>F66*F58/I58</f>
        <v>33.2109375</v>
      </c>
      <c r="L76" s="845">
        <f>I66/I58</f>
        <v>5.3741666666666665</v>
      </c>
      <c r="M76" s="845">
        <f>D66/I58</f>
        <v>20.419201572968248</v>
      </c>
      <c r="N76" s="845">
        <f>E66/I58</f>
        <v>16.033798427031748</v>
      </c>
      <c r="O76" s="845">
        <f>I26*S50*T50</f>
        <v>98</v>
      </c>
      <c r="P76" s="846"/>
      <c r="Q76" s="847">
        <f>SUM(I76:O76)</f>
        <v>193.11622916666667</v>
      </c>
      <c r="R76" s="748">
        <f>I76/'AVs - antaganden'!$E12</f>
        <v>0</v>
      </c>
      <c r="S76" s="748">
        <f>J76/'AVs - antaganden'!$E12</f>
        <v>0.66927083333333337</v>
      </c>
      <c r="T76" s="748">
        <f>K76/'AVs - antaganden'!$E12</f>
        <v>1.1070312499999999</v>
      </c>
      <c r="U76" s="748">
        <f>L76/'AVs - antaganden'!$E12</f>
        <v>0.17913888888888888</v>
      </c>
      <c r="V76" s="748">
        <f>M76/'AVs - antaganden'!$E12</f>
        <v>0.68064005243227499</v>
      </c>
      <c r="W76" s="748">
        <f>N76/'AVs - antaganden'!$E12</f>
        <v>0.53445994756772497</v>
      </c>
      <c r="X76" s="748">
        <f>O76/'AVs - antaganden'!$E12</f>
        <v>3.2666666666666666</v>
      </c>
      <c r="Y76" s="748">
        <f>P76/'AVs - antaganden'!$E12</f>
        <v>0</v>
      </c>
      <c r="Z76" s="748">
        <f>Q76/'AVs - antaganden'!$E12</f>
        <v>6.4372076388888892</v>
      </c>
      <c r="AA76" s="765">
        <f t="shared" si="7"/>
        <v>13.375360555555556</v>
      </c>
      <c r="AB76" s="765">
        <f t="shared" si="8"/>
        <v>133.75360555555557</v>
      </c>
      <c r="AC76" s="1029">
        <f t="shared" si="9"/>
        <v>-0.22629127942102728</v>
      </c>
    </row>
    <row r="77" spans="2:29" ht="15.75" thickBot="1" x14ac:dyDescent="0.3">
      <c r="B77" s="819"/>
      <c r="C77" s="840" t="s">
        <v>692</v>
      </c>
      <c r="D77" s="841">
        <f>L59*M59</f>
        <v>2.6124400000000003</v>
      </c>
      <c r="E77" s="842">
        <f t="shared" si="6"/>
        <v>1.4874999999999998</v>
      </c>
      <c r="F77" s="842">
        <f t="shared" si="6"/>
        <v>0.94</v>
      </c>
      <c r="G77" s="842">
        <f>F67*G59/H59</f>
        <v>2.2319999999999998</v>
      </c>
      <c r="H77" s="843">
        <f>SUM(D77:G77)</f>
        <v>7.271939999999999</v>
      </c>
      <c r="I77" s="844">
        <f>I27*(1+K51)</f>
        <v>0</v>
      </c>
      <c r="J77" s="845">
        <f>H67/I59</f>
        <v>18.236607142857142</v>
      </c>
      <c r="K77" s="845">
        <f>F67*F59/I59</f>
        <v>34.16326530612244</v>
      </c>
      <c r="L77" s="845">
        <f>I67/I59</f>
        <v>6.6233333333333331</v>
      </c>
      <c r="M77" s="845">
        <f>D67/I59</f>
        <v>17.961160701754384</v>
      </c>
      <c r="N77" s="845">
        <f>E67/I59</f>
        <v>13.194839298245613</v>
      </c>
      <c r="O77" s="845">
        <f>I27*S51*T51</f>
        <v>98</v>
      </c>
      <c r="P77" s="846"/>
      <c r="Q77" s="847">
        <f>SUM(I77:O77)</f>
        <v>188.17920578231292</v>
      </c>
      <c r="R77" s="748">
        <f>I77/'AVs - antaganden'!$E13</f>
        <v>0</v>
      </c>
      <c r="S77" s="748">
        <f>J77/'AVs - antaganden'!$E13</f>
        <v>0.510625</v>
      </c>
      <c r="T77" s="748">
        <f>K77/'AVs - antaganden'!$E13</f>
        <v>0.95657142857142829</v>
      </c>
      <c r="U77" s="748">
        <f>L77/'AVs - antaganden'!$E13</f>
        <v>0.18545333333333333</v>
      </c>
      <c r="V77" s="748">
        <f>M77/'AVs - antaganden'!$E13</f>
        <v>0.50291249964912277</v>
      </c>
      <c r="W77" s="748">
        <f>N77/'AVs - antaganden'!$E13</f>
        <v>0.36945550035087715</v>
      </c>
      <c r="X77" s="748">
        <f>O77/'AVs - antaganden'!$E13</f>
        <v>2.7439999999999998</v>
      </c>
      <c r="Y77" s="748">
        <f>P77/'AVs - antaganden'!$E13</f>
        <v>0</v>
      </c>
      <c r="Z77" s="748">
        <f>Q77/'AVs - antaganden'!$E13</f>
        <v>5.2690177619047613</v>
      </c>
      <c r="AA77" s="765">
        <f t="shared" si="7"/>
        <v>12.54095776190476</v>
      </c>
      <c r="AB77" s="765">
        <f t="shared" si="8"/>
        <v>125.40957761904761</v>
      </c>
      <c r="AC77" s="1029">
        <f t="shared" si="9"/>
        <v>-0.20532650551320625</v>
      </c>
    </row>
    <row r="78" spans="2:29" ht="15.75" thickBot="1" x14ac:dyDescent="0.3">
      <c r="B78" s="819"/>
      <c r="C78" s="848" t="s">
        <v>693</v>
      </c>
      <c r="D78" s="849">
        <f>L60*M60</f>
        <v>3.3932799999999999</v>
      </c>
      <c r="E78" s="850">
        <f t="shared" si="6"/>
        <v>1.3</v>
      </c>
      <c r="F78" s="850">
        <f t="shared" si="6"/>
        <v>1.18</v>
      </c>
      <c r="G78" s="850">
        <f>F68*G60/H60</f>
        <v>2.4419999999999997</v>
      </c>
      <c r="H78" s="851">
        <f>SUM(D78:G78)</f>
        <v>8.3152799999999996</v>
      </c>
      <c r="I78" s="852">
        <f>I28*(1+K52)</f>
        <v>0</v>
      </c>
      <c r="J78" s="853">
        <f>H68/I60</f>
        <v>19.955357142857142</v>
      </c>
      <c r="K78" s="853">
        <f>F68*F60/I60</f>
        <v>37.377551020408156</v>
      </c>
      <c r="L78" s="853">
        <f>I68/I60</f>
        <v>6.6233333333333331</v>
      </c>
      <c r="M78" s="853">
        <f>D68/I60</f>
        <v>18.970118429807052</v>
      </c>
      <c r="N78" s="853">
        <f>E68/I60</f>
        <v>13.228738713050088</v>
      </c>
      <c r="O78" s="853">
        <f>I28*S52*T52</f>
        <v>101.60000000000001</v>
      </c>
      <c r="P78" s="854"/>
      <c r="Q78" s="855">
        <f>SUM(I78:O78)</f>
        <v>197.75509863945581</v>
      </c>
      <c r="R78" s="748">
        <f>I78/'AVs - antaganden'!$E14</f>
        <v>0</v>
      </c>
      <c r="S78" s="748">
        <f>J78/'AVs - antaganden'!$E14</f>
        <v>0.55874999999999997</v>
      </c>
      <c r="T78" s="748">
        <f>K78/'AVs - antaganden'!$E14</f>
        <v>1.0465714285714283</v>
      </c>
      <c r="U78" s="748">
        <f>L78/'AVs - antaganden'!$E14</f>
        <v>0.18545333333333333</v>
      </c>
      <c r="V78" s="748">
        <f>M78/'AVs - antaganden'!$E14</f>
        <v>0.53116331603459743</v>
      </c>
      <c r="W78" s="748">
        <f>N78/'AVs - antaganden'!$E14</f>
        <v>0.37040468396540244</v>
      </c>
      <c r="X78" s="748">
        <f>O78/'AVs - antaganden'!$E14</f>
        <v>2.8448000000000002</v>
      </c>
      <c r="Y78" s="748">
        <f>P78/'AVs - antaganden'!$E14</f>
        <v>0</v>
      </c>
      <c r="Z78" s="748">
        <f>Q78/'AVs - antaganden'!$E14</f>
        <v>5.5371427619047626</v>
      </c>
      <c r="AA78" s="765">
        <f t="shared" si="7"/>
        <v>13.852422761904762</v>
      </c>
      <c r="AB78" s="765">
        <f t="shared" si="8"/>
        <v>138.52422761904762</v>
      </c>
      <c r="AC78" s="1029">
        <f t="shared" si="9"/>
        <v>-0.19547055537784488</v>
      </c>
    </row>
    <row r="79" spans="2:29" x14ac:dyDescent="0.25">
      <c r="B79" s="856"/>
      <c r="C79" s="857"/>
      <c r="D79" s="858"/>
      <c r="E79" s="858"/>
      <c r="F79" s="858"/>
      <c r="G79" s="858"/>
      <c r="H79" s="858"/>
      <c r="I79" s="858"/>
      <c r="J79" s="858"/>
      <c r="K79" s="858"/>
      <c r="L79" s="858"/>
      <c r="M79" s="858"/>
      <c r="N79" s="858"/>
      <c r="O79" s="858"/>
      <c r="P79" s="858"/>
      <c r="Q79" s="858"/>
      <c r="R79" s="859"/>
    </row>
    <row r="81" spans="2:19" ht="15.75" thickBot="1" x14ac:dyDescent="0.3">
      <c r="B81" s="860" t="s">
        <v>653</v>
      </c>
      <c r="C81" s="861"/>
      <c r="D81" s="862"/>
      <c r="E81" s="862"/>
      <c r="F81" s="862"/>
      <c r="G81" s="862"/>
      <c r="H81" s="862"/>
      <c r="I81" s="862"/>
      <c r="J81" s="862"/>
      <c r="K81" s="862"/>
      <c r="L81" s="862"/>
      <c r="M81" s="862"/>
      <c r="N81" s="862"/>
      <c r="O81" s="862"/>
      <c r="P81" s="862"/>
      <c r="Q81" s="862"/>
      <c r="R81" s="863"/>
    </row>
    <row r="82" spans="2:19" ht="15.75" thickBot="1" x14ac:dyDescent="0.3">
      <c r="B82" s="864"/>
      <c r="C82" s="820" t="s">
        <v>677</v>
      </c>
      <c r="D82" s="821" t="s">
        <v>678</v>
      </c>
      <c r="E82" s="822"/>
      <c r="F82" s="822"/>
      <c r="G82" s="822"/>
      <c r="H82" s="823"/>
      <c r="I82" s="821" t="s">
        <v>679</v>
      </c>
      <c r="J82" s="822"/>
      <c r="K82" s="822"/>
      <c r="L82" s="822"/>
      <c r="M82" s="822"/>
      <c r="N82" s="822"/>
      <c r="O82" s="822"/>
      <c r="P82" s="823"/>
      <c r="Q82" s="823"/>
      <c r="R82" s="865"/>
    </row>
    <row r="83" spans="2:19" ht="15.75" thickBot="1" x14ac:dyDescent="0.3">
      <c r="B83" s="864"/>
      <c r="C83" s="774" t="s">
        <v>641</v>
      </c>
      <c r="D83" s="824" t="s">
        <v>680</v>
      </c>
      <c r="E83" s="825" t="s">
        <v>681</v>
      </c>
      <c r="F83" s="825" t="s">
        <v>682</v>
      </c>
      <c r="G83" s="826" t="s">
        <v>683</v>
      </c>
      <c r="H83" s="827" t="s">
        <v>684</v>
      </c>
      <c r="I83" s="828" t="s">
        <v>685</v>
      </c>
      <c r="J83" s="829" t="s">
        <v>686</v>
      </c>
      <c r="K83" s="829" t="s">
        <v>683</v>
      </c>
      <c r="L83" s="829" t="s">
        <v>647</v>
      </c>
      <c r="M83" s="829" t="s">
        <v>642</v>
      </c>
      <c r="N83" s="829" t="s">
        <v>643</v>
      </c>
      <c r="O83" s="830" t="s">
        <v>687</v>
      </c>
      <c r="P83" s="830"/>
      <c r="Q83" s="831" t="s">
        <v>688</v>
      </c>
      <c r="R83" s="866" t="s">
        <v>694</v>
      </c>
      <c r="S83" s="646"/>
    </row>
    <row r="84" spans="2:19" ht="15.75" thickBot="1" x14ac:dyDescent="0.3">
      <c r="B84" s="864"/>
      <c r="C84" s="832" t="s">
        <v>689</v>
      </c>
      <c r="D84" s="833">
        <f>D74*'[3]ASEK adjustment'!B29</f>
        <v>0.7</v>
      </c>
      <c r="E84" s="834">
        <f>E74*'[3]ASEK adjustment'!C29</f>
        <v>0.41250000000000003</v>
      </c>
      <c r="F84" s="834">
        <f>F74*'[3]ASEK adjustment'!D29</f>
        <v>0.51</v>
      </c>
      <c r="G84" s="834">
        <f>G74*'[3]ASEK adjustment'!E29</f>
        <v>1.35</v>
      </c>
      <c r="H84" s="835">
        <f>SUM(D84:G84)</f>
        <v>2.9725000000000001</v>
      </c>
      <c r="I84" s="838">
        <f>I74*'[3]ASEK adjustment'!G29</f>
        <v>0</v>
      </c>
      <c r="J84" s="836">
        <f>J74*'[3]ASEK adjustment'!H29</f>
        <v>4.5520833333333339</v>
      </c>
      <c r="K84" s="836">
        <f>K74*'[3]ASEK adjustment'!I29</f>
        <v>15.075000000000001</v>
      </c>
      <c r="L84" s="836">
        <f>L74*'[3]ASEK adjustment'!J29</f>
        <v>1.5833333333333335</v>
      </c>
      <c r="M84" s="836">
        <f>M74*'[3]ASEK adjustment'!K29</f>
        <v>6.4749550089981991</v>
      </c>
      <c r="N84" s="836">
        <f>N74*'[3]ASEK adjustment'!L29</f>
        <v>10.795044991001797</v>
      </c>
      <c r="O84" s="836">
        <f>O74</f>
        <v>101.60000000000001</v>
      </c>
      <c r="P84" s="836">
        <f>P74*'[3]ASEK adjustment'!N29</f>
        <v>0</v>
      </c>
      <c r="Q84" s="839">
        <f>SUM(I84:O84)</f>
        <v>140.08041666666668</v>
      </c>
      <c r="R84" s="867">
        <f>Q84-O84</f>
        <v>38.48041666666667</v>
      </c>
      <c r="S84" s="868"/>
    </row>
    <row r="85" spans="2:19" ht="15.75" thickBot="1" x14ac:dyDescent="0.3">
      <c r="B85" s="864"/>
      <c r="C85" s="840" t="s">
        <v>690</v>
      </c>
      <c r="D85" s="841">
        <f>D75*'[3]ASEK adjustment'!B30</f>
        <v>1.58</v>
      </c>
      <c r="E85" s="842">
        <f>E75*'[3]ASEK adjustment'!C30</f>
        <v>1.3250000000000002</v>
      </c>
      <c r="F85" s="842">
        <f>F75*'[3]ASEK adjustment'!D30</f>
        <v>0.32</v>
      </c>
      <c r="G85" s="842">
        <f>G75*'[3]ASEK adjustment'!E30</f>
        <v>2.1124999999999998</v>
      </c>
      <c r="H85" s="843">
        <f>SUM(D85:G85)</f>
        <v>5.3375000000000004</v>
      </c>
      <c r="I85" s="838">
        <f>I75*'[3]ASEK adjustment'!G30</f>
        <v>0</v>
      </c>
      <c r="J85" s="836">
        <f>J75*'[3]ASEK adjustment'!H30</f>
        <v>13.76041666666667</v>
      </c>
      <c r="K85" s="836">
        <f>K75*'[3]ASEK adjustment'!I30</f>
        <v>20.375</v>
      </c>
      <c r="L85" s="836">
        <f>L75*'[3]ASEK adjustment'!J30</f>
        <v>4.4000000000000004</v>
      </c>
      <c r="M85" s="836">
        <f>M75*'[3]ASEK adjustment'!K30</f>
        <v>18.4085452853598</v>
      </c>
      <c r="N85" s="836">
        <f>N75*'[3]ASEK adjustment'!L30</f>
        <v>10.641454714640199</v>
      </c>
      <c r="O85" s="836">
        <f t="shared" ref="O85:O88" si="10">O75</f>
        <v>101.60000000000001</v>
      </c>
      <c r="P85" s="836">
        <f>P75*'[3]ASEK adjustment'!N30</f>
        <v>0</v>
      </c>
      <c r="Q85" s="847">
        <f>SUM(I85:O85)</f>
        <v>169.1854166666667</v>
      </c>
      <c r="R85" s="867">
        <f t="shared" ref="R85:R88" si="11">Q85-O85</f>
        <v>67.585416666666688</v>
      </c>
      <c r="S85" s="868"/>
    </row>
    <row r="86" spans="2:19" ht="15.75" thickBot="1" x14ac:dyDescent="0.3">
      <c r="B86" s="864"/>
      <c r="C86" s="840" t="s">
        <v>691</v>
      </c>
      <c r="D86" s="841">
        <f>D76*'[3]ASEK adjustment'!B31</f>
        <v>2.14</v>
      </c>
      <c r="E86" s="842">
        <f>E76*'[3]ASEK adjustment'!C31</f>
        <v>1.575</v>
      </c>
      <c r="F86" s="842">
        <f>F76*'[3]ASEK adjustment'!D31</f>
        <v>0.64</v>
      </c>
      <c r="G86" s="842">
        <f>G76*'[3]ASEK adjustment'!E31</f>
        <v>2.5874999999999999</v>
      </c>
      <c r="H86" s="843">
        <f>SUM(D86:G86)</f>
        <v>6.942499999999999</v>
      </c>
      <c r="I86" s="838">
        <f>I76*'[3]ASEK adjustment'!G31</f>
        <v>0</v>
      </c>
      <c r="J86" s="836">
        <f>J76*'[3]ASEK adjustment'!H31</f>
        <v>21.708333333333336</v>
      </c>
      <c r="K86" s="836">
        <f>K76*'[3]ASEK adjustment'!I31</f>
        <v>33.225000000000001</v>
      </c>
      <c r="L86" s="836">
        <f>L76*'[3]ASEK adjustment'!J31</f>
        <v>5.3750000000000009</v>
      </c>
      <c r="M86" s="836">
        <f>M76*'[3]ASEK adjustment'!K31</f>
        <v>20.4175211185552</v>
      </c>
      <c r="N86" s="836">
        <f>N76*'[3]ASEK adjustment'!L31</f>
        <v>16.032478881444799</v>
      </c>
      <c r="O86" s="836">
        <f t="shared" si="10"/>
        <v>98</v>
      </c>
      <c r="P86" s="836">
        <f>P76*'[3]ASEK adjustment'!N31</f>
        <v>0</v>
      </c>
      <c r="Q86" s="847">
        <f>SUM(I86:O86)</f>
        <v>194.75833333333333</v>
      </c>
      <c r="R86" s="867">
        <f t="shared" si="11"/>
        <v>96.758333333333326</v>
      </c>
      <c r="S86" s="868"/>
    </row>
    <row r="87" spans="2:19" ht="15.75" thickBot="1" x14ac:dyDescent="0.3">
      <c r="B87" s="864"/>
      <c r="C87" s="840" t="s">
        <v>692</v>
      </c>
      <c r="D87" s="841">
        <f>D77*'[3]ASEK adjustment'!B32</f>
        <v>2.62</v>
      </c>
      <c r="E87" s="842">
        <f>E77*'[3]ASEK adjustment'!C32</f>
        <v>1.4874999999999998</v>
      </c>
      <c r="F87" s="842">
        <f>F77*'[3]ASEK adjustment'!D32</f>
        <v>0.93705197132616491</v>
      </c>
      <c r="G87" s="842">
        <f>G77*'[3]ASEK adjustment'!E32</f>
        <v>2.2250000000000001</v>
      </c>
      <c r="H87" s="843">
        <f>SUM(D87:G87)</f>
        <v>7.2695519713261643</v>
      </c>
      <c r="I87" s="838">
        <f>I77*'[3]ASEK adjustment'!G32</f>
        <v>0</v>
      </c>
      <c r="J87" s="836">
        <f>J77*'[3]ASEK adjustment'!H32</f>
        <v>19.864583333333332</v>
      </c>
      <c r="K87" s="836">
        <f>K77*'[3]ASEK adjustment'!I32</f>
        <v>34.162499999999994</v>
      </c>
      <c r="L87" s="836">
        <f>L77*'[3]ASEK adjustment'!J32</f>
        <v>6.623184961170848</v>
      </c>
      <c r="M87" s="836">
        <f>M77*'[3]ASEK adjustment'!K32</f>
        <v>17.963466666666665</v>
      </c>
      <c r="N87" s="836">
        <f>N77*'[3]ASEK adjustment'!L32</f>
        <v>13.196533333333333</v>
      </c>
      <c r="O87" s="836">
        <f t="shared" si="10"/>
        <v>98</v>
      </c>
      <c r="P87" s="836">
        <f>P77*'[3]ASEK adjustment'!N32</f>
        <v>0</v>
      </c>
      <c r="Q87" s="847">
        <f>SUM(I87:O87)</f>
        <v>189.81026829450417</v>
      </c>
      <c r="R87" s="867">
        <f t="shared" si="11"/>
        <v>91.810268294504169</v>
      </c>
      <c r="S87" s="868"/>
    </row>
    <row r="88" spans="2:19" ht="15.75" thickBot="1" x14ac:dyDescent="0.3">
      <c r="B88" s="864"/>
      <c r="C88" s="848" t="s">
        <v>693</v>
      </c>
      <c r="D88" s="849">
        <f>D78*'[3]ASEK adjustment'!B33</f>
        <v>3.39</v>
      </c>
      <c r="E88" s="850">
        <f>E78*'[3]ASEK adjustment'!C33</f>
        <v>1.3</v>
      </c>
      <c r="F88" s="850">
        <f>F78*'[3]ASEK adjustment'!D33</f>
        <v>1.18</v>
      </c>
      <c r="G88" s="850">
        <f>G78*'[3]ASEK adjustment'!E33</f>
        <v>2.4374999999999996</v>
      </c>
      <c r="H88" s="851">
        <f>SUM(D88:G88)</f>
        <v>8.3074999999999992</v>
      </c>
      <c r="I88" s="838">
        <f>I78*'[3]ASEK adjustment'!G33</f>
        <v>0</v>
      </c>
      <c r="J88" s="836">
        <f>J78*'[3]ASEK adjustment'!H33</f>
        <v>21.739583333333332</v>
      </c>
      <c r="K88" s="836">
        <f>K78*'[3]ASEK adjustment'!I33</f>
        <v>37.387499999999996</v>
      </c>
      <c r="L88" s="836">
        <f>L78*'[3]ASEK adjustment'!J33</f>
        <v>6.6250963008463017</v>
      </c>
      <c r="M88" s="836">
        <f>M78*'[3]ASEK adjustment'!K33</f>
        <v>18.970791749833673</v>
      </c>
      <c r="N88" s="836">
        <f>N78*'[3]ASEK adjustment'!L33</f>
        <v>13.229208250166337</v>
      </c>
      <c r="O88" s="836">
        <f t="shared" si="10"/>
        <v>101.60000000000001</v>
      </c>
      <c r="P88" s="836">
        <f>P78*'[3]ASEK adjustment'!N33</f>
        <v>0</v>
      </c>
      <c r="Q88" s="855">
        <f>SUM(I88:O88)</f>
        <v>199.55217963417965</v>
      </c>
      <c r="R88" s="869">
        <f t="shared" si="11"/>
        <v>97.952179634179643</v>
      </c>
      <c r="S88" s="868"/>
    </row>
    <row r="89" spans="2:19" x14ac:dyDescent="0.25">
      <c r="B89" s="870"/>
      <c r="C89" s="871"/>
      <c r="D89" s="872"/>
      <c r="E89" s="872"/>
      <c r="F89" s="872"/>
      <c r="G89" s="872"/>
      <c r="H89" s="872"/>
      <c r="I89" s="872"/>
      <c r="J89" s="872"/>
      <c r="K89" s="872"/>
      <c r="L89" s="872"/>
      <c r="M89" s="872"/>
      <c r="N89" s="872"/>
      <c r="O89" s="872"/>
      <c r="P89" s="872"/>
      <c r="Q89" s="872"/>
      <c r="R89" s="873"/>
    </row>
    <row r="90" spans="2:19" ht="14.25" customHeight="1" thickBot="1" x14ac:dyDescent="0.3"/>
    <row r="91" spans="2:19" ht="15" customHeight="1" thickBot="1" x14ac:dyDescent="0.3">
      <c r="C91" s="1181" t="s">
        <v>695</v>
      </c>
      <c r="D91" s="820" t="s">
        <v>696</v>
      </c>
      <c r="E91" s="821" t="s">
        <v>678</v>
      </c>
      <c r="F91" s="822"/>
      <c r="G91" s="822"/>
      <c r="H91" s="822"/>
      <c r="I91" s="822"/>
      <c r="J91" s="821" t="s">
        <v>679</v>
      </c>
      <c r="K91" s="822"/>
      <c r="L91" s="822"/>
      <c r="M91" s="822"/>
      <c r="N91" s="822"/>
      <c r="O91" s="822"/>
      <c r="P91" s="822"/>
      <c r="Q91" s="822"/>
      <c r="R91" s="823"/>
    </row>
    <row r="92" spans="2:19" ht="15.75" thickBot="1" x14ac:dyDescent="0.3">
      <c r="C92" s="1182"/>
      <c r="D92" s="774" t="s">
        <v>641</v>
      </c>
      <c r="E92" s="874" t="s">
        <v>680</v>
      </c>
      <c r="F92" s="825" t="s">
        <v>681</v>
      </c>
      <c r="G92" s="825" t="s">
        <v>682</v>
      </c>
      <c r="H92" s="825" t="s">
        <v>683</v>
      </c>
      <c r="I92" s="875" t="s">
        <v>684</v>
      </c>
      <c r="J92" s="828" t="s">
        <v>685</v>
      </c>
      <c r="K92" s="876" t="s">
        <v>686</v>
      </c>
      <c r="L92" s="876" t="s">
        <v>683</v>
      </c>
      <c r="M92" s="876" t="s">
        <v>647</v>
      </c>
      <c r="N92" s="876" t="s">
        <v>642</v>
      </c>
      <c r="O92" s="876" t="s">
        <v>643</v>
      </c>
      <c r="P92" s="876"/>
      <c r="Q92" s="877" t="s">
        <v>687</v>
      </c>
      <c r="R92" s="877" t="s">
        <v>688</v>
      </c>
    </row>
    <row r="93" spans="2:19" x14ac:dyDescent="0.25">
      <c r="C93" s="1182"/>
      <c r="D93" s="832" t="s">
        <v>689</v>
      </c>
      <c r="E93" s="833">
        <f>D84-D24</f>
        <v>5.9199999999999253E-3</v>
      </c>
      <c r="F93" s="834">
        <f t="shared" ref="F93:H93" si="12">E84-E24</f>
        <v>8.2500000000000018E-2</v>
      </c>
      <c r="G93" s="834">
        <f t="shared" si="12"/>
        <v>0</v>
      </c>
      <c r="H93" s="834">
        <f t="shared" si="12"/>
        <v>0.32333333333333347</v>
      </c>
      <c r="I93" s="1014">
        <f>H84-H24</f>
        <v>0.41175333333333342</v>
      </c>
      <c r="J93" s="836">
        <f>I84-I24</f>
        <v>-254</v>
      </c>
      <c r="K93" s="837">
        <f t="shared" ref="K93:Q97" si="13">J84-J24</f>
        <v>1.0104166666666674</v>
      </c>
      <c r="L93" s="837">
        <f t="shared" si="13"/>
        <v>3.6166666666666689</v>
      </c>
      <c r="M93" s="837">
        <f t="shared" si="13"/>
        <v>-0.31822916666666656</v>
      </c>
      <c r="N93" s="837">
        <f t="shared" si="13"/>
        <v>-1.6793516296740307E-3</v>
      </c>
      <c r="O93" s="837">
        <f t="shared" si="13"/>
        <v>-2.7998150369938912E-3</v>
      </c>
      <c r="P93" s="837">
        <f t="shared" si="13"/>
        <v>101.60000000000001</v>
      </c>
      <c r="Q93" s="1015">
        <f t="shared" si="13"/>
        <v>0</v>
      </c>
      <c r="R93" s="839">
        <f>ROUND(SUM(J93:Q93),2)</f>
        <v>-148.1</v>
      </c>
    </row>
    <row r="94" spans="2:19" x14ac:dyDescent="0.25">
      <c r="C94" s="1182"/>
      <c r="D94" s="840" t="s">
        <v>690</v>
      </c>
      <c r="E94" s="841">
        <f t="shared" ref="E94:J97" si="14">D85-D25</f>
        <v>-9.6000000000007191E-4</v>
      </c>
      <c r="F94" s="842">
        <f t="shared" si="14"/>
        <v>0.26500000000000012</v>
      </c>
      <c r="G94" s="842">
        <f t="shared" si="14"/>
        <v>0</v>
      </c>
      <c r="H94" s="842">
        <f t="shared" si="14"/>
        <v>0.4227777777777777</v>
      </c>
      <c r="I94" s="1016">
        <f t="shared" si="14"/>
        <v>0.68681777777777775</v>
      </c>
      <c r="J94" s="844">
        <f t="shared" si="14"/>
        <v>-254</v>
      </c>
      <c r="K94" s="845">
        <f t="shared" si="13"/>
        <v>1.72291666666667</v>
      </c>
      <c r="L94" s="845">
        <f t="shared" si="13"/>
        <v>4.0812500000000007</v>
      </c>
      <c r="M94" s="845">
        <f t="shared" si="13"/>
        <v>-0.87650000000000006</v>
      </c>
      <c r="N94" s="845">
        <f t="shared" si="13"/>
        <v>1.5842121588107716E-3</v>
      </c>
      <c r="O94" s="845">
        <f t="shared" si="13"/>
        <v>9.1578784119228374E-4</v>
      </c>
      <c r="P94" s="845">
        <f t="shared" si="13"/>
        <v>101.60000000000001</v>
      </c>
      <c r="Q94" s="1017">
        <f t="shared" si="13"/>
        <v>0</v>
      </c>
      <c r="R94" s="847">
        <f>ROUND(SUM(J94:Q94),2)</f>
        <v>-147.47</v>
      </c>
    </row>
    <row r="95" spans="2:19" x14ac:dyDescent="0.25">
      <c r="C95" s="1182"/>
      <c r="D95" s="840" t="s">
        <v>691</v>
      </c>
      <c r="E95" s="841">
        <f t="shared" si="14"/>
        <v>-8.0000000000080007E-5</v>
      </c>
      <c r="F95" s="842">
        <f t="shared" si="14"/>
        <v>0.31499999999999995</v>
      </c>
      <c r="G95" s="842">
        <f t="shared" si="14"/>
        <v>0</v>
      </c>
      <c r="H95" s="842">
        <f t="shared" si="14"/>
        <v>0.52104166666666663</v>
      </c>
      <c r="I95" s="1016">
        <f t="shared" si="14"/>
        <v>0.83596166666666605</v>
      </c>
      <c r="J95" s="844">
        <f t="shared" si="14"/>
        <v>-245</v>
      </c>
      <c r="K95" s="845">
        <f t="shared" si="13"/>
        <v>2.4333333333333371</v>
      </c>
      <c r="L95" s="845">
        <f t="shared" si="13"/>
        <v>6.6562500000000036</v>
      </c>
      <c r="M95" s="845">
        <f t="shared" si="13"/>
        <v>-1.073999999999999</v>
      </c>
      <c r="N95" s="845">
        <f t="shared" si="13"/>
        <v>-1.6804544130479826E-3</v>
      </c>
      <c r="O95" s="845">
        <f t="shared" si="13"/>
        <v>-1.3195455869521311E-3</v>
      </c>
      <c r="P95" s="845">
        <f t="shared" si="13"/>
        <v>98</v>
      </c>
      <c r="Q95" s="1017">
        <f t="shared" si="13"/>
        <v>0</v>
      </c>
      <c r="R95" s="847">
        <f>ROUND(SUM(J95:Q95),2)</f>
        <v>-138.99</v>
      </c>
    </row>
    <row r="96" spans="2:19" x14ac:dyDescent="0.25">
      <c r="C96" s="1182"/>
      <c r="D96" s="840" t="s">
        <v>692</v>
      </c>
      <c r="E96" s="841">
        <f t="shared" si="14"/>
        <v>7.5599999999997891E-3</v>
      </c>
      <c r="F96" s="842">
        <f t="shared" si="14"/>
        <v>0.29749999999999988</v>
      </c>
      <c r="G96" s="842">
        <f t="shared" si="14"/>
        <v>-2.9480286738350348E-3</v>
      </c>
      <c r="H96" s="842">
        <f t="shared" si="14"/>
        <v>0.43940000000000023</v>
      </c>
      <c r="I96" s="1016">
        <f t="shared" si="14"/>
        <v>0.74151197132616442</v>
      </c>
      <c r="J96" s="844">
        <f t="shared" si="14"/>
        <v>-245</v>
      </c>
      <c r="K96" s="845">
        <f t="shared" si="13"/>
        <v>2.3574404761904759</v>
      </c>
      <c r="L96" s="845">
        <f t="shared" si="13"/>
        <v>6.8318877551020378</v>
      </c>
      <c r="M96" s="845">
        <f t="shared" si="13"/>
        <v>-1.3248150388291524</v>
      </c>
      <c r="N96" s="845">
        <f t="shared" si="13"/>
        <v>2.3059649122814108E-3</v>
      </c>
      <c r="O96" s="845">
        <f t="shared" si="13"/>
        <v>1.6940350877199251E-3</v>
      </c>
      <c r="P96" s="845">
        <f t="shared" si="13"/>
        <v>98</v>
      </c>
      <c r="Q96" s="1017">
        <f t="shared" si="13"/>
        <v>0</v>
      </c>
      <c r="R96" s="847">
        <f>ROUND(SUM(J96:Q96),2)</f>
        <v>-139.13</v>
      </c>
    </row>
    <row r="97" spans="1:18" ht="15.75" thickBot="1" x14ac:dyDescent="0.3">
      <c r="C97" s="1182"/>
      <c r="D97" s="848" t="s">
        <v>693</v>
      </c>
      <c r="E97" s="849">
        <f t="shared" si="14"/>
        <v>-3.2799999999997276E-3</v>
      </c>
      <c r="F97" s="850">
        <f t="shared" si="14"/>
        <v>0.26</v>
      </c>
      <c r="G97" s="850">
        <f t="shared" si="14"/>
        <v>0</v>
      </c>
      <c r="H97" s="850">
        <f t="shared" si="14"/>
        <v>0.48389999999999955</v>
      </c>
      <c r="I97" s="1018">
        <f t="shared" si="14"/>
        <v>0.74061999999999983</v>
      </c>
      <c r="J97" s="852">
        <f t="shared" si="14"/>
        <v>-254</v>
      </c>
      <c r="K97" s="853">
        <f t="shared" si="13"/>
        <v>2.5824404761904738</v>
      </c>
      <c r="L97" s="853">
        <f t="shared" si="13"/>
        <v>7.4854591836734699</v>
      </c>
      <c r="M97" s="853">
        <f t="shared" si="13"/>
        <v>-1.3229036991536987</v>
      </c>
      <c r="N97" s="853">
        <f t="shared" si="13"/>
        <v>6.73320026621127E-4</v>
      </c>
      <c r="O97" s="853">
        <f t="shared" si="13"/>
        <v>4.6953711624908578E-4</v>
      </c>
      <c r="P97" s="853">
        <f t="shared" si="13"/>
        <v>101.60000000000001</v>
      </c>
      <c r="Q97" s="1019">
        <f t="shared" si="13"/>
        <v>0</v>
      </c>
      <c r="R97" s="855">
        <f>ROUND(SUM(J97:Q97),2)</f>
        <v>-143.65</v>
      </c>
    </row>
    <row r="98" spans="1:18" ht="15.75" thickBot="1" x14ac:dyDescent="0.3">
      <c r="C98" s="1182"/>
      <c r="D98" s="820" t="s">
        <v>697</v>
      </c>
      <c r="E98" s="649" t="s">
        <v>678</v>
      </c>
      <c r="F98" s="1020"/>
      <c r="G98" s="1020"/>
      <c r="H98" s="1020"/>
      <c r="I98" s="1020"/>
      <c r="J98" s="649" t="s">
        <v>679</v>
      </c>
      <c r="K98" s="1020"/>
      <c r="L98" s="1020"/>
      <c r="M98" s="1020"/>
      <c r="N98" s="1020"/>
      <c r="O98" s="1020"/>
      <c r="P98" s="1020"/>
      <c r="Q98" s="1020"/>
      <c r="R98" s="823"/>
    </row>
    <row r="99" spans="1:18" ht="15.75" thickBot="1" x14ac:dyDescent="0.3">
      <c r="C99" s="1182"/>
      <c r="D99" s="774" t="s">
        <v>641</v>
      </c>
      <c r="E99" s="874" t="s">
        <v>680</v>
      </c>
      <c r="F99" s="825" t="s">
        <v>681</v>
      </c>
      <c r="G99" s="825" t="s">
        <v>682</v>
      </c>
      <c r="H99" s="825" t="s">
        <v>683</v>
      </c>
      <c r="I99" s="875" t="s">
        <v>684</v>
      </c>
      <c r="J99" s="828" t="s">
        <v>685</v>
      </c>
      <c r="K99" s="876" t="s">
        <v>686</v>
      </c>
      <c r="L99" s="876" t="s">
        <v>683</v>
      </c>
      <c r="M99" s="876" t="s">
        <v>647</v>
      </c>
      <c r="N99" s="876" t="s">
        <v>642</v>
      </c>
      <c r="O99" s="876" t="s">
        <v>643</v>
      </c>
      <c r="P99" s="876"/>
      <c r="Q99" s="877" t="s">
        <v>687</v>
      </c>
      <c r="R99" s="877" t="s">
        <v>688</v>
      </c>
    </row>
    <row r="100" spans="1:18" x14ac:dyDescent="0.25">
      <c r="C100" s="1182"/>
      <c r="D100" s="832" t="s">
        <v>689</v>
      </c>
      <c r="E100" s="881">
        <f t="shared" ref="E100:O104" si="15">E93/D24</f>
        <v>8.5292761641308276E-3</v>
      </c>
      <c r="F100" s="882">
        <f t="shared" si="15"/>
        <v>0.25000000000000006</v>
      </c>
      <c r="G100" s="882">
        <f t="shared" si="15"/>
        <v>0</v>
      </c>
      <c r="H100" s="882">
        <f t="shared" si="15"/>
        <v>0.31493506493506507</v>
      </c>
      <c r="I100" s="1021">
        <f>I93/H24</f>
        <v>0.1607942475111426</v>
      </c>
      <c r="J100" s="884">
        <f t="shared" si="15"/>
        <v>-1</v>
      </c>
      <c r="K100" s="885">
        <f t="shared" si="15"/>
        <v>0.28529411764705903</v>
      </c>
      <c r="L100" s="885">
        <f t="shared" si="15"/>
        <v>0.31563636363636388</v>
      </c>
      <c r="M100" s="885">
        <f t="shared" si="15"/>
        <v>-0.16735141057244585</v>
      </c>
      <c r="N100" s="885">
        <f t="shared" si="15"/>
        <v>-2.5929387644344756E-4</v>
      </c>
      <c r="O100" s="885">
        <f t="shared" si="15"/>
        <v>-2.592938764435723E-4</v>
      </c>
      <c r="P100" s="885"/>
      <c r="Q100" s="885"/>
      <c r="R100" s="886">
        <f>R93/Q24</f>
        <v>-0.51392197333082712</v>
      </c>
    </row>
    <row r="101" spans="1:18" x14ac:dyDescent="0.25">
      <c r="C101" s="1182"/>
      <c r="D101" s="840" t="s">
        <v>690</v>
      </c>
      <c r="E101" s="887">
        <f t="shared" si="15"/>
        <v>-6.0722598927238631E-4</v>
      </c>
      <c r="F101" s="888">
        <f t="shared" si="15"/>
        <v>0.25000000000000011</v>
      </c>
      <c r="G101" s="888">
        <f t="shared" si="15"/>
        <v>0</v>
      </c>
      <c r="H101" s="888">
        <f t="shared" si="15"/>
        <v>0.2502054907118198</v>
      </c>
      <c r="I101" s="889">
        <f t="shared" si="15"/>
        <v>0.14768108095968713</v>
      </c>
      <c r="J101" s="890">
        <f t="shared" si="15"/>
        <v>-1</v>
      </c>
      <c r="K101" s="891">
        <f t="shared" si="15"/>
        <v>0.14312911041883034</v>
      </c>
      <c r="L101" s="891">
        <f t="shared" si="15"/>
        <v>0.25047947832757966</v>
      </c>
      <c r="M101" s="891">
        <f t="shared" si="15"/>
        <v>-0.16611390126030512</v>
      </c>
      <c r="N101" s="891">
        <f t="shared" si="15"/>
        <v>8.6065926499798672E-5</v>
      </c>
      <c r="O101" s="891">
        <f t="shared" si="15"/>
        <v>8.6065926499813119E-5</v>
      </c>
      <c r="P101" s="891"/>
      <c r="Q101" s="891"/>
      <c r="R101" s="892">
        <f>R94/Q25</f>
        <v>-0.46571152696820906</v>
      </c>
    </row>
    <row r="102" spans="1:18" x14ac:dyDescent="0.25">
      <c r="C102" s="1182"/>
      <c r="D102" s="840" t="s">
        <v>691</v>
      </c>
      <c r="E102" s="887">
        <f t="shared" si="15"/>
        <v>-3.7381780120406716E-5</v>
      </c>
      <c r="F102" s="888">
        <f t="shared" si="15"/>
        <v>0.24999999999999994</v>
      </c>
      <c r="G102" s="888">
        <f t="shared" si="15"/>
        <v>0</v>
      </c>
      <c r="H102" s="888">
        <f t="shared" si="15"/>
        <v>0.25214235305978422</v>
      </c>
      <c r="I102" s="889">
        <f t="shared" si="15"/>
        <v>0.13689616293792192</v>
      </c>
      <c r="J102" s="890">
        <f t="shared" si="15"/>
        <v>-1</v>
      </c>
      <c r="K102" s="891">
        <f t="shared" si="15"/>
        <v>0.12624297449200195</v>
      </c>
      <c r="L102" s="891">
        <f t="shared" si="15"/>
        <v>0.25052928722653511</v>
      </c>
      <c r="M102" s="891">
        <f t="shared" si="15"/>
        <v>-0.16653744766630468</v>
      </c>
      <c r="N102" s="891">
        <f t="shared" si="15"/>
        <v>-8.2297753271246175E-5</v>
      </c>
      <c r="O102" s="891">
        <f t="shared" si="15"/>
        <v>-8.2297753271456795E-5</v>
      </c>
      <c r="P102" s="891"/>
      <c r="Q102" s="891"/>
      <c r="R102" s="892">
        <f>R95/Q26</f>
        <v>-0.4164547413712385</v>
      </c>
    </row>
    <row r="103" spans="1:18" x14ac:dyDescent="0.25">
      <c r="C103" s="1182"/>
      <c r="D103" s="840" t="s">
        <v>692</v>
      </c>
      <c r="E103" s="887">
        <f t="shared" si="15"/>
        <v>2.8938463658494695E-3</v>
      </c>
      <c r="F103" s="888">
        <f t="shared" si="15"/>
        <v>0.24999999999999992</v>
      </c>
      <c r="G103" s="888">
        <f t="shared" si="15"/>
        <v>-3.136200716845782E-3</v>
      </c>
      <c r="H103" s="888">
        <f t="shared" si="15"/>
        <v>0.24607974910394281</v>
      </c>
      <c r="I103" s="889">
        <f t="shared" si="15"/>
        <v>0.11358876038231451</v>
      </c>
      <c r="J103" s="890">
        <f t="shared" si="15"/>
        <v>-1</v>
      </c>
      <c r="K103" s="891">
        <f t="shared" si="15"/>
        <v>0.13465592275261798</v>
      </c>
      <c r="L103" s="891">
        <f t="shared" si="15"/>
        <v>0.24997199820788521</v>
      </c>
      <c r="M103" s="891">
        <f t="shared" si="15"/>
        <v>-0.16668533452807655</v>
      </c>
      <c r="N103" s="891">
        <f t="shared" si="15"/>
        <v>1.2838618564646394E-4</v>
      </c>
      <c r="O103" s="891">
        <f t="shared" si="15"/>
        <v>1.2838618564647196E-4</v>
      </c>
      <c r="P103" s="891"/>
      <c r="Q103" s="891"/>
      <c r="R103" s="892">
        <f>R96/Q27</f>
        <v>-0.4229624176378598</v>
      </c>
    </row>
    <row r="104" spans="1:18" ht="15.75" thickBot="1" x14ac:dyDescent="0.3">
      <c r="C104" s="1183"/>
      <c r="D104" s="848" t="s">
        <v>693</v>
      </c>
      <c r="E104" s="893">
        <f t="shared" si="15"/>
        <v>-9.6661637118060633E-4</v>
      </c>
      <c r="F104" s="894">
        <f t="shared" si="15"/>
        <v>0.25</v>
      </c>
      <c r="G104" s="894">
        <f t="shared" si="15"/>
        <v>0</v>
      </c>
      <c r="H104" s="894">
        <f t="shared" si="15"/>
        <v>0.24769656019655997</v>
      </c>
      <c r="I104" s="895">
        <f t="shared" si="15"/>
        <v>9.787653563952381E-2</v>
      </c>
      <c r="J104" s="896">
        <f t="shared" si="15"/>
        <v>-1</v>
      </c>
      <c r="K104" s="897">
        <f t="shared" si="15"/>
        <v>0.13480300770569215</v>
      </c>
      <c r="L104" s="897">
        <f t="shared" si="15"/>
        <v>0.25033271908271915</v>
      </c>
      <c r="M104" s="897">
        <f t="shared" si="15"/>
        <v>-0.16644485394485387</v>
      </c>
      <c r="N104" s="897">
        <f t="shared" si="15"/>
        <v>3.5493717612387909E-5</v>
      </c>
      <c r="O104" s="897">
        <f t="shared" si="15"/>
        <v>3.5493717612389583E-5</v>
      </c>
      <c r="P104" s="897"/>
      <c r="Q104" s="897"/>
      <c r="R104" s="898">
        <f>R97/Q28</f>
        <v>-0.41855323891830087</v>
      </c>
    </row>
    <row r="106" spans="1:18" ht="28.5" x14ac:dyDescent="0.45">
      <c r="B106" s="652" t="s">
        <v>698</v>
      </c>
    </row>
    <row r="107" spans="1:18" ht="15.75" thickBot="1" x14ac:dyDescent="0.3"/>
    <row r="108" spans="1:18" ht="15.75" thickBot="1" x14ac:dyDescent="0.3">
      <c r="C108" s="770"/>
      <c r="D108" s="770" t="s">
        <v>699</v>
      </c>
      <c r="E108" s="771" t="s">
        <v>700</v>
      </c>
      <c r="F108" s="771" t="s">
        <v>701</v>
      </c>
      <c r="G108" s="771" t="s">
        <v>702</v>
      </c>
      <c r="H108" s="771" t="s">
        <v>703</v>
      </c>
      <c r="I108" s="771" t="s">
        <v>704</v>
      </c>
      <c r="J108" s="771" t="s">
        <v>705</v>
      </c>
      <c r="K108" s="771" t="s">
        <v>706</v>
      </c>
      <c r="L108" s="771" t="s">
        <v>707</v>
      </c>
      <c r="M108" s="770" t="s">
        <v>708</v>
      </c>
      <c r="N108" s="772" t="s">
        <v>709</v>
      </c>
      <c r="O108" s="612"/>
    </row>
    <row r="109" spans="1:18" x14ac:dyDescent="0.25">
      <c r="A109" t="s">
        <v>710</v>
      </c>
      <c r="C109" s="899" t="s">
        <v>635</v>
      </c>
      <c r="D109" s="900">
        <v>10.43</v>
      </c>
      <c r="E109" s="901">
        <v>999999</v>
      </c>
      <c r="F109" s="902">
        <v>104.3</v>
      </c>
      <c r="G109">
        <v>0.25</v>
      </c>
      <c r="H109" s="903">
        <v>999999</v>
      </c>
      <c r="I109">
        <v>2</v>
      </c>
      <c r="J109" s="904">
        <v>999999</v>
      </c>
      <c r="K109" s="903">
        <v>999999</v>
      </c>
      <c r="L109">
        <v>2</v>
      </c>
      <c r="M109" s="905">
        <f>Q33</f>
        <v>289.60000000000002</v>
      </c>
      <c r="N109" s="906">
        <f>I24</f>
        <v>254</v>
      </c>
      <c r="O109" s="612"/>
    </row>
    <row r="110" spans="1:18" x14ac:dyDescent="0.25">
      <c r="C110" s="779" t="s">
        <v>636</v>
      </c>
      <c r="D110" s="905">
        <v>10.43</v>
      </c>
      <c r="E110" s="907">
        <v>999999</v>
      </c>
      <c r="F110" s="906">
        <v>52.15</v>
      </c>
      <c r="G110">
        <v>0.25</v>
      </c>
      <c r="H110" s="903">
        <v>999999</v>
      </c>
      <c r="I110">
        <v>2</v>
      </c>
      <c r="J110" s="904">
        <v>999999</v>
      </c>
      <c r="K110" s="903">
        <v>999999</v>
      </c>
      <c r="L110">
        <v>9</v>
      </c>
      <c r="M110" s="905">
        <f t="shared" ref="M110:M113" si="16">Q34</f>
        <v>317.83999999999997</v>
      </c>
      <c r="N110" s="906">
        <f>I25</f>
        <v>254</v>
      </c>
      <c r="O110" s="612"/>
    </row>
    <row r="111" spans="1:18" x14ac:dyDescent="0.25">
      <c r="C111" s="779" t="s">
        <v>637</v>
      </c>
      <c r="D111" s="905">
        <v>10.43</v>
      </c>
      <c r="E111" s="908">
        <v>15.65</v>
      </c>
      <c r="F111" s="906">
        <v>41.72</v>
      </c>
      <c r="G111">
        <v>0.25</v>
      </c>
      <c r="H111">
        <v>1</v>
      </c>
      <c r="I111">
        <v>2</v>
      </c>
      <c r="J111" s="904">
        <v>999999</v>
      </c>
      <c r="K111" s="903">
        <v>999999</v>
      </c>
      <c r="L111">
        <v>15</v>
      </c>
      <c r="M111" s="905">
        <f t="shared" si="16"/>
        <v>335.31999999999994</v>
      </c>
      <c r="N111" s="906">
        <f>I26</f>
        <v>245</v>
      </c>
      <c r="O111" s="612"/>
    </row>
    <row r="112" spans="1:18" x14ac:dyDescent="0.25">
      <c r="C112" s="779" t="s">
        <v>638</v>
      </c>
      <c r="D112" s="905">
        <v>10.43</v>
      </c>
      <c r="E112" s="908">
        <v>15.65</v>
      </c>
      <c r="F112" s="906">
        <v>20.86</v>
      </c>
      <c r="G112">
        <v>0.42</v>
      </c>
      <c r="H112">
        <v>1.5</v>
      </c>
      <c r="I112">
        <v>1</v>
      </c>
      <c r="J112" s="719">
        <v>9.39</v>
      </c>
      <c r="K112">
        <v>0.75</v>
      </c>
      <c r="L112">
        <v>28</v>
      </c>
      <c r="M112" s="905">
        <f>Q36</f>
        <v>330.50782195340497</v>
      </c>
      <c r="N112" s="906">
        <f>I27</f>
        <v>245</v>
      </c>
      <c r="O112" s="612"/>
    </row>
    <row r="113" spans="2:27" ht="15.75" thickBot="1" x14ac:dyDescent="0.3">
      <c r="C113" s="783" t="s">
        <v>639</v>
      </c>
      <c r="D113" s="909">
        <v>10.43</v>
      </c>
      <c r="E113" s="910">
        <v>15.65</v>
      </c>
      <c r="F113" s="911">
        <v>20.86</v>
      </c>
      <c r="G113" s="912">
        <v>0.57999999999999996</v>
      </c>
      <c r="H113" s="912">
        <v>2</v>
      </c>
      <c r="I113" s="912">
        <v>1</v>
      </c>
      <c r="J113" s="910">
        <v>9.39</v>
      </c>
      <c r="K113" s="912">
        <v>0.75</v>
      </c>
      <c r="L113" s="912">
        <v>47</v>
      </c>
      <c r="M113" s="909">
        <f t="shared" si="16"/>
        <v>344.93011556101555</v>
      </c>
      <c r="N113" s="911">
        <f>I28</f>
        <v>254</v>
      </c>
      <c r="O113" s="612"/>
    </row>
    <row r="114" spans="2:27" ht="15.75" thickBot="1" x14ac:dyDescent="0.3">
      <c r="C114" s="913"/>
    </row>
    <row r="115" spans="2:27" x14ac:dyDescent="0.25">
      <c r="C115" s="914"/>
      <c r="D115" s="915"/>
      <c r="E115" s="916"/>
      <c r="F115" s="917"/>
      <c r="G115" s="915" t="s">
        <v>711</v>
      </c>
      <c r="H115" s="916"/>
      <c r="I115" s="916"/>
      <c r="J115" s="916"/>
      <c r="K115" s="917"/>
      <c r="L115" s="915" t="s">
        <v>712</v>
      </c>
      <c r="M115" s="916"/>
      <c r="N115" s="916"/>
      <c r="O115" s="916"/>
      <c r="P115" s="917"/>
      <c r="Q115" s="915" t="s">
        <v>713</v>
      </c>
      <c r="R115" s="916"/>
      <c r="S115" s="916"/>
      <c r="T115" s="916"/>
      <c r="U115" s="917"/>
      <c r="V115" s="915" t="s">
        <v>714</v>
      </c>
      <c r="W115" s="916"/>
      <c r="X115" s="916"/>
      <c r="Y115" s="916"/>
      <c r="Z115" s="740"/>
    </row>
    <row r="116" spans="2:27" ht="15.75" thickBot="1" x14ac:dyDescent="0.3">
      <c r="C116" s="918"/>
      <c r="D116" s="919" t="s">
        <v>687</v>
      </c>
      <c r="E116" s="646" t="s">
        <v>715</v>
      </c>
      <c r="F116" s="920" t="s">
        <v>716</v>
      </c>
      <c r="G116" s="921" t="s">
        <v>717</v>
      </c>
      <c r="H116" s="922" t="s">
        <v>718</v>
      </c>
      <c r="I116" s="922" t="s">
        <v>719</v>
      </c>
      <c r="J116" s="922" t="s">
        <v>720</v>
      </c>
      <c r="K116" s="923" t="s">
        <v>721</v>
      </c>
      <c r="L116" s="921" t="s">
        <v>717</v>
      </c>
      <c r="M116" s="922" t="s">
        <v>718</v>
      </c>
      <c r="N116" s="922" t="s">
        <v>719</v>
      </c>
      <c r="O116" s="922" t="s">
        <v>720</v>
      </c>
      <c r="P116" s="923" t="s">
        <v>721</v>
      </c>
      <c r="Q116" s="921" t="s">
        <v>717</v>
      </c>
      <c r="R116" s="922" t="s">
        <v>718</v>
      </c>
      <c r="S116" s="922" t="s">
        <v>719</v>
      </c>
      <c r="T116" s="922" t="s">
        <v>720</v>
      </c>
      <c r="U116" s="923" t="s">
        <v>721</v>
      </c>
      <c r="V116" s="921" t="s">
        <v>717</v>
      </c>
      <c r="W116" s="922" t="s">
        <v>718</v>
      </c>
      <c r="X116" s="922" t="s">
        <v>719</v>
      </c>
      <c r="Y116" s="922" t="s">
        <v>720</v>
      </c>
      <c r="Z116" s="923" t="s">
        <v>721</v>
      </c>
      <c r="AA116" s="646" t="s">
        <v>722</v>
      </c>
    </row>
    <row r="117" spans="2:27" x14ac:dyDescent="0.25">
      <c r="C117" s="924" t="s">
        <v>689</v>
      </c>
      <c r="D117" s="925">
        <f>O84</f>
        <v>101.60000000000001</v>
      </c>
      <c r="E117" s="926">
        <f>Q84</f>
        <v>140.08041666666668</v>
      </c>
      <c r="F117" s="927">
        <f>E117-D117+N109*H117</f>
        <v>292.48041666666666</v>
      </c>
      <c r="G117" s="790">
        <v>0.53</v>
      </c>
      <c r="H117" s="790">
        <v>1</v>
      </c>
      <c r="I117" s="720">
        <f>D109*L109*G117</f>
        <v>11.0558</v>
      </c>
      <c r="J117" s="720">
        <f>G109*F117</f>
        <v>73.120104166666664</v>
      </c>
      <c r="K117" s="928">
        <f>I117+J117</f>
        <v>84.175904166666669</v>
      </c>
      <c r="L117" s="929"/>
      <c r="M117" s="930"/>
      <c r="N117" s="931"/>
      <c r="O117" s="931"/>
      <c r="P117" s="932"/>
      <c r="Q117" s="933">
        <v>0.53</v>
      </c>
      <c r="R117" s="790">
        <v>1</v>
      </c>
      <c r="S117" s="720">
        <f>F109*L109*Q117</f>
        <v>110.55800000000001</v>
      </c>
      <c r="T117" s="720">
        <f>I109*F117*R117</f>
        <v>584.96083333333331</v>
      </c>
      <c r="U117" s="928">
        <f>S117+T117</f>
        <v>695.5188333333333</v>
      </c>
      <c r="V117" s="929"/>
      <c r="W117" s="930"/>
      <c r="X117" s="931">
        <v>999999</v>
      </c>
      <c r="Y117" s="931">
        <v>999999</v>
      </c>
      <c r="Z117" s="932"/>
      <c r="AA117" s="868">
        <f>E117-D117</f>
        <v>38.48041666666667</v>
      </c>
    </row>
    <row r="118" spans="2:27" x14ac:dyDescent="0.25">
      <c r="C118" s="924" t="s">
        <v>690</v>
      </c>
      <c r="D118" s="934">
        <f t="shared" ref="D118:D121" si="17">O85</f>
        <v>101.60000000000001</v>
      </c>
      <c r="E118" s="720">
        <f t="shared" ref="E118:E121" si="18">Q85</f>
        <v>169.1854166666667</v>
      </c>
      <c r="F118" s="928">
        <f t="shared" ref="F118:F121" si="19">E118-D118+N110*H118</f>
        <v>321.58541666666667</v>
      </c>
      <c r="G118" s="790">
        <v>0.73</v>
      </c>
      <c r="H118" s="790">
        <v>1</v>
      </c>
      <c r="I118" s="720">
        <f>D110*L110*G118</f>
        <v>68.525099999999995</v>
      </c>
      <c r="J118" s="720">
        <f>G110*F118*H118</f>
        <v>80.396354166666669</v>
      </c>
      <c r="K118" s="928">
        <f>I118+J118</f>
        <v>148.92145416666665</v>
      </c>
      <c r="L118" s="929"/>
      <c r="M118" s="930"/>
      <c r="N118" s="931"/>
      <c r="O118" s="931"/>
      <c r="P118" s="932"/>
      <c r="Q118" s="933">
        <v>0.73</v>
      </c>
      <c r="R118" s="790">
        <v>1</v>
      </c>
      <c r="S118" s="720">
        <f>F110*L110*Q118</f>
        <v>342.62549999999999</v>
      </c>
      <c r="T118" s="720">
        <f>I110*F118*R118</f>
        <v>643.17083333333335</v>
      </c>
      <c r="U118" s="928">
        <f>S118+T118</f>
        <v>985.79633333333334</v>
      </c>
      <c r="V118" s="929"/>
      <c r="W118" s="930"/>
      <c r="X118" s="931">
        <v>999999</v>
      </c>
      <c r="Y118" s="931">
        <v>999999</v>
      </c>
      <c r="Z118" s="932"/>
      <c r="AA118" s="868">
        <f t="shared" ref="AA118:AA121" si="20">E118-D118</f>
        <v>67.585416666666688</v>
      </c>
    </row>
    <row r="119" spans="2:27" x14ac:dyDescent="0.25">
      <c r="C119" s="924" t="s">
        <v>691</v>
      </c>
      <c r="D119" s="934">
        <f t="shared" si="17"/>
        <v>98</v>
      </c>
      <c r="E119" s="720">
        <f t="shared" si="18"/>
        <v>194.75833333333333</v>
      </c>
      <c r="F119" s="928">
        <f t="shared" si="19"/>
        <v>341.75833333333333</v>
      </c>
      <c r="G119" s="790">
        <v>0.88</v>
      </c>
      <c r="H119" s="790">
        <v>1</v>
      </c>
      <c r="I119" s="720">
        <f>D111*L111*G119</f>
        <v>137.67599999999999</v>
      </c>
      <c r="J119" s="720">
        <f>G111*F119*H119</f>
        <v>85.439583333333331</v>
      </c>
      <c r="K119" s="928">
        <f>I119+J119</f>
        <v>223.11558333333332</v>
      </c>
      <c r="L119" s="933">
        <v>0.88</v>
      </c>
      <c r="M119" s="790">
        <v>1</v>
      </c>
      <c r="N119" s="720">
        <f>E111*L111*L119</f>
        <v>206.58</v>
      </c>
      <c r="O119" s="720">
        <f>H111*F119*M119</f>
        <v>341.75833333333333</v>
      </c>
      <c r="P119" s="928">
        <f>N119+O119</f>
        <v>548.33833333333337</v>
      </c>
      <c r="Q119" s="933">
        <v>0.88</v>
      </c>
      <c r="R119" s="790">
        <v>1</v>
      </c>
      <c r="S119" s="720">
        <f>F111*L111*Q119</f>
        <v>550.70399999999995</v>
      </c>
      <c r="T119" s="720">
        <f>I111*F119*R119</f>
        <v>683.51666666666665</v>
      </c>
      <c r="U119" s="928">
        <f>S119+T119</f>
        <v>1234.2206666666666</v>
      </c>
      <c r="V119" s="929"/>
      <c r="W119" s="930"/>
      <c r="X119" s="931">
        <v>999999</v>
      </c>
      <c r="Y119" s="931">
        <v>999999</v>
      </c>
      <c r="Z119" s="932"/>
      <c r="AA119" s="868">
        <f t="shared" si="20"/>
        <v>96.758333333333326</v>
      </c>
    </row>
    <row r="120" spans="2:27" x14ac:dyDescent="0.25">
      <c r="C120" s="924" t="s">
        <v>692</v>
      </c>
      <c r="D120" s="934">
        <f t="shared" si="17"/>
        <v>98</v>
      </c>
      <c r="E120" s="720">
        <f t="shared" si="18"/>
        <v>189.81026829450417</v>
      </c>
      <c r="F120" s="928">
        <f t="shared" si="19"/>
        <v>336.81026829450417</v>
      </c>
      <c r="G120" s="790">
        <v>0.87</v>
      </c>
      <c r="H120" s="790">
        <v>1</v>
      </c>
      <c r="I120" s="720">
        <f>D112*L112*G120</f>
        <v>254.07479999999995</v>
      </c>
      <c r="J120" s="720">
        <f>G112*F120*H120</f>
        <v>141.46031268369174</v>
      </c>
      <c r="K120" s="928">
        <f>I120+J120</f>
        <v>395.53511268369169</v>
      </c>
      <c r="L120" s="933">
        <v>0.87</v>
      </c>
      <c r="M120" s="790">
        <v>1</v>
      </c>
      <c r="N120" s="720">
        <f>E112*L112*L120</f>
        <v>381.23399999999998</v>
      </c>
      <c r="O120" s="720">
        <f>H112*F120*M120</f>
        <v>505.21540244175628</v>
      </c>
      <c r="P120" s="928">
        <f>N120+O120</f>
        <v>886.44940244175632</v>
      </c>
      <c r="Q120" s="933">
        <v>0.87</v>
      </c>
      <c r="R120" s="790">
        <v>1</v>
      </c>
      <c r="S120" s="720">
        <f>F112*L112*Q120</f>
        <v>508.14959999999991</v>
      </c>
      <c r="T120" s="720">
        <f>I112*F120*R120</f>
        <v>336.81026829450417</v>
      </c>
      <c r="U120" s="928">
        <f>S120+T120</f>
        <v>844.95986829450408</v>
      </c>
      <c r="V120" s="933">
        <v>1</v>
      </c>
      <c r="W120" s="790">
        <v>1</v>
      </c>
      <c r="X120" s="720">
        <f>J112*L112</f>
        <v>262.92</v>
      </c>
      <c r="Y120" s="720">
        <f>K112*F120*W120</f>
        <v>252.60770122087814</v>
      </c>
      <c r="Z120" s="906">
        <f>X120+Y120</f>
        <v>515.52770122087816</v>
      </c>
      <c r="AA120" s="868">
        <f t="shared" si="20"/>
        <v>91.810268294504169</v>
      </c>
    </row>
    <row r="121" spans="2:27" ht="15.75" thickBot="1" x14ac:dyDescent="0.3">
      <c r="C121" s="935" t="s">
        <v>693</v>
      </c>
      <c r="D121" s="936">
        <f t="shared" si="17"/>
        <v>101.60000000000001</v>
      </c>
      <c r="E121" s="937">
        <f t="shared" si="18"/>
        <v>199.55217963417965</v>
      </c>
      <c r="F121" s="938">
        <f t="shared" si="19"/>
        <v>351.95217963417963</v>
      </c>
      <c r="G121" s="939">
        <v>0.81</v>
      </c>
      <c r="H121" s="939">
        <v>1</v>
      </c>
      <c r="I121" s="937">
        <f>D113*L113*G121</f>
        <v>397.07010000000002</v>
      </c>
      <c r="J121" s="937">
        <f>G113*F121*H121</f>
        <v>204.13226418782418</v>
      </c>
      <c r="K121" s="938">
        <f>I121+J121</f>
        <v>601.20236418782417</v>
      </c>
      <c r="L121" s="940">
        <v>0.81</v>
      </c>
      <c r="M121" s="939">
        <v>1</v>
      </c>
      <c r="N121" s="937">
        <f>E113*L113*L121</f>
        <v>595.79550000000006</v>
      </c>
      <c r="O121" s="937">
        <f>H113*F121*M121</f>
        <v>703.90435926835926</v>
      </c>
      <c r="P121" s="938">
        <f>N121+O121</f>
        <v>1299.6998592683594</v>
      </c>
      <c r="Q121" s="940">
        <v>0.81</v>
      </c>
      <c r="R121" s="939">
        <v>1</v>
      </c>
      <c r="S121" s="937">
        <f>F113*L113*Q121</f>
        <v>794.14020000000005</v>
      </c>
      <c r="T121" s="937">
        <f>I113*F121*R121</f>
        <v>351.95217963417963</v>
      </c>
      <c r="U121" s="938">
        <f>S121+T121</f>
        <v>1146.0923796341797</v>
      </c>
      <c r="V121" s="940">
        <v>1</v>
      </c>
      <c r="W121" s="939">
        <v>1</v>
      </c>
      <c r="X121" s="937">
        <f>J113*L113</f>
        <v>441.33000000000004</v>
      </c>
      <c r="Y121" s="937">
        <f>K113*F121*W121</f>
        <v>263.96413472563472</v>
      </c>
      <c r="Z121" s="911">
        <f>X121+Y121</f>
        <v>705.29413472563476</v>
      </c>
      <c r="AA121" s="868">
        <f t="shared" si="20"/>
        <v>97.952179634179643</v>
      </c>
    </row>
    <row r="122" spans="2:27" ht="15.75" thickBot="1" x14ac:dyDescent="0.3">
      <c r="B122" s="941"/>
      <c r="C122" s="942"/>
      <c r="D122" s="943"/>
      <c r="E122" s="943"/>
      <c r="F122" s="943"/>
      <c r="G122" s="944"/>
      <c r="H122" s="944" t="s">
        <v>723</v>
      </c>
      <c r="I122" s="943"/>
      <c r="J122" s="943"/>
      <c r="K122" s="943"/>
      <c r="L122" s="944"/>
      <c r="M122" s="790"/>
      <c r="N122" s="720"/>
      <c r="O122" s="720"/>
      <c r="P122" s="720"/>
      <c r="Q122" s="790"/>
      <c r="R122" s="790"/>
      <c r="S122" s="720"/>
      <c r="T122" s="720"/>
      <c r="U122" s="720"/>
      <c r="V122" s="790"/>
      <c r="W122" s="790"/>
      <c r="X122" s="720"/>
      <c r="Y122" s="720"/>
      <c r="Z122" s="908"/>
      <c r="AA122" s="868"/>
    </row>
    <row r="123" spans="2:27" ht="15.75" thickBot="1" x14ac:dyDescent="0.3">
      <c r="B123" s="941"/>
      <c r="C123" s="945"/>
      <c r="D123" s="946" t="s">
        <v>699</v>
      </c>
      <c r="E123" s="947" t="s">
        <v>700</v>
      </c>
      <c r="F123" s="947" t="s">
        <v>701</v>
      </c>
      <c r="G123" s="947" t="s">
        <v>705</v>
      </c>
      <c r="H123" s="948" t="s">
        <v>711</v>
      </c>
      <c r="I123" s="949" t="s">
        <v>712</v>
      </c>
      <c r="J123" s="949" t="s">
        <v>713</v>
      </c>
      <c r="K123" s="950" t="s">
        <v>725</v>
      </c>
      <c r="L123" s="944"/>
      <c r="M123" s="790"/>
      <c r="N123" s="720"/>
      <c r="O123" s="720"/>
      <c r="P123" s="720"/>
      <c r="Q123" s="790"/>
      <c r="R123" s="790"/>
      <c r="S123" s="720"/>
      <c r="T123" s="720"/>
      <c r="U123" s="720"/>
      <c r="V123" s="790"/>
      <c r="W123" s="790"/>
      <c r="X123" s="720"/>
      <c r="Y123" s="720"/>
      <c r="Z123" s="908"/>
      <c r="AA123" s="868"/>
    </row>
    <row r="124" spans="2:27" x14ac:dyDescent="0.25">
      <c r="B124" s="941"/>
      <c r="C124" s="951" t="s">
        <v>689</v>
      </c>
      <c r="D124" s="952">
        <f>D109+(H124/(L109*G117))</f>
        <v>46.373396226415089</v>
      </c>
      <c r="E124" s="953">
        <v>999999</v>
      </c>
      <c r="F124" s="953">
        <f>F109+J124/(L109*Q117)</f>
        <v>391.84716981132073</v>
      </c>
      <c r="G124" s="954"/>
      <c r="H124" s="952">
        <f>G109*(N109-D117)</f>
        <v>38.099999999999994</v>
      </c>
      <c r="I124" s="953"/>
      <c r="J124" s="953">
        <f>I109*(N109-D117)</f>
        <v>304.79999999999995</v>
      </c>
      <c r="K124" s="955"/>
      <c r="L124" s="944"/>
      <c r="M124" s="790"/>
      <c r="N124" s="720"/>
      <c r="O124" s="720"/>
      <c r="P124" s="720"/>
      <c r="Q124" s="790"/>
      <c r="R124" s="790"/>
      <c r="S124" s="720"/>
      <c r="T124" s="720"/>
      <c r="U124" s="720"/>
      <c r="V124" s="790"/>
      <c r="W124" s="790"/>
      <c r="X124" s="720"/>
      <c r="Y124" s="720"/>
      <c r="Z124" s="908"/>
      <c r="AA124" s="868"/>
    </row>
    <row r="125" spans="2:27" x14ac:dyDescent="0.25">
      <c r="B125" s="941"/>
      <c r="C125" s="951" t="s">
        <v>690</v>
      </c>
      <c r="D125" s="956">
        <f t="shared" ref="D125:D128" si="21">D110+(H125/(L110*G118))</f>
        <v>16.229086757990867</v>
      </c>
      <c r="E125" s="943">
        <v>999999</v>
      </c>
      <c r="F125" s="943">
        <f t="shared" ref="F125:F128" si="22">F110+J125/(L110*Q118)</f>
        <v>98.54269406392693</v>
      </c>
      <c r="G125" s="957"/>
      <c r="H125" s="956">
        <f t="shared" ref="H125:H128" si="23">G110*(N110-D118)</f>
        <v>38.099999999999994</v>
      </c>
      <c r="I125" s="943"/>
      <c r="J125" s="943">
        <f t="shared" ref="J125:J128" si="24">I110*(N110-D118)</f>
        <v>304.79999999999995</v>
      </c>
      <c r="K125" s="958"/>
      <c r="L125" s="944"/>
      <c r="M125" s="790"/>
      <c r="N125" s="720"/>
      <c r="O125" s="720"/>
      <c r="P125" s="720"/>
      <c r="Q125" s="790"/>
      <c r="R125" s="790"/>
      <c r="S125" s="720"/>
      <c r="T125" s="720"/>
      <c r="U125" s="720"/>
      <c r="V125" s="790"/>
      <c r="W125" s="790"/>
      <c r="X125" s="720"/>
      <c r="Y125" s="720"/>
      <c r="Z125" s="908"/>
      <c r="AA125" s="868"/>
    </row>
    <row r="126" spans="2:27" x14ac:dyDescent="0.25">
      <c r="B126" s="941"/>
      <c r="C126" s="951" t="s">
        <v>691</v>
      </c>
      <c r="D126" s="956">
        <f t="shared" si="21"/>
        <v>13.21409090909091</v>
      </c>
      <c r="E126" s="943">
        <f>E111+I126/(L111*L119)</f>
        <v>26.786363636363639</v>
      </c>
      <c r="F126" s="943">
        <f t="shared" si="22"/>
        <v>63.992727272727272</v>
      </c>
      <c r="G126" s="957"/>
      <c r="H126" s="956">
        <f t="shared" si="23"/>
        <v>36.75</v>
      </c>
      <c r="I126" s="943">
        <f>H111*(N111-D119)</f>
        <v>147</v>
      </c>
      <c r="J126" s="943">
        <f t="shared" si="24"/>
        <v>294</v>
      </c>
      <c r="K126" s="958"/>
      <c r="L126" s="944"/>
      <c r="M126" s="790"/>
      <c r="N126" s="720"/>
      <c r="O126" s="720"/>
      <c r="P126" s="720"/>
      <c r="Q126" s="790"/>
      <c r="R126" s="790"/>
      <c r="S126" s="720"/>
      <c r="T126" s="720"/>
      <c r="U126" s="720"/>
      <c r="V126" s="790"/>
      <c r="W126" s="790"/>
      <c r="X126" s="720"/>
      <c r="Y126" s="720"/>
      <c r="Z126" s="908"/>
      <c r="AA126" s="868"/>
    </row>
    <row r="127" spans="2:27" x14ac:dyDescent="0.25">
      <c r="B127" s="941"/>
      <c r="C127" s="951" t="s">
        <v>692</v>
      </c>
      <c r="D127" s="956">
        <f t="shared" si="21"/>
        <v>12.96448275862069</v>
      </c>
      <c r="E127" s="943">
        <f t="shared" ref="E127:E128" si="25">E112+I127/(L112*L120)</f>
        <v>24.701724137931034</v>
      </c>
      <c r="F127" s="943">
        <f>F112+J127/(L112*Q120)</f>
        <v>26.89448275862069</v>
      </c>
      <c r="G127" s="958">
        <f>J112+K127/L112</f>
        <v>13.327500000000001</v>
      </c>
      <c r="H127" s="956">
        <f t="shared" si="23"/>
        <v>61.739999999999995</v>
      </c>
      <c r="I127" s="943">
        <f t="shared" ref="I127:I128" si="26">H112*(N112-D120)</f>
        <v>220.5</v>
      </c>
      <c r="J127" s="943">
        <f t="shared" si="24"/>
        <v>147</v>
      </c>
      <c r="K127" s="958">
        <f>(N112-D120)*K112</f>
        <v>110.25</v>
      </c>
      <c r="L127" s="944"/>
      <c r="M127" s="790"/>
      <c r="N127" s="720"/>
      <c r="O127" s="720"/>
      <c r="P127" s="720"/>
      <c r="Q127" s="790"/>
      <c r="R127" s="790"/>
      <c r="S127" s="720"/>
      <c r="T127" s="720"/>
      <c r="U127" s="720"/>
      <c r="V127" s="790"/>
      <c r="W127" s="790"/>
      <c r="X127" s="720"/>
      <c r="Y127" s="720"/>
      <c r="Z127" s="908"/>
      <c r="AA127" s="868"/>
    </row>
    <row r="128" spans="2:27" ht="15.75" thickBot="1" x14ac:dyDescent="0.3">
      <c r="B128" s="941"/>
      <c r="C128" s="959" t="s">
        <v>693</v>
      </c>
      <c r="D128" s="960">
        <f t="shared" si="21"/>
        <v>12.751828211189913</v>
      </c>
      <c r="E128" s="961">
        <f t="shared" si="25"/>
        <v>23.65630417651694</v>
      </c>
      <c r="F128" s="961">
        <f t="shared" si="22"/>
        <v>24.86315208825847</v>
      </c>
      <c r="G128" s="962">
        <f>J113+K128/L113</f>
        <v>11.821914893617022</v>
      </c>
      <c r="H128" s="960">
        <f t="shared" si="23"/>
        <v>88.391999999999982</v>
      </c>
      <c r="I128" s="961">
        <f t="shared" si="26"/>
        <v>304.79999999999995</v>
      </c>
      <c r="J128" s="961">
        <f t="shared" si="24"/>
        <v>152.39999999999998</v>
      </c>
      <c r="K128" s="962">
        <f>(N113-D121)*K113</f>
        <v>114.29999999999998</v>
      </c>
      <c r="L128" s="944"/>
      <c r="M128" s="790"/>
      <c r="N128" s="720"/>
      <c r="O128" s="720"/>
      <c r="P128" s="720"/>
      <c r="Q128" s="790"/>
      <c r="R128" s="790"/>
      <c r="S128" s="720"/>
      <c r="T128" s="720"/>
      <c r="U128" s="720"/>
      <c r="V128" s="790"/>
      <c r="W128" s="790"/>
      <c r="X128" s="720"/>
      <c r="Y128" s="720"/>
      <c r="Z128" s="908"/>
      <c r="AA128" s="868"/>
    </row>
    <row r="129" spans="2:26" ht="15.75" thickBot="1" x14ac:dyDescent="0.3">
      <c r="B129" s="941"/>
      <c r="C129" s="963"/>
      <c r="D129" s="941"/>
      <c r="E129" s="941"/>
      <c r="F129" s="941"/>
      <c r="G129" s="941"/>
      <c r="H129" s="941"/>
      <c r="I129" s="941"/>
      <c r="J129" s="941"/>
      <c r="K129" s="941"/>
      <c r="L129" s="941"/>
    </row>
    <row r="130" spans="2:26" ht="15.75" thickBot="1" x14ac:dyDescent="0.3">
      <c r="C130" s="770"/>
      <c r="D130" s="771" t="s">
        <v>726</v>
      </c>
      <c r="E130" s="771" t="s">
        <v>727</v>
      </c>
      <c r="F130" s="771" t="s">
        <v>728</v>
      </c>
      <c r="G130" s="771" t="s">
        <v>729</v>
      </c>
      <c r="H130" s="772" t="s">
        <v>730</v>
      </c>
      <c r="I130" s="914" t="s">
        <v>731</v>
      </c>
      <c r="J130" s="740" t="s">
        <v>732</v>
      </c>
    </row>
    <row r="131" spans="2:26" x14ac:dyDescent="0.25">
      <c r="C131" s="832" t="s">
        <v>689</v>
      </c>
      <c r="D131" s="964">
        <v>0.4</v>
      </c>
      <c r="E131" s="965">
        <v>0</v>
      </c>
      <c r="F131" s="965">
        <v>0.6</v>
      </c>
      <c r="G131" s="965">
        <v>0</v>
      </c>
      <c r="H131" s="966">
        <f>D131*K117+F131*U117+E131*P117+G131*Z117</f>
        <v>450.98166166666664</v>
      </c>
      <c r="I131" s="967">
        <f>D131*G109+E131*H109+F131*I109+G131*K109</f>
        <v>1.3</v>
      </c>
      <c r="J131" s="968">
        <f>2*H131</f>
        <v>901.96332333333328</v>
      </c>
    </row>
    <row r="132" spans="2:26" x14ac:dyDescent="0.25">
      <c r="C132" s="840" t="s">
        <v>690</v>
      </c>
      <c r="D132" s="969">
        <v>0.78</v>
      </c>
      <c r="E132" s="634">
        <v>0</v>
      </c>
      <c r="F132" s="634">
        <v>0.22</v>
      </c>
      <c r="G132" s="634">
        <v>0</v>
      </c>
      <c r="H132" s="970">
        <f>D132*K118+F132*U118+E132*P118+G132*Z118</f>
        <v>333.03392758333331</v>
      </c>
      <c r="I132" s="967">
        <f>D132*G110+E132*H110+F132*I110+G132*K110</f>
        <v>0.63500000000000001</v>
      </c>
      <c r="J132" s="968">
        <f t="shared" ref="J132:J135" si="27">2*H132</f>
        <v>666.06785516666662</v>
      </c>
    </row>
    <row r="133" spans="2:26" x14ac:dyDescent="0.25">
      <c r="C133" s="840" t="s">
        <v>691</v>
      </c>
      <c r="D133" s="969">
        <v>0.56999999999999995</v>
      </c>
      <c r="E133" s="634">
        <v>0.31</v>
      </c>
      <c r="F133" s="634">
        <v>0.12</v>
      </c>
      <c r="G133" s="634">
        <v>0</v>
      </c>
      <c r="H133" s="970">
        <f>D133*K119+F133*U119+E133*P119+G133*Z119</f>
        <v>445.26724583333328</v>
      </c>
      <c r="I133" s="967">
        <f>D133*G111+E133*H111+F133*I111+G133*K111</f>
        <v>0.6925</v>
      </c>
      <c r="J133" s="968">
        <f t="shared" si="27"/>
        <v>890.53449166666655</v>
      </c>
    </row>
    <row r="134" spans="2:26" x14ac:dyDescent="0.25">
      <c r="C134" s="840" t="s">
        <v>692</v>
      </c>
      <c r="D134" s="969">
        <v>0.52</v>
      </c>
      <c r="E134" s="634">
        <v>0.06</v>
      </c>
      <c r="F134" s="634">
        <v>0.42</v>
      </c>
      <c r="G134" s="634">
        <v>0</v>
      </c>
      <c r="H134" s="970">
        <f>D134*K120+F134*U120+E134*P120+G134*Z120</f>
        <v>613.74836742571676</v>
      </c>
      <c r="I134" s="967">
        <f>D134*G112+E134*H112+F134*I112+G134*K112</f>
        <v>0.72839999999999994</v>
      </c>
      <c r="J134" s="968">
        <f t="shared" si="27"/>
        <v>1227.4967348514335</v>
      </c>
    </row>
    <row r="135" spans="2:26" ht="15.75" thickBot="1" x14ac:dyDescent="0.3">
      <c r="C135" s="848" t="s">
        <v>693</v>
      </c>
      <c r="D135" s="971">
        <v>0.59</v>
      </c>
      <c r="E135" s="972">
        <v>0.1</v>
      </c>
      <c r="F135" s="972">
        <v>0.31</v>
      </c>
      <c r="G135" s="972">
        <v>0</v>
      </c>
      <c r="H135" s="973">
        <f>D135*K121+F135*U121+E135*P121+G135*Z121</f>
        <v>839.96801848424798</v>
      </c>
      <c r="I135" s="974">
        <f>D135*G113+E135*H113+F135*I113+G135*K113</f>
        <v>0.85220000000000007</v>
      </c>
      <c r="J135" s="975">
        <f t="shared" si="27"/>
        <v>1679.936036968496</v>
      </c>
    </row>
    <row r="136" spans="2:26" ht="15.75" thickBot="1" x14ac:dyDescent="0.3"/>
    <row r="137" spans="2:26" x14ac:dyDescent="0.25">
      <c r="C137" s="914"/>
      <c r="D137" s="915"/>
      <c r="E137" s="916"/>
      <c r="F137" s="917"/>
      <c r="G137" s="915" t="s">
        <v>711</v>
      </c>
      <c r="H137" s="916"/>
      <c r="I137" s="916"/>
      <c r="J137" s="916"/>
      <c r="K137" s="917"/>
      <c r="L137" s="915" t="s">
        <v>712</v>
      </c>
      <c r="M137" s="916"/>
      <c r="N137" s="916"/>
      <c r="O137" s="916"/>
      <c r="P137" s="917"/>
      <c r="Q137" s="915" t="s">
        <v>713</v>
      </c>
      <c r="R137" s="916"/>
      <c r="S137" s="916"/>
      <c r="T137" s="916"/>
      <c r="U137" s="917"/>
      <c r="V137" s="915" t="s">
        <v>714</v>
      </c>
      <c r="W137" s="916"/>
      <c r="X137" s="916"/>
      <c r="Y137" s="916"/>
      <c r="Z137" s="740"/>
    </row>
    <row r="138" spans="2:26" ht="15.75" thickBot="1" x14ac:dyDescent="0.3">
      <c r="C138" s="918"/>
      <c r="D138" s="921" t="s">
        <v>687</v>
      </c>
      <c r="E138" s="922" t="s">
        <v>715</v>
      </c>
      <c r="F138" s="923" t="s">
        <v>716</v>
      </c>
      <c r="G138" s="921" t="s">
        <v>717</v>
      </c>
      <c r="H138" s="922" t="s">
        <v>718</v>
      </c>
      <c r="I138" s="922" t="s">
        <v>719</v>
      </c>
      <c r="J138" s="922" t="s">
        <v>720</v>
      </c>
      <c r="K138" s="923" t="s">
        <v>721</v>
      </c>
      <c r="L138" s="921" t="s">
        <v>717</v>
      </c>
      <c r="M138" s="922" t="s">
        <v>718</v>
      </c>
      <c r="N138" s="922" t="s">
        <v>719</v>
      </c>
      <c r="O138" s="922" t="s">
        <v>720</v>
      </c>
      <c r="P138" s="923" t="s">
        <v>721</v>
      </c>
      <c r="Q138" s="921" t="s">
        <v>717</v>
      </c>
      <c r="R138" s="922" t="s">
        <v>718</v>
      </c>
      <c r="S138" s="922" t="s">
        <v>719</v>
      </c>
      <c r="T138" s="922" t="s">
        <v>720</v>
      </c>
      <c r="U138" s="923" t="s">
        <v>721</v>
      </c>
      <c r="V138" s="921" t="s">
        <v>717</v>
      </c>
      <c r="W138" s="922" t="s">
        <v>718</v>
      </c>
      <c r="X138" s="922" t="s">
        <v>719</v>
      </c>
      <c r="Y138" s="922" t="s">
        <v>720</v>
      </c>
      <c r="Z138" s="923" t="s">
        <v>721</v>
      </c>
    </row>
    <row r="139" spans="2:26" x14ac:dyDescent="0.25">
      <c r="C139" s="899" t="s">
        <v>635</v>
      </c>
      <c r="D139" s="925">
        <v>0</v>
      </c>
      <c r="E139" s="926">
        <f>M109</f>
        <v>289.60000000000002</v>
      </c>
      <c r="F139" s="927">
        <f>M109</f>
        <v>289.60000000000002</v>
      </c>
      <c r="G139" s="976">
        <v>0.55000000000000004</v>
      </c>
      <c r="H139" s="977">
        <v>1</v>
      </c>
      <c r="I139" s="926">
        <f>D109*L109*G139</f>
        <v>11.473000000000001</v>
      </c>
      <c r="J139" s="926">
        <f>G109*F139*H139</f>
        <v>72.400000000000006</v>
      </c>
      <c r="K139" s="927">
        <f>I139+J139</f>
        <v>83.873000000000005</v>
      </c>
      <c r="L139" s="978"/>
      <c r="M139" s="979"/>
      <c r="N139" s="980"/>
      <c r="O139" s="980"/>
      <c r="P139" s="981"/>
      <c r="Q139" s="976">
        <v>0.5</v>
      </c>
      <c r="R139" s="977">
        <v>1</v>
      </c>
      <c r="S139" s="926">
        <f>F109*L109*Q139</f>
        <v>104.3</v>
      </c>
      <c r="T139" s="926">
        <f>I109*F139*R139</f>
        <v>579.20000000000005</v>
      </c>
      <c r="U139" s="927">
        <f>S139+T139</f>
        <v>683.5</v>
      </c>
      <c r="V139" s="978"/>
      <c r="W139" s="979"/>
      <c r="X139" s="980">
        <v>999999</v>
      </c>
      <c r="Y139" s="980">
        <v>999999</v>
      </c>
      <c r="Z139" s="981"/>
    </row>
    <row r="140" spans="2:26" x14ac:dyDescent="0.25">
      <c r="C140" s="779" t="s">
        <v>636</v>
      </c>
      <c r="D140" s="934">
        <v>0</v>
      </c>
      <c r="E140" s="720">
        <f>M110</f>
        <v>317.83999999999997</v>
      </c>
      <c r="F140" s="928">
        <f>M110</f>
        <v>317.83999999999997</v>
      </c>
      <c r="G140" s="933">
        <v>0.48</v>
      </c>
      <c r="H140" s="790">
        <v>1</v>
      </c>
      <c r="I140" s="720">
        <f>D110*L110*G140</f>
        <v>45.057600000000001</v>
      </c>
      <c r="J140" s="720">
        <f>G110*F140*H140</f>
        <v>79.459999999999994</v>
      </c>
      <c r="K140" s="928">
        <f>I140+J140</f>
        <v>124.51759999999999</v>
      </c>
      <c r="L140" s="929"/>
      <c r="M140" s="930"/>
      <c r="N140" s="931"/>
      <c r="O140" s="931"/>
      <c r="P140" s="932"/>
      <c r="Q140" s="933">
        <v>0.48</v>
      </c>
      <c r="R140" s="790">
        <v>1</v>
      </c>
      <c r="S140" s="720">
        <f>F110*L110*Q140</f>
        <v>225.28799999999998</v>
      </c>
      <c r="T140" s="720">
        <f>I110*F140*R140</f>
        <v>635.67999999999995</v>
      </c>
      <c r="U140" s="928">
        <f>S140+T140</f>
        <v>860.96799999999996</v>
      </c>
      <c r="V140" s="929"/>
      <c r="W140" s="930"/>
      <c r="X140" s="931">
        <v>999999</v>
      </c>
      <c r="Y140" s="931">
        <v>999999</v>
      </c>
      <c r="Z140" s="932"/>
    </row>
    <row r="141" spans="2:26" x14ac:dyDescent="0.25">
      <c r="C141" s="779" t="s">
        <v>637</v>
      </c>
      <c r="D141" s="934">
        <v>0</v>
      </c>
      <c r="E141" s="720">
        <f>M111</f>
        <v>335.31999999999994</v>
      </c>
      <c r="F141" s="928">
        <f>M111</f>
        <v>335.31999999999994</v>
      </c>
      <c r="G141" s="933">
        <v>0.5</v>
      </c>
      <c r="H141" s="790">
        <v>1</v>
      </c>
      <c r="I141" s="720">
        <f>D111*L111*G141</f>
        <v>78.224999999999994</v>
      </c>
      <c r="J141" s="720">
        <f>G111*F141*H141</f>
        <v>83.829999999999984</v>
      </c>
      <c r="K141" s="928">
        <f>I141+J141</f>
        <v>162.05499999999998</v>
      </c>
      <c r="L141" s="933">
        <v>0.5</v>
      </c>
      <c r="M141" s="790">
        <v>1</v>
      </c>
      <c r="N141" s="720">
        <f>E111*L111*L141</f>
        <v>117.375</v>
      </c>
      <c r="O141" s="720">
        <f>H111*F141*M141</f>
        <v>335.31999999999994</v>
      </c>
      <c r="P141" s="928">
        <f>N141+O141</f>
        <v>452.69499999999994</v>
      </c>
      <c r="Q141" s="933">
        <v>0.5</v>
      </c>
      <c r="R141" s="790">
        <v>1</v>
      </c>
      <c r="S141" s="720">
        <f>F111*L111*Q141</f>
        <v>312.89999999999998</v>
      </c>
      <c r="T141" s="720">
        <f>I111*F141*R141</f>
        <v>670.63999999999987</v>
      </c>
      <c r="U141" s="928">
        <f>S141+T141</f>
        <v>983.53999999999985</v>
      </c>
      <c r="V141" s="929"/>
      <c r="W141" s="930"/>
      <c r="X141" s="931">
        <v>999999</v>
      </c>
      <c r="Y141" s="931">
        <v>999999</v>
      </c>
      <c r="Z141" s="932"/>
    </row>
    <row r="142" spans="2:26" x14ac:dyDescent="0.25">
      <c r="C142" s="779" t="s">
        <v>638</v>
      </c>
      <c r="D142" s="934">
        <v>0</v>
      </c>
      <c r="E142" s="720">
        <f>M112</f>
        <v>330.50782195340497</v>
      </c>
      <c r="F142" s="928">
        <f>M112</f>
        <v>330.50782195340497</v>
      </c>
      <c r="G142" s="933">
        <v>0.5</v>
      </c>
      <c r="H142" s="790">
        <v>1</v>
      </c>
      <c r="I142" s="720">
        <f>D112*L112*G142</f>
        <v>146.01999999999998</v>
      </c>
      <c r="J142" s="720">
        <f>G112*F142*H142</f>
        <v>138.81328522043009</v>
      </c>
      <c r="K142" s="928">
        <f>I142+J142</f>
        <v>284.83328522043007</v>
      </c>
      <c r="L142" s="933">
        <v>0.5</v>
      </c>
      <c r="M142" s="790">
        <v>1</v>
      </c>
      <c r="N142" s="720">
        <f>E112*L112*L142</f>
        <v>219.1</v>
      </c>
      <c r="O142" s="720">
        <f>H112*F142*M142</f>
        <v>495.76173293010743</v>
      </c>
      <c r="P142" s="928">
        <f>N142+O142</f>
        <v>714.86173293010745</v>
      </c>
      <c r="Q142" s="933">
        <v>0.5</v>
      </c>
      <c r="R142" s="790">
        <v>1</v>
      </c>
      <c r="S142" s="720">
        <f>F112*L112*Q142</f>
        <v>292.03999999999996</v>
      </c>
      <c r="T142" s="720">
        <f>I112*F142*R142</f>
        <v>330.50782195340497</v>
      </c>
      <c r="U142" s="928">
        <f>S142+T142</f>
        <v>622.54782195340499</v>
      </c>
      <c r="V142" s="933">
        <v>1</v>
      </c>
      <c r="W142" s="790">
        <v>1</v>
      </c>
      <c r="X142" s="720">
        <f>J112*L112</f>
        <v>262.92</v>
      </c>
      <c r="Y142" s="720">
        <f>K112*F142*W142</f>
        <v>247.88086646505371</v>
      </c>
      <c r="Z142" s="906">
        <f>X142+Y142</f>
        <v>510.80086646505373</v>
      </c>
    </row>
    <row r="143" spans="2:26" ht="15.75" thickBot="1" x14ac:dyDescent="0.3">
      <c r="C143" s="783" t="s">
        <v>639</v>
      </c>
      <c r="D143" s="936">
        <v>0</v>
      </c>
      <c r="E143" s="937">
        <f>M113</f>
        <v>344.93011556101555</v>
      </c>
      <c r="F143" s="938">
        <f>M113</f>
        <v>344.93011556101555</v>
      </c>
      <c r="G143" s="940">
        <v>0.5</v>
      </c>
      <c r="H143" s="939">
        <v>1</v>
      </c>
      <c r="I143" s="937">
        <f>D113*L113*G143</f>
        <v>245.10499999999999</v>
      </c>
      <c r="J143" s="937">
        <f>G113*F143*H143</f>
        <v>200.05946702538901</v>
      </c>
      <c r="K143" s="938">
        <f>I143+J143</f>
        <v>445.164467025389</v>
      </c>
      <c r="L143" s="940">
        <v>0.5</v>
      </c>
      <c r="M143" s="939">
        <v>1</v>
      </c>
      <c r="N143" s="937">
        <f>E113*L113*L143</f>
        <v>367.77500000000003</v>
      </c>
      <c r="O143" s="937">
        <f>H113*F143*M143</f>
        <v>689.86023112203111</v>
      </c>
      <c r="P143" s="938">
        <f>N143+O143</f>
        <v>1057.6352311220312</v>
      </c>
      <c r="Q143" s="940">
        <v>0.5</v>
      </c>
      <c r="R143" s="939">
        <v>1</v>
      </c>
      <c r="S143" s="937">
        <f>F113*L113*Q143</f>
        <v>490.21</v>
      </c>
      <c r="T143" s="937">
        <f>I113*F143*R143</f>
        <v>344.93011556101555</v>
      </c>
      <c r="U143" s="938">
        <f>S143+T143</f>
        <v>835.14011556101559</v>
      </c>
      <c r="V143" s="940">
        <v>1</v>
      </c>
      <c r="W143" s="939">
        <v>1</v>
      </c>
      <c r="X143" s="937">
        <f>J113*L113</f>
        <v>441.33000000000004</v>
      </c>
      <c r="Y143" s="937">
        <f>K113*F143*W143</f>
        <v>258.69758667076167</v>
      </c>
      <c r="Z143" s="911">
        <f>X143+Y143</f>
        <v>700.02758667076171</v>
      </c>
    </row>
    <row r="144" spans="2:26" ht="15.75" thickBot="1" x14ac:dyDescent="0.3">
      <c r="C144" s="913"/>
    </row>
    <row r="145" spans="1:15" ht="15.75" thickBot="1" x14ac:dyDescent="0.3">
      <c r="C145" s="770"/>
      <c r="D145" s="771" t="s">
        <v>726</v>
      </c>
      <c r="E145" s="771" t="s">
        <v>727</v>
      </c>
      <c r="F145" s="771" t="s">
        <v>728</v>
      </c>
      <c r="G145" s="771" t="s">
        <v>729</v>
      </c>
      <c r="H145" s="772" t="s">
        <v>730</v>
      </c>
      <c r="I145" s="914" t="s">
        <v>731</v>
      </c>
      <c r="J145" s="740" t="s">
        <v>732</v>
      </c>
    </row>
    <row r="146" spans="1:15" x14ac:dyDescent="0.25">
      <c r="C146" s="899" t="s">
        <v>635</v>
      </c>
      <c r="D146" s="964">
        <v>0.4</v>
      </c>
      <c r="E146" s="965">
        <v>0</v>
      </c>
      <c r="F146" s="965">
        <v>0.6</v>
      </c>
      <c r="G146" s="965">
        <v>0</v>
      </c>
      <c r="H146" s="902">
        <f>D146*K139+F146*U139+E146*P139+G146*Z139</f>
        <v>443.64919999999995</v>
      </c>
      <c r="I146" s="737">
        <f>I131</f>
        <v>1.3</v>
      </c>
      <c r="J146" s="740">
        <f>2*H146</f>
        <v>887.2983999999999</v>
      </c>
    </row>
    <row r="147" spans="1:15" x14ac:dyDescent="0.25">
      <c r="C147" s="779" t="s">
        <v>636</v>
      </c>
      <c r="D147" s="969">
        <v>0.78</v>
      </c>
      <c r="E147" s="634">
        <v>0</v>
      </c>
      <c r="F147" s="634">
        <v>0.22</v>
      </c>
      <c r="G147" s="634">
        <v>0</v>
      </c>
      <c r="H147" s="906">
        <f>D147*K140+F147*U140+E147*P140+G147*Z140</f>
        <v>286.53668800000003</v>
      </c>
      <c r="I147" s="967">
        <f t="shared" ref="I147:I150" si="28">I132</f>
        <v>0.63500000000000001</v>
      </c>
      <c r="J147" s="968">
        <f t="shared" ref="J147:J150" si="29">2*H147</f>
        <v>573.07337600000005</v>
      </c>
    </row>
    <row r="148" spans="1:15" x14ac:dyDescent="0.25">
      <c r="C148" s="779" t="s">
        <v>637</v>
      </c>
      <c r="D148" s="969">
        <v>0.56999999999999995</v>
      </c>
      <c r="E148" s="634">
        <v>0.31</v>
      </c>
      <c r="F148" s="634">
        <v>0.12</v>
      </c>
      <c r="G148" s="634">
        <v>0</v>
      </c>
      <c r="H148" s="906">
        <f>D148*K141+F148*U141+E148*P141+G148*Z141</f>
        <v>350.73159999999996</v>
      </c>
      <c r="I148" s="967">
        <f t="shared" si="28"/>
        <v>0.6925</v>
      </c>
      <c r="J148" s="968">
        <f t="shared" si="29"/>
        <v>701.46319999999992</v>
      </c>
    </row>
    <row r="149" spans="1:15" x14ac:dyDescent="0.25">
      <c r="C149" s="779" t="s">
        <v>638</v>
      </c>
      <c r="D149" s="969">
        <v>0.52</v>
      </c>
      <c r="E149" s="634">
        <v>0.06</v>
      </c>
      <c r="F149" s="634">
        <v>0.42</v>
      </c>
      <c r="G149" s="634">
        <v>0</v>
      </c>
      <c r="H149" s="906">
        <f>D149*K142+F149*U142+E149*P142+G149*Z142</f>
        <v>452.47509751086011</v>
      </c>
      <c r="I149" s="967">
        <f t="shared" si="28"/>
        <v>0.72839999999999994</v>
      </c>
      <c r="J149" s="968">
        <f t="shared" si="29"/>
        <v>904.95019502172022</v>
      </c>
    </row>
    <row r="150" spans="1:15" ht="15.75" thickBot="1" x14ac:dyDescent="0.3">
      <c r="C150" s="783" t="s">
        <v>639</v>
      </c>
      <c r="D150" s="971">
        <v>0.59</v>
      </c>
      <c r="E150" s="972">
        <v>0.1</v>
      </c>
      <c r="F150" s="972">
        <v>0.31</v>
      </c>
      <c r="G150" s="972">
        <v>0</v>
      </c>
      <c r="H150" s="911">
        <f>D150*K143+F150*U143+E150*P143+G150*Z143</f>
        <v>627.30399448109733</v>
      </c>
      <c r="I150" s="974">
        <f t="shared" si="28"/>
        <v>0.85220000000000007</v>
      </c>
      <c r="J150" s="975">
        <f t="shared" si="29"/>
        <v>1254.6079889621947</v>
      </c>
    </row>
    <row r="152" spans="1:15" ht="15.75" thickBot="1" x14ac:dyDescent="0.3">
      <c r="A152" t="s">
        <v>744</v>
      </c>
    </row>
    <row r="153" spans="1:15" ht="45" x14ac:dyDescent="0.25">
      <c r="B153" t="s">
        <v>745</v>
      </c>
      <c r="C153" s="989" t="s">
        <v>746</v>
      </c>
      <c r="D153" s="990" t="s">
        <v>747</v>
      </c>
    </row>
    <row r="154" spans="1:15" ht="15.75" thickBot="1" x14ac:dyDescent="0.3">
      <c r="C154" s="984">
        <v>0.5</v>
      </c>
      <c r="D154" s="975">
        <v>200</v>
      </c>
    </row>
    <row r="155" spans="1:15" ht="15.75" thickBot="1" x14ac:dyDescent="0.3">
      <c r="A155" t="s">
        <v>748</v>
      </c>
      <c r="D155" t="s">
        <v>749</v>
      </c>
      <c r="E155" t="s">
        <v>750</v>
      </c>
      <c r="F155" t="s">
        <v>751</v>
      </c>
      <c r="G155" t="s">
        <v>752</v>
      </c>
      <c r="H155" t="s">
        <v>679</v>
      </c>
      <c r="I155" t="s">
        <v>753</v>
      </c>
    </row>
    <row r="156" spans="1:15" x14ac:dyDescent="0.25">
      <c r="C156" s="775">
        <v>40</v>
      </c>
      <c r="D156" s="991">
        <f>$C$154*E142</f>
        <v>165.25391097670249</v>
      </c>
      <c r="E156" s="992">
        <f>$C$154*AA120</f>
        <v>45.905134147252085</v>
      </c>
      <c r="F156" s="743">
        <f t="shared" ref="F156:F157" si="30">$D$154</f>
        <v>200</v>
      </c>
      <c r="G156" s="992">
        <f>D156+E156+F156</f>
        <v>411.15904512395457</v>
      </c>
      <c r="H156" s="993">
        <f>D156+E156</f>
        <v>211.15904512395457</v>
      </c>
      <c r="I156" s="993">
        <f>G156-J134</f>
        <v>-816.33768972747896</v>
      </c>
    </row>
    <row r="157" spans="1:15" ht="15.75" thickBot="1" x14ac:dyDescent="0.3">
      <c r="C157" s="783">
        <v>60</v>
      </c>
      <c r="D157" s="994">
        <f>$C$154*E143</f>
        <v>172.46505778050778</v>
      </c>
      <c r="E157" s="995">
        <f>$C$154*AA121</f>
        <v>48.976089817089822</v>
      </c>
      <c r="F157" s="912">
        <f t="shared" si="30"/>
        <v>200</v>
      </c>
      <c r="G157" s="995">
        <f>D157+E157+F157</f>
        <v>421.44114759759759</v>
      </c>
      <c r="H157" s="996">
        <f>D157+E157</f>
        <v>221.44114759759759</v>
      </c>
      <c r="I157" s="996">
        <f>G157-J135</f>
        <v>-1258.4948893708984</v>
      </c>
    </row>
    <row r="158" spans="1:15" x14ac:dyDescent="0.25">
      <c r="C158" s="899"/>
      <c r="D158" s="997"/>
      <c r="E158" s="997"/>
      <c r="G158" s="997"/>
    </row>
    <row r="159" spans="1:15" ht="15.75" thickBot="1" x14ac:dyDescent="0.3">
      <c r="A159" t="s">
        <v>754</v>
      </c>
    </row>
    <row r="160" spans="1:15" ht="15.75" thickBot="1" x14ac:dyDescent="0.3">
      <c r="C160" s="998"/>
      <c r="D160" s="743" t="s">
        <v>755</v>
      </c>
      <c r="E160" s="743"/>
      <c r="F160" s="743"/>
      <c r="G160" s="743"/>
      <c r="H160" s="743" t="s">
        <v>756</v>
      </c>
      <c r="I160" s="743"/>
      <c r="J160" s="743"/>
      <c r="K160" s="743"/>
      <c r="L160" s="743" t="s">
        <v>757</v>
      </c>
      <c r="M160" s="743"/>
      <c r="N160" s="743"/>
      <c r="O160" s="740"/>
    </row>
    <row r="161" spans="3:19" ht="15.75" thickBot="1" x14ac:dyDescent="0.3">
      <c r="C161" s="924"/>
      <c r="D161" s="771" t="s">
        <v>711</v>
      </c>
      <c r="E161" s="771" t="s">
        <v>758</v>
      </c>
      <c r="F161" s="771" t="s">
        <v>713</v>
      </c>
      <c r="G161" s="771" t="s">
        <v>714</v>
      </c>
      <c r="H161" s="771" t="s">
        <v>711</v>
      </c>
      <c r="I161" s="771" t="s">
        <v>758</v>
      </c>
      <c r="J161" s="771" t="s">
        <v>713</v>
      </c>
      <c r="K161" s="771" t="s">
        <v>714</v>
      </c>
      <c r="L161" s="771" t="s">
        <v>711</v>
      </c>
      <c r="M161" s="771" t="s">
        <v>758</v>
      </c>
      <c r="N161" s="771" t="s">
        <v>713</v>
      </c>
      <c r="O161" s="772" t="s">
        <v>714</v>
      </c>
    </row>
    <row r="162" spans="3:19" x14ac:dyDescent="0.25">
      <c r="C162" s="924" t="s">
        <v>759</v>
      </c>
      <c r="D162" s="982">
        <f t="shared" ref="D162:F163" si="31">G112</f>
        <v>0.42</v>
      </c>
      <c r="E162" s="743">
        <f t="shared" si="31"/>
        <v>1.5</v>
      </c>
      <c r="F162" s="743">
        <f t="shared" si="31"/>
        <v>1</v>
      </c>
      <c r="G162" s="743">
        <f>K112</f>
        <v>0.75</v>
      </c>
      <c r="H162" s="992">
        <f>D162*$F142</f>
        <v>138.81328522043009</v>
      </c>
      <c r="I162" s="992">
        <f t="shared" ref="I162:K163" si="32">E162*$F142</f>
        <v>495.76173293010743</v>
      </c>
      <c r="J162" s="992">
        <f t="shared" si="32"/>
        <v>330.50782195340497</v>
      </c>
      <c r="K162" s="992">
        <f t="shared" si="32"/>
        <v>247.88086646505371</v>
      </c>
      <c r="L162" s="992">
        <f>H162-$H156</f>
        <v>-72.345759903524481</v>
      </c>
      <c r="M162" s="992">
        <f t="shared" ref="M162:O163" si="33">I162-$H156</f>
        <v>284.60268780615286</v>
      </c>
      <c r="N162" s="992">
        <f t="shared" si="33"/>
        <v>119.3487768294504</v>
      </c>
      <c r="O162" s="993">
        <f t="shared" si="33"/>
        <v>36.721821341099144</v>
      </c>
    </row>
    <row r="163" spans="3:19" ht="15.75" thickBot="1" x14ac:dyDescent="0.3">
      <c r="C163" s="935" t="s">
        <v>639</v>
      </c>
      <c r="D163" s="984">
        <f t="shared" si="31"/>
        <v>0.57999999999999996</v>
      </c>
      <c r="E163" s="912">
        <f t="shared" si="31"/>
        <v>2</v>
      </c>
      <c r="F163" s="912">
        <f t="shared" si="31"/>
        <v>1</v>
      </c>
      <c r="G163" s="912">
        <f>K113</f>
        <v>0.75</v>
      </c>
      <c r="H163" s="995">
        <f>D163*$F143</f>
        <v>200.05946702538901</v>
      </c>
      <c r="I163" s="995">
        <f t="shared" si="32"/>
        <v>689.86023112203111</v>
      </c>
      <c r="J163" s="995">
        <f t="shared" si="32"/>
        <v>344.93011556101555</v>
      </c>
      <c r="K163" s="995">
        <f>G163*$F143</f>
        <v>258.69758667076167</v>
      </c>
      <c r="L163" s="995">
        <f>H163-$H157</f>
        <v>-21.38168057220858</v>
      </c>
      <c r="M163" s="995">
        <f t="shared" si="33"/>
        <v>468.41908352443352</v>
      </c>
      <c r="N163" s="995">
        <f t="shared" si="33"/>
        <v>123.48896796341796</v>
      </c>
      <c r="O163" s="996">
        <f t="shared" si="33"/>
        <v>37.256439073164074</v>
      </c>
    </row>
    <row r="164" spans="3:19" ht="15.75" thickBot="1" x14ac:dyDescent="0.3">
      <c r="D164" t="s">
        <v>760</v>
      </c>
    </row>
    <row r="165" spans="3:19" x14ac:dyDescent="0.25">
      <c r="C165" s="998" t="s">
        <v>692</v>
      </c>
      <c r="D165" s="743">
        <f>H165/ $E120</f>
        <v>0.38114776694417224</v>
      </c>
      <c r="E165" s="743">
        <f t="shared" ref="E165:G166" si="34">I165/ $E120</f>
        <v>-1.4994061720863883</v>
      </c>
      <c r="F165" s="743">
        <f t="shared" si="34"/>
        <v>-0.62877934846112893</v>
      </c>
      <c r="G165" s="743">
        <f t="shared" si="34"/>
        <v>-0.19346593664849901</v>
      </c>
      <c r="H165" s="992">
        <f>-L162</f>
        <v>72.345759903524481</v>
      </c>
      <c r="I165" s="992">
        <f t="shared" ref="I165:K166" si="35">-M162</f>
        <v>-284.60268780615286</v>
      </c>
      <c r="J165" s="992">
        <f t="shared" si="35"/>
        <v>-119.3487768294504</v>
      </c>
      <c r="K165" s="992">
        <f t="shared" si="35"/>
        <v>-36.721821341099144</v>
      </c>
      <c r="L165" s="992">
        <f>L162+H165</f>
        <v>0</v>
      </c>
      <c r="M165" s="992">
        <f t="shared" ref="M165:O166" si="36">M162+I165</f>
        <v>0</v>
      </c>
      <c r="N165" s="992">
        <f t="shared" si="36"/>
        <v>0</v>
      </c>
      <c r="O165" s="993">
        <f t="shared" si="36"/>
        <v>0</v>
      </c>
    </row>
    <row r="166" spans="3:19" ht="15.75" thickBot="1" x14ac:dyDescent="0.3">
      <c r="C166" s="935" t="s">
        <v>693</v>
      </c>
      <c r="D166" s="912">
        <f>H166/ $E121</f>
        <v>0.10714831885778255</v>
      </c>
      <c r="E166" s="912">
        <f t="shared" si="34"/>
        <v>-2.3473513763825702</v>
      </c>
      <c r="F166" s="912">
        <f t="shared" si="34"/>
        <v>-0.61883046424147681</v>
      </c>
      <c r="G166" s="912">
        <f t="shared" si="34"/>
        <v>-0.18670023620620341</v>
      </c>
      <c r="H166" s="995">
        <f>-L163</f>
        <v>21.38168057220858</v>
      </c>
      <c r="I166" s="995">
        <f t="shared" si="35"/>
        <v>-468.41908352443352</v>
      </c>
      <c r="J166" s="995">
        <f t="shared" si="35"/>
        <v>-123.48896796341796</v>
      </c>
      <c r="K166" s="995">
        <f t="shared" si="35"/>
        <v>-37.256439073164074</v>
      </c>
      <c r="L166" s="995">
        <f>L163+H166</f>
        <v>0</v>
      </c>
      <c r="M166" s="995">
        <f t="shared" si="36"/>
        <v>0</v>
      </c>
      <c r="N166" s="995">
        <f t="shared" si="36"/>
        <v>0</v>
      </c>
      <c r="O166" s="996">
        <f t="shared" si="36"/>
        <v>0</v>
      </c>
    </row>
    <row r="168" spans="3:19" ht="15.75" thickBot="1" x14ac:dyDescent="0.3">
      <c r="D168" t="s">
        <v>761</v>
      </c>
      <c r="H168" t="s">
        <v>762</v>
      </c>
      <c r="L168" t="s">
        <v>763</v>
      </c>
      <c r="P168" t="s">
        <v>764</v>
      </c>
    </row>
    <row r="169" spans="3:19" ht="15.75" thickBot="1" x14ac:dyDescent="0.3">
      <c r="C169" s="737"/>
      <c r="D169" s="771" t="s">
        <v>711</v>
      </c>
      <c r="E169" s="771" t="s">
        <v>758</v>
      </c>
      <c r="F169" s="771" t="s">
        <v>713</v>
      </c>
      <c r="G169" s="771" t="s">
        <v>714</v>
      </c>
      <c r="H169" s="771" t="s">
        <v>711</v>
      </c>
      <c r="I169" s="771" t="s">
        <v>758</v>
      </c>
      <c r="J169" s="771" t="s">
        <v>713</v>
      </c>
      <c r="K169" s="771" t="s">
        <v>714</v>
      </c>
      <c r="L169" s="771" t="s">
        <v>711</v>
      </c>
      <c r="M169" s="771" t="s">
        <v>758</v>
      </c>
      <c r="N169" s="771" t="s">
        <v>713</v>
      </c>
      <c r="O169" s="771" t="s">
        <v>714</v>
      </c>
      <c r="P169" s="771" t="s">
        <v>711</v>
      </c>
      <c r="Q169" s="771" t="s">
        <v>758</v>
      </c>
      <c r="R169" s="771" t="s">
        <v>713</v>
      </c>
      <c r="S169" s="772" t="s">
        <v>714</v>
      </c>
    </row>
    <row r="170" spans="3:19" x14ac:dyDescent="0.25">
      <c r="C170" s="924" t="s">
        <v>759</v>
      </c>
      <c r="D170" s="999">
        <f>I120</f>
        <v>254.07479999999995</v>
      </c>
      <c r="E170" s="999">
        <f>N120</f>
        <v>381.23399999999998</v>
      </c>
      <c r="F170" s="999">
        <f>S120</f>
        <v>508.14959999999991</v>
      </c>
      <c r="G170" s="999">
        <f>X120</f>
        <v>262.92</v>
      </c>
      <c r="H170" s="999">
        <f>$F156-D170</f>
        <v>-54.074799999999954</v>
      </c>
      <c r="I170" s="999">
        <f t="shared" ref="I170:K171" si="37">$F156-E170</f>
        <v>-181.23399999999998</v>
      </c>
      <c r="J170" s="999">
        <f t="shared" si="37"/>
        <v>-308.14959999999991</v>
      </c>
      <c r="K170" s="999">
        <f t="shared" si="37"/>
        <v>-62.920000000000016</v>
      </c>
      <c r="L170" s="999">
        <f>D170+H162</f>
        <v>392.88808522043007</v>
      </c>
      <c r="M170" s="999">
        <f t="shared" ref="M170:O171" si="38">E170+I162</f>
        <v>876.99573293010735</v>
      </c>
      <c r="N170" s="999">
        <f t="shared" si="38"/>
        <v>838.65742195340488</v>
      </c>
      <c r="O170" s="999">
        <f t="shared" si="38"/>
        <v>510.80086646505373</v>
      </c>
      <c r="P170" s="999">
        <f>$G156-L170</f>
        <v>18.270959903524499</v>
      </c>
      <c r="Q170" s="999">
        <f t="shared" ref="Q170:S171" si="39">$G156-M170</f>
        <v>-465.83668780615278</v>
      </c>
      <c r="R170" s="999">
        <f t="shared" si="39"/>
        <v>-427.49837682945031</v>
      </c>
      <c r="S170" s="1000">
        <f t="shared" si="39"/>
        <v>-99.64182134109916</v>
      </c>
    </row>
    <row r="171" spans="3:19" ht="15.75" thickBot="1" x14ac:dyDescent="0.3">
      <c r="C171" s="935" t="s">
        <v>639</v>
      </c>
      <c r="D171" s="995">
        <f>I121</f>
        <v>397.07010000000002</v>
      </c>
      <c r="E171" s="995">
        <f>N121</f>
        <v>595.79550000000006</v>
      </c>
      <c r="F171" s="995">
        <f>S121</f>
        <v>794.14020000000005</v>
      </c>
      <c r="G171" s="995">
        <f>X121</f>
        <v>441.33000000000004</v>
      </c>
      <c r="H171" s="995">
        <f>$F157-D171</f>
        <v>-197.07010000000002</v>
      </c>
      <c r="I171" s="995">
        <f t="shared" si="37"/>
        <v>-395.79550000000006</v>
      </c>
      <c r="J171" s="995">
        <f t="shared" si="37"/>
        <v>-594.14020000000005</v>
      </c>
      <c r="K171" s="995">
        <f t="shared" si="37"/>
        <v>-241.33000000000004</v>
      </c>
      <c r="L171" s="995">
        <f>D171+H163</f>
        <v>597.12956702538906</v>
      </c>
      <c r="M171" s="995">
        <f t="shared" si="38"/>
        <v>1285.6557311220313</v>
      </c>
      <c r="N171" s="995">
        <f t="shared" si="38"/>
        <v>1139.0703155610156</v>
      </c>
      <c r="O171" s="995">
        <f t="shared" si="38"/>
        <v>700.02758667076171</v>
      </c>
      <c r="P171" s="995">
        <f>$G157-L171</f>
        <v>-175.68841942779147</v>
      </c>
      <c r="Q171" s="995">
        <f t="shared" si="39"/>
        <v>-864.21458352443369</v>
      </c>
      <c r="R171" s="995">
        <f t="shared" si="39"/>
        <v>-717.62916796341801</v>
      </c>
      <c r="S171" s="996">
        <f t="shared" si="39"/>
        <v>-278.58643907316412</v>
      </c>
    </row>
    <row r="173" spans="3:19" ht="15.75" thickBot="1" x14ac:dyDescent="0.3">
      <c r="C173" t="s">
        <v>765</v>
      </c>
      <c r="D173" t="s">
        <v>755</v>
      </c>
      <c r="H173" t="s">
        <v>756</v>
      </c>
      <c r="L173" t="s">
        <v>766</v>
      </c>
    </row>
    <row r="174" spans="3:19" ht="15.75" thickBot="1" x14ac:dyDescent="0.3">
      <c r="C174" s="737"/>
      <c r="D174" s="771" t="s">
        <v>711</v>
      </c>
      <c r="E174" s="771" t="s">
        <v>758</v>
      </c>
      <c r="F174" s="771" t="s">
        <v>713</v>
      </c>
      <c r="G174" s="771" t="s">
        <v>714</v>
      </c>
      <c r="H174" s="771" t="s">
        <v>711</v>
      </c>
      <c r="I174" s="771" t="s">
        <v>758</v>
      </c>
      <c r="J174" s="771" t="s">
        <v>713</v>
      </c>
      <c r="K174" s="771" t="s">
        <v>714</v>
      </c>
      <c r="L174" s="771" t="s">
        <v>711</v>
      </c>
      <c r="M174" s="771" t="s">
        <v>758</v>
      </c>
      <c r="N174" s="771" t="s">
        <v>713</v>
      </c>
      <c r="O174" s="772" t="s">
        <v>714</v>
      </c>
    </row>
    <row r="175" spans="3:19" x14ac:dyDescent="0.25">
      <c r="C175" s="924" t="s">
        <v>692</v>
      </c>
      <c r="D175" s="1001">
        <f t="shared" ref="D175:E176" si="40">IF(2*$C$154-D162&lt;=0,0.1,2*$C$154-D162)</f>
        <v>0.58000000000000007</v>
      </c>
      <c r="E175" s="1002">
        <f t="shared" si="40"/>
        <v>0.1</v>
      </c>
      <c r="F175" s="1002">
        <f>IF(2*$C$154-F162&lt;=0,0.1,2*$C$154-F162)</f>
        <v>0.1</v>
      </c>
      <c r="G175" s="1002">
        <f>IF(2*$C$154-G162&lt;=0,0.1,2*$C$154-G162)</f>
        <v>0.25</v>
      </c>
      <c r="H175" s="992">
        <f>D175*$E120</f>
        <v>110.08995561081244</v>
      </c>
      <c r="I175" s="992">
        <f t="shared" ref="I175:K176" si="41">E175*$E120</f>
        <v>18.981026829450418</v>
      </c>
      <c r="J175" s="992">
        <f t="shared" si="41"/>
        <v>18.981026829450418</v>
      </c>
      <c r="K175" s="992">
        <f t="shared" si="41"/>
        <v>47.452567073626042</v>
      </c>
      <c r="L175" s="992">
        <f>P170-H175</f>
        <v>-91.818995707287939</v>
      </c>
      <c r="M175" s="992">
        <f>Q170-I175</f>
        <v>-484.81771463560318</v>
      </c>
      <c r="N175" s="992">
        <f t="shared" ref="N175:O175" si="42">R170-J175</f>
        <v>-446.47940365890071</v>
      </c>
      <c r="O175" s="993">
        <f t="shared" si="42"/>
        <v>-147.09438841472519</v>
      </c>
    </row>
    <row r="176" spans="3:19" ht="15.75" thickBot="1" x14ac:dyDescent="0.3">
      <c r="C176" s="935" t="s">
        <v>693</v>
      </c>
      <c r="D176" s="1003">
        <f t="shared" si="40"/>
        <v>0.42000000000000004</v>
      </c>
      <c r="E176" s="1004">
        <f t="shared" si="40"/>
        <v>0.1</v>
      </c>
      <c r="F176" s="1004">
        <f>IF(2*$C$154-F163&lt;=0,0.1,2*$C$154-F163)</f>
        <v>0.1</v>
      </c>
      <c r="G176" s="1004">
        <f>IF(2*$C$154-G163&lt;=0,0.1,2*$C$154-G163)</f>
        <v>0.25</v>
      </c>
      <c r="H176" s="995">
        <f>D176*$E121</f>
        <v>83.811915446355457</v>
      </c>
      <c r="I176" s="995">
        <f t="shared" si="41"/>
        <v>19.955217963417965</v>
      </c>
      <c r="J176" s="995">
        <f t="shared" si="41"/>
        <v>19.955217963417965</v>
      </c>
      <c r="K176" s="995">
        <f t="shared" si="41"/>
        <v>49.888044908544913</v>
      </c>
      <c r="L176" s="995">
        <f>P171-H176</f>
        <v>-259.50033487414692</v>
      </c>
      <c r="M176" s="995">
        <f t="shared" ref="M176:O176" si="43">Q171-I176</f>
        <v>-884.1698014878516</v>
      </c>
      <c r="N176" s="995">
        <f t="shared" si="43"/>
        <v>-737.58438592683592</v>
      </c>
      <c r="O176" s="996">
        <f t="shared" si="43"/>
        <v>-328.474483981709</v>
      </c>
    </row>
    <row r="178" spans="2:16" ht="15.75" thickBot="1" x14ac:dyDescent="0.3">
      <c r="B178" t="s">
        <v>767</v>
      </c>
      <c r="D178" t="s">
        <v>768</v>
      </c>
      <c r="H178" t="s">
        <v>769</v>
      </c>
      <c r="L178" t="s">
        <v>770</v>
      </c>
    </row>
    <row r="179" spans="2:16" ht="15.75" thickBot="1" x14ac:dyDescent="0.3">
      <c r="C179" s="737"/>
      <c r="D179" s="771" t="s">
        <v>711</v>
      </c>
      <c r="E179" s="771" t="s">
        <v>758</v>
      </c>
      <c r="F179" s="771" t="s">
        <v>713</v>
      </c>
      <c r="G179" s="771" t="s">
        <v>714</v>
      </c>
      <c r="H179" s="771" t="s">
        <v>711</v>
      </c>
      <c r="I179" s="771" t="s">
        <v>758</v>
      </c>
      <c r="J179" s="771" t="s">
        <v>713</v>
      </c>
      <c r="K179" s="771" t="s">
        <v>714</v>
      </c>
      <c r="L179" s="771" t="s">
        <v>711</v>
      </c>
      <c r="M179" s="771" t="s">
        <v>758</v>
      </c>
      <c r="N179" s="771" t="s">
        <v>713</v>
      </c>
      <c r="O179" s="772" t="s">
        <v>714</v>
      </c>
    </row>
    <row r="180" spans="2:16" x14ac:dyDescent="0.25">
      <c r="C180" s="924" t="s">
        <v>692</v>
      </c>
      <c r="D180" s="612">
        <f>G142*$L112</f>
        <v>14</v>
      </c>
      <c r="E180" s="612">
        <f>L142*$L112</f>
        <v>14</v>
      </c>
      <c r="F180" s="612">
        <f>Q142*$L112</f>
        <v>14</v>
      </c>
      <c r="G180" s="612">
        <f>V142*$L112</f>
        <v>28</v>
      </c>
      <c r="H180" s="1005">
        <f>L175/D180</f>
        <v>-6.5584996933777102</v>
      </c>
      <c r="I180" s="1005">
        <f t="shared" ref="I180:K181" si="44">M175/E180</f>
        <v>-34.629836759685944</v>
      </c>
      <c r="J180" s="1005">
        <f t="shared" si="44"/>
        <v>-31.891385975635764</v>
      </c>
      <c r="K180" s="1005">
        <f t="shared" si="44"/>
        <v>-5.2533710148116137</v>
      </c>
      <c r="L180" s="999">
        <f>D180*H180</f>
        <v>-91.818995707287939</v>
      </c>
      <c r="M180" s="999">
        <f t="shared" ref="M180:O181" si="45">E180*I180</f>
        <v>-484.81771463560324</v>
      </c>
      <c r="N180" s="999">
        <f t="shared" si="45"/>
        <v>-446.47940365890071</v>
      </c>
      <c r="O180" s="1000">
        <f t="shared" si="45"/>
        <v>-147.09438841472519</v>
      </c>
    </row>
    <row r="181" spans="2:16" ht="15.75" thickBot="1" x14ac:dyDescent="0.3">
      <c r="C181" s="935" t="s">
        <v>693</v>
      </c>
      <c r="D181" s="912">
        <f>G143*$L113</f>
        <v>23.5</v>
      </c>
      <c r="E181" s="912">
        <f>L143*$L113</f>
        <v>23.5</v>
      </c>
      <c r="F181" s="912">
        <f>Q143*$L113</f>
        <v>23.5</v>
      </c>
      <c r="G181" s="912">
        <f>V143*$L113</f>
        <v>47</v>
      </c>
      <c r="H181" s="1006">
        <f>L176/D181</f>
        <v>-11.042567441453061</v>
      </c>
      <c r="I181" s="1006">
        <f t="shared" si="44"/>
        <v>-37.624246871823473</v>
      </c>
      <c r="J181" s="1006">
        <f t="shared" si="44"/>
        <v>-31.386569613907913</v>
      </c>
      <c r="K181" s="1006">
        <f t="shared" si="44"/>
        <v>-6.9888188081214677</v>
      </c>
      <c r="L181" s="995">
        <f>D181*H181</f>
        <v>-259.50033487414692</v>
      </c>
      <c r="M181" s="995">
        <f t="shared" si="45"/>
        <v>-884.1698014878516</v>
      </c>
      <c r="N181" s="995">
        <f t="shared" si="45"/>
        <v>-737.58438592683592</v>
      </c>
      <c r="O181" s="996">
        <f t="shared" si="45"/>
        <v>-328.474483981709</v>
      </c>
    </row>
    <row r="182" spans="2:16" ht="15.75" thickBot="1" x14ac:dyDescent="0.3">
      <c r="H182" t="s">
        <v>771</v>
      </c>
    </row>
    <row r="183" spans="2:16" ht="15.75" thickBot="1" x14ac:dyDescent="0.3">
      <c r="B183" t="s">
        <v>772</v>
      </c>
      <c r="C183" s="737" t="s">
        <v>773</v>
      </c>
      <c r="D183" s="771" t="s">
        <v>711</v>
      </c>
      <c r="E183" s="771" t="s">
        <v>758</v>
      </c>
      <c r="F183" s="771" t="s">
        <v>713</v>
      </c>
      <c r="G183" s="771" t="s">
        <v>714</v>
      </c>
      <c r="H183" s="771" t="s">
        <v>711</v>
      </c>
      <c r="I183" s="771" t="s">
        <v>758</v>
      </c>
      <c r="J183" s="771" t="s">
        <v>713</v>
      </c>
      <c r="K183" s="772" t="s">
        <v>714</v>
      </c>
    </row>
    <row r="184" spans="2:16" x14ac:dyDescent="0.25">
      <c r="C184" s="967">
        <v>40</v>
      </c>
      <c r="D184" s="999">
        <f>L180+H175+L170</f>
        <v>411.15904512395457</v>
      </c>
      <c r="E184" s="999">
        <f t="shared" ref="E184:G185" si="46">M180+I175+M170</f>
        <v>411.15904512395451</v>
      </c>
      <c r="F184" s="999">
        <f t="shared" si="46"/>
        <v>411.15904512395457</v>
      </c>
      <c r="G184" s="999">
        <f t="shared" si="46"/>
        <v>411.15904512395457</v>
      </c>
      <c r="H184" s="999">
        <f>D184-$G156</f>
        <v>0</v>
      </c>
      <c r="I184" s="999">
        <f t="shared" ref="I184:K185" si="47">E184-$G156</f>
        <v>0</v>
      </c>
      <c r="J184" s="999">
        <f t="shared" si="47"/>
        <v>0</v>
      </c>
      <c r="K184" s="1000">
        <f t="shared" si="47"/>
        <v>0</v>
      </c>
    </row>
    <row r="185" spans="2:16" ht="15.75" thickBot="1" x14ac:dyDescent="0.3">
      <c r="C185" s="974">
        <v>60</v>
      </c>
      <c r="D185" s="995">
        <f>L181+H176+L171</f>
        <v>421.44114759759759</v>
      </c>
      <c r="E185" s="995">
        <f t="shared" si="46"/>
        <v>421.44114759759759</v>
      </c>
      <c r="F185" s="995">
        <f t="shared" si="46"/>
        <v>421.44114759759759</v>
      </c>
      <c r="G185" s="995">
        <f t="shared" si="46"/>
        <v>421.44114759759759</v>
      </c>
      <c r="H185" s="995">
        <f>D185-$G157</f>
        <v>0</v>
      </c>
      <c r="I185" s="995">
        <f t="shared" si="47"/>
        <v>0</v>
      </c>
      <c r="J185" s="995">
        <f t="shared" si="47"/>
        <v>0</v>
      </c>
      <c r="K185" s="996">
        <f t="shared" si="47"/>
        <v>0</v>
      </c>
    </row>
    <row r="187" spans="2:16" ht="15.75" thickBot="1" x14ac:dyDescent="0.3">
      <c r="B187" t="s">
        <v>774</v>
      </c>
    </row>
    <row r="188" spans="2:16" ht="15.75" thickBot="1" x14ac:dyDescent="0.3">
      <c r="C188" s="737"/>
      <c r="D188" s="743" t="s">
        <v>768</v>
      </c>
      <c r="E188" s="743"/>
      <c r="F188" s="743"/>
      <c r="G188" s="743"/>
      <c r="H188" s="743" t="s">
        <v>769</v>
      </c>
      <c r="I188" s="743"/>
      <c r="J188" s="743"/>
      <c r="K188" s="743"/>
      <c r="L188" s="743" t="s">
        <v>770</v>
      </c>
      <c r="M188" s="743"/>
      <c r="N188" s="743"/>
      <c r="O188" s="740"/>
    </row>
    <row r="189" spans="2:16" ht="15.75" thickBot="1" x14ac:dyDescent="0.3">
      <c r="C189" s="967"/>
      <c r="D189" s="771" t="s">
        <v>711</v>
      </c>
      <c r="E189" s="771" t="s">
        <v>758</v>
      </c>
      <c r="F189" s="771" t="s">
        <v>713</v>
      </c>
      <c r="G189" s="771" t="s">
        <v>714</v>
      </c>
      <c r="H189" s="771" t="s">
        <v>711</v>
      </c>
      <c r="I189" s="771" t="s">
        <v>758</v>
      </c>
      <c r="J189" s="771" t="s">
        <v>713</v>
      </c>
      <c r="K189" s="771" t="s">
        <v>714</v>
      </c>
      <c r="L189" s="771" t="s">
        <v>711</v>
      </c>
      <c r="M189" s="771" t="s">
        <v>758</v>
      </c>
      <c r="N189" s="771" t="s">
        <v>713</v>
      </c>
      <c r="O189" s="772" t="s">
        <v>714</v>
      </c>
    </row>
    <row r="190" spans="2:16" x14ac:dyDescent="0.25">
      <c r="C190" s="924" t="s">
        <v>692</v>
      </c>
      <c r="D190" s="612">
        <f>D180</f>
        <v>14</v>
      </c>
      <c r="E190" s="612">
        <f t="shared" ref="E190:G191" si="48">E180</f>
        <v>14</v>
      </c>
      <c r="F190" s="612">
        <f t="shared" si="48"/>
        <v>14</v>
      </c>
      <c r="G190" s="612">
        <f t="shared" si="48"/>
        <v>28</v>
      </c>
      <c r="H190" s="1005">
        <f>IF(L175/D190&gt;0,L175/D190,0.1)</f>
        <v>0.1</v>
      </c>
      <c r="I190" s="1005">
        <f t="shared" ref="I190:K191" si="49">IF(M175/E190&gt;0,M175/E190,0.1)</f>
        <v>0.1</v>
      </c>
      <c r="J190" s="1005">
        <f t="shared" si="49"/>
        <v>0.1</v>
      </c>
      <c r="K190" s="1005">
        <f t="shared" si="49"/>
        <v>0.1</v>
      </c>
      <c r="L190" s="999">
        <f>D190*H190</f>
        <v>1.4000000000000001</v>
      </c>
      <c r="M190" s="999">
        <f t="shared" ref="M190:O191" si="50">E190*I190</f>
        <v>1.4000000000000001</v>
      </c>
      <c r="N190" s="999">
        <f t="shared" si="50"/>
        <v>1.4000000000000001</v>
      </c>
      <c r="O190" s="1000">
        <f t="shared" si="50"/>
        <v>2.8000000000000003</v>
      </c>
    </row>
    <row r="191" spans="2:16" ht="15.75" thickBot="1" x14ac:dyDescent="0.3">
      <c r="C191" s="935" t="s">
        <v>693</v>
      </c>
      <c r="D191" s="912">
        <f>D181</f>
        <v>23.5</v>
      </c>
      <c r="E191" s="912">
        <f t="shared" si="48"/>
        <v>23.5</v>
      </c>
      <c r="F191" s="912">
        <f t="shared" si="48"/>
        <v>23.5</v>
      </c>
      <c r="G191" s="912">
        <f t="shared" si="48"/>
        <v>47</v>
      </c>
      <c r="H191" s="1006">
        <f>IF(L176/D191&gt;0,L176/D191,0.1)</f>
        <v>0.1</v>
      </c>
      <c r="I191" s="1006">
        <f t="shared" si="49"/>
        <v>0.1</v>
      </c>
      <c r="J191" s="1006">
        <f t="shared" si="49"/>
        <v>0.1</v>
      </c>
      <c r="K191" s="1006">
        <f t="shared" si="49"/>
        <v>0.1</v>
      </c>
      <c r="L191" s="995">
        <f>D191*H191</f>
        <v>2.35</v>
      </c>
      <c r="M191" s="995">
        <f t="shared" si="50"/>
        <v>2.35</v>
      </c>
      <c r="N191" s="995">
        <f t="shared" si="50"/>
        <v>2.35</v>
      </c>
      <c r="O191" s="996">
        <f t="shared" si="50"/>
        <v>4.7</v>
      </c>
    </row>
    <row r="192" spans="2:16" ht="15.75" thickBot="1" x14ac:dyDescent="0.3">
      <c r="H192" t="s">
        <v>771</v>
      </c>
      <c r="L192" s="646" t="s">
        <v>775</v>
      </c>
      <c r="P192" s="646" t="s">
        <v>775</v>
      </c>
    </row>
    <row r="193" spans="2:19" ht="15.75" thickBot="1" x14ac:dyDescent="0.3">
      <c r="B193" t="s">
        <v>772</v>
      </c>
      <c r="C193" s="737" t="s">
        <v>773</v>
      </c>
      <c r="D193" s="771" t="s">
        <v>711</v>
      </c>
      <c r="E193" s="771" t="s">
        <v>758</v>
      </c>
      <c r="F193" s="771" t="s">
        <v>713</v>
      </c>
      <c r="G193" s="771" t="s">
        <v>714</v>
      </c>
      <c r="H193" s="771" t="s">
        <v>711</v>
      </c>
      <c r="I193" s="771" t="s">
        <v>758</v>
      </c>
      <c r="J193" s="771" t="s">
        <v>713</v>
      </c>
      <c r="K193" s="772" t="s">
        <v>714</v>
      </c>
      <c r="L193" s="771" t="s">
        <v>711</v>
      </c>
      <c r="M193" s="771" t="s">
        <v>758</v>
      </c>
      <c r="N193" s="771" t="s">
        <v>713</v>
      </c>
      <c r="O193" s="772" t="s">
        <v>714</v>
      </c>
      <c r="P193" s="771" t="s">
        <v>711</v>
      </c>
      <c r="Q193" s="771" t="s">
        <v>758</v>
      </c>
      <c r="R193" s="771" t="s">
        <v>713</v>
      </c>
      <c r="S193" s="772" t="s">
        <v>714</v>
      </c>
    </row>
    <row r="194" spans="2:19" ht="15.75" thickBot="1" x14ac:dyDescent="0.3">
      <c r="C194" s="967">
        <v>40</v>
      </c>
      <c r="D194" s="999">
        <f>L190+H175+L170</f>
        <v>504.37804083124252</v>
      </c>
      <c r="E194" s="999">
        <f t="shared" ref="E194:G195" si="51">M190+I175+M170</f>
        <v>897.37675975955779</v>
      </c>
      <c r="F194" s="999">
        <f t="shared" si="51"/>
        <v>859.03844878285531</v>
      </c>
      <c r="G194" s="999">
        <f t="shared" si="51"/>
        <v>561.05343353867977</v>
      </c>
      <c r="H194" s="999">
        <f>D194-$G156</f>
        <v>93.218995707287945</v>
      </c>
      <c r="I194" s="999">
        <f t="shared" ref="I194:K195" si="52">E194-$G156</f>
        <v>486.21771463560322</v>
      </c>
      <c r="J194" s="999">
        <f t="shared" si="52"/>
        <v>447.87940365890074</v>
      </c>
      <c r="K194" s="1000">
        <f t="shared" si="52"/>
        <v>149.8943884147252</v>
      </c>
      <c r="L194" s="991">
        <f>D194-2*$K120</f>
        <v>-286.69218453614087</v>
      </c>
      <c r="M194" s="991">
        <f>E194-2*$P120</f>
        <v>-875.52204512395485</v>
      </c>
      <c r="N194" s="992">
        <f>F194-2*$U120</f>
        <v>-830.88128780615284</v>
      </c>
      <c r="O194" s="993">
        <f>G194-2*$Z120</f>
        <v>-470.00196890307654</v>
      </c>
      <c r="P194" s="1007">
        <f>L194/$J134</f>
        <v>-0.23355840907457878</v>
      </c>
      <c r="Q194" s="1007">
        <f t="shared" ref="Q194:S195" si="53">M194/$J134</f>
        <v>-0.71325814583932157</v>
      </c>
      <c r="R194" s="1007">
        <f t="shared" si="53"/>
        <v>-0.67689083336479594</v>
      </c>
      <c r="S194" s="1008">
        <f t="shared" si="53"/>
        <v>-0.38289467952023665</v>
      </c>
    </row>
    <row r="195" spans="2:19" ht="15.75" thickBot="1" x14ac:dyDescent="0.3">
      <c r="C195" s="974">
        <v>60</v>
      </c>
      <c r="D195" s="995">
        <f>L191+H176+L171</f>
        <v>683.29148247174453</v>
      </c>
      <c r="E195" s="995">
        <f t="shared" si="51"/>
        <v>1307.9609490854493</v>
      </c>
      <c r="F195" s="995">
        <f t="shared" si="51"/>
        <v>1161.3755335244336</v>
      </c>
      <c r="G195" s="995">
        <f t="shared" si="51"/>
        <v>754.61563157930664</v>
      </c>
      <c r="H195" s="995">
        <f>D195-$G157</f>
        <v>261.85033487414694</v>
      </c>
      <c r="I195" s="995">
        <f t="shared" si="52"/>
        <v>886.51980148785174</v>
      </c>
      <c r="J195" s="995">
        <f t="shared" si="52"/>
        <v>739.93438592683606</v>
      </c>
      <c r="K195" s="996">
        <f t="shared" si="52"/>
        <v>333.17448398170905</v>
      </c>
      <c r="L195" s="1009">
        <f>D195-2*$K121</f>
        <v>-519.11324590390382</v>
      </c>
      <c r="M195" s="1009">
        <f>E195-2*$P121</f>
        <v>-1291.4387694512695</v>
      </c>
      <c r="N195" s="1010">
        <f>F195-2*$U121</f>
        <v>-1130.8092257439257</v>
      </c>
      <c r="O195" s="1011">
        <f>G195-2*$Z121</f>
        <v>-655.97263787196289</v>
      </c>
      <c r="P195" s="1012">
        <f>L195/$J135</f>
        <v>-0.3090077446285765</v>
      </c>
      <c r="Q195" s="1012">
        <f t="shared" si="53"/>
        <v>-0.7687428217694029</v>
      </c>
      <c r="R195" s="1012">
        <f t="shared" si="53"/>
        <v>-0.67312635770616058</v>
      </c>
      <c r="S195" s="1013">
        <f t="shared" si="53"/>
        <v>-0.39047477013213477</v>
      </c>
    </row>
  </sheetData>
  <mergeCells count="2">
    <mergeCell ref="C45:C52"/>
    <mergeCell ref="C91:C104"/>
  </mergeCells>
  <conditionalFormatting sqref="D165:G166">
    <cfRule type="cellIs" dxfId="3" priority="2" operator="lessThan">
      <formula>0</formula>
    </cfRule>
  </conditionalFormatting>
  <conditionalFormatting sqref="L175:O176">
    <cfRule type="cellIs" dxfId="2" priority="1" operator="lessThan">
      <formula>0</formula>
    </cfRule>
  </conditionalFormatting>
  <pageMargins left="0.7" right="0.7" top="0.75" bottom="0.75" header="0.3" footer="0.3"/>
  <pageSetup paperSize="9"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95"/>
  <sheetViews>
    <sheetView topLeftCell="Y40" zoomScale="85" zoomScaleNormal="85" zoomScaleSheetLayoutView="381" workbookViewId="0">
      <selection activeCell="AC75" sqref="AC75:AC78"/>
    </sheetView>
  </sheetViews>
  <sheetFormatPr defaultRowHeight="15" x14ac:dyDescent="0.25"/>
  <cols>
    <col min="3" max="3" width="15.7109375" bestFit="1" customWidth="1"/>
    <col min="4" max="4" width="17.5703125" customWidth="1"/>
    <col min="5" max="5" width="15.28515625" bestFit="1" customWidth="1"/>
    <col min="6" max="6" width="18.28515625" bestFit="1" customWidth="1"/>
    <col min="7" max="7" width="17.5703125" bestFit="1" customWidth="1"/>
    <col min="8" max="8" width="20.7109375" bestFit="1" customWidth="1"/>
    <col min="9" max="9" width="18.28515625" bestFit="1" customWidth="1"/>
    <col min="10" max="10" width="20.7109375" bestFit="1" customWidth="1"/>
    <col min="11" max="11" width="17.7109375" bestFit="1" customWidth="1"/>
    <col min="12" max="12" width="15.7109375" bestFit="1" customWidth="1"/>
    <col min="13" max="13" width="25.42578125" bestFit="1" customWidth="1"/>
    <col min="14" max="14" width="17" bestFit="1" customWidth="1"/>
    <col min="15" max="15" width="19.140625" bestFit="1" customWidth="1"/>
    <col min="16" max="16" width="19.85546875" bestFit="1" customWidth="1"/>
    <col min="17" max="18" width="18.28515625" bestFit="1" customWidth="1"/>
    <col min="19" max="20" width="21.7109375" bestFit="1" customWidth="1"/>
    <col min="21" max="21" width="13" bestFit="1" customWidth="1"/>
    <col min="22" max="22" width="16.28515625" bestFit="1" customWidth="1"/>
    <col min="23" max="23" width="11.85546875" customWidth="1"/>
    <col min="24" max="24" width="14.7109375" bestFit="1" customWidth="1"/>
    <col min="25" max="25" width="17.28515625" bestFit="1" customWidth="1"/>
    <col min="26" max="26" width="13.42578125" customWidth="1"/>
    <col min="27" max="27" width="14.28515625" customWidth="1"/>
    <col min="28" max="28" width="15.85546875" customWidth="1"/>
  </cols>
  <sheetData>
    <row r="1" spans="1:26 16384:16384" x14ac:dyDescent="0.25">
      <c r="B1" t="s">
        <v>609</v>
      </c>
    </row>
    <row r="2" spans="1:26 16384:16384" x14ac:dyDescent="0.25">
      <c r="L2" t="s">
        <v>610</v>
      </c>
      <c r="M2" t="s">
        <v>611</v>
      </c>
    </row>
    <row r="3" spans="1:26 16384:16384" ht="28.5" x14ac:dyDescent="0.45">
      <c r="B3" s="652" t="s">
        <v>612</v>
      </c>
      <c r="K3" s="653">
        <v>8.6920999999999999</v>
      </c>
      <c r="L3" s="653">
        <v>1</v>
      </c>
      <c r="M3">
        <f>1/L3</f>
        <v>1</v>
      </c>
    </row>
    <row r="4" spans="1:26 16384:16384" ht="28.5" x14ac:dyDescent="0.45">
      <c r="B4" s="652"/>
    </row>
    <row r="5" spans="1:26 16384:16384" ht="15.75" thickBot="1" x14ac:dyDescent="0.3">
      <c r="A5" s="654" t="s">
        <v>613</v>
      </c>
      <c r="B5" s="654"/>
      <c r="C5" s="654"/>
      <c r="D5" s="654"/>
      <c r="E5" s="654"/>
      <c r="F5" s="654"/>
      <c r="G5" s="654"/>
      <c r="H5" s="654"/>
      <c r="I5" s="654"/>
      <c r="J5" s="654"/>
      <c r="K5" s="654"/>
      <c r="L5" s="654"/>
      <c r="M5" s="654"/>
      <c r="N5" s="654"/>
      <c r="O5" s="654"/>
      <c r="P5" s="654"/>
      <c r="Q5" s="654"/>
      <c r="R5" s="655"/>
      <c r="S5" s="655"/>
      <c r="T5" s="655"/>
      <c r="U5" s="655"/>
      <c r="V5" s="655"/>
      <c r="W5" s="655"/>
      <c r="X5" s="655"/>
      <c r="Y5" s="655"/>
      <c r="Z5" s="655"/>
    </row>
    <row r="6" spans="1:26 16384:16384" ht="93.75" thickBot="1" x14ac:dyDescent="0.5">
      <c r="B6" s="652"/>
      <c r="C6" s="656" t="s">
        <v>614</v>
      </c>
      <c r="D6" s="657" t="s">
        <v>615</v>
      </c>
      <c r="E6" s="658" t="s">
        <v>616</v>
      </c>
      <c r="F6" s="659" t="s">
        <v>617</v>
      </c>
      <c r="G6" s="659" t="s">
        <v>618</v>
      </c>
      <c r="H6" s="660" t="s">
        <v>619</v>
      </c>
      <c r="I6" s="660" t="s">
        <v>620</v>
      </c>
      <c r="J6" s="659" t="s">
        <v>621</v>
      </c>
      <c r="K6" s="659" t="s">
        <v>622</v>
      </c>
      <c r="L6" s="660" t="s">
        <v>623</v>
      </c>
      <c r="M6" s="659" t="s">
        <v>624</v>
      </c>
      <c r="N6" s="661" t="s">
        <v>625</v>
      </c>
      <c r="O6" s="660" t="s">
        <v>626</v>
      </c>
      <c r="P6" s="662" t="s">
        <v>627</v>
      </c>
      <c r="Q6" s="663" t="s">
        <v>628</v>
      </c>
      <c r="R6" s="662" t="s">
        <v>629</v>
      </c>
      <c r="S6" s="664" t="s">
        <v>630</v>
      </c>
      <c r="T6" s="665" t="s">
        <v>631</v>
      </c>
      <c r="U6" s="666" t="s">
        <v>632</v>
      </c>
      <c r="V6" s="667" t="s">
        <v>633</v>
      </c>
      <c r="W6" s="667" t="s">
        <v>634</v>
      </c>
      <c r="XFD6" s="668"/>
    </row>
    <row r="7" spans="1:26 16384:16384" ht="16.149999999999999" customHeight="1" x14ac:dyDescent="0.45">
      <c r="B7" s="652"/>
      <c r="C7" s="669" t="s">
        <v>635</v>
      </c>
      <c r="D7" s="670">
        <v>0.05</v>
      </c>
      <c r="E7" s="671">
        <v>3</v>
      </c>
      <c r="F7" s="672">
        <v>0.3</v>
      </c>
      <c r="G7" s="672">
        <f>1-F7</f>
        <v>0.7</v>
      </c>
      <c r="H7" s="671">
        <f>50000</f>
        <v>50000</v>
      </c>
      <c r="I7" s="671">
        <v>1920</v>
      </c>
      <c r="J7" s="671">
        <v>2</v>
      </c>
      <c r="K7" s="671">
        <v>4</v>
      </c>
      <c r="L7" s="671">
        <v>7.1999999999999995E-2</v>
      </c>
      <c r="M7" s="673">
        <v>9.64</v>
      </c>
      <c r="N7" s="674">
        <v>33167</v>
      </c>
      <c r="O7" s="674">
        <v>272000</v>
      </c>
      <c r="P7" s="675">
        <v>52000</v>
      </c>
      <c r="Q7" s="676">
        <v>4.9000000000000002E-2</v>
      </c>
      <c r="R7" s="677">
        <v>0.16200000000000001</v>
      </c>
      <c r="S7" s="677">
        <v>0.68</v>
      </c>
      <c r="T7" s="678">
        <v>15.79</v>
      </c>
      <c r="U7" s="679">
        <v>19.170000000000002</v>
      </c>
      <c r="V7" s="680">
        <v>0.90329999999999999</v>
      </c>
      <c r="W7" s="681">
        <v>1.4034</v>
      </c>
    </row>
    <row r="8" spans="1:26 16384:16384" ht="16.149999999999999" customHeight="1" x14ac:dyDescent="0.45">
      <c r="B8" s="652"/>
      <c r="C8" s="682" t="s">
        <v>636</v>
      </c>
      <c r="D8" s="683">
        <v>0.05</v>
      </c>
      <c r="E8" s="684">
        <v>8</v>
      </c>
      <c r="F8" s="685">
        <v>0.3</v>
      </c>
      <c r="G8" s="685">
        <f>1-F8</f>
        <v>0.7</v>
      </c>
      <c r="H8" s="684">
        <v>45000</v>
      </c>
      <c r="I8" s="684">
        <v>2000</v>
      </c>
      <c r="J8" s="684">
        <v>2</v>
      </c>
      <c r="K8" s="684">
        <v>6</v>
      </c>
      <c r="L8" s="684">
        <v>0.16400000000000001</v>
      </c>
      <c r="M8" s="674">
        <f>M7</f>
        <v>9.64</v>
      </c>
      <c r="N8" s="686">
        <v>58095</v>
      </c>
      <c r="O8" s="686">
        <v>963000</v>
      </c>
      <c r="P8" s="687">
        <v>94000</v>
      </c>
      <c r="Q8" s="688">
        <v>0.11</v>
      </c>
      <c r="R8" s="689">
        <v>0.84699999999999998</v>
      </c>
      <c r="S8" s="689">
        <v>0.85</v>
      </c>
      <c r="T8" s="690">
        <f>T7</f>
        <v>15.79</v>
      </c>
      <c r="U8" s="691">
        <f>U7</f>
        <v>19.170000000000002</v>
      </c>
      <c r="V8" s="692">
        <f>V7</f>
        <v>0.90329999999999999</v>
      </c>
      <c r="W8" s="693">
        <f>W7</f>
        <v>1.4034</v>
      </c>
    </row>
    <row r="9" spans="1:26 16384:16384" ht="16.149999999999999" customHeight="1" x14ac:dyDescent="0.45">
      <c r="B9" s="652"/>
      <c r="C9" s="682" t="s">
        <v>637</v>
      </c>
      <c r="D9" s="683">
        <v>0.05</v>
      </c>
      <c r="E9" s="684">
        <v>8</v>
      </c>
      <c r="F9" s="685">
        <v>0.3</v>
      </c>
      <c r="G9" s="685">
        <f>1-F9</f>
        <v>0.7</v>
      </c>
      <c r="H9" s="684">
        <v>60000</v>
      </c>
      <c r="I9" s="684">
        <v>2000</v>
      </c>
      <c r="J9" s="684">
        <v>3</v>
      </c>
      <c r="K9" s="684">
        <v>10</v>
      </c>
      <c r="L9" s="684">
        <v>0.222</v>
      </c>
      <c r="M9" s="674">
        <f>M8</f>
        <v>9.64</v>
      </c>
      <c r="N9" s="686">
        <v>72906</v>
      </c>
      <c r="O9" s="686">
        <v>1542000</v>
      </c>
      <c r="P9" s="687">
        <v>125000</v>
      </c>
      <c r="Q9" s="688">
        <v>0.14299999999999999</v>
      </c>
      <c r="R9" s="689">
        <v>0.84699999999999998</v>
      </c>
      <c r="S9" s="689">
        <v>0.85</v>
      </c>
      <c r="T9" s="690">
        <f t="shared" ref="T9:W11" si="0">T8</f>
        <v>15.79</v>
      </c>
      <c r="U9" s="691">
        <f t="shared" si="0"/>
        <v>19.170000000000002</v>
      </c>
      <c r="V9" s="692">
        <f t="shared" si="0"/>
        <v>0.90329999999999999</v>
      </c>
      <c r="W9" s="693">
        <f t="shared" si="0"/>
        <v>1.4034</v>
      </c>
    </row>
    <row r="10" spans="1:26 16384:16384" ht="16.149999999999999" customHeight="1" x14ac:dyDescent="0.45">
      <c r="B10" s="652"/>
      <c r="C10" s="682" t="s">
        <v>638</v>
      </c>
      <c r="D10" s="683">
        <v>0.05</v>
      </c>
      <c r="E10" s="684">
        <v>7</v>
      </c>
      <c r="F10" s="685">
        <v>0.3</v>
      </c>
      <c r="G10" s="685">
        <f>1-F10</f>
        <v>0.7</v>
      </c>
      <c r="H10" s="684">
        <v>125000</v>
      </c>
      <c r="I10" s="684">
        <v>3500</v>
      </c>
      <c r="J10" s="684">
        <v>7</v>
      </c>
      <c r="K10" s="684">
        <v>18</v>
      </c>
      <c r="L10" s="684">
        <v>0.27100000000000002</v>
      </c>
      <c r="M10" s="674">
        <f>M9</f>
        <v>9.64</v>
      </c>
      <c r="N10" s="686">
        <v>109046</v>
      </c>
      <c r="O10" s="686">
        <v>2451000</v>
      </c>
      <c r="P10" s="687">
        <v>219000</v>
      </c>
      <c r="Q10" s="688">
        <v>0.17699999999999999</v>
      </c>
      <c r="R10" s="689">
        <v>1.337</v>
      </c>
      <c r="S10" s="689">
        <v>0.36</v>
      </c>
      <c r="T10" s="690">
        <f t="shared" si="0"/>
        <v>15.79</v>
      </c>
      <c r="U10" s="691">
        <f t="shared" si="0"/>
        <v>19.170000000000002</v>
      </c>
      <c r="V10" s="692">
        <f t="shared" si="0"/>
        <v>0.90329999999999999</v>
      </c>
      <c r="W10" s="693">
        <f t="shared" si="0"/>
        <v>1.4034</v>
      </c>
    </row>
    <row r="11" spans="1:26 16384:16384" ht="16.149999999999999" customHeight="1" thickBot="1" x14ac:dyDescent="0.5">
      <c r="A11">
        <v>25</v>
      </c>
      <c r="B11" s="652"/>
      <c r="C11" s="694" t="s">
        <v>639</v>
      </c>
      <c r="D11" s="695">
        <v>0.05</v>
      </c>
      <c r="E11" s="696">
        <v>7</v>
      </c>
      <c r="F11" s="697">
        <v>0.3</v>
      </c>
      <c r="G11" s="697">
        <f>1-F11</f>
        <v>0.7</v>
      </c>
      <c r="H11" s="696">
        <v>125000</v>
      </c>
      <c r="I11" s="696">
        <v>3500</v>
      </c>
      <c r="J11" s="696">
        <v>7</v>
      </c>
      <c r="K11" s="696">
        <v>26</v>
      </c>
      <c r="L11" s="696">
        <v>0.35199999999999998</v>
      </c>
      <c r="M11" s="698">
        <f>M10</f>
        <v>9.64</v>
      </c>
      <c r="N11" s="699">
        <v>112696</v>
      </c>
      <c r="O11" s="699">
        <v>2682000</v>
      </c>
      <c r="P11" s="700">
        <v>240000</v>
      </c>
      <c r="Q11" s="701">
        <v>0.23</v>
      </c>
      <c r="R11" s="702">
        <v>1.518</v>
      </c>
      <c r="S11" s="702">
        <v>0.19</v>
      </c>
      <c r="T11" s="703">
        <f t="shared" si="0"/>
        <v>15.79</v>
      </c>
      <c r="U11" s="704">
        <f t="shared" si="0"/>
        <v>19.170000000000002</v>
      </c>
      <c r="V11" s="703">
        <f t="shared" si="0"/>
        <v>0.90329999999999999</v>
      </c>
      <c r="W11" s="704">
        <f t="shared" si="0"/>
        <v>1.4034</v>
      </c>
    </row>
    <row r="12" spans="1:26 16384:16384" ht="16.149999999999999" customHeight="1" thickBot="1" x14ac:dyDescent="0.5">
      <c r="B12" s="652"/>
      <c r="C12" s="705"/>
      <c r="D12" s="634"/>
      <c r="E12" s="612"/>
      <c r="F12" s="634"/>
      <c r="G12" s="634"/>
      <c r="H12" s="612"/>
      <c r="I12" s="612"/>
      <c r="J12" s="646"/>
      <c r="K12" s="646"/>
      <c r="L12" s="646"/>
      <c r="M12" s="646"/>
      <c r="N12" s="612"/>
      <c r="O12" s="612"/>
      <c r="P12" s="612"/>
    </row>
    <row r="13" spans="1:26 16384:16384" ht="16.149999999999999" customHeight="1" x14ac:dyDescent="0.45">
      <c r="B13" s="652"/>
      <c r="C13" s="706" t="s">
        <v>640</v>
      </c>
      <c r="D13" s="707"/>
      <c r="E13" s="708"/>
      <c r="F13" s="708"/>
      <c r="G13" s="708"/>
      <c r="H13" s="708"/>
      <c r="I13" s="708"/>
      <c r="J13" s="709"/>
      <c r="L13" s="646"/>
      <c r="M13" s="646"/>
      <c r="N13" s="612"/>
      <c r="O13" s="612"/>
      <c r="P13" s="612"/>
    </row>
    <row r="14" spans="1:26 16384:16384" ht="16.149999999999999" customHeight="1" thickBot="1" x14ac:dyDescent="0.5">
      <c r="B14" s="652"/>
      <c r="C14" s="710" t="s">
        <v>641</v>
      </c>
      <c r="D14" s="711" t="s">
        <v>642</v>
      </c>
      <c r="E14" s="712" t="s">
        <v>643</v>
      </c>
      <c r="F14" s="712" t="s">
        <v>644</v>
      </c>
      <c r="G14" s="713" t="s">
        <v>645</v>
      </c>
      <c r="H14" s="712" t="s">
        <v>646</v>
      </c>
      <c r="I14" s="712" t="s">
        <v>647</v>
      </c>
      <c r="J14" s="714" t="s">
        <v>648</v>
      </c>
      <c r="L14" s="646"/>
      <c r="M14" s="646"/>
      <c r="N14" s="612"/>
      <c r="O14" s="612"/>
      <c r="P14" s="612"/>
    </row>
    <row r="15" spans="1:26 16384:16384" ht="16.149999999999999" customHeight="1" x14ac:dyDescent="0.45">
      <c r="B15" s="652"/>
      <c r="C15" s="715" t="s">
        <v>635</v>
      </c>
      <c r="D15" s="716">
        <f>[3]Database_obsolete!L6/([3]Database_obsolete!L6+[3]Database_obsolete!M6)*N7</f>
        <v>12435.137972405517</v>
      </c>
      <c r="E15" s="717">
        <f>[3]Database_obsolete!M6/([3]Database_obsolete!L6+[3]Database_obsolete!M6)*N7</f>
        <v>20731.862027594478</v>
      </c>
      <c r="F15" s="717">
        <f>(O7-P7)/E7</f>
        <v>73333.333333333328</v>
      </c>
      <c r="G15" s="717">
        <f>F15*F7</f>
        <v>21999.999999999996</v>
      </c>
      <c r="H15" s="717">
        <f>O7*D7/2</f>
        <v>6800</v>
      </c>
      <c r="I15" s="717">
        <v>3651</v>
      </c>
      <c r="J15" s="718">
        <f>D15+E15+G15+H15+I15</f>
        <v>65617.999999999985</v>
      </c>
      <c r="K15" s="719"/>
      <c r="L15" s="720"/>
      <c r="M15" s="646"/>
      <c r="N15" s="612"/>
      <c r="O15" s="612"/>
      <c r="P15" s="612"/>
    </row>
    <row r="16" spans="1:26 16384:16384" ht="16.149999999999999" customHeight="1" x14ac:dyDescent="0.45">
      <c r="B16" s="652"/>
      <c r="C16" s="721" t="s">
        <v>636</v>
      </c>
      <c r="D16" s="722">
        <f>[3]Database_obsolete!L7/([3]Database_obsolete!L7+[3]Database_obsolete!M7)*N8</f>
        <v>36813.922146401979</v>
      </c>
      <c r="E16" s="723">
        <f>[3]Database_obsolete!M7/([3]Database_obsolete!L7+[3]Database_obsolete!M7)*N8</f>
        <v>21281.077853598013</v>
      </c>
      <c r="F16" s="723">
        <f>(O8-P8)/E8</f>
        <v>108625</v>
      </c>
      <c r="G16" s="723">
        <f>F16*F8</f>
        <v>32587.5</v>
      </c>
      <c r="H16" s="723">
        <f>O8*D8/2</f>
        <v>24075</v>
      </c>
      <c r="I16" s="723">
        <v>10553</v>
      </c>
      <c r="J16" s="724">
        <f>D16+E16+G16+H16+I16</f>
        <v>125310.5</v>
      </c>
      <c r="K16" s="719"/>
      <c r="L16" s="720"/>
      <c r="M16" s="646"/>
      <c r="N16" s="612"/>
      <c r="O16" s="612"/>
      <c r="P16" s="612"/>
    </row>
    <row r="17" spans="1:28" ht="16.149999999999999" customHeight="1" x14ac:dyDescent="0.45">
      <c r="B17" s="652"/>
      <c r="C17" s="721" t="s">
        <v>637</v>
      </c>
      <c r="D17" s="722">
        <f>[3]Database_obsolete!L8/([3]Database_obsolete!L8+[3]Database_obsolete!M8)*N9</f>
        <v>40838.4031459365</v>
      </c>
      <c r="E17" s="723">
        <f>[3]Database_obsolete!M8/([3]Database_obsolete!L8+[3]Database_obsolete!M8)*N9</f>
        <v>32067.5968540635</v>
      </c>
      <c r="F17" s="723">
        <f>(O9-P9)/E9</f>
        <v>177125</v>
      </c>
      <c r="G17" s="723">
        <f>F17*F9</f>
        <v>53137.5</v>
      </c>
      <c r="H17" s="723">
        <f>O9*D9/2</f>
        <v>38550</v>
      </c>
      <c r="I17" s="723">
        <v>12898</v>
      </c>
      <c r="J17" s="724">
        <f>D17+E17+G17+H17+I17</f>
        <v>177491.5</v>
      </c>
      <c r="K17" s="719"/>
      <c r="L17" s="720"/>
      <c r="M17" s="646"/>
      <c r="N17" s="612"/>
      <c r="O17" s="612"/>
      <c r="P17" s="612"/>
    </row>
    <row r="18" spans="1:28" ht="16.149999999999999" customHeight="1" x14ac:dyDescent="0.45">
      <c r="B18" s="652"/>
      <c r="C18" s="721" t="s">
        <v>638</v>
      </c>
      <c r="D18" s="722">
        <f>[3]Database_obsolete!L9/([3]Database_obsolete!L9+[3]Database_obsolete!M9)*N10</f>
        <v>62864.062456140346</v>
      </c>
      <c r="E18" s="723">
        <f>[3]Database_obsolete!M9/([3]Database_obsolete!L9+[3]Database_obsolete!M9)*N10</f>
        <v>46181.937543859647</v>
      </c>
      <c r="F18" s="723">
        <f>(O10-P10)/E10</f>
        <v>318857.14285714284</v>
      </c>
      <c r="G18" s="723">
        <f>F18*F10</f>
        <v>95657.142857142855</v>
      </c>
      <c r="H18" s="723">
        <f>O10*D10/2</f>
        <v>61275</v>
      </c>
      <c r="I18" s="725">
        <v>27818</v>
      </c>
      <c r="J18" s="724">
        <f>D18+E18+G18+H18+I18</f>
        <v>293796.14285714284</v>
      </c>
      <c r="K18" s="719"/>
      <c r="L18" s="720"/>
      <c r="M18" s="726"/>
      <c r="N18" s="612"/>
      <c r="O18" s="612"/>
      <c r="P18" s="612"/>
    </row>
    <row r="19" spans="1:28" ht="16.149999999999999" customHeight="1" thickBot="1" x14ac:dyDescent="0.5">
      <c r="B19" s="652"/>
      <c r="C19" s="727" t="s">
        <v>639</v>
      </c>
      <c r="D19" s="728">
        <f>[3]Database_obsolete!L10/([3]Database_obsolete!L10+[3]Database_obsolete!M10)*N11</f>
        <v>66395.414504324683</v>
      </c>
      <c r="E19" s="729">
        <f>[3]Database_obsolete!M10/([3]Database_obsolete!L10+[3]Database_obsolete!M10)*N11</f>
        <v>46300.58549567531</v>
      </c>
      <c r="F19" s="729">
        <f>(O11-P11)/E11</f>
        <v>348857.14285714284</v>
      </c>
      <c r="G19" s="729">
        <f>F19*F11</f>
        <v>104657.14285714286</v>
      </c>
      <c r="H19" s="729">
        <f>(O11*D11)/2</f>
        <v>67050</v>
      </c>
      <c r="I19" s="730">
        <v>27818</v>
      </c>
      <c r="J19" s="731">
        <f>D19+E19+G19+H19+I19</f>
        <v>312221.14285714284</v>
      </c>
      <c r="K19" s="719"/>
      <c r="L19" s="720"/>
      <c r="M19" s="646"/>
      <c r="N19" s="612"/>
      <c r="O19" s="612"/>
      <c r="P19" s="612"/>
    </row>
    <row r="20" spans="1:28" ht="16.149999999999999" customHeight="1" x14ac:dyDescent="0.45">
      <c r="B20" s="652"/>
      <c r="C20" s="705"/>
      <c r="D20" s="634"/>
      <c r="E20" s="612"/>
      <c r="F20" s="634"/>
      <c r="G20" s="634"/>
      <c r="H20" s="612"/>
      <c r="I20" s="612"/>
      <c r="J20" s="646"/>
      <c r="K20" s="646"/>
      <c r="L20" s="646"/>
      <c r="M20" s="646"/>
      <c r="N20" s="612"/>
      <c r="O20" s="612"/>
      <c r="P20" s="612"/>
    </row>
    <row r="21" spans="1:28" ht="16.149999999999999" customHeight="1" thickBot="1" x14ac:dyDescent="0.5">
      <c r="A21" t="s">
        <v>649</v>
      </c>
      <c r="B21" s="652"/>
      <c r="C21" s="732" t="s">
        <v>650</v>
      </c>
      <c r="D21" s="733" t="s">
        <v>651</v>
      </c>
      <c r="E21" s="646"/>
    </row>
    <row r="22" spans="1:28" ht="16.149999999999999" customHeight="1" thickBot="1" x14ac:dyDescent="0.5">
      <c r="B22" s="652"/>
      <c r="C22" s="734" t="s">
        <v>652</v>
      </c>
      <c r="D22" s="735" t="str">
        <f>[3]Database_obsolete!C20</f>
        <v>Distance costs</v>
      </c>
      <c r="E22" s="735"/>
      <c r="F22" s="735"/>
      <c r="G22" s="735"/>
      <c r="H22" s="735"/>
      <c r="I22" s="735" t="str">
        <f>[3]Database_obsolete!H20</f>
        <v>Time costs</v>
      </c>
      <c r="J22" s="735"/>
      <c r="K22" s="735"/>
      <c r="L22" s="735"/>
      <c r="M22" s="735"/>
      <c r="N22" s="735"/>
      <c r="O22" s="735"/>
      <c r="P22" s="735"/>
      <c r="Q22" s="736"/>
    </row>
    <row r="23" spans="1:28" ht="16.149999999999999" customHeight="1" thickBot="1" x14ac:dyDescent="0.5">
      <c r="B23" s="652"/>
      <c r="C23" s="737" t="str">
        <f>[3]Database_obsolete!B21</f>
        <v>Truck type</v>
      </c>
      <c r="D23" s="738" t="str">
        <f>[3]Database_obsolete!C21</f>
        <v>Fuel</v>
      </c>
      <c r="E23" s="739" t="str">
        <f>[3]Database_obsolete!D21</f>
        <v>Maintenance</v>
      </c>
      <c r="F23" s="739" t="str">
        <f>[3]Database_obsolete!E21</f>
        <v>Tires</v>
      </c>
      <c r="G23" s="738" t="str">
        <f>[3]Database_obsolete!F21</f>
        <v>Depreciation</v>
      </c>
      <c r="H23" s="740" t="str">
        <f>[3]Database_obsolete!G21</f>
        <v>Total distance</v>
      </c>
      <c r="I23" s="741" t="str">
        <f>[3]Database_obsolete!H21</f>
        <v>Driver</v>
      </c>
      <c r="J23" s="742" t="str">
        <f>[3]Database_obsolete!I21</f>
        <v xml:space="preserve">Capital </v>
      </c>
      <c r="K23" s="742" t="str">
        <f>[3]Database_obsolete!J21</f>
        <v>Depreciation</v>
      </c>
      <c r="L23" s="742" t="str">
        <f>[3]Database_obsolete!K21</f>
        <v>Taxes</v>
      </c>
      <c r="M23" s="742" t="str">
        <f>[3]Database_obsolete!L21</f>
        <v>Insurance</v>
      </c>
      <c r="N23" s="742" t="str">
        <f>[3]Database_obsolete!M21</f>
        <v>Other</v>
      </c>
      <c r="O23" s="743"/>
      <c r="P23" s="743"/>
      <c r="Q23" s="740" t="str">
        <f>[3]Database_obsolete!O21</f>
        <v>Total time</v>
      </c>
    </row>
    <row r="24" spans="1:28" ht="16.149999999999999" customHeight="1" x14ac:dyDescent="0.45">
      <c r="B24" s="652"/>
      <c r="C24" s="744" t="s">
        <v>635</v>
      </c>
      <c r="D24" s="745">
        <f>L7*M7</f>
        <v>0.69408000000000003</v>
      </c>
      <c r="E24" s="746">
        <v>0.33</v>
      </c>
      <c r="F24" s="746">
        <v>0.51</v>
      </c>
      <c r="G24" s="746">
        <f>F15/H7*G7</f>
        <v>1.0266666666666666</v>
      </c>
      <c r="H24" s="747">
        <f>SUM(D24:G24)</f>
        <v>2.5607466666666667</v>
      </c>
      <c r="I24" s="748">
        <v>254</v>
      </c>
      <c r="J24" s="749">
        <f>H15/I7</f>
        <v>3.5416666666666665</v>
      </c>
      <c r="K24" s="749">
        <f>F15/I7*F7</f>
        <v>11.458333333333332</v>
      </c>
      <c r="L24" s="749">
        <f>I15/I7</f>
        <v>1.9015625</v>
      </c>
      <c r="M24" s="749">
        <f>D15/I7</f>
        <v>6.4766343606278731</v>
      </c>
      <c r="N24" s="749">
        <f>E15/I7</f>
        <v>10.797844806038791</v>
      </c>
      <c r="O24" s="749"/>
      <c r="P24" s="749"/>
      <c r="Q24" s="750">
        <f>SUM(I24:N24)</f>
        <v>288.17604166666666</v>
      </c>
    </row>
    <row r="25" spans="1:28" ht="16.149999999999999" customHeight="1" x14ac:dyDescent="0.45">
      <c r="B25" s="652"/>
      <c r="C25" s="751" t="s">
        <v>636</v>
      </c>
      <c r="D25" s="752">
        <f>L8*M8</f>
        <v>1.5809600000000001</v>
      </c>
      <c r="E25" s="753">
        <v>1.06</v>
      </c>
      <c r="F25" s="753">
        <v>0.32</v>
      </c>
      <c r="G25" s="753">
        <f>F16/H8*G8</f>
        <v>1.6897222222222221</v>
      </c>
      <c r="H25" s="754">
        <f>SUM(D25:G25)</f>
        <v>4.6506822222222226</v>
      </c>
      <c r="I25" s="755">
        <v>254</v>
      </c>
      <c r="J25" s="756">
        <f>H16/I8</f>
        <v>12.0375</v>
      </c>
      <c r="K25" s="756">
        <f>F16/I8*F8</f>
        <v>16.293749999999999</v>
      </c>
      <c r="L25" s="756">
        <f>I16/I8</f>
        <v>5.2765000000000004</v>
      </c>
      <c r="M25" s="756">
        <f>D16/I8</f>
        <v>18.406961073200989</v>
      </c>
      <c r="N25" s="756">
        <f>E16/I8</f>
        <v>10.640538926799007</v>
      </c>
      <c r="O25" s="756"/>
      <c r="P25" s="756"/>
      <c r="Q25" s="757">
        <f>SUM(I25:N25)</f>
        <v>316.65525000000002</v>
      </c>
    </row>
    <row r="26" spans="1:28" ht="16.149999999999999" customHeight="1" x14ac:dyDescent="0.45">
      <c r="B26" s="652"/>
      <c r="C26" s="751" t="s">
        <v>637</v>
      </c>
      <c r="D26" s="752">
        <f>L9*M9</f>
        <v>2.1400800000000002</v>
      </c>
      <c r="E26" s="753">
        <v>1.26</v>
      </c>
      <c r="F26" s="753">
        <v>0.64</v>
      </c>
      <c r="G26" s="753">
        <f>F17/H9*G9</f>
        <v>2.0664583333333333</v>
      </c>
      <c r="H26" s="754">
        <f>SUM(D26:G26)</f>
        <v>6.106538333333333</v>
      </c>
      <c r="I26" s="755">
        <v>245</v>
      </c>
      <c r="J26" s="756">
        <f>H17/I9</f>
        <v>19.274999999999999</v>
      </c>
      <c r="K26" s="756">
        <f>F17/I9*F9</f>
        <v>26.568749999999998</v>
      </c>
      <c r="L26" s="756">
        <f>I17/I9</f>
        <v>6.4489999999999998</v>
      </c>
      <c r="M26" s="756">
        <f>D17/I9</f>
        <v>20.419201572968248</v>
      </c>
      <c r="N26" s="756">
        <f>E17/I9</f>
        <v>16.033798427031751</v>
      </c>
      <c r="O26" s="756"/>
      <c r="P26" s="756"/>
      <c r="Q26" s="757">
        <f>SUM(I26:N26)</f>
        <v>333.74574999999999</v>
      </c>
    </row>
    <row r="27" spans="1:28" ht="16.149999999999999" customHeight="1" x14ac:dyDescent="0.45">
      <c r="B27" s="652"/>
      <c r="C27" s="751" t="s">
        <v>638</v>
      </c>
      <c r="D27" s="752">
        <f>L10*M10</f>
        <v>2.6124400000000003</v>
      </c>
      <c r="E27" s="753">
        <v>1.19</v>
      </c>
      <c r="F27" s="753">
        <v>0.94</v>
      </c>
      <c r="G27" s="753">
        <f>F18/H10*G10</f>
        <v>1.7855999999999999</v>
      </c>
      <c r="H27" s="754">
        <f>SUM(D27:G27)</f>
        <v>6.5280399999999998</v>
      </c>
      <c r="I27" s="755">
        <v>245</v>
      </c>
      <c r="J27" s="756">
        <f>H18/I10</f>
        <v>17.507142857142856</v>
      </c>
      <c r="K27" s="756">
        <f>F18/I10*F10</f>
        <v>27.330612244897956</v>
      </c>
      <c r="L27" s="756">
        <f>I18/I10</f>
        <v>7.9480000000000004</v>
      </c>
      <c r="M27" s="756">
        <f>D18/I10</f>
        <v>17.961160701754384</v>
      </c>
      <c r="N27" s="756">
        <f>E18/I10</f>
        <v>13.194839298245613</v>
      </c>
      <c r="O27" s="756"/>
      <c r="P27" s="756"/>
      <c r="Q27" s="757">
        <f>SUM(I27:N27)</f>
        <v>328.94175510204082</v>
      </c>
    </row>
    <row r="28" spans="1:28" ht="29.25" thickBot="1" x14ac:dyDescent="0.5">
      <c r="B28" s="652"/>
      <c r="C28" s="758" t="s">
        <v>639</v>
      </c>
      <c r="D28" s="759">
        <f>L11*M11</f>
        <v>3.3932799999999999</v>
      </c>
      <c r="E28" s="760">
        <v>1.04</v>
      </c>
      <c r="F28" s="760">
        <v>1.18</v>
      </c>
      <c r="G28" s="760">
        <f>F19/H11*G11</f>
        <v>1.9536</v>
      </c>
      <c r="H28" s="761">
        <f>SUM(D28:G28)</f>
        <v>7.5668799999999994</v>
      </c>
      <c r="I28" s="762">
        <v>254</v>
      </c>
      <c r="J28" s="763">
        <f>H19/I11</f>
        <v>19.157142857142858</v>
      </c>
      <c r="K28" s="763">
        <f>F19/I11*F11</f>
        <v>29.902040816326526</v>
      </c>
      <c r="L28" s="763">
        <f>I19/I11</f>
        <v>7.9480000000000004</v>
      </c>
      <c r="M28" s="763">
        <f>D19/I11</f>
        <v>18.970118429807052</v>
      </c>
      <c r="N28" s="763">
        <f>E19/I11</f>
        <v>13.228738713050088</v>
      </c>
      <c r="O28" s="763"/>
      <c r="P28" s="763"/>
      <c r="Q28" s="764">
        <f>SUM(I28:N28)</f>
        <v>343.20604081632644</v>
      </c>
    </row>
    <row r="29" spans="1:28" ht="16.149999999999999" customHeight="1" x14ac:dyDescent="0.25"/>
    <row r="30" spans="1:28" ht="16.149999999999999" customHeight="1" thickBot="1" x14ac:dyDescent="0.5">
      <c r="A30" t="s">
        <v>653</v>
      </c>
      <c r="B30" s="652"/>
      <c r="C30" s="732" t="s">
        <v>650</v>
      </c>
      <c r="D30" s="733" t="s">
        <v>651</v>
      </c>
      <c r="E30" s="646"/>
    </row>
    <row r="31" spans="1:28" ht="16.149999999999999" customHeight="1" thickBot="1" x14ac:dyDescent="0.5">
      <c r="B31" s="652"/>
      <c r="C31" s="734" t="s">
        <v>652</v>
      </c>
      <c r="D31" s="735" t="str">
        <f>D22</f>
        <v>Distance costs</v>
      </c>
      <c r="E31" s="735"/>
      <c r="F31" s="735"/>
      <c r="G31" s="735"/>
      <c r="H31" s="735"/>
      <c r="I31" s="735" t="str">
        <f>I22</f>
        <v>Time costs</v>
      </c>
      <c r="J31" s="735"/>
      <c r="K31" s="735"/>
      <c r="L31" s="735"/>
      <c r="M31" s="735"/>
      <c r="N31" s="735"/>
      <c r="O31" s="735"/>
      <c r="P31" s="735"/>
      <c r="Q31" s="736"/>
      <c r="R31" s="735" t="s">
        <v>781</v>
      </c>
      <c r="S31" s="735"/>
      <c r="T31" s="735"/>
      <c r="U31" s="735"/>
      <c r="V31" s="735"/>
      <c r="W31" s="735"/>
      <c r="X31" s="735"/>
      <c r="Y31" s="735"/>
      <c r="Z31" s="736"/>
    </row>
    <row r="32" spans="1:28" ht="16.149999999999999" customHeight="1" thickBot="1" x14ac:dyDescent="0.5">
      <c r="B32" s="652"/>
      <c r="C32" s="737">
        <f>[3]Database_obsolete!B30</f>
        <v>0</v>
      </c>
      <c r="D32" s="738" t="str">
        <f>D23</f>
        <v>Fuel</v>
      </c>
      <c r="E32" s="738" t="str">
        <f t="shared" ref="E32:Q32" si="1">E23</f>
        <v>Maintenance</v>
      </c>
      <c r="F32" s="738" t="str">
        <f t="shared" si="1"/>
        <v>Tires</v>
      </c>
      <c r="G32" s="738" t="str">
        <f t="shared" si="1"/>
        <v>Depreciation</v>
      </c>
      <c r="H32" s="738" t="str">
        <f t="shared" si="1"/>
        <v>Total distance</v>
      </c>
      <c r="I32" s="738">
        <v>0</v>
      </c>
      <c r="J32" s="738" t="str">
        <f t="shared" si="1"/>
        <v xml:space="preserve">Capital </v>
      </c>
      <c r="K32" s="738" t="str">
        <f t="shared" si="1"/>
        <v>Depreciation</v>
      </c>
      <c r="L32" s="738" t="str">
        <f t="shared" si="1"/>
        <v>Taxes</v>
      </c>
      <c r="M32" s="738" t="str">
        <f t="shared" si="1"/>
        <v>Insurance</v>
      </c>
      <c r="N32" s="738" t="str">
        <f t="shared" si="1"/>
        <v>Other</v>
      </c>
      <c r="O32" s="738"/>
      <c r="P32" s="738"/>
      <c r="Q32" s="738" t="str">
        <f t="shared" si="1"/>
        <v>Total time</v>
      </c>
      <c r="R32" s="738" t="s">
        <v>685</v>
      </c>
      <c r="S32" s="738" t="s">
        <v>686</v>
      </c>
      <c r="T32" s="738" t="s">
        <v>683</v>
      </c>
      <c r="U32" s="738" t="s">
        <v>647</v>
      </c>
      <c r="V32" s="738" t="s">
        <v>642</v>
      </c>
      <c r="W32" s="738" t="s">
        <v>643</v>
      </c>
      <c r="X32" s="738"/>
      <c r="Y32" s="738"/>
      <c r="Z32" s="738" t="s">
        <v>688</v>
      </c>
      <c r="AA32" s="1028" t="s">
        <v>782</v>
      </c>
      <c r="AB32" s="1028" t="s">
        <v>783</v>
      </c>
    </row>
    <row r="33" spans="1:28" ht="16.149999999999999" customHeight="1" thickBot="1" x14ac:dyDescent="0.5">
      <c r="B33" s="652"/>
      <c r="C33" s="744" t="s">
        <v>635</v>
      </c>
      <c r="D33" s="745">
        <f>D24*'[3]ASEK adjustment'!B29</f>
        <v>0.7</v>
      </c>
      <c r="E33" s="745">
        <f>E24*'[3]ASEK adjustment'!C29</f>
        <v>0.33</v>
      </c>
      <c r="F33" s="745">
        <f>F24*'[3]ASEK adjustment'!D29</f>
        <v>0.51</v>
      </c>
      <c r="G33" s="745">
        <f>G24*'[3]ASEK adjustment'!E29</f>
        <v>1.08</v>
      </c>
      <c r="H33" s="747">
        <f>SUM(D33:G33)</f>
        <v>2.62</v>
      </c>
      <c r="I33" s="748">
        <f>'[3]ASEK adjustment'!G29*I24</f>
        <v>254</v>
      </c>
      <c r="J33" s="748">
        <f>'[3]ASEK adjustment'!H29*J24</f>
        <v>4.37</v>
      </c>
      <c r="K33" s="748">
        <f>'[3]ASEK adjustment'!I29*K24</f>
        <v>12.06</v>
      </c>
      <c r="L33" s="748">
        <f>'[3]ASEK adjustment'!J29*L24</f>
        <v>1.9</v>
      </c>
      <c r="M33" s="748">
        <f>'[3]ASEK adjustment'!K29*M24</f>
        <v>6.4749550089981991</v>
      </c>
      <c r="N33" s="748">
        <f>'[3]ASEK adjustment'!L29*N24</f>
        <v>10.795044991001799</v>
      </c>
      <c r="O33" s="749"/>
      <c r="P33" s="749"/>
      <c r="Q33" s="750">
        <f>SUM(I33:N33)</f>
        <v>289.60000000000002</v>
      </c>
      <c r="R33" s="748" t="e">
        <f>I33/'AVs - antaganden'!#REF!</f>
        <v>#REF!</v>
      </c>
      <c r="S33" s="748" t="e">
        <f>J33/'AVs - antaganden'!#REF!</f>
        <v>#REF!</v>
      </c>
      <c r="T33" s="748" t="e">
        <f>K33/'AVs - antaganden'!#REF!</f>
        <v>#REF!</v>
      </c>
      <c r="U33" s="748" t="e">
        <f>L33/'AVs - antaganden'!#REF!</f>
        <v>#REF!</v>
      </c>
      <c r="V33" s="748" t="e">
        <f>M33/'AVs - antaganden'!#REF!</f>
        <v>#REF!</v>
      </c>
      <c r="W33" s="748" t="e">
        <f>N33/'AVs - antaganden'!#REF!</f>
        <v>#REF!</v>
      </c>
      <c r="X33" s="749"/>
      <c r="Y33" s="749"/>
      <c r="Z33" s="750" t="e">
        <f>SUM(R33:Y33)</f>
        <v>#REF!</v>
      </c>
      <c r="AA33" s="765" t="e">
        <f>H33+Z33</f>
        <v>#REF!</v>
      </c>
      <c r="AB33" s="765" t="e">
        <f>AA33*10</f>
        <v>#REF!</v>
      </c>
    </row>
    <row r="34" spans="1:28" ht="16.149999999999999" customHeight="1" thickBot="1" x14ac:dyDescent="0.5">
      <c r="B34" s="652"/>
      <c r="C34" s="751" t="s">
        <v>636</v>
      </c>
      <c r="D34" s="745">
        <f>D25*'[3]ASEK adjustment'!B30</f>
        <v>1.58</v>
      </c>
      <c r="E34" s="745">
        <f>E25*'[3]ASEK adjustment'!C30</f>
        <v>1.06</v>
      </c>
      <c r="F34" s="745">
        <f>F25*'[3]ASEK adjustment'!D30</f>
        <v>0.32</v>
      </c>
      <c r="G34" s="745">
        <f>G25*'[3]ASEK adjustment'!E30</f>
        <v>1.69</v>
      </c>
      <c r="H34" s="754">
        <f>SUM(D34:G34)</f>
        <v>4.6500000000000004</v>
      </c>
      <c r="I34" s="748">
        <f>'[3]ASEK adjustment'!G30*I25</f>
        <v>254</v>
      </c>
      <c r="J34" s="748">
        <f>'[3]ASEK adjustment'!H30*J25</f>
        <v>13.210000000000003</v>
      </c>
      <c r="K34" s="748">
        <f>'[3]ASEK adjustment'!I30*K25</f>
        <v>16.3</v>
      </c>
      <c r="L34" s="748">
        <f>'[3]ASEK adjustment'!J30*L25</f>
        <v>5.2800000000000011</v>
      </c>
      <c r="M34" s="748">
        <f>'[3]ASEK adjustment'!K30*M25</f>
        <v>18.4085452853598</v>
      </c>
      <c r="N34" s="748">
        <f>'[3]ASEK adjustment'!L30*N25</f>
        <v>10.641454714640199</v>
      </c>
      <c r="O34" s="756"/>
      <c r="P34" s="756"/>
      <c r="Q34" s="757">
        <f>SUM(I34:N34)</f>
        <v>317.83999999999997</v>
      </c>
      <c r="R34" s="748">
        <f>I34/'AVs - antaganden'!$E11</f>
        <v>11.28888888888889</v>
      </c>
      <c r="S34" s="748">
        <f>J34/'AVs - antaganden'!$E11</f>
        <v>0.58711111111111125</v>
      </c>
      <c r="T34" s="748">
        <f>K34/'AVs - antaganden'!$E11</f>
        <v>0.72444444444444445</v>
      </c>
      <c r="U34" s="748">
        <f>L34/'AVs - antaganden'!$E11</f>
        <v>0.23466666666666672</v>
      </c>
      <c r="V34" s="748">
        <f>M34/'AVs - antaganden'!$E11</f>
        <v>0.81815756823821328</v>
      </c>
      <c r="W34" s="748">
        <f>N34/'AVs - antaganden'!$E11</f>
        <v>0.47295354287289776</v>
      </c>
      <c r="X34" s="756"/>
      <c r="Y34" s="756"/>
      <c r="Z34" s="750">
        <f t="shared" ref="Z34:Z37" si="2">SUM(R34:Y34)</f>
        <v>14.126222222222223</v>
      </c>
      <c r="AA34" s="765">
        <f t="shared" ref="AA34:AA37" si="3">H34+Z34</f>
        <v>18.776222222222223</v>
      </c>
      <c r="AB34" s="765">
        <f t="shared" ref="AB34:AB37" si="4">AA34*10</f>
        <v>187.76222222222225</v>
      </c>
    </row>
    <row r="35" spans="1:28" ht="16.149999999999999" customHeight="1" thickBot="1" x14ac:dyDescent="0.5">
      <c r="B35" s="652"/>
      <c r="C35" s="751" t="s">
        <v>637</v>
      </c>
      <c r="D35" s="745">
        <f>D26*'[3]ASEK adjustment'!B31</f>
        <v>2.14</v>
      </c>
      <c r="E35" s="745">
        <f>E26*'[3]ASEK adjustment'!C31</f>
        <v>1.26</v>
      </c>
      <c r="F35" s="745">
        <f>F26*'[3]ASEK adjustment'!D31</f>
        <v>0.64</v>
      </c>
      <c r="G35" s="745">
        <f>G26*'[3]ASEK adjustment'!E31</f>
        <v>2.0699999999999998</v>
      </c>
      <c r="H35" s="754">
        <f>SUM(D35:G35)</f>
        <v>6.1099999999999994</v>
      </c>
      <c r="I35" s="748">
        <f>'[3]ASEK adjustment'!G31*I26</f>
        <v>245</v>
      </c>
      <c r="J35" s="748">
        <f>'[3]ASEK adjustment'!H31*J26</f>
        <v>20.84</v>
      </c>
      <c r="K35" s="748">
        <f>'[3]ASEK adjustment'!I31*K26</f>
        <v>26.58</v>
      </c>
      <c r="L35" s="748">
        <f>'[3]ASEK adjustment'!J31*L26</f>
        <v>6.4500000000000011</v>
      </c>
      <c r="M35" s="748">
        <f>'[3]ASEK adjustment'!K31*M26</f>
        <v>20.4175211185552</v>
      </c>
      <c r="N35" s="748">
        <f>'[3]ASEK adjustment'!L31*N26</f>
        <v>16.032478881444803</v>
      </c>
      <c r="O35" s="756"/>
      <c r="P35" s="756"/>
      <c r="Q35" s="757">
        <f>SUM(I35:N35)</f>
        <v>335.31999999999994</v>
      </c>
      <c r="R35" s="748">
        <f>I35/'AVs - antaganden'!$E12</f>
        <v>8.1666666666666661</v>
      </c>
      <c r="S35" s="748">
        <f>J35/'AVs - antaganden'!$E12</f>
        <v>0.69466666666666665</v>
      </c>
      <c r="T35" s="748">
        <f>K35/'AVs - antaganden'!$E12</f>
        <v>0.8859999999999999</v>
      </c>
      <c r="U35" s="748">
        <f>L35/'AVs - antaganden'!$E12</f>
        <v>0.21500000000000002</v>
      </c>
      <c r="V35" s="748">
        <f>M35/'AVs - antaganden'!$E12</f>
        <v>0.68058403728517336</v>
      </c>
      <c r="W35" s="748">
        <f>N35/'AVs - antaganden'!$E12</f>
        <v>0.53441596271482672</v>
      </c>
      <c r="X35" s="756"/>
      <c r="Y35" s="756"/>
      <c r="Z35" s="750">
        <f t="shared" si="2"/>
        <v>11.177333333333332</v>
      </c>
      <c r="AA35" s="765">
        <f t="shared" si="3"/>
        <v>17.287333333333329</v>
      </c>
      <c r="AB35" s="765">
        <f t="shared" si="4"/>
        <v>172.87333333333328</v>
      </c>
    </row>
    <row r="36" spans="1:28" ht="16.149999999999999" customHeight="1" thickBot="1" x14ac:dyDescent="0.5">
      <c r="B36" s="652"/>
      <c r="C36" s="751" t="s">
        <v>638</v>
      </c>
      <c r="D36" s="745">
        <f>D27*'[3]ASEK adjustment'!B32</f>
        <v>2.62</v>
      </c>
      <c r="E36" s="745">
        <f>E27*'[3]ASEK adjustment'!C32</f>
        <v>1.19</v>
      </c>
      <c r="F36" s="745">
        <f>F27*'[3]ASEK adjustment'!D32</f>
        <v>0.93705197132616491</v>
      </c>
      <c r="G36" s="745">
        <f>G27*'[3]ASEK adjustment'!E32</f>
        <v>1.78</v>
      </c>
      <c r="H36" s="754">
        <f>SUM(D36:G36)</f>
        <v>6.5270519713261654</v>
      </c>
      <c r="I36" s="748">
        <f>'[3]ASEK adjustment'!G32*I27</f>
        <v>245</v>
      </c>
      <c r="J36" s="748">
        <f>'[3]ASEK adjustment'!H32*J27</f>
        <v>19.07</v>
      </c>
      <c r="K36" s="748">
        <f>'[3]ASEK adjustment'!I32*K27</f>
        <v>27.33</v>
      </c>
      <c r="L36" s="748">
        <f>'[3]ASEK adjustment'!J32*L27</f>
        <v>7.9478219534050192</v>
      </c>
      <c r="M36" s="748">
        <f>'[3]ASEK adjustment'!K32*M27</f>
        <v>17.963466666666665</v>
      </c>
      <c r="N36" s="748">
        <f>'[3]ASEK adjustment'!L32*N27</f>
        <v>13.196533333333333</v>
      </c>
      <c r="O36" s="756"/>
      <c r="P36" s="756"/>
      <c r="Q36" s="757">
        <f>SUM(I36:N36)</f>
        <v>330.50782195340497</v>
      </c>
      <c r="R36" s="748">
        <f>I36/'AVs - antaganden'!$E13</f>
        <v>6.8599999999999994</v>
      </c>
      <c r="S36" s="748">
        <f>J36/'AVs - antaganden'!$E13</f>
        <v>0.53395999999999999</v>
      </c>
      <c r="T36" s="748">
        <f>K36/'AVs - antaganden'!$E13</f>
        <v>0.76523999999999992</v>
      </c>
      <c r="U36" s="748">
        <f>L36/'AVs - antaganden'!$E13</f>
        <v>0.22253901469534054</v>
      </c>
      <c r="V36" s="748">
        <f>M36/'AVs - antaganden'!$E13</f>
        <v>0.50297706666666664</v>
      </c>
      <c r="W36" s="748">
        <f>N36/'AVs - antaganden'!$E13</f>
        <v>0.36950293333333334</v>
      </c>
      <c r="X36" s="756"/>
      <c r="Y36" s="756"/>
      <c r="Z36" s="750">
        <f t="shared" si="2"/>
        <v>9.2542190146953409</v>
      </c>
      <c r="AA36" s="765">
        <f t="shared" si="3"/>
        <v>15.781270986021507</v>
      </c>
      <c r="AB36" s="765">
        <f t="shared" si="4"/>
        <v>157.81270986021508</v>
      </c>
    </row>
    <row r="37" spans="1:28" ht="16.149999999999999" customHeight="1" thickBot="1" x14ac:dyDescent="0.5">
      <c r="B37" s="652"/>
      <c r="C37" s="758" t="s">
        <v>639</v>
      </c>
      <c r="D37" s="766">
        <f>D28*'[3]ASEK adjustment'!B33</f>
        <v>3.39</v>
      </c>
      <c r="E37" s="766">
        <f>E28*'[3]ASEK adjustment'!C33</f>
        <v>1.04</v>
      </c>
      <c r="F37" s="766">
        <f>F28*'[3]ASEK adjustment'!D33</f>
        <v>1.18</v>
      </c>
      <c r="G37" s="766">
        <f>G28*'[3]ASEK adjustment'!E33</f>
        <v>1.95</v>
      </c>
      <c r="H37" s="761">
        <f>SUM(D37:G37)</f>
        <v>7.56</v>
      </c>
      <c r="I37" s="748">
        <f>'[3]ASEK adjustment'!G33*I28</f>
        <v>254</v>
      </c>
      <c r="J37" s="748">
        <f>'[3]ASEK adjustment'!H33*J28</f>
        <v>20.87</v>
      </c>
      <c r="K37" s="748">
        <f>'[3]ASEK adjustment'!I33*K28</f>
        <v>29.91</v>
      </c>
      <c r="L37" s="748">
        <f>'[3]ASEK adjustment'!J33*L28</f>
        <v>7.9501155610155632</v>
      </c>
      <c r="M37" s="748">
        <f>'[3]ASEK adjustment'!K33*M28</f>
        <v>18.970791749833673</v>
      </c>
      <c r="N37" s="748">
        <f>'[3]ASEK adjustment'!L33*N28</f>
        <v>13.229208250166337</v>
      </c>
      <c r="O37" s="763"/>
      <c r="P37" s="763"/>
      <c r="Q37" s="764">
        <f>SUM(I37:N37)</f>
        <v>344.93011556101555</v>
      </c>
      <c r="R37" s="748">
        <f>I37/'AVs - antaganden'!$E14</f>
        <v>7.1120000000000001</v>
      </c>
      <c r="S37" s="748">
        <f>J37/'AVs - antaganden'!$E14</f>
        <v>0.58435999999999999</v>
      </c>
      <c r="T37" s="748">
        <f>K37/'AVs - antaganden'!$E14</f>
        <v>0.83748</v>
      </c>
      <c r="U37" s="748">
        <f>L37/'AVs - antaganden'!$E14</f>
        <v>0.22260323570843576</v>
      </c>
      <c r="V37" s="748">
        <f>M37/'AVs - antaganden'!$E14</f>
        <v>0.53118216899534287</v>
      </c>
      <c r="W37" s="748">
        <f>N37/'AVs - antaganden'!$E14</f>
        <v>0.37041783100465742</v>
      </c>
      <c r="X37" s="763"/>
      <c r="Y37" s="763"/>
      <c r="Z37" s="750">
        <f t="shared" si="2"/>
        <v>9.6580432357084351</v>
      </c>
      <c r="AA37" s="765">
        <f t="shared" si="3"/>
        <v>17.218043235708436</v>
      </c>
      <c r="AB37" s="765">
        <f t="shared" si="4"/>
        <v>172.18043235708436</v>
      </c>
    </row>
    <row r="38" spans="1:28" ht="16.149999999999999" customHeight="1" x14ac:dyDescent="0.25">
      <c r="R38" s="765"/>
      <c r="S38" s="767"/>
    </row>
    <row r="39" spans="1:28" ht="16.149999999999999" customHeight="1" x14ac:dyDescent="0.25">
      <c r="R39" s="765"/>
      <c r="S39" s="767"/>
    </row>
    <row r="40" spans="1:28" ht="16.149999999999999" customHeight="1" x14ac:dyDescent="0.25">
      <c r="R40" s="765"/>
      <c r="S40" s="767"/>
    </row>
    <row r="41" spans="1:28" ht="16.149999999999999" customHeight="1" x14ac:dyDescent="0.45">
      <c r="B41" s="652"/>
    </row>
    <row r="42" spans="1:28" ht="16.149999999999999" customHeight="1" x14ac:dyDescent="0.25">
      <c r="A42" s="654" t="s">
        <v>654</v>
      </c>
      <c r="B42" s="654"/>
      <c r="C42" s="654"/>
      <c r="D42" s="654"/>
      <c r="E42" s="654"/>
      <c r="F42" s="654"/>
      <c r="G42" s="654"/>
      <c r="H42" s="654"/>
      <c r="I42" s="654"/>
      <c r="J42" s="654"/>
      <c r="K42" s="654"/>
      <c r="L42" s="654"/>
      <c r="M42" s="654"/>
      <c r="N42" s="654"/>
      <c r="O42" s="654"/>
      <c r="P42" s="654"/>
      <c r="Q42" s="654"/>
      <c r="R42" s="655"/>
      <c r="S42" s="655"/>
      <c r="T42" s="655"/>
      <c r="U42" s="655"/>
      <c r="V42" s="655"/>
      <c r="W42" s="655"/>
      <c r="X42" s="655"/>
      <c r="Y42" s="655"/>
      <c r="Z42" s="655"/>
    </row>
    <row r="43" spans="1:28" ht="16.149999999999999" customHeight="1" x14ac:dyDescent="0.45">
      <c r="B43" s="652"/>
    </row>
    <row r="44" spans="1:28" ht="15.75" thickBot="1" x14ac:dyDescent="0.3">
      <c r="B44" s="768"/>
    </row>
    <row r="45" spans="1:28" ht="15" customHeight="1" thickBot="1" x14ac:dyDescent="0.3">
      <c r="C45" s="1177" t="s">
        <v>655</v>
      </c>
      <c r="D45" s="769" t="s">
        <v>656</v>
      </c>
      <c r="E45" s="770" t="s">
        <v>657</v>
      </c>
      <c r="F45" s="771"/>
      <c r="G45" s="771"/>
      <c r="H45" s="771"/>
      <c r="I45" s="771"/>
      <c r="J45" s="771"/>
      <c r="K45" s="771"/>
      <c r="L45" s="771"/>
      <c r="M45" s="771"/>
      <c r="N45" s="771"/>
      <c r="O45" s="771"/>
      <c r="P45" s="771"/>
      <c r="Q45" s="771"/>
      <c r="R45" s="771"/>
      <c r="S45" s="771"/>
      <c r="T45" s="772"/>
    </row>
    <row r="46" spans="1:28" ht="15.75" thickBot="1" x14ac:dyDescent="0.3">
      <c r="C46" s="1178"/>
      <c r="D46" s="773"/>
      <c r="E46" s="770" t="s">
        <v>658</v>
      </c>
      <c r="F46" s="771"/>
      <c r="G46" s="771"/>
      <c r="H46" s="771"/>
      <c r="I46" s="771"/>
      <c r="J46" s="771"/>
      <c r="K46" s="771"/>
      <c r="L46" s="771"/>
      <c r="M46" s="771"/>
      <c r="N46" s="771"/>
      <c r="O46" s="771"/>
      <c r="P46" s="771"/>
      <c r="Q46" s="771"/>
      <c r="R46" s="771"/>
      <c r="S46" s="771" t="s">
        <v>659</v>
      </c>
      <c r="T46" s="772"/>
    </row>
    <row r="47" spans="1:28" ht="15.75" thickBot="1" x14ac:dyDescent="0.3">
      <c r="C47" s="1178"/>
      <c r="D47" s="770"/>
      <c r="E47" s="735" t="s">
        <v>660</v>
      </c>
      <c r="F47" s="735" t="s">
        <v>661</v>
      </c>
      <c r="G47" s="735" t="s">
        <v>662</v>
      </c>
      <c r="H47" s="735" t="s">
        <v>663</v>
      </c>
      <c r="I47" s="735" t="s">
        <v>664</v>
      </c>
      <c r="J47" s="736" t="s">
        <v>665</v>
      </c>
      <c r="K47" s="735" t="s">
        <v>666</v>
      </c>
      <c r="L47" s="735" t="s">
        <v>667</v>
      </c>
      <c r="M47" s="735" t="s">
        <v>668</v>
      </c>
      <c r="N47" s="735" t="s">
        <v>669</v>
      </c>
      <c r="O47" s="735" t="s">
        <v>670</v>
      </c>
      <c r="P47" s="735" t="s">
        <v>671</v>
      </c>
      <c r="Q47" s="735"/>
      <c r="R47" s="735" t="s">
        <v>672</v>
      </c>
      <c r="S47" s="774" t="s">
        <v>673</v>
      </c>
      <c r="T47" s="736" t="s">
        <v>674</v>
      </c>
    </row>
    <row r="48" spans="1:28" ht="15.75" thickBot="1" x14ac:dyDescent="0.3">
      <c r="C48" s="1179"/>
      <c r="D48" s="775" t="s">
        <v>635</v>
      </c>
      <c r="E48" s="776">
        <v>-0.25</v>
      </c>
      <c r="F48" s="777">
        <v>-0.2</v>
      </c>
      <c r="G48" s="777">
        <v>-0.25</v>
      </c>
      <c r="H48" s="777">
        <v>0</v>
      </c>
      <c r="I48" s="777">
        <v>0</v>
      </c>
      <c r="J48" s="777">
        <f>R48</f>
        <v>1</v>
      </c>
      <c r="K48" s="777">
        <v>-1</v>
      </c>
      <c r="L48" s="777">
        <v>0</v>
      </c>
      <c r="M48" s="777">
        <v>0</v>
      </c>
      <c r="N48" s="777">
        <v>0</v>
      </c>
      <c r="O48" s="777">
        <v>-0.2</v>
      </c>
      <c r="P48" s="777">
        <v>-0.2</v>
      </c>
      <c r="Q48" s="777"/>
      <c r="R48" s="777">
        <v>1</v>
      </c>
      <c r="S48" s="777">
        <v>2</v>
      </c>
      <c r="T48" s="1022">
        <v>2.5000000000000001E-2</v>
      </c>
    </row>
    <row r="49" spans="1:20" ht="15.75" thickBot="1" x14ac:dyDescent="0.3">
      <c r="C49" s="1179"/>
      <c r="D49" s="779" t="s">
        <v>636</v>
      </c>
      <c r="E49" s="780">
        <v>-0.25</v>
      </c>
      <c r="F49" s="781">
        <v>-0.2</v>
      </c>
      <c r="G49" s="781">
        <v>-0.25</v>
      </c>
      <c r="H49" s="781">
        <v>0</v>
      </c>
      <c r="I49" s="781">
        <v>0</v>
      </c>
      <c r="J49" s="777">
        <f>R49</f>
        <v>1</v>
      </c>
      <c r="K49" s="781">
        <v>-1</v>
      </c>
      <c r="L49" s="781">
        <v>0</v>
      </c>
      <c r="M49" s="781">
        <v>0</v>
      </c>
      <c r="N49" s="781">
        <v>0</v>
      </c>
      <c r="O49" s="781">
        <v>-0.2</v>
      </c>
      <c r="P49" s="781">
        <v>-0.2</v>
      </c>
      <c r="Q49" s="781"/>
      <c r="R49" s="777">
        <v>1</v>
      </c>
      <c r="S49" s="781">
        <v>2</v>
      </c>
      <c r="T49" s="1022">
        <v>2.5000000000000001E-2</v>
      </c>
    </row>
    <row r="50" spans="1:20" ht="15.75" thickBot="1" x14ac:dyDescent="0.3">
      <c r="C50" s="1179"/>
      <c r="D50" s="779" t="s">
        <v>637</v>
      </c>
      <c r="E50" s="780">
        <v>-0.25</v>
      </c>
      <c r="F50" s="781">
        <v>-0.2</v>
      </c>
      <c r="G50" s="781">
        <v>-0.25</v>
      </c>
      <c r="H50" s="781">
        <v>0</v>
      </c>
      <c r="I50" s="781">
        <v>0</v>
      </c>
      <c r="J50" s="777">
        <f>R50</f>
        <v>1</v>
      </c>
      <c r="K50" s="781">
        <v>-1</v>
      </c>
      <c r="L50" s="781">
        <v>0</v>
      </c>
      <c r="M50" s="781">
        <v>0</v>
      </c>
      <c r="N50" s="781">
        <v>0</v>
      </c>
      <c r="O50" s="781">
        <v>-0.2</v>
      </c>
      <c r="P50" s="781">
        <v>-0.2</v>
      </c>
      <c r="Q50" s="781"/>
      <c r="R50" s="777">
        <v>1</v>
      </c>
      <c r="S50" s="781">
        <v>2</v>
      </c>
      <c r="T50" s="1022">
        <v>2.5000000000000001E-2</v>
      </c>
    </row>
    <row r="51" spans="1:20" ht="15.75" thickBot="1" x14ac:dyDescent="0.3">
      <c r="C51" s="1179"/>
      <c r="D51" s="779" t="s">
        <v>638</v>
      </c>
      <c r="E51" s="780">
        <v>-0.25</v>
      </c>
      <c r="F51" s="781">
        <v>-0.2</v>
      </c>
      <c r="G51" s="781">
        <v>-0.25</v>
      </c>
      <c r="H51" s="781">
        <v>0</v>
      </c>
      <c r="I51" s="781">
        <v>0</v>
      </c>
      <c r="J51" s="777">
        <f>R51</f>
        <v>1</v>
      </c>
      <c r="K51" s="781">
        <v>-1</v>
      </c>
      <c r="L51" s="781">
        <v>0</v>
      </c>
      <c r="M51" s="781">
        <v>0</v>
      </c>
      <c r="N51" s="781">
        <v>0</v>
      </c>
      <c r="O51" s="781">
        <v>-0.2</v>
      </c>
      <c r="P51" s="781">
        <v>-0.2</v>
      </c>
      <c r="Q51" s="781"/>
      <c r="R51" s="777">
        <v>1</v>
      </c>
      <c r="S51" s="781">
        <v>2</v>
      </c>
      <c r="T51" s="1022">
        <v>2.5000000000000001E-2</v>
      </c>
    </row>
    <row r="52" spans="1:20" ht="15.75" thickBot="1" x14ac:dyDescent="0.3">
      <c r="C52" s="1180"/>
      <c r="D52" s="783" t="s">
        <v>639</v>
      </c>
      <c r="E52" s="784">
        <v>-0.25</v>
      </c>
      <c r="F52" s="785">
        <v>-0.2</v>
      </c>
      <c r="G52" s="785">
        <v>-0.25</v>
      </c>
      <c r="H52" s="785">
        <v>0</v>
      </c>
      <c r="I52" s="785">
        <v>0</v>
      </c>
      <c r="J52" s="777">
        <f>R52</f>
        <v>1</v>
      </c>
      <c r="K52" s="785">
        <v>-1</v>
      </c>
      <c r="L52" s="785">
        <v>0</v>
      </c>
      <c r="M52" s="785">
        <v>0</v>
      </c>
      <c r="N52" s="785">
        <v>0</v>
      </c>
      <c r="O52" s="785">
        <v>-0.2</v>
      </c>
      <c r="P52" s="785">
        <v>-0.2</v>
      </c>
      <c r="Q52" s="785"/>
      <c r="R52" s="777">
        <v>1</v>
      </c>
      <c r="S52" s="785">
        <v>2</v>
      </c>
      <c r="T52" s="1022">
        <v>2.5000000000000001E-2</v>
      </c>
    </row>
    <row r="53" spans="1:20" x14ac:dyDescent="0.25">
      <c r="A53" s="787"/>
      <c r="C53" s="788"/>
      <c r="D53" s="789"/>
      <c r="E53" s="790"/>
      <c r="F53" s="790"/>
      <c r="G53" s="790"/>
      <c r="H53" s="790"/>
      <c r="I53" s="790"/>
      <c r="J53" s="790"/>
      <c r="K53" s="790"/>
      <c r="L53" s="790"/>
      <c r="M53" s="790"/>
      <c r="N53" s="790"/>
      <c r="O53" s="790"/>
      <c r="P53" s="790"/>
      <c r="Q53" s="790"/>
      <c r="R53" s="790"/>
      <c r="S53" s="790"/>
      <c r="T53" s="787"/>
    </row>
    <row r="54" spans="1:20" ht="15.75" thickBot="1" x14ac:dyDescent="0.3"/>
    <row r="55" spans="1:20" ht="45.75" thickBot="1" x14ac:dyDescent="0.3">
      <c r="C55" s="656" t="s">
        <v>614</v>
      </c>
      <c r="D55" s="791" t="s">
        <v>615</v>
      </c>
      <c r="E55" s="792" t="s">
        <v>616</v>
      </c>
      <c r="F55" s="793" t="s">
        <v>617</v>
      </c>
      <c r="G55" s="793" t="s">
        <v>618</v>
      </c>
      <c r="H55" s="794" t="s">
        <v>619</v>
      </c>
      <c r="I55" s="794" t="s">
        <v>620</v>
      </c>
      <c r="J55" s="793" t="s">
        <v>621</v>
      </c>
      <c r="K55" s="793" t="s">
        <v>622</v>
      </c>
      <c r="L55" s="794" t="s">
        <v>675</v>
      </c>
      <c r="M55" s="793" t="s">
        <v>676</v>
      </c>
      <c r="N55" s="795" t="s">
        <v>625</v>
      </c>
      <c r="O55" s="794" t="s">
        <v>626</v>
      </c>
      <c r="P55" s="796" t="s">
        <v>627</v>
      </c>
    </row>
    <row r="56" spans="1:20" x14ac:dyDescent="0.25">
      <c r="C56" s="669" t="s">
        <v>635</v>
      </c>
      <c r="D56" s="797">
        <v>0.05</v>
      </c>
      <c r="E56" s="798">
        <f>E7/(1+J48)</f>
        <v>1.5</v>
      </c>
      <c r="F56" s="798">
        <v>0.3</v>
      </c>
      <c r="G56" s="798">
        <f>1-F56</f>
        <v>0.7</v>
      </c>
      <c r="H56" s="798">
        <f>H7*(1+J48)</f>
        <v>100000</v>
      </c>
      <c r="I56" s="798">
        <f>I7*(1+R48)</f>
        <v>3840</v>
      </c>
      <c r="J56" s="798">
        <v>2</v>
      </c>
      <c r="K56" s="798">
        <v>4</v>
      </c>
      <c r="L56" s="798">
        <f>L7*(1+F48)</f>
        <v>5.7599999999999998E-2</v>
      </c>
      <c r="M56" s="798">
        <f t="shared" ref="M56:N60" si="5">M7</f>
        <v>9.64</v>
      </c>
      <c r="N56" s="798">
        <f t="shared" si="5"/>
        <v>33167</v>
      </c>
      <c r="O56" s="798">
        <f>O7*(1+E48)</f>
        <v>204000</v>
      </c>
      <c r="P56" s="799">
        <f>P7/O7*O56</f>
        <v>39000</v>
      </c>
    </row>
    <row r="57" spans="1:20" x14ac:dyDescent="0.25">
      <c r="C57" s="682" t="s">
        <v>636</v>
      </c>
      <c r="D57" s="800">
        <v>0.05</v>
      </c>
      <c r="E57" s="686">
        <f>E8/(1+J49)</f>
        <v>4</v>
      </c>
      <c r="F57" s="686">
        <v>0.3</v>
      </c>
      <c r="G57" s="686">
        <f>1-F57</f>
        <v>0.7</v>
      </c>
      <c r="H57" s="674">
        <f>H8*(1+J49)</f>
        <v>90000</v>
      </c>
      <c r="I57" s="674">
        <f>I8*(1+R49)</f>
        <v>4000</v>
      </c>
      <c r="J57" s="686">
        <v>2</v>
      </c>
      <c r="K57" s="686">
        <v>6</v>
      </c>
      <c r="L57" s="686">
        <f>L8*(1+F49)</f>
        <v>0.13120000000000001</v>
      </c>
      <c r="M57" s="674">
        <f t="shared" si="5"/>
        <v>9.64</v>
      </c>
      <c r="N57" s="686">
        <f t="shared" si="5"/>
        <v>58095</v>
      </c>
      <c r="O57" s="674">
        <f>O8*(1+E49)</f>
        <v>722250</v>
      </c>
      <c r="P57" s="675">
        <f>P8/O8*O57</f>
        <v>70500</v>
      </c>
    </row>
    <row r="58" spans="1:20" x14ac:dyDescent="0.25">
      <c r="C58" s="682" t="s">
        <v>637</v>
      </c>
      <c r="D58" s="800">
        <v>0.05</v>
      </c>
      <c r="E58" s="686">
        <f>E9/(1+J50)</f>
        <v>4</v>
      </c>
      <c r="F58" s="686">
        <v>0.3</v>
      </c>
      <c r="G58" s="686">
        <f>1-F58</f>
        <v>0.7</v>
      </c>
      <c r="H58" s="674">
        <f>H9*(1+J50)</f>
        <v>120000</v>
      </c>
      <c r="I58" s="674">
        <f>I9*(1+R50)</f>
        <v>4000</v>
      </c>
      <c r="J58" s="686">
        <v>3</v>
      </c>
      <c r="K58" s="686">
        <v>10</v>
      </c>
      <c r="L58" s="686">
        <f>L9*(1+F50)</f>
        <v>0.17760000000000001</v>
      </c>
      <c r="M58" s="674">
        <f t="shared" si="5"/>
        <v>9.64</v>
      </c>
      <c r="N58" s="686">
        <f t="shared" si="5"/>
        <v>72906</v>
      </c>
      <c r="O58" s="674">
        <f>O9*(1+E50)</f>
        <v>1156500</v>
      </c>
      <c r="P58" s="675">
        <f>P9/O9*O58</f>
        <v>93750</v>
      </c>
    </row>
    <row r="59" spans="1:20" x14ac:dyDescent="0.25">
      <c r="C59" s="682" t="s">
        <v>638</v>
      </c>
      <c r="D59" s="800">
        <v>0.05</v>
      </c>
      <c r="E59" s="686">
        <f>E10/(1+J51)</f>
        <v>3.5</v>
      </c>
      <c r="F59" s="686">
        <v>0.3</v>
      </c>
      <c r="G59" s="686">
        <f>1-F59</f>
        <v>0.7</v>
      </c>
      <c r="H59" s="674">
        <f>H10*(1+J51)</f>
        <v>250000</v>
      </c>
      <c r="I59" s="674">
        <f>I10*(1+R51)</f>
        <v>7000</v>
      </c>
      <c r="J59" s="686">
        <v>7</v>
      </c>
      <c r="K59" s="686">
        <v>18</v>
      </c>
      <c r="L59" s="686">
        <f>L10*(1+F51)</f>
        <v>0.21680000000000002</v>
      </c>
      <c r="M59" s="674">
        <f t="shared" si="5"/>
        <v>9.64</v>
      </c>
      <c r="N59" s="686">
        <f t="shared" si="5"/>
        <v>109046</v>
      </c>
      <c r="O59" s="674">
        <f>O10*(1+E51)</f>
        <v>1838250</v>
      </c>
      <c r="P59" s="675">
        <f>P10/O10*O59</f>
        <v>164250</v>
      </c>
    </row>
    <row r="60" spans="1:20" ht="13.9" customHeight="1" thickBot="1" x14ac:dyDescent="0.3">
      <c r="C60" s="694" t="s">
        <v>639</v>
      </c>
      <c r="D60" s="801">
        <v>0.05</v>
      </c>
      <c r="E60" s="699">
        <f>E11/(1+J52)</f>
        <v>3.5</v>
      </c>
      <c r="F60" s="699">
        <v>0.3</v>
      </c>
      <c r="G60" s="699">
        <f>1-F60</f>
        <v>0.7</v>
      </c>
      <c r="H60" s="698">
        <f>H11*(1+J52)</f>
        <v>250000</v>
      </c>
      <c r="I60" s="698">
        <f>I11*(1+R52)</f>
        <v>7000</v>
      </c>
      <c r="J60" s="699">
        <v>7</v>
      </c>
      <c r="K60" s="699">
        <v>26</v>
      </c>
      <c r="L60" s="699">
        <f>L11*(1+F52)</f>
        <v>0.28160000000000002</v>
      </c>
      <c r="M60" s="698">
        <f t="shared" si="5"/>
        <v>9.64</v>
      </c>
      <c r="N60" s="699">
        <f t="shared" si="5"/>
        <v>112696</v>
      </c>
      <c r="O60" s="698">
        <f>O11*(1+E52)</f>
        <v>2011500</v>
      </c>
      <c r="P60" s="802">
        <f>P11/O11*O60</f>
        <v>180000</v>
      </c>
    </row>
    <row r="61" spans="1:20" ht="13.9" customHeight="1" thickBot="1" x14ac:dyDescent="0.3"/>
    <row r="62" spans="1:20" ht="13.9" customHeight="1" x14ac:dyDescent="0.25">
      <c r="C62" s="706" t="s">
        <v>640</v>
      </c>
      <c r="D62" s="707"/>
      <c r="E62" s="708"/>
      <c r="F62" s="708"/>
      <c r="G62" s="708"/>
      <c r="H62" s="708"/>
      <c r="I62" s="708"/>
      <c r="J62" s="709"/>
    </row>
    <row r="63" spans="1:20" ht="13.9" customHeight="1" thickBot="1" x14ac:dyDescent="0.3">
      <c r="C63" s="710" t="s">
        <v>641</v>
      </c>
      <c r="D63" s="615" t="s">
        <v>642</v>
      </c>
      <c r="E63" s="803" t="s">
        <v>643</v>
      </c>
      <c r="F63" s="803" t="s">
        <v>644</v>
      </c>
      <c r="G63" s="804" t="s">
        <v>645</v>
      </c>
      <c r="H63" s="803" t="s">
        <v>646</v>
      </c>
      <c r="I63" s="803" t="s">
        <v>647</v>
      </c>
      <c r="J63" s="805" t="s">
        <v>648</v>
      </c>
    </row>
    <row r="64" spans="1:20" ht="13.9" customHeight="1" x14ac:dyDescent="0.25">
      <c r="C64" s="806" t="s">
        <v>635</v>
      </c>
      <c r="D64" s="807">
        <f>[3]Database_obsolete!L6/([3]Database_obsolete!L6+[3]Database_obsolete!M6)*N56*(1+O48)</f>
        <v>9948.1103779244149</v>
      </c>
      <c r="E64" s="808">
        <f>[3]Database_obsolete!M6/([3]Database_obsolete!L6+[3]Database_obsolete!M6)*N56*(1+P48)</f>
        <v>16585.489622075584</v>
      </c>
      <c r="F64" s="808">
        <f>(O56-P56)/E56</f>
        <v>110000</v>
      </c>
      <c r="G64" s="808">
        <f>F64*F56</f>
        <v>33000</v>
      </c>
      <c r="H64" s="808">
        <f>O56*D56/2</f>
        <v>5100</v>
      </c>
      <c r="I64" s="808">
        <f>I15*(1+N48)</f>
        <v>3651</v>
      </c>
      <c r="J64" s="809">
        <f>D64+E64+G64+H64+I64</f>
        <v>68284.600000000006</v>
      </c>
    </row>
    <row r="65" spans="2:29" ht="13.9" customHeight="1" x14ac:dyDescent="0.25">
      <c r="C65" s="810" t="s">
        <v>636</v>
      </c>
      <c r="D65" s="811">
        <f>[3]Database_obsolete!L7/([3]Database_obsolete!L7+[3]Database_obsolete!M7)*N57*(1+O49)</f>
        <v>29451.137717121586</v>
      </c>
      <c r="E65" s="723">
        <f>[3]Database_obsolete!M7/([3]Database_obsolete!L7+[3]Database_obsolete!M7)*N57*(1+P49)</f>
        <v>17024.86228287841</v>
      </c>
      <c r="F65" s="723">
        <f>(O57-P57)/E57</f>
        <v>162937.5</v>
      </c>
      <c r="G65" s="723">
        <f>F65*F57</f>
        <v>48881.25</v>
      </c>
      <c r="H65" s="723">
        <f>O57*D57/2</f>
        <v>18056.25</v>
      </c>
      <c r="I65" s="723">
        <f>I16*(1+N49)</f>
        <v>10553</v>
      </c>
      <c r="J65" s="724">
        <f>D65+E65+G65+H65+I65</f>
        <v>123966.5</v>
      </c>
    </row>
    <row r="66" spans="2:29" ht="13.9" customHeight="1" x14ac:dyDescent="0.25">
      <c r="C66" s="810" t="s">
        <v>637</v>
      </c>
      <c r="D66" s="811">
        <f>[3]Database_obsolete!L8/([3]Database_obsolete!L8+[3]Database_obsolete!M8)*N58*(1+O50)</f>
        <v>32670.7225167492</v>
      </c>
      <c r="E66" s="723">
        <f>[3]Database_obsolete!M8/([3]Database_obsolete!L8+[3]Database_obsolete!M8)*N58*(1+P50)</f>
        <v>25654.077483250803</v>
      </c>
      <c r="F66" s="723">
        <f>(O58-P58)/E58</f>
        <v>265687.5</v>
      </c>
      <c r="G66" s="723">
        <f>F66*F58</f>
        <v>79706.25</v>
      </c>
      <c r="H66" s="723">
        <f>O58*D58/2</f>
        <v>28912.5</v>
      </c>
      <c r="I66" s="723">
        <f>I17*(1+N50)</f>
        <v>12898</v>
      </c>
      <c r="J66" s="724">
        <f>D66+E66+G66+H66+I66</f>
        <v>179841.55</v>
      </c>
    </row>
    <row r="67" spans="2:29" ht="13.9" customHeight="1" x14ac:dyDescent="0.25">
      <c r="C67" s="810" t="s">
        <v>638</v>
      </c>
      <c r="D67" s="811">
        <f>[3]Database_obsolete!L9/([3]Database_obsolete!L9+[3]Database_obsolete!M9)*N59*(1+O51)</f>
        <v>50291.249964912276</v>
      </c>
      <c r="E67" s="723">
        <f>[3]Database_obsolete!M9/([3]Database_obsolete!L9+[3]Database_obsolete!M9)*N59*(1+P51)</f>
        <v>36945.550035087719</v>
      </c>
      <c r="F67" s="723">
        <f>(O59-P59)/E59</f>
        <v>478285.71428571426</v>
      </c>
      <c r="G67" s="723">
        <f>F67*F59</f>
        <v>143485.71428571426</v>
      </c>
      <c r="H67" s="723">
        <f>O59*D59/2</f>
        <v>45956.25</v>
      </c>
      <c r="I67" s="723">
        <f>I18*(1+N51)</f>
        <v>27818</v>
      </c>
      <c r="J67" s="724">
        <f>D67+E67+G67+H67+I67</f>
        <v>304496.76428571425</v>
      </c>
    </row>
    <row r="68" spans="2:29" ht="13.9" customHeight="1" thickBot="1" x14ac:dyDescent="0.3">
      <c r="C68" s="812" t="s">
        <v>639</v>
      </c>
      <c r="D68" s="813">
        <f>[3]Database_obsolete!L10/([3]Database_obsolete!L10+[3]Database_obsolete!M10)*N60*(1+O52)</f>
        <v>53116.331603459752</v>
      </c>
      <c r="E68" s="729">
        <f>[3]Database_obsolete!M10/([3]Database_obsolete!L10+[3]Database_obsolete!M10)*N60*(1+P52)</f>
        <v>37040.468396540251</v>
      </c>
      <c r="F68" s="729">
        <f>(O60-P60)/E60</f>
        <v>523285.71428571426</v>
      </c>
      <c r="G68" s="729">
        <f>F68*F60</f>
        <v>156985.71428571426</v>
      </c>
      <c r="H68" s="729">
        <f>O60*D60/2</f>
        <v>50287.5</v>
      </c>
      <c r="I68" s="729">
        <f>I19*(1+N52)</f>
        <v>27818</v>
      </c>
      <c r="J68" s="731">
        <f>D68+E68+G68+H68+I68</f>
        <v>325248.01428571425</v>
      </c>
    </row>
    <row r="69" spans="2:29" ht="13.9" customHeight="1" x14ac:dyDescent="0.25"/>
    <row r="70" spans="2:29" x14ac:dyDescent="0.25">
      <c r="D70" s="814"/>
      <c r="E70" s="814"/>
      <c r="F70" s="814"/>
      <c r="G70" s="814"/>
      <c r="H70" s="814"/>
      <c r="I70" s="814"/>
      <c r="J70" s="814"/>
      <c r="K70" s="814"/>
      <c r="L70" s="814"/>
      <c r="M70" s="814"/>
      <c r="N70" s="814"/>
      <c r="O70" s="814"/>
      <c r="P70" s="814"/>
      <c r="Q70" s="814"/>
    </row>
    <row r="71" spans="2:29" ht="15.75" thickBot="1" x14ac:dyDescent="0.3">
      <c r="B71" s="815" t="s">
        <v>649</v>
      </c>
      <c r="C71" s="816"/>
      <c r="D71" s="817"/>
      <c r="E71" s="817"/>
      <c r="F71" s="817"/>
      <c r="G71" s="817"/>
      <c r="H71" s="817"/>
      <c r="I71" s="817"/>
      <c r="J71" s="817"/>
      <c r="K71" s="817"/>
      <c r="L71" s="817"/>
      <c r="M71" s="817"/>
      <c r="N71" s="817"/>
      <c r="O71" s="817"/>
      <c r="P71" s="817"/>
      <c r="Q71" s="817"/>
      <c r="R71" s="818"/>
    </row>
    <row r="72" spans="2:29" ht="15.75" thickBot="1" x14ac:dyDescent="0.3">
      <c r="B72" s="819"/>
      <c r="C72" s="820" t="s">
        <v>677</v>
      </c>
      <c r="D72" s="821" t="s">
        <v>678</v>
      </c>
      <c r="E72" s="822"/>
      <c r="F72" s="822"/>
      <c r="G72" s="822"/>
      <c r="H72" s="823"/>
      <c r="I72" s="821" t="s">
        <v>679</v>
      </c>
      <c r="J72" s="822"/>
      <c r="K72" s="822"/>
      <c r="L72" s="822"/>
      <c r="M72" s="822"/>
      <c r="N72" s="822"/>
      <c r="O72" s="822"/>
      <c r="P72" s="823"/>
      <c r="Q72" s="823"/>
      <c r="R72" s="735" t="s">
        <v>781</v>
      </c>
      <c r="S72" s="735"/>
      <c r="T72" s="735"/>
      <c r="U72" s="735"/>
      <c r="V72" s="735"/>
      <c r="W72" s="735"/>
      <c r="X72" s="735"/>
      <c r="Y72" s="735"/>
      <c r="Z72" s="736"/>
    </row>
    <row r="73" spans="2:29" ht="15.75" thickBot="1" x14ac:dyDescent="0.3">
      <c r="B73" s="819"/>
      <c r="C73" s="774" t="s">
        <v>641</v>
      </c>
      <c r="D73" s="824" t="s">
        <v>680</v>
      </c>
      <c r="E73" s="825" t="s">
        <v>681</v>
      </c>
      <c r="F73" s="825" t="s">
        <v>682</v>
      </c>
      <c r="G73" s="826" t="s">
        <v>683</v>
      </c>
      <c r="H73" s="827" t="s">
        <v>684</v>
      </c>
      <c r="I73" s="828" t="s">
        <v>685</v>
      </c>
      <c r="J73" s="829" t="s">
        <v>686</v>
      </c>
      <c r="K73" s="829" t="s">
        <v>683</v>
      </c>
      <c r="L73" s="829" t="s">
        <v>647</v>
      </c>
      <c r="M73" s="829" t="s">
        <v>642</v>
      </c>
      <c r="N73" s="829" t="s">
        <v>643</v>
      </c>
      <c r="O73" s="830" t="s">
        <v>687</v>
      </c>
      <c r="P73" s="830"/>
      <c r="Q73" s="831" t="s">
        <v>688</v>
      </c>
      <c r="R73" s="738" t="s">
        <v>685</v>
      </c>
      <c r="S73" s="738" t="s">
        <v>686</v>
      </c>
      <c r="T73" s="738" t="s">
        <v>683</v>
      </c>
      <c r="U73" s="738" t="s">
        <v>647</v>
      </c>
      <c r="V73" s="738" t="s">
        <v>642</v>
      </c>
      <c r="W73" s="738" t="s">
        <v>643</v>
      </c>
      <c r="X73" s="738"/>
      <c r="Y73" s="738"/>
      <c r="Z73" s="738" t="s">
        <v>688</v>
      </c>
      <c r="AA73" s="1028" t="s">
        <v>782</v>
      </c>
      <c r="AB73" s="1028" t="s">
        <v>783</v>
      </c>
      <c r="AC73" s="1028" t="s">
        <v>784</v>
      </c>
    </row>
    <row r="74" spans="2:29" ht="15.75" thickBot="1" x14ac:dyDescent="0.3">
      <c r="B74" s="819"/>
      <c r="C74" s="832" t="s">
        <v>689</v>
      </c>
      <c r="D74" s="833">
        <f>L56*M56</f>
        <v>0.55526399999999998</v>
      </c>
      <c r="E74" s="834">
        <f t="shared" ref="E74:F78" si="6">E24*(1+G48)</f>
        <v>0.2475</v>
      </c>
      <c r="F74" s="834">
        <f t="shared" si="6"/>
        <v>0.51</v>
      </c>
      <c r="G74" s="834">
        <f>F64*G56/H56</f>
        <v>0.77</v>
      </c>
      <c r="H74" s="835">
        <f>SUM(D74:G74)</f>
        <v>2.0827640000000001</v>
      </c>
      <c r="I74" s="836">
        <f>I24*(1+K48)</f>
        <v>0</v>
      </c>
      <c r="J74" s="837">
        <f>H64/I56</f>
        <v>1.328125</v>
      </c>
      <c r="K74" s="837">
        <f>F64*F56/I56</f>
        <v>8.59375</v>
      </c>
      <c r="L74" s="837">
        <f>I64/I56</f>
        <v>0.95078125000000002</v>
      </c>
      <c r="M74" s="837">
        <f>D64/I56</f>
        <v>2.5906537442511497</v>
      </c>
      <c r="N74" s="837">
        <f>E64/I56</f>
        <v>4.3191379224155169</v>
      </c>
      <c r="O74" s="837">
        <f>I24*S48*T48</f>
        <v>12.700000000000001</v>
      </c>
      <c r="P74" s="838"/>
      <c r="Q74" s="839">
        <f>SUM(I74:O74)</f>
        <v>30.482447916666665</v>
      </c>
      <c r="R74" s="748" t="e">
        <f>I74/'AVs - antaganden'!#REF!</f>
        <v>#REF!</v>
      </c>
      <c r="S74" s="748" t="e">
        <f>J74/'AVs - antaganden'!#REF!</f>
        <v>#REF!</v>
      </c>
      <c r="T74" s="748" t="e">
        <f>K74/'AVs - antaganden'!#REF!</f>
        <v>#REF!</v>
      </c>
      <c r="U74" s="748" t="e">
        <f>L74/'AVs - antaganden'!#REF!</f>
        <v>#REF!</v>
      </c>
      <c r="V74" s="748" t="e">
        <f>M74/'AVs - antaganden'!#REF!</f>
        <v>#REF!</v>
      </c>
      <c r="W74" s="748" t="e">
        <f>N74/'AVs - antaganden'!#REF!</f>
        <v>#REF!</v>
      </c>
      <c r="X74" s="748" t="e">
        <f>O74/'AVs - antaganden'!#REF!</f>
        <v>#REF!</v>
      </c>
      <c r="Y74" s="748" t="e">
        <f>P74/'AVs - antaganden'!#REF!</f>
        <v>#REF!</v>
      </c>
      <c r="Z74" s="748" t="e">
        <f>Q74/'AVs - antaganden'!#REF!</f>
        <v>#REF!</v>
      </c>
      <c r="AA74" s="765" t="e">
        <f>H74+Z74</f>
        <v>#REF!</v>
      </c>
      <c r="AB74" s="765" t="e">
        <f>AA74*10</f>
        <v>#REF!</v>
      </c>
      <c r="AC74" s="1029" t="e">
        <f>(AB74-AB33)/AB33</f>
        <v>#REF!</v>
      </c>
    </row>
    <row r="75" spans="2:29" ht="15.75" thickBot="1" x14ac:dyDescent="0.3">
      <c r="B75" s="819"/>
      <c r="C75" s="840" t="s">
        <v>690</v>
      </c>
      <c r="D75" s="841">
        <f>L57*M57</f>
        <v>1.2647680000000001</v>
      </c>
      <c r="E75" s="842">
        <f t="shared" si="6"/>
        <v>0.79500000000000004</v>
      </c>
      <c r="F75" s="842">
        <f t="shared" si="6"/>
        <v>0.32</v>
      </c>
      <c r="G75" s="842">
        <f>F65*G57/H57</f>
        <v>1.2672916666666667</v>
      </c>
      <c r="H75" s="843">
        <f>SUM(D75:G75)</f>
        <v>3.6470596666666664</v>
      </c>
      <c r="I75" s="844">
        <f>I25*(1+K49)</f>
        <v>0</v>
      </c>
      <c r="J75" s="845">
        <f>H65/I57</f>
        <v>4.5140624999999996</v>
      </c>
      <c r="K75" s="845">
        <f>F65*F57/I57</f>
        <v>12.2203125</v>
      </c>
      <c r="L75" s="845">
        <f>I65/I57</f>
        <v>2.6382500000000002</v>
      </c>
      <c r="M75" s="845">
        <f>D65/I57</f>
        <v>7.3627844292803966</v>
      </c>
      <c r="N75" s="845">
        <f>E65/I57</f>
        <v>4.2562155707196023</v>
      </c>
      <c r="O75" s="845">
        <f>I25*S49*T49</f>
        <v>12.700000000000001</v>
      </c>
      <c r="P75" s="846"/>
      <c r="Q75" s="847">
        <f>SUM(I75:O75)</f>
        <v>43.691625000000002</v>
      </c>
      <c r="R75" s="748">
        <f>I75/'AVs - antaganden'!$E11</f>
        <v>0</v>
      </c>
      <c r="S75" s="748">
        <f>J75/'AVs - antaganden'!$E11</f>
        <v>0.200625</v>
      </c>
      <c r="T75" s="748">
        <f>K75/'AVs - antaganden'!$E11</f>
        <v>0.54312499999999997</v>
      </c>
      <c r="U75" s="748">
        <f>L75/'AVs - antaganden'!$E11</f>
        <v>0.11725555555555557</v>
      </c>
      <c r="V75" s="748">
        <f>M75/'AVs - antaganden'!$E11</f>
        <v>0.32723486352357317</v>
      </c>
      <c r="W75" s="748">
        <f>N75/'AVs - antaganden'!$E11</f>
        <v>0.18916513647642677</v>
      </c>
      <c r="X75" s="748">
        <f>O75/'AVs - antaganden'!$E11</f>
        <v>0.56444444444444453</v>
      </c>
      <c r="Y75" s="748">
        <f>P75/'AVs - antaganden'!$E11</f>
        <v>0</v>
      </c>
      <c r="Z75" s="748">
        <f>Q75/'AVs - antaganden'!$E11</f>
        <v>1.9418500000000001</v>
      </c>
      <c r="AA75" s="765">
        <f t="shared" ref="AA75:AA78" si="7">H75+Z75</f>
        <v>5.588909666666666</v>
      </c>
      <c r="AB75" s="765">
        <f t="shared" ref="AB75:AB78" si="8">AA75*10</f>
        <v>55.88909666666666</v>
      </c>
      <c r="AC75" s="1029">
        <f t="shared" ref="AC75:AC78" si="9">(AB75-AB34)/AB34</f>
        <v>-0.70234109926266086</v>
      </c>
    </row>
    <row r="76" spans="2:29" ht="15.75" thickBot="1" x14ac:dyDescent="0.3">
      <c r="B76" s="819"/>
      <c r="C76" s="840" t="s">
        <v>691</v>
      </c>
      <c r="D76" s="841">
        <f>L58*M58</f>
        <v>1.7120640000000003</v>
      </c>
      <c r="E76" s="842">
        <f t="shared" si="6"/>
        <v>0.94500000000000006</v>
      </c>
      <c r="F76" s="842">
        <f t="shared" si="6"/>
        <v>0.64</v>
      </c>
      <c r="G76" s="842">
        <f>F66*G58/H58</f>
        <v>1.54984375</v>
      </c>
      <c r="H76" s="843">
        <f>SUM(D76:G76)</f>
        <v>4.8469077499999997</v>
      </c>
      <c r="I76" s="844">
        <f>I26*(1+K50)</f>
        <v>0</v>
      </c>
      <c r="J76" s="845">
        <f>H66/I58</f>
        <v>7.2281250000000004</v>
      </c>
      <c r="K76" s="845">
        <f>F66*F58/I58</f>
        <v>19.926562499999999</v>
      </c>
      <c r="L76" s="845">
        <f>I66/I58</f>
        <v>3.2244999999999999</v>
      </c>
      <c r="M76" s="845">
        <f>D66/I58</f>
        <v>8.1676806291873003</v>
      </c>
      <c r="N76" s="845">
        <f>E66/I58</f>
        <v>6.4135193708127005</v>
      </c>
      <c r="O76" s="845">
        <f>I26*S50*T50</f>
        <v>12.25</v>
      </c>
      <c r="P76" s="846"/>
      <c r="Q76" s="847">
        <f>SUM(I76:O76)</f>
        <v>57.210387500000003</v>
      </c>
      <c r="R76" s="748">
        <f>I76/'AVs - antaganden'!$E12</f>
        <v>0</v>
      </c>
      <c r="S76" s="748">
        <f>J76/'AVs - antaganden'!$E12</f>
        <v>0.2409375</v>
      </c>
      <c r="T76" s="748">
        <f>K76/'AVs - antaganden'!$E12</f>
        <v>0.66421874999999997</v>
      </c>
      <c r="U76" s="748">
        <f>L76/'AVs - antaganden'!$E12</f>
        <v>0.10748333333333333</v>
      </c>
      <c r="V76" s="748">
        <f>M76/'AVs - antaganden'!$E12</f>
        <v>0.27225602097291002</v>
      </c>
      <c r="W76" s="748">
        <f>N76/'AVs - antaganden'!$E12</f>
        <v>0.21378397902709001</v>
      </c>
      <c r="X76" s="748">
        <f>O76/'AVs - antaganden'!$E12</f>
        <v>0.40833333333333333</v>
      </c>
      <c r="Y76" s="748">
        <f>P76/'AVs - antaganden'!$E12</f>
        <v>0</v>
      </c>
      <c r="Z76" s="748">
        <f>Q76/'AVs - antaganden'!$E12</f>
        <v>1.9070129166666667</v>
      </c>
      <c r="AA76" s="765">
        <f t="shared" si="7"/>
        <v>6.7539206666666667</v>
      </c>
      <c r="AB76" s="765">
        <f t="shared" si="8"/>
        <v>67.539206666666672</v>
      </c>
      <c r="AC76" s="1029">
        <f t="shared" si="9"/>
        <v>-0.60931390999190138</v>
      </c>
    </row>
    <row r="77" spans="2:29" ht="15.75" thickBot="1" x14ac:dyDescent="0.3">
      <c r="B77" s="819"/>
      <c r="C77" s="840" t="s">
        <v>692</v>
      </c>
      <c r="D77" s="841">
        <f>L59*M59</f>
        <v>2.0899520000000003</v>
      </c>
      <c r="E77" s="842">
        <f t="shared" si="6"/>
        <v>0.89249999999999996</v>
      </c>
      <c r="F77" s="842">
        <f t="shared" si="6"/>
        <v>0.94</v>
      </c>
      <c r="G77" s="842">
        <f>F67*G59/H59</f>
        <v>1.3391999999999997</v>
      </c>
      <c r="H77" s="843">
        <f>SUM(D77:G77)</f>
        <v>5.2616519999999998</v>
      </c>
      <c r="I77" s="844">
        <f>I27*(1+K51)</f>
        <v>0</v>
      </c>
      <c r="J77" s="845">
        <f>H67/I59</f>
        <v>6.5651785714285715</v>
      </c>
      <c r="K77" s="845">
        <f>F67*F59/I59</f>
        <v>20.497959183673466</v>
      </c>
      <c r="L77" s="845">
        <f>I67/I59</f>
        <v>3.9740000000000002</v>
      </c>
      <c r="M77" s="845">
        <f>D67/I59</f>
        <v>7.1844642807017536</v>
      </c>
      <c r="N77" s="845">
        <f>E67/I59</f>
        <v>5.2779357192982452</v>
      </c>
      <c r="O77" s="845">
        <f>I27*S51*T51</f>
        <v>12.25</v>
      </c>
      <c r="P77" s="846"/>
      <c r="Q77" s="847">
        <f>SUM(I77:O77)</f>
        <v>55.74953775510204</v>
      </c>
      <c r="R77" s="748">
        <f>I77/'AVs - antaganden'!$E13</f>
        <v>0</v>
      </c>
      <c r="S77" s="748">
        <f>J77/'AVs - antaganden'!$E13</f>
        <v>0.18382499999999999</v>
      </c>
      <c r="T77" s="748">
        <f>K77/'AVs - antaganden'!$E13</f>
        <v>0.57394285714285698</v>
      </c>
      <c r="U77" s="748">
        <f>L77/'AVs - antaganden'!$E13</f>
        <v>0.111272</v>
      </c>
      <c r="V77" s="748">
        <f>M77/'AVs - antaganden'!$E13</f>
        <v>0.20116499985964909</v>
      </c>
      <c r="W77" s="748">
        <f>N77/'AVs - antaganden'!$E13</f>
        <v>0.14778220014035087</v>
      </c>
      <c r="X77" s="748">
        <f>O77/'AVs - antaganden'!$E13</f>
        <v>0.34299999999999997</v>
      </c>
      <c r="Y77" s="748">
        <f>P77/'AVs - antaganden'!$E13</f>
        <v>0</v>
      </c>
      <c r="Z77" s="748">
        <f>Q77/'AVs - antaganden'!$E13</f>
        <v>1.560987057142857</v>
      </c>
      <c r="AA77" s="765">
        <f t="shared" si="7"/>
        <v>6.8226390571428563</v>
      </c>
      <c r="AB77" s="765">
        <f t="shared" si="8"/>
        <v>68.226390571428567</v>
      </c>
      <c r="AC77" s="1029">
        <f t="shared" si="9"/>
        <v>-0.56767493168413941</v>
      </c>
    </row>
    <row r="78" spans="2:29" ht="15.75" thickBot="1" x14ac:dyDescent="0.3">
      <c r="B78" s="819"/>
      <c r="C78" s="848" t="s">
        <v>693</v>
      </c>
      <c r="D78" s="849">
        <f>L60*M60</f>
        <v>2.7146240000000001</v>
      </c>
      <c r="E78" s="850">
        <f t="shared" si="6"/>
        <v>0.78</v>
      </c>
      <c r="F78" s="850">
        <f t="shared" si="6"/>
        <v>1.18</v>
      </c>
      <c r="G78" s="850">
        <f>F68*G60/H60</f>
        <v>1.4651999999999998</v>
      </c>
      <c r="H78" s="851">
        <f>SUM(D78:G78)</f>
        <v>6.1398239999999991</v>
      </c>
      <c r="I78" s="852">
        <f>I28*(1+K52)</f>
        <v>0</v>
      </c>
      <c r="J78" s="853">
        <f>H68/I60</f>
        <v>7.183928571428571</v>
      </c>
      <c r="K78" s="853">
        <f>F68*F60/I60</f>
        <v>22.426530612244893</v>
      </c>
      <c r="L78" s="853">
        <f>I68/I60</f>
        <v>3.9740000000000002</v>
      </c>
      <c r="M78" s="853">
        <f>D68/I60</f>
        <v>7.5880473719228219</v>
      </c>
      <c r="N78" s="853">
        <f>E68/I60</f>
        <v>5.291495485220036</v>
      </c>
      <c r="O78" s="853">
        <f>I28*S52*T52</f>
        <v>12.700000000000001</v>
      </c>
      <c r="P78" s="854"/>
      <c r="Q78" s="855">
        <f>SUM(I78:O78)</f>
        <v>59.164002040816314</v>
      </c>
      <c r="R78" s="748">
        <f>I78/'AVs - antaganden'!$E14</f>
        <v>0</v>
      </c>
      <c r="S78" s="748">
        <f>J78/'AVs - antaganden'!$E14</f>
        <v>0.20115</v>
      </c>
      <c r="T78" s="748">
        <f>K78/'AVs - antaganden'!$E14</f>
        <v>0.62794285714285702</v>
      </c>
      <c r="U78" s="748">
        <f>L78/'AVs - antaganden'!$E14</f>
        <v>0.111272</v>
      </c>
      <c r="V78" s="748">
        <f>M78/'AVs - antaganden'!$E14</f>
        <v>0.212465326413839</v>
      </c>
      <c r="W78" s="748">
        <f>N78/'AVs - antaganden'!$E14</f>
        <v>0.14816187358616101</v>
      </c>
      <c r="X78" s="748">
        <f>O78/'AVs - antaganden'!$E14</f>
        <v>0.35560000000000003</v>
      </c>
      <c r="Y78" s="748">
        <f>P78/'AVs - antaganden'!$E14</f>
        <v>0</v>
      </c>
      <c r="Z78" s="748">
        <f>Q78/'AVs - antaganden'!$E14</f>
        <v>1.6565920571428567</v>
      </c>
      <c r="AA78" s="765">
        <f t="shared" si="7"/>
        <v>7.7964160571428556</v>
      </c>
      <c r="AB78" s="765">
        <f t="shared" si="8"/>
        <v>77.96416057142855</v>
      </c>
      <c r="AC78" s="1029">
        <f t="shared" si="9"/>
        <v>-0.54719500059252391</v>
      </c>
    </row>
    <row r="79" spans="2:29" x14ac:dyDescent="0.25">
      <c r="B79" s="856"/>
      <c r="C79" s="857"/>
      <c r="D79" s="858"/>
      <c r="E79" s="858"/>
      <c r="F79" s="858"/>
      <c r="G79" s="858"/>
      <c r="H79" s="858"/>
      <c r="I79" s="858"/>
      <c r="J79" s="858"/>
      <c r="K79" s="858"/>
      <c r="L79" s="858"/>
      <c r="M79" s="858"/>
      <c r="N79" s="858"/>
      <c r="O79" s="858"/>
      <c r="P79" s="858"/>
      <c r="Q79" s="858"/>
      <c r="R79" s="859"/>
    </row>
    <row r="81" spans="2:19" ht="15.75" thickBot="1" x14ac:dyDescent="0.3">
      <c r="B81" s="860" t="s">
        <v>653</v>
      </c>
      <c r="C81" s="861"/>
      <c r="D81" s="862"/>
      <c r="E81" s="862"/>
      <c r="F81" s="862"/>
      <c r="G81" s="862"/>
      <c r="H81" s="862"/>
      <c r="I81" s="862"/>
      <c r="J81" s="862"/>
      <c r="K81" s="862"/>
      <c r="L81" s="862"/>
      <c r="M81" s="862"/>
      <c r="N81" s="862"/>
      <c r="O81" s="862"/>
      <c r="P81" s="862"/>
      <c r="Q81" s="862"/>
      <c r="R81" s="863"/>
    </row>
    <row r="82" spans="2:19" ht="15.75" thickBot="1" x14ac:dyDescent="0.3">
      <c r="B82" s="864"/>
      <c r="C82" s="820" t="s">
        <v>677</v>
      </c>
      <c r="D82" s="821" t="s">
        <v>678</v>
      </c>
      <c r="E82" s="822"/>
      <c r="F82" s="822"/>
      <c r="G82" s="822"/>
      <c r="H82" s="823"/>
      <c r="I82" s="821" t="s">
        <v>679</v>
      </c>
      <c r="J82" s="822"/>
      <c r="K82" s="822"/>
      <c r="L82" s="822"/>
      <c r="M82" s="822"/>
      <c r="N82" s="822"/>
      <c r="O82" s="822"/>
      <c r="P82" s="823"/>
      <c r="Q82" s="823"/>
      <c r="R82" s="865"/>
    </row>
    <row r="83" spans="2:19" ht="15.75" thickBot="1" x14ac:dyDescent="0.3">
      <c r="B83" s="864"/>
      <c r="C83" s="774" t="s">
        <v>641</v>
      </c>
      <c r="D83" s="824" t="s">
        <v>680</v>
      </c>
      <c r="E83" s="825" t="s">
        <v>681</v>
      </c>
      <c r="F83" s="825" t="s">
        <v>682</v>
      </c>
      <c r="G83" s="826" t="s">
        <v>683</v>
      </c>
      <c r="H83" s="827" t="s">
        <v>684</v>
      </c>
      <c r="I83" s="828" t="s">
        <v>685</v>
      </c>
      <c r="J83" s="829" t="s">
        <v>686</v>
      </c>
      <c r="K83" s="829" t="s">
        <v>683</v>
      </c>
      <c r="L83" s="829" t="s">
        <v>647</v>
      </c>
      <c r="M83" s="829" t="s">
        <v>642</v>
      </c>
      <c r="N83" s="829" t="s">
        <v>643</v>
      </c>
      <c r="O83" s="830" t="s">
        <v>687</v>
      </c>
      <c r="P83" s="830"/>
      <c r="Q83" s="831" t="s">
        <v>688</v>
      </c>
      <c r="R83" s="866" t="s">
        <v>694</v>
      </c>
      <c r="S83" s="646"/>
    </row>
    <row r="84" spans="2:19" ht="15.75" thickBot="1" x14ac:dyDescent="0.3">
      <c r="B84" s="864"/>
      <c r="C84" s="832" t="s">
        <v>689</v>
      </c>
      <c r="D84" s="833">
        <f>D74*'[3]ASEK adjustment'!B29</f>
        <v>0.55999999999999994</v>
      </c>
      <c r="E84" s="834">
        <f>E74*'[3]ASEK adjustment'!C29</f>
        <v>0.2475</v>
      </c>
      <c r="F84" s="834">
        <f>F74*'[3]ASEK adjustment'!D29</f>
        <v>0.51</v>
      </c>
      <c r="G84" s="834">
        <f>G74*'[3]ASEK adjustment'!E29</f>
        <v>0.81</v>
      </c>
      <c r="H84" s="1023">
        <f>SUM(D84:G84)</f>
        <v>2.1274999999999999</v>
      </c>
      <c r="I84" s="836">
        <f>I74*'[3]ASEK adjustment'!G29</f>
        <v>0</v>
      </c>
      <c r="J84" s="837">
        <f>J74*'[3]ASEK adjustment'!H29</f>
        <v>1.6387500000000002</v>
      </c>
      <c r="K84" s="837">
        <f>K74*'[3]ASEK adjustment'!I29</f>
        <v>9.0450000000000017</v>
      </c>
      <c r="L84" s="837">
        <f>L74*'[3]ASEK adjustment'!J29</f>
        <v>0.95</v>
      </c>
      <c r="M84" s="837">
        <f>M74*'[3]ASEK adjustment'!K29</f>
        <v>2.58998200359928</v>
      </c>
      <c r="N84" s="837">
        <f>N74*'[3]ASEK adjustment'!L29</f>
        <v>4.3180179964007204</v>
      </c>
      <c r="O84" s="837">
        <f>O74</f>
        <v>12.700000000000001</v>
      </c>
      <c r="P84" s="837">
        <f>P74*'[3]ASEK adjustment'!N29</f>
        <v>0</v>
      </c>
      <c r="Q84" s="878">
        <f>SUM(I84:O84)</f>
        <v>31.241750000000003</v>
      </c>
      <c r="R84" s="1024">
        <f>Q84-O84</f>
        <v>18.54175</v>
      </c>
      <c r="S84" s="868"/>
    </row>
    <row r="85" spans="2:19" ht="15.75" thickBot="1" x14ac:dyDescent="0.3">
      <c r="B85" s="864"/>
      <c r="C85" s="840" t="s">
        <v>690</v>
      </c>
      <c r="D85" s="841">
        <f>D75*'[3]ASEK adjustment'!B30</f>
        <v>1.264</v>
      </c>
      <c r="E85" s="842">
        <f>E75*'[3]ASEK adjustment'!C30</f>
        <v>0.79500000000000004</v>
      </c>
      <c r="F85" s="842">
        <f>F75*'[3]ASEK adjustment'!D30</f>
        <v>0.32</v>
      </c>
      <c r="G85" s="842">
        <f>G75*'[3]ASEK adjustment'!E30</f>
        <v>1.2675000000000001</v>
      </c>
      <c r="H85" s="1025">
        <f>SUM(D85:G85)</f>
        <v>3.6465000000000001</v>
      </c>
      <c r="I85" s="844">
        <f>I75*'[3]ASEK adjustment'!G30</f>
        <v>0</v>
      </c>
      <c r="J85" s="845">
        <f>J75*'[3]ASEK adjustment'!H30</f>
        <v>4.9537500000000003</v>
      </c>
      <c r="K85" s="845">
        <f>K75*'[3]ASEK adjustment'!I30</f>
        <v>12.225000000000001</v>
      </c>
      <c r="L85" s="845">
        <f>L75*'[3]ASEK adjustment'!J30</f>
        <v>2.6400000000000006</v>
      </c>
      <c r="M85" s="845">
        <f>M75*'[3]ASEK adjustment'!K30</f>
        <v>7.3634181141439212</v>
      </c>
      <c r="N85" s="845">
        <f>N75*'[3]ASEK adjustment'!L30</f>
        <v>4.2565818858560798</v>
      </c>
      <c r="O85" s="845">
        <f t="shared" ref="O85:O88" si="10">O75</f>
        <v>12.700000000000001</v>
      </c>
      <c r="P85" s="845">
        <f>P75*'[3]ASEK adjustment'!N30</f>
        <v>0</v>
      </c>
      <c r="Q85" s="879">
        <f>SUM(I85:O85)</f>
        <v>44.138750000000002</v>
      </c>
      <c r="R85" s="1024">
        <f t="shared" ref="R85:R88" si="11">Q85-O85</f>
        <v>31.438749999999999</v>
      </c>
      <c r="S85" s="868"/>
    </row>
    <row r="86" spans="2:19" ht="15.75" thickBot="1" x14ac:dyDescent="0.3">
      <c r="B86" s="864"/>
      <c r="C86" s="840" t="s">
        <v>691</v>
      </c>
      <c r="D86" s="841">
        <f>D76*'[3]ASEK adjustment'!B31</f>
        <v>1.7120000000000002</v>
      </c>
      <c r="E86" s="842">
        <f>E76*'[3]ASEK adjustment'!C31</f>
        <v>0.94500000000000006</v>
      </c>
      <c r="F86" s="842">
        <f>F76*'[3]ASEK adjustment'!D31</f>
        <v>0.64</v>
      </c>
      <c r="G86" s="842">
        <f>G76*'[3]ASEK adjustment'!E31</f>
        <v>1.5524999999999998</v>
      </c>
      <c r="H86" s="1025">
        <f>SUM(D86:G86)</f>
        <v>4.8494999999999999</v>
      </c>
      <c r="I86" s="844">
        <f>I76*'[3]ASEK adjustment'!G31</f>
        <v>0</v>
      </c>
      <c r="J86" s="845">
        <f>J76*'[3]ASEK adjustment'!H31</f>
        <v>7.8150000000000013</v>
      </c>
      <c r="K86" s="845">
        <f>K76*'[3]ASEK adjustment'!I31</f>
        <v>19.934999999999999</v>
      </c>
      <c r="L86" s="845">
        <f>L76*'[3]ASEK adjustment'!J31</f>
        <v>3.2250000000000005</v>
      </c>
      <c r="M86" s="845">
        <f>M76*'[3]ASEK adjustment'!K31</f>
        <v>8.1670084474220808</v>
      </c>
      <c r="N86" s="845">
        <f>N76*'[3]ASEK adjustment'!L31</f>
        <v>6.4129915525779211</v>
      </c>
      <c r="O86" s="845">
        <f t="shared" si="10"/>
        <v>12.25</v>
      </c>
      <c r="P86" s="845">
        <f>P76*'[3]ASEK adjustment'!N31</f>
        <v>0</v>
      </c>
      <c r="Q86" s="879">
        <f>SUM(I86:O86)</f>
        <v>57.805000000000007</v>
      </c>
      <c r="R86" s="1024">
        <f t="shared" si="11"/>
        <v>45.555000000000007</v>
      </c>
      <c r="S86" s="868"/>
    </row>
    <row r="87" spans="2:19" ht="15.75" thickBot="1" x14ac:dyDescent="0.3">
      <c r="B87" s="864"/>
      <c r="C87" s="840" t="s">
        <v>692</v>
      </c>
      <c r="D87" s="841">
        <f>D77*'[3]ASEK adjustment'!B32</f>
        <v>2.0960000000000001</v>
      </c>
      <c r="E87" s="842">
        <f>E77*'[3]ASEK adjustment'!C32</f>
        <v>0.89249999999999996</v>
      </c>
      <c r="F87" s="842">
        <f>F77*'[3]ASEK adjustment'!D32</f>
        <v>0.93705197132616491</v>
      </c>
      <c r="G87" s="842">
        <f>G77*'[3]ASEK adjustment'!E32</f>
        <v>1.335</v>
      </c>
      <c r="H87" s="1025">
        <f>SUM(D87:G87)</f>
        <v>5.2605519713261648</v>
      </c>
      <c r="I87" s="844">
        <f>I77*'[3]ASEK adjustment'!G32</f>
        <v>0</v>
      </c>
      <c r="J87" s="845">
        <f>J77*'[3]ASEK adjustment'!H32</f>
        <v>7.1512500000000001</v>
      </c>
      <c r="K87" s="845">
        <f>K77*'[3]ASEK adjustment'!I32</f>
        <v>20.497499999999999</v>
      </c>
      <c r="L87" s="845">
        <f>L77*'[3]ASEK adjustment'!J32</f>
        <v>3.9739109767025096</v>
      </c>
      <c r="M87" s="845">
        <f>M77*'[3]ASEK adjustment'!K32</f>
        <v>7.1853866666666661</v>
      </c>
      <c r="N87" s="845">
        <f>N77*'[3]ASEK adjustment'!L32</f>
        <v>5.2786133333333334</v>
      </c>
      <c r="O87" s="845">
        <f t="shared" si="10"/>
        <v>12.25</v>
      </c>
      <c r="P87" s="845">
        <f>P77*'[3]ASEK adjustment'!N32</f>
        <v>0</v>
      </c>
      <c r="Q87" s="879">
        <f>SUM(I87:O87)</f>
        <v>56.336660976702511</v>
      </c>
      <c r="R87" s="1024">
        <f t="shared" si="11"/>
        <v>44.086660976702511</v>
      </c>
      <c r="S87" s="868"/>
    </row>
    <row r="88" spans="2:19" ht="15.75" thickBot="1" x14ac:dyDescent="0.3">
      <c r="B88" s="864"/>
      <c r="C88" s="848" t="s">
        <v>693</v>
      </c>
      <c r="D88" s="849">
        <f>D78*'[3]ASEK adjustment'!B33</f>
        <v>2.7120000000000006</v>
      </c>
      <c r="E88" s="850">
        <f>E78*'[3]ASEK adjustment'!C33</f>
        <v>0.78</v>
      </c>
      <c r="F88" s="850">
        <f>F78*'[3]ASEK adjustment'!D33</f>
        <v>1.18</v>
      </c>
      <c r="G88" s="850">
        <f>G78*'[3]ASEK adjustment'!E33</f>
        <v>1.4624999999999999</v>
      </c>
      <c r="H88" s="1026">
        <f>SUM(D88:G88)</f>
        <v>6.134500000000001</v>
      </c>
      <c r="I88" s="852">
        <f>I78*'[3]ASEK adjustment'!G33</f>
        <v>0</v>
      </c>
      <c r="J88" s="853">
        <f>J78*'[3]ASEK adjustment'!H33</f>
        <v>7.8262499999999999</v>
      </c>
      <c r="K88" s="853">
        <f>K78*'[3]ASEK adjustment'!I33</f>
        <v>22.432499999999997</v>
      </c>
      <c r="L88" s="853">
        <f>L78*'[3]ASEK adjustment'!J33</f>
        <v>3.9750577805077816</v>
      </c>
      <c r="M88" s="853">
        <f>M78*'[3]ASEK adjustment'!K33</f>
        <v>7.5883166999334701</v>
      </c>
      <c r="N88" s="853">
        <f>N78*'[3]ASEK adjustment'!L33</f>
        <v>5.2916833000665351</v>
      </c>
      <c r="O88" s="853">
        <f t="shared" si="10"/>
        <v>12.700000000000001</v>
      </c>
      <c r="P88" s="853">
        <f>P78*'[3]ASEK adjustment'!N33</f>
        <v>0</v>
      </c>
      <c r="Q88" s="880">
        <f>SUM(I88:O88)</f>
        <v>59.813807780507794</v>
      </c>
      <c r="R88" s="1027">
        <f t="shared" si="11"/>
        <v>47.113807780507791</v>
      </c>
      <c r="S88" s="868"/>
    </row>
    <row r="89" spans="2:19" x14ac:dyDescent="0.25">
      <c r="B89" s="870"/>
      <c r="C89" s="871"/>
      <c r="D89" s="872"/>
      <c r="E89" s="872"/>
      <c r="F89" s="872"/>
      <c r="G89" s="872"/>
      <c r="H89" s="872"/>
      <c r="I89" s="872"/>
      <c r="J89" s="872"/>
      <c r="K89" s="872"/>
      <c r="L89" s="872"/>
      <c r="M89" s="872"/>
      <c r="N89" s="872"/>
      <c r="O89" s="872"/>
      <c r="P89" s="872"/>
      <c r="Q89" s="872"/>
      <c r="R89" s="873"/>
    </row>
    <row r="90" spans="2:19" ht="14.25" customHeight="1" thickBot="1" x14ac:dyDescent="0.3"/>
    <row r="91" spans="2:19" ht="15" customHeight="1" thickBot="1" x14ac:dyDescent="0.3">
      <c r="C91" s="1181" t="s">
        <v>695</v>
      </c>
      <c r="D91" s="820" t="s">
        <v>696</v>
      </c>
      <c r="E91" s="821" t="s">
        <v>678</v>
      </c>
      <c r="F91" s="822"/>
      <c r="G91" s="822"/>
      <c r="H91" s="822"/>
      <c r="I91" s="822"/>
      <c r="J91" s="821" t="s">
        <v>679</v>
      </c>
      <c r="K91" s="822"/>
      <c r="L91" s="822"/>
      <c r="M91" s="822"/>
      <c r="N91" s="822"/>
      <c r="O91" s="822"/>
      <c r="P91" s="822"/>
      <c r="Q91" s="822"/>
      <c r="R91" s="823"/>
    </row>
    <row r="92" spans="2:19" ht="15.75" thickBot="1" x14ac:dyDescent="0.3">
      <c r="C92" s="1182"/>
      <c r="D92" s="774" t="s">
        <v>641</v>
      </c>
      <c r="E92" s="874" t="s">
        <v>680</v>
      </c>
      <c r="F92" s="825" t="s">
        <v>681</v>
      </c>
      <c r="G92" s="825" t="s">
        <v>682</v>
      </c>
      <c r="H92" s="825" t="s">
        <v>683</v>
      </c>
      <c r="I92" s="875" t="s">
        <v>684</v>
      </c>
      <c r="J92" s="828" t="s">
        <v>685</v>
      </c>
      <c r="K92" s="876" t="s">
        <v>686</v>
      </c>
      <c r="L92" s="876" t="s">
        <v>683</v>
      </c>
      <c r="M92" s="876" t="s">
        <v>647</v>
      </c>
      <c r="N92" s="876" t="s">
        <v>642</v>
      </c>
      <c r="O92" s="876" t="s">
        <v>643</v>
      </c>
      <c r="P92" s="876"/>
      <c r="Q92" s="877" t="s">
        <v>687</v>
      </c>
      <c r="R92" s="877" t="s">
        <v>688</v>
      </c>
    </row>
    <row r="93" spans="2:19" x14ac:dyDescent="0.25">
      <c r="C93" s="1182"/>
      <c r="D93" s="832" t="s">
        <v>689</v>
      </c>
      <c r="E93" s="833">
        <f>D84-D24</f>
        <v>-0.13408000000000009</v>
      </c>
      <c r="F93" s="834">
        <f t="shared" ref="F93:H93" si="12">E84-E24</f>
        <v>-8.2500000000000018E-2</v>
      </c>
      <c r="G93" s="834">
        <f t="shared" si="12"/>
        <v>0</v>
      </c>
      <c r="H93" s="1014">
        <f t="shared" si="12"/>
        <v>-0.21666666666666656</v>
      </c>
      <c r="I93" s="835">
        <f>H84-H24</f>
        <v>-0.43324666666666678</v>
      </c>
      <c r="J93" s="838">
        <f>I84-I24</f>
        <v>-254</v>
      </c>
      <c r="K93" s="837">
        <f t="shared" ref="K93:Q93" si="13">J84-J24</f>
        <v>-1.9029166666666664</v>
      </c>
      <c r="L93" s="837">
        <f t="shared" si="13"/>
        <v>-2.4133333333333304</v>
      </c>
      <c r="M93" s="837">
        <f t="shared" si="13"/>
        <v>-0.95156250000000009</v>
      </c>
      <c r="N93" s="837">
        <f t="shared" si="13"/>
        <v>-3.8866523570285931</v>
      </c>
      <c r="O93" s="837">
        <f t="shared" si="13"/>
        <v>-6.4798268096380705</v>
      </c>
      <c r="P93" s="837">
        <f t="shared" si="13"/>
        <v>12.700000000000001</v>
      </c>
      <c r="Q93" s="1015">
        <f t="shared" si="13"/>
        <v>0</v>
      </c>
      <c r="R93" s="839">
        <f>ROUND(SUM(J93:Q93),2)</f>
        <v>-256.93</v>
      </c>
    </row>
    <row r="94" spans="2:19" x14ac:dyDescent="0.25">
      <c r="C94" s="1182"/>
      <c r="D94" s="840" t="s">
        <v>690</v>
      </c>
      <c r="E94" s="841">
        <f t="shared" ref="E94:Q97" si="14">D85-D25</f>
        <v>-0.31696000000000013</v>
      </c>
      <c r="F94" s="842">
        <f t="shared" si="14"/>
        <v>-0.26500000000000001</v>
      </c>
      <c r="G94" s="842">
        <f t="shared" si="14"/>
        <v>0</v>
      </c>
      <c r="H94" s="1016">
        <f t="shared" si="14"/>
        <v>-0.42222222222222205</v>
      </c>
      <c r="I94" s="843">
        <f t="shared" si="14"/>
        <v>-1.0041822222222225</v>
      </c>
      <c r="J94" s="846">
        <f t="shared" si="14"/>
        <v>-254</v>
      </c>
      <c r="K94" s="845">
        <f t="shared" si="14"/>
        <v>-7.0837499999999993</v>
      </c>
      <c r="L94" s="845">
        <f t="shared" si="14"/>
        <v>-4.0687499999999979</v>
      </c>
      <c r="M94" s="845">
        <f t="shared" si="14"/>
        <v>-2.6364999999999998</v>
      </c>
      <c r="N94" s="845">
        <f t="shared" si="14"/>
        <v>-11.043542959057067</v>
      </c>
      <c r="O94" s="845">
        <f t="shared" si="14"/>
        <v>-6.3839570409429269</v>
      </c>
      <c r="P94" s="845">
        <f t="shared" si="14"/>
        <v>12.700000000000001</v>
      </c>
      <c r="Q94" s="1017">
        <f t="shared" si="14"/>
        <v>0</v>
      </c>
      <c r="R94" s="847">
        <f>ROUND(SUM(J94:Q94),2)</f>
        <v>-272.52</v>
      </c>
    </row>
    <row r="95" spans="2:19" x14ac:dyDescent="0.25">
      <c r="C95" s="1182"/>
      <c r="D95" s="840" t="s">
        <v>691</v>
      </c>
      <c r="E95" s="841">
        <f t="shared" si="14"/>
        <v>-0.42808000000000002</v>
      </c>
      <c r="F95" s="842">
        <f t="shared" si="14"/>
        <v>-0.31499999999999995</v>
      </c>
      <c r="G95" s="842">
        <f t="shared" si="14"/>
        <v>0</v>
      </c>
      <c r="H95" s="1016">
        <f t="shared" si="14"/>
        <v>-0.51395833333333352</v>
      </c>
      <c r="I95" s="843">
        <f t="shared" si="14"/>
        <v>-1.257038333333333</v>
      </c>
      <c r="J95" s="846">
        <f t="shared" si="14"/>
        <v>-245</v>
      </c>
      <c r="K95" s="845">
        <f t="shared" si="14"/>
        <v>-11.459999999999997</v>
      </c>
      <c r="L95" s="845">
        <f t="shared" si="14"/>
        <v>-6.6337499999999991</v>
      </c>
      <c r="M95" s="845">
        <f t="shared" si="14"/>
        <v>-3.2239999999999993</v>
      </c>
      <c r="N95" s="845">
        <f t="shared" si="14"/>
        <v>-12.252193125546167</v>
      </c>
      <c r="O95" s="845">
        <f t="shared" si="14"/>
        <v>-9.6208068744538302</v>
      </c>
      <c r="P95" s="845">
        <f t="shared" si="14"/>
        <v>12.25</v>
      </c>
      <c r="Q95" s="1017">
        <f t="shared" si="14"/>
        <v>0</v>
      </c>
      <c r="R95" s="847">
        <f>ROUND(SUM(J95:Q95),2)</f>
        <v>-275.94</v>
      </c>
    </row>
    <row r="96" spans="2:19" x14ac:dyDescent="0.25">
      <c r="C96" s="1182"/>
      <c r="D96" s="840" t="s">
        <v>692</v>
      </c>
      <c r="E96" s="841">
        <f t="shared" si="14"/>
        <v>-0.51644000000000023</v>
      </c>
      <c r="F96" s="842">
        <f t="shared" si="14"/>
        <v>-0.29749999999999999</v>
      </c>
      <c r="G96" s="842">
        <f t="shared" si="14"/>
        <v>-2.9480286738350348E-3</v>
      </c>
      <c r="H96" s="1016">
        <f t="shared" si="14"/>
        <v>-0.45059999999999989</v>
      </c>
      <c r="I96" s="843">
        <f t="shared" si="14"/>
        <v>-1.267488028673835</v>
      </c>
      <c r="J96" s="846">
        <f t="shared" si="14"/>
        <v>-245</v>
      </c>
      <c r="K96" s="845">
        <f t="shared" si="14"/>
        <v>-10.355892857142855</v>
      </c>
      <c r="L96" s="845">
        <f t="shared" si="14"/>
        <v>-6.8331122448979578</v>
      </c>
      <c r="M96" s="845">
        <f t="shared" si="14"/>
        <v>-3.9740890232974908</v>
      </c>
      <c r="N96" s="845">
        <f t="shared" si="14"/>
        <v>-10.775774035087718</v>
      </c>
      <c r="O96" s="845">
        <f t="shared" si="14"/>
        <v>-7.9162259649122797</v>
      </c>
      <c r="P96" s="845">
        <f t="shared" si="14"/>
        <v>12.25</v>
      </c>
      <c r="Q96" s="1017">
        <f t="shared" si="14"/>
        <v>0</v>
      </c>
      <c r="R96" s="847">
        <f>ROUND(SUM(J96:Q96),2)</f>
        <v>-272.61</v>
      </c>
    </row>
    <row r="97" spans="1:18" ht="15.75" thickBot="1" x14ac:dyDescent="0.3">
      <c r="C97" s="1182"/>
      <c r="D97" s="848" t="s">
        <v>693</v>
      </c>
      <c r="E97" s="849">
        <f t="shared" si="14"/>
        <v>-0.68127999999999922</v>
      </c>
      <c r="F97" s="850">
        <f t="shared" si="14"/>
        <v>-0.26</v>
      </c>
      <c r="G97" s="850">
        <f t="shared" si="14"/>
        <v>0</v>
      </c>
      <c r="H97" s="1018">
        <f t="shared" si="14"/>
        <v>-0.49110000000000009</v>
      </c>
      <c r="I97" s="851">
        <f t="shared" si="14"/>
        <v>-1.4323799999999984</v>
      </c>
      <c r="J97" s="854">
        <f t="shared" si="14"/>
        <v>-254</v>
      </c>
      <c r="K97" s="853">
        <f t="shared" si="14"/>
        <v>-11.330892857142858</v>
      </c>
      <c r="L97" s="853">
        <f t="shared" si="14"/>
        <v>-7.4695408163265284</v>
      </c>
      <c r="M97" s="853">
        <f t="shared" si="14"/>
        <v>-3.9729422194922188</v>
      </c>
      <c r="N97" s="853">
        <f t="shared" si="14"/>
        <v>-11.381801729873581</v>
      </c>
      <c r="O97" s="853">
        <f t="shared" si="14"/>
        <v>-7.9370554129835531</v>
      </c>
      <c r="P97" s="853">
        <f t="shared" si="14"/>
        <v>12.700000000000001</v>
      </c>
      <c r="Q97" s="1019">
        <f t="shared" si="14"/>
        <v>0</v>
      </c>
      <c r="R97" s="855">
        <f>ROUND(SUM(J97:Q97),2)</f>
        <v>-283.39</v>
      </c>
    </row>
    <row r="98" spans="1:18" ht="15.75" thickBot="1" x14ac:dyDescent="0.3">
      <c r="C98" s="1182"/>
      <c r="D98" s="820" t="s">
        <v>697</v>
      </c>
      <c r="E98" s="649" t="s">
        <v>678</v>
      </c>
      <c r="F98" s="1020"/>
      <c r="G98" s="1020"/>
      <c r="H98" s="1020"/>
      <c r="I98" s="1020"/>
      <c r="J98" s="649" t="s">
        <v>679</v>
      </c>
      <c r="K98" s="1020"/>
      <c r="L98" s="1020"/>
      <c r="M98" s="1020"/>
      <c r="N98" s="1020"/>
      <c r="O98" s="1020"/>
      <c r="P98" s="1020"/>
      <c r="Q98" s="1020"/>
      <c r="R98" s="823"/>
    </row>
    <row r="99" spans="1:18" ht="15.75" thickBot="1" x14ac:dyDescent="0.3">
      <c r="C99" s="1182"/>
      <c r="D99" s="774" t="s">
        <v>641</v>
      </c>
      <c r="E99" s="874" t="s">
        <v>680</v>
      </c>
      <c r="F99" s="825" t="s">
        <v>681</v>
      </c>
      <c r="G99" s="825" t="s">
        <v>682</v>
      </c>
      <c r="H99" s="825" t="s">
        <v>683</v>
      </c>
      <c r="I99" s="875" t="s">
        <v>684</v>
      </c>
      <c r="J99" s="828" t="s">
        <v>685</v>
      </c>
      <c r="K99" s="876" t="s">
        <v>686</v>
      </c>
      <c r="L99" s="876" t="s">
        <v>683</v>
      </c>
      <c r="M99" s="876" t="s">
        <v>647</v>
      </c>
      <c r="N99" s="876" t="s">
        <v>642</v>
      </c>
      <c r="O99" s="876" t="s">
        <v>643</v>
      </c>
      <c r="P99" s="876"/>
      <c r="Q99" s="877" t="s">
        <v>687</v>
      </c>
      <c r="R99" s="877" t="s">
        <v>688</v>
      </c>
    </row>
    <row r="100" spans="1:18" x14ac:dyDescent="0.25">
      <c r="C100" s="1182"/>
      <c r="D100" s="832" t="s">
        <v>689</v>
      </c>
      <c r="E100" s="881">
        <f t="shared" ref="E100:O104" si="15">E93/D24</f>
        <v>-0.19317657906869537</v>
      </c>
      <c r="F100" s="882">
        <f t="shared" si="15"/>
        <v>-0.25000000000000006</v>
      </c>
      <c r="G100" s="882">
        <f t="shared" si="15"/>
        <v>0</v>
      </c>
      <c r="H100" s="882">
        <f t="shared" si="15"/>
        <v>-0.21103896103896094</v>
      </c>
      <c r="I100" s="1021">
        <f t="shared" si="15"/>
        <v>-0.16918763277377435</v>
      </c>
      <c r="J100" s="884">
        <f t="shared" si="15"/>
        <v>-1</v>
      </c>
      <c r="K100" s="885">
        <f t="shared" si="15"/>
        <v>-0.53729411764705881</v>
      </c>
      <c r="L100" s="885">
        <f t="shared" si="15"/>
        <v>-0.21061818181818159</v>
      </c>
      <c r="M100" s="885">
        <f t="shared" si="15"/>
        <v>-0.50041084634346755</v>
      </c>
      <c r="N100" s="885">
        <f t="shared" si="15"/>
        <v>-0.60010371755057734</v>
      </c>
      <c r="O100" s="885">
        <f t="shared" si="15"/>
        <v>-0.60010371755057723</v>
      </c>
      <c r="P100" s="885"/>
      <c r="Q100" s="885"/>
      <c r="R100" s="886">
        <f>R93/Q24</f>
        <v>-0.89157307635306837</v>
      </c>
    </row>
    <row r="101" spans="1:18" x14ac:dyDescent="0.25">
      <c r="C101" s="1182"/>
      <c r="D101" s="840" t="s">
        <v>690</v>
      </c>
      <c r="E101" s="887">
        <f t="shared" si="15"/>
        <v>-0.20048578079141793</v>
      </c>
      <c r="F101" s="888">
        <f t="shared" si="15"/>
        <v>-0.25</v>
      </c>
      <c r="G101" s="888">
        <f t="shared" si="15"/>
        <v>0</v>
      </c>
      <c r="H101" s="888">
        <f t="shared" si="15"/>
        <v>-0.24987670557290803</v>
      </c>
      <c r="I101" s="889">
        <f t="shared" si="15"/>
        <v>-0.21592148726566765</v>
      </c>
      <c r="J101" s="890">
        <f t="shared" si="15"/>
        <v>-1</v>
      </c>
      <c r="K101" s="891">
        <f t="shared" si="15"/>
        <v>-0.58847352024922117</v>
      </c>
      <c r="L101" s="891">
        <f t="shared" si="15"/>
        <v>-0.24971231300345212</v>
      </c>
      <c r="M101" s="891">
        <f t="shared" si="15"/>
        <v>-0.49966834075618299</v>
      </c>
      <c r="N101" s="891">
        <f t="shared" si="15"/>
        <v>-0.59996557362939995</v>
      </c>
      <c r="O101" s="891">
        <f t="shared" si="15"/>
        <v>-0.59996557362940006</v>
      </c>
      <c r="P101" s="891"/>
      <c r="Q101" s="891"/>
      <c r="R101" s="892">
        <f>R94/Q25</f>
        <v>-0.86062050131807366</v>
      </c>
    </row>
    <row r="102" spans="1:18" x14ac:dyDescent="0.25">
      <c r="C102" s="1182"/>
      <c r="D102" s="840" t="s">
        <v>691</v>
      </c>
      <c r="E102" s="887">
        <f t="shared" si="15"/>
        <v>-0.20002990542409629</v>
      </c>
      <c r="F102" s="888">
        <f t="shared" si="15"/>
        <v>-0.24999999999999994</v>
      </c>
      <c r="G102" s="888">
        <f t="shared" si="15"/>
        <v>0</v>
      </c>
      <c r="H102" s="888">
        <f t="shared" si="15"/>
        <v>-0.24871458816412953</v>
      </c>
      <c r="I102" s="889">
        <f t="shared" si="15"/>
        <v>-0.2058512146679938</v>
      </c>
      <c r="J102" s="890">
        <f t="shared" si="15"/>
        <v>-1</v>
      </c>
      <c r="K102" s="891">
        <f t="shared" si="15"/>
        <v>-0.59455252918287926</v>
      </c>
      <c r="L102" s="891">
        <f t="shared" si="15"/>
        <v>-0.24968242766407903</v>
      </c>
      <c r="M102" s="891">
        <f t="shared" si="15"/>
        <v>-0.49992246859978284</v>
      </c>
      <c r="N102" s="891">
        <f t="shared" si="15"/>
        <v>-0.60003291910130852</v>
      </c>
      <c r="O102" s="891">
        <f t="shared" si="15"/>
        <v>-0.60003291910130852</v>
      </c>
      <c r="P102" s="891"/>
      <c r="Q102" s="891"/>
      <c r="R102" s="892">
        <f>R95/Q26</f>
        <v>-0.82679704535563381</v>
      </c>
    </row>
    <row r="103" spans="1:18" x14ac:dyDescent="0.25">
      <c r="C103" s="1182"/>
      <c r="D103" s="840" t="s">
        <v>692</v>
      </c>
      <c r="E103" s="887">
        <f t="shared" si="15"/>
        <v>-0.19768492290732043</v>
      </c>
      <c r="F103" s="888">
        <f t="shared" si="15"/>
        <v>-0.25</v>
      </c>
      <c r="G103" s="888">
        <f t="shared" si="15"/>
        <v>-3.136200716845782E-3</v>
      </c>
      <c r="H103" s="888">
        <f t="shared" si="15"/>
        <v>-0.25235215053763438</v>
      </c>
      <c r="I103" s="889">
        <f t="shared" si="15"/>
        <v>-0.19416057938888778</v>
      </c>
      <c r="J103" s="890">
        <f t="shared" si="15"/>
        <v>-1</v>
      </c>
      <c r="K103" s="891">
        <f t="shared" si="15"/>
        <v>-0.59152386780905741</v>
      </c>
      <c r="L103" s="891">
        <f t="shared" si="15"/>
        <v>-0.2500168010752688</v>
      </c>
      <c r="M103" s="891">
        <f t="shared" si="15"/>
        <v>-0.50001120071684579</v>
      </c>
      <c r="N103" s="891">
        <f t="shared" si="15"/>
        <v>-0.59994864552574145</v>
      </c>
      <c r="O103" s="891">
        <f t="shared" si="15"/>
        <v>-0.59994864552574145</v>
      </c>
      <c r="P103" s="891"/>
      <c r="Q103" s="891"/>
      <c r="R103" s="892">
        <f>R96/Q27</f>
        <v>-0.82874854217104132</v>
      </c>
    </row>
    <row r="104" spans="1:18" ht="15.75" thickBot="1" x14ac:dyDescent="0.3">
      <c r="C104" s="1183"/>
      <c r="D104" s="848" t="s">
        <v>693</v>
      </c>
      <c r="E104" s="893">
        <f t="shared" si="15"/>
        <v>-0.20077329309694433</v>
      </c>
      <c r="F104" s="894">
        <f t="shared" si="15"/>
        <v>-0.25</v>
      </c>
      <c r="G104" s="894">
        <f t="shared" si="15"/>
        <v>0</v>
      </c>
      <c r="H104" s="894">
        <f t="shared" si="15"/>
        <v>-0.25138206388206391</v>
      </c>
      <c r="I104" s="895">
        <f t="shared" si="15"/>
        <v>-0.18929598460660121</v>
      </c>
      <c r="J104" s="896">
        <f t="shared" si="15"/>
        <v>-1</v>
      </c>
      <c r="K104" s="897">
        <f t="shared" si="15"/>
        <v>-0.5914709172259508</v>
      </c>
      <c r="L104" s="897">
        <f t="shared" si="15"/>
        <v>-0.24980036855036852</v>
      </c>
      <c r="M104" s="897">
        <f t="shared" si="15"/>
        <v>-0.49986691236691227</v>
      </c>
      <c r="N104" s="897">
        <f t="shared" si="15"/>
        <v>-0.59998580251295497</v>
      </c>
      <c r="O104" s="897">
        <f t="shared" si="15"/>
        <v>-0.59998580251295508</v>
      </c>
      <c r="P104" s="897"/>
      <c r="Q104" s="897"/>
      <c r="R104" s="898">
        <f>R97/Q28</f>
        <v>-0.8257139044695947</v>
      </c>
    </row>
    <row r="106" spans="1:18" ht="28.5" x14ac:dyDescent="0.45">
      <c r="B106" s="652" t="s">
        <v>698</v>
      </c>
    </row>
    <row r="107" spans="1:18" ht="15.75" thickBot="1" x14ac:dyDescent="0.3"/>
    <row r="108" spans="1:18" ht="15.75" thickBot="1" x14ac:dyDescent="0.3">
      <c r="C108" s="770"/>
      <c r="D108" s="770" t="s">
        <v>699</v>
      </c>
      <c r="E108" s="771" t="s">
        <v>700</v>
      </c>
      <c r="F108" s="771" t="s">
        <v>701</v>
      </c>
      <c r="G108" s="771" t="s">
        <v>702</v>
      </c>
      <c r="H108" s="771" t="s">
        <v>703</v>
      </c>
      <c r="I108" s="771" t="s">
        <v>704</v>
      </c>
      <c r="J108" s="771" t="s">
        <v>705</v>
      </c>
      <c r="K108" s="771" t="s">
        <v>706</v>
      </c>
      <c r="L108" s="771" t="s">
        <v>707</v>
      </c>
      <c r="M108" s="770" t="s">
        <v>708</v>
      </c>
      <c r="N108" s="772" t="s">
        <v>709</v>
      </c>
      <c r="O108" s="612"/>
    </row>
    <row r="109" spans="1:18" x14ac:dyDescent="0.25">
      <c r="A109" t="s">
        <v>710</v>
      </c>
      <c r="C109" s="899" t="s">
        <v>635</v>
      </c>
      <c r="D109" s="900">
        <v>10.43</v>
      </c>
      <c r="E109" s="901">
        <v>999999</v>
      </c>
      <c r="F109" s="902">
        <v>104.3</v>
      </c>
      <c r="G109">
        <v>0.25</v>
      </c>
      <c r="H109" s="903">
        <v>999999</v>
      </c>
      <c r="I109">
        <v>2</v>
      </c>
      <c r="J109" s="904">
        <v>999999</v>
      </c>
      <c r="K109" s="903">
        <v>999999</v>
      </c>
      <c r="L109">
        <v>2</v>
      </c>
      <c r="M109" s="905">
        <f>Q33</f>
        <v>289.60000000000002</v>
      </c>
      <c r="N109" s="906">
        <f>I24</f>
        <v>254</v>
      </c>
      <c r="O109" s="612"/>
    </row>
    <row r="110" spans="1:18" x14ac:dyDescent="0.25">
      <c r="C110" s="779" t="s">
        <v>636</v>
      </c>
      <c r="D110" s="905">
        <v>10.43</v>
      </c>
      <c r="E110" s="907">
        <v>999999</v>
      </c>
      <c r="F110" s="906">
        <v>52.15</v>
      </c>
      <c r="G110">
        <v>0.25</v>
      </c>
      <c r="H110" s="903">
        <v>999999</v>
      </c>
      <c r="I110">
        <v>2</v>
      </c>
      <c r="J110" s="904">
        <v>999999</v>
      </c>
      <c r="K110" s="903">
        <v>999999</v>
      </c>
      <c r="L110">
        <v>9</v>
      </c>
      <c r="M110" s="905">
        <f t="shared" ref="M110:M113" si="16">Q34</f>
        <v>317.83999999999997</v>
      </c>
      <c r="N110" s="906">
        <f>I25</f>
        <v>254</v>
      </c>
      <c r="O110" s="612"/>
    </row>
    <row r="111" spans="1:18" x14ac:dyDescent="0.25">
      <c r="C111" s="779" t="s">
        <v>637</v>
      </c>
      <c r="D111" s="905">
        <v>10.43</v>
      </c>
      <c r="E111" s="908">
        <v>15.65</v>
      </c>
      <c r="F111" s="906">
        <v>41.72</v>
      </c>
      <c r="G111">
        <v>0.25</v>
      </c>
      <c r="H111">
        <v>1</v>
      </c>
      <c r="I111">
        <v>2</v>
      </c>
      <c r="J111" s="904">
        <v>999999</v>
      </c>
      <c r="K111" s="903">
        <v>999999</v>
      </c>
      <c r="L111">
        <v>15</v>
      </c>
      <c r="M111" s="905">
        <f t="shared" si="16"/>
        <v>335.31999999999994</v>
      </c>
      <c r="N111" s="906">
        <f>I26</f>
        <v>245</v>
      </c>
      <c r="O111" s="612"/>
    </row>
    <row r="112" spans="1:18" x14ac:dyDescent="0.25">
      <c r="C112" s="779" t="s">
        <v>638</v>
      </c>
      <c r="D112" s="905">
        <v>10.43</v>
      </c>
      <c r="E112" s="908">
        <v>15.65</v>
      </c>
      <c r="F112" s="906">
        <v>20.86</v>
      </c>
      <c r="G112">
        <v>0.42</v>
      </c>
      <c r="H112">
        <v>1.5</v>
      </c>
      <c r="I112">
        <v>1</v>
      </c>
      <c r="J112" s="719">
        <v>9.39</v>
      </c>
      <c r="K112">
        <v>0.75</v>
      </c>
      <c r="L112">
        <v>28</v>
      </c>
      <c r="M112" s="905">
        <f>Q36</f>
        <v>330.50782195340497</v>
      </c>
      <c r="N112" s="906">
        <f>I27</f>
        <v>245</v>
      </c>
      <c r="O112" s="612"/>
    </row>
    <row r="113" spans="2:27" ht="15.75" thickBot="1" x14ac:dyDescent="0.3">
      <c r="C113" s="783" t="s">
        <v>639</v>
      </c>
      <c r="D113" s="909">
        <v>10.43</v>
      </c>
      <c r="E113" s="910">
        <v>15.65</v>
      </c>
      <c r="F113" s="911">
        <v>20.86</v>
      </c>
      <c r="G113" s="912">
        <v>0.57999999999999996</v>
      </c>
      <c r="H113" s="912">
        <v>2</v>
      </c>
      <c r="I113" s="912">
        <v>1</v>
      </c>
      <c r="J113" s="910">
        <v>9.39</v>
      </c>
      <c r="K113" s="912">
        <v>0.75</v>
      </c>
      <c r="L113" s="912">
        <v>47</v>
      </c>
      <c r="M113" s="909">
        <f t="shared" si="16"/>
        <v>344.93011556101555</v>
      </c>
      <c r="N113" s="911">
        <f>I28</f>
        <v>254</v>
      </c>
      <c r="O113" s="612"/>
    </row>
    <row r="114" spans="2:27" ht="15.75" thickBot="1" x14ac:dyDescent="0.3">
      <c r="C114" s="913"/>
    </row>
    <row r="115" spans="2:27" x14ac:dyDescent="0.25">
      <c r="C115" s="914"/>
      <c r="D115" s="915"/>
      <c r="E115" s="916"/>
      <c r="F115" s="917"/>
      <c r="G115" s="915" t="s">
        <v>711</v>
      </c>
      <c r="H115" s="916"/>
      <c r="I115" s="916"/>
      <c r="J115" s="916"/>
      <c r="K115" s="917"/>
      <c r="L115" s="915" t="s">
        <v>712</v>
      </c>
      <c r="M115" s="916"/>
      <c r="N115" s="916"/>
      <c r="O115" s="916"/>
      <c r="P115" s="917"/>
      <c r="Q115" s="915" t="s">
        <v>713</v>
      </c>
      <c r="R115" s="916"/>
      <c r="S115" s="916"/>
      <c r="T115" s="916"/>
      <c r="U115" s="917"/>
      <c r="V115" s="915" t="s">
        <v>714</v>
      </c>
      <c r="W115" s="916"/>
      <c r="X115" s="916"/>
      <c r="Y115" s="916"/>
      <c r="Z115" s="740"/>
    </row>
    <row r="116" spans="2:27" ht="15.75" thickBot="1" x14ac:dyDescent="0.3">
      <c r="C116" s="918"/>
      <c r="D116" s="919" t="s">
        <v>687</v>
      </c>
      <c r="E116" s="646" t="s">
        <v>715</v>
      </c>
      <c r="F116" s="920" t="s">
        <v>716</v>
      </c>
      <c r="G116" s="921" t="s">
        <v>717</v>
      </c>
      <c r="H116" s="922" t="s">
        <v>718</v>
      </c>
      <c r="I116" s="922" t="s">
        <v>719</v>
      </c>
      <c r="J116" s="922" t="s">
        <v>720</v>
      </c>
      <c r="K116" s="923" t="s">
        <v>721</v>
      </c>
      <c r="L116" s="921" t="s">
        <v>717</v>
      </c>
      <c r="M116" s="922" t="s">
        <v>718</v>
      </c>
      <c r="N116" s="922" t="s">
        <v>719</v>
      </c>
      <c r="O116" s="922" t="s">
        <v>720</v>
      </c>
      <c r="P116" s="923" t="s">
        <v>721</v>
      </c>
      <c r="Q116" s="921" t="s">
        <v>717</v>
      </c>
      <c r="R116" s="922" t="s">
        <v>718</v>
      </c>
      <c r="S116" s="922" t="s">
        <v>719</v>
      </c>
      <c r="T116" s="922" t="s">
        <v>720</v>
      </c>
      <c r="U116" s="923" t="s">
        <v>721</v>
      </c>
      <c r="V116" s="921" t="s">
        <v>717</v>
      </c>
      <c r="W116" s="922" t="s">
        <v>718</v>
      </c>
      <c r="X116" s="922" t="s">
        <v>719</v>
      </c>
      <c r="Y116" s="922" t="s">
        <v>720</v>
      </c>
      <c r="Z116" s="923" t="s">
        <v>721</v>
      </c>
      <c r="AA116" s="646" t="s">
        <v>722</v>
      </c>
    </row>
    <row r="117" spans="2:27" x14ac:dyDescent="0.25">
      <c r="C117" s="924" t="s">
        <v>689</v>
      </c>
      <c r="D117" s="925">
        <f>O84</f>
        <v>12.700000000000001</v>
      </c>
      <c r="E117" s="926">
        <f>Q84</f>
        <v>31.241750000000003</v>
      </c>
      <c r="F117" s="927">
        <f>E117-D117+N109*H117</f>
        <v>272.54174999999998</v>
      </c>
      <c r="G117" s="790">
        <v>0.53</v>
      </c>
      <c r="H117" s="790">
        <v>1</v>
      </c>
      <c r="I117" s="720">
        <f>D109*L109*G117</f>
        <v>11.0558</v>
      </c>
      <c r="J117" s="720">
        <f>G109*F117</f>
        <v>68.135437499999995</v>
      </c>
      <c r="K117" s="928">
        <f>I117+J117</f>
        <v>79.1912375</v>
      </c>
      <c r="L117" s="929"/>
      <c r="M117" s="930"/>
      <c r="N117" s="931"/>
      <c r="O117" s="931"/>
      <c r="P117" s="932"/>
      <c r="Q117" s="933">
        <v>0.53</v>
      </c>
      <c r="R117" s="790">
        <v>1</v>
      </c>
      <c r="S117" s="720">
        <f>F109*L109*Q117</f>
        <v>110.55800000000001</v>
      </c>
      <c r="T117" s="720">
        <f>I109*F117*R117</f>
        <v>545.08349999999996</v>
      </c>
      <c r="U117" s="928">
        <f>S117+T117</f>
        <v>655.64149999999995</v>
      </c>
      <c r="V117" s="929"/>
      <c r="W117" s="930"/>
      <c r="X117" s="931">
        <v>999999</v>
      </c>
      <c r="Y117" s="931">
        <v>999999</v>
      </c>
      <c r="Z117" s="932"/>
      <c r="AA117" s="868">
        <f>E117-D117</f>
        <v>18.54175</v>
      </c>
    </row>
    <row r="118" spans="2:27" x14ac:dyDescent="0.25">
      <c r="C118" s="924" t="s">
        <v>690</v>
      </c>
      <c r="D118" s="934">
        <f t="shared" ref="D118:D121" si="17">O85</f>
        <v>12.700000000000001</v>
      </c>
      <c r="E118" s="720">
        <f t="shared" ref="E118:E121" si="18">Q85</f>
        <v>44.138750000000002</v>
      </c>
      <c r="F118" s="928">
        <f t="shared" ref="F118:F121" si="19">E118-D118+N110*H118</f>
        <v>285.43875000000003</v>
      </c>
      <c r="G118" s="790">
        <v>0.73</v>
      </c>
      <c r="H118" s="790">
        <v>1</v>
      </c>
      <c r="I118" s="720">
        <f>D110*L110*G118</f>
        <v>68.525099999999995</v>
      </c>
      <c r="J118" s="720">
        <f>G110*F118*H118</f>
        <v>71.359687500000007</v>
      </c>
      <c r="K118" s="928">
        <f>I118+J118</f>
        <v>139.88478750000002</v>
      </c>
      <c r="L118" s="929"/>
      <c r="M118" s="930"/>
      <c r="N118" s="931"/>
      <c r="O118" s="931"/>
      <c r="P118" s="932"/>
      <c r="Q118" s="933">
        <v>0.73</v>
      </c>
      <c r="R118" s="790">
        <v>1</v>
      </c>
      <c r="S118" s="720">
        <f>F110*L110*Q118</f>
        <v>342.62549999999999</v>
      </c>
      <c r="T118" s="720">
        <f>I110*F118*R118</f>
        <v>570.87750000000005</v>
      </c>
      <c r="U118" s="928">
        <f>S118+T118</f>
        <v>913.50300000000004</v>
      </c>
      <c r="V118" s="929"/>
      <c r="W118" s="930"/>
      <c r="X118" s="931">
        <v>999999</v>
      </c>
      <c r="Y118" s="931">
        <v>999999</v>
      </c>
      <c r="Z118" s="932"/>
      <c r="AA118" s="868">
        <f t="shared" ref="AA118:AA121" si="20">E118-D118</f>
        <v>31.438749999999999</v>
      </c>
    </row>
    <row r="119" spans="2:27" x14ac:dyDescent="0.25">
      <c r="C119" s="924" t="s">
        <v>691</v>
      </c>
      <c r="D119" s="934">
        <f t="shared" si="17"/>
        <v>12.25</v>
      </c>
      <c r="E119" s="720">
        <f t="shared" si="18"/>
        <v>57.805000000000007</v>
      </c>
      <c r="F119" s="928">
        <f t="shared" si="19"/>
        <v>290.55500000000001</v>
      </c>
      <c r="G119" s="790">
        <v>0.88</v>
      </c>
      <c r="H119" s="790">
        <v>1</v>
      </c>
      <c r="I119" s="720">
        <f>D111*L111*G119</f>
        <v>137.67599999999999</v>
      </c>
      <c r="J119" s="720">
        <f>G111*F119*H119</f>
        <v>72.638750000000002</v>
      </c>
      <c r="K119" s="928">
        <f>I119+J119</f>
        <v>210.31475</v>
      </c>
      <c r="L119" s="933">
        <v>0.88</v>
      </c>
      <c r="M119" s="790">
        <v>1</v>
      </c>
      <c r="N119" s="720">
        <f>E111*L111*L119</f>
        <v>206.58</v>
      </c>
      <c r="O119" s="720">
        <f>H111*F119*M119</f>
        <v>290.55500000000001</v>
      </c>
      <c r="P119" s="928">
        <f>N119+O119</f>
        <v>497.13499999999999</v>
      </c>
      <c r="Q119" s="933">
        <v>0.88</v>
      </c>
      <c r="R119" s="790">
        <v>1</v>
      </c>
      <c r="S119" s="720">
        <f>F111*L111*Q119</f>
        <v>550.70399999999995</v>
      </c>
      <c r="T119" s="720">
        <f>I111*F119*R119</f>
        <v>581.11</v>
      </c>
      <c r="U119" s="928">
        <f>S119+T119</f>
        <v>1131.8139999999999</v>
      </c>
      <c r="V119" s="929"/>
      <c r="W119" s="930"/>
      <c r="X119" s="931">
        <v>999999</v>
      </c>
      <c r="Y119" s="931">
        <v>999999</v>
      </c>
      <c r="Z119" s="932"/>
      <c r="AA119" s="868">
        <f t="shared" si="20"/>
        <v>45.555000000000007</v>
      </c>
    </row>
    <row r="120" spans="2:27" x14ac:dyDescent="0.25">
      <c r="C120" s="924" t="s">
        <v>692</v>
      </c>
      <c r="D120" s="934">
        <f t="shared" si="17"/>
        <v>12.25</v>
      </c>
      <c r="E120" s="720">
        <f t="shared" si="18"/>
        <v>56.336660976702511</v>
      </c>
      <c r="F120" s="928">
        <f t="shared" si="19"/>
        <v>289.08666097670249</v>
      </c>
      <c r="G120" s="790">
        <v>0.87</v>
      </c>
      <c r="H120" s="790">
        <v>1</v>
      </c>
      <c r="I120" s="720">
        <f>D112*L112*G120</f>
        <v>254.07479999999995</v>
      </c>
      <c r="J120" s="720">
        <f>G112*F120*H120</f>
        <v>121.41639761021504</v>
      </c>
      <c r="K120" s="928">
        <f>I120+J120</f>
        <v>375.49119761021501</v>
      </c>
      <c r="L120" s="933">
        <v>0.87</v>
      </c>
      <c r="M120" s="790">
        <v>1</v>
      </c>
      <c r="N120" s="720">
        <f>E112*L112*L120</f>
        <v>381.23399999999998</v>
      </c>
      <c r="O120" s="720">
        <f>H112*F120*M120</f>
        <v>433.62999146505376</v>
      </c>
      <c r="P120" s="928">
        <f>N120+O120</f>
        <v>814.86399146505369</v>
      </c>
      <c r="Q120" s="933">
        <v>0.87</v>
      </c>
      <c r="R120" s="790">
        <v>1</v>
      </c>
      <c r="S120" s="720">
        <f>F112*L112*Q120</f>
        <v>508.14959999999991</v>
      </c>
      <c r="T120" s="720">
        <f>I112*F120*R120</f>
        <v>289.08666097670249</v>
      </c>
      <c r="U120" s="928">
        <f>S120+T120</f>
        <v>797.2362609767024</v>
      </c>
      <c r="V120" s="933">
        <v>1</v>
      </c>
      <c r="W120" s="790">
        <v>1</v>
      </c>
      <c r="X120" s="720">
        <f>J112*L112</f>
        <v>262.92</v>
      </c>
      <c r="Y120" s="720">
        <f>K112*F120*W120</f>
        <v>216.81499573252688</v>
      </c>
      <c r="Z120" s="906">
        <f>X120+Y120</f>
        <v>479.7349957325269</v>
      </c>
      <c r="AA120" s="868">
        <f t="shared" si="20"/>
        <v>44.086660976702511</v>
      </c>
    </row>
    <row r="121" spans="2:27" ht="15.75" thickBot="1" x14ac:dyDescent="0.3">
      <c r="C121" s="935" t="s">
        <v>693</v>
      </c>
      <c r="D121" s="936">
        <f t="shared" si="17"/>
        <v>12.700000000000001</v>
      </c>
      <c r="E121" s="937">
        <f t="shared" si="18"/>
        <v>59.813807780507794</v>
      </c>
      <c r="F121" s="938">
        <f t="shared" si="19"/>
        <v>301.11380778050778</v>
      </c>
      <c r="G121" s="939">
        <v>0.81</v>
      </c>
      <c r="H121" s="939">
        <v>1</v>
      </c>
      <c r="I121" s="937">
        <f>D113*L113*G121</f>
        <v>397.07010000000002</v>
      </c>
      <c r="J121" s="937">
        <f>G113*F121*H121</f>
        <v>174.64600851269449</v>
      </c>
      <c r="K121" s="938">
        <f>I121+J121</f>
        <v>571.71610851269452</v>
      </c>
      <c r="L121" s="940">
        <v>0.81</v>
      </c>
      <c r="M121" s="939">
        <v>1</v>
      </c>
      <c r="N121" s="937">
        <f>E113*L113*L121</f>
        <v>595.79550000000006</v>
      </c>
      <c r="O121" s="937">
        <f>H113*F121*M121</f>
        <v>602.22761556101557</v>
      </c>
      <c r="P121" s="938">
        <f>N121+O121</f>
        <v>1198.0231155610156</v>
      </c>
      <c r="Q121" s="940">
        <v>0.81</v>
      </c>
      <c r="R121" s="939">
        <v>1</v>
      </c>
      <c r="S121" s="937">
        <f>F113*L113*Q121</f>
        <v>794.14020000000005</v>
      </c>
      <c r="T121" s="937">
        <f>I113*F121*R121</f>
        <v>301.11380778050778</v>
      </c>
      <c r="U121" s="938">
        <f>S121+T121</f>
        <v>1095.2540077805079</v>
      </c>
      <c r="V121" s="940">
        <v>1</v>
      </c>
      <c r="W121" s="939">
        <v>1</v>
      </c>
      <c r="X121" s="937">
        <f>J113*L113</f>
        <v>441.33000000000004</v>
      </c>
      <c r="Y121" s="937">
        <f>K113*F121*W121</f>
        <v>225.83535583538082</v>
      </c>
      <c r="Z121" s="911">
        <f>X121+Y121</f>
        <v>667.16535583538086</v>
      </c>
      <c r="AA121" s="868">
        <f t="shared" si="20"/>
        <v>47.113807780507791</v>
      </c>
    </row>
    <row r="122" spans="2:27" ht="15.75" thickBot="1" x14ac:dyDescent="0.3">
      <c r="B122" s="941"/>
      <c r="C122" s="942"/>
      <c r="D122" s="943"/>
      <c r="E122" s="943"/>
      <c r="F122" s="943"/>
      <c r="G122" s="944"/>
      <c r="H122" s="944" t="s">
        <v>723</v>
      </c>
      <c r="I122" s="943"/>
      <c r="J122" s="943"/>
      <c r="K122" s="943"/>
      <c r="L122" s="944"/>
      <c r="M122" s="790"/>
      <c r="N122" s="720"/>
      <c r="O122" s="720"/>
      <c r="P122" s="720"/>
      <c r="Q122" s="790"/>
      <c r="R122" s="790"/>
      <c r="S122" s="720"/>
      <c r="T122" s="720"/>
      <c r="U122" s="720"/>
      <c r="V122" s="790"/>
      <c r="W122" s="790"/>
      <c r="X122" s="720"/>
      <c r="Y122" s="720"/>
      <c r="Z122" s="908"/>
      <c r="AA122" s="868"/>
    </row>
    <row r="123" spans="2:27" ht="15.75" thickBot="1" x14ac:dyDescent="0.3">
      <c r="B123" s="941"/>
      <c r="C123" s="945"/>
      <c r="D123" s="946" t="s">
        <v>699</v>
      </c>
      <c r="E123" s="947" t="s">
        <v>700</v>
      </c>
      <c r="F123" s="947" t="s">
        <v>701</v>
      </c>
      <c r="G123" s="947" t="s">
        <v>705</v>
      </c>
      <c r="H123" s="948" t="s">
        <v>711</v>
      </c>
      <c r="I123" s="949" t="s">
        <v>712</v>
      </c>
      <c r="J123" s="949" t="s">
        <v>713</v>
      </c>
      <c r="K123" s="950" t="s">
        <v>725</v>
      </c>
      <c r="L123" s="944"/>
      <c r="M123" s="790"/>
      <c r="N123" s="720"/>
      <c r="O123" s="720"/>
      <c r="P123" s="720"/>
      <c r="Q123" s="790"/>
      <c r="R123" s="790"/>
      <c r="S123" s="720"/>
      <c r="T123" s="720"/>
      <c r="U123" s="720"/>
      <c r="V123" s="790"/>
      <c r="W123" s="790"/>
      <c r="X123" s="720"/>
      <c r="Y123" s="720"/>
      <c r="Z123" s="908"/>
      <c r="AA123" s="868"/>
    </row>
    <row r="124" spans="2:27" x14ac:dyDescent="0.25">
      <c r="B124" s="941"/>
      <c r="C124" s="951" t="s">
        <v>689</v>
      </c>
      <c r="D124" s="952">
        <f>D109+(H124/(L109*G117))</f>
        <v>67.340377358490571</v>
      </c>
      <c r="E124" s="953">
        <v>999999</v>
      </c>
      <c r="F124" s="953">
        <f>F109+J124/(L109*Q117)</f>
        <v>559.58301886792447</v>
      </c>
      <c r="G124" s="954"/>
      <c r="H124" s="952">
        <f>G109*(N109-D117)</f>
        <v>60.325000000000003</v>
      </c>
      <c r="I124" s="953"/>
      <c r="J124" s="953">
        <f>I109*(N109-D117)</f>
        <v>482.6</v>
      </c>
      <c r="K124" s="955"/>
      <c r="L124" s="944"/>
      <c r="M124" s="790"/>
      <c r="N124" s="720"/>
      <c r="O124" s="720"/>
      <c r="P124" s="720"/>
      <c r="Q124" s="790"/>
      <c r="R124" s="790"/>
      <c r="S124" s="720"/>
      <c r="T124" s="720"/>
      <c r="U124" s="720"/>
      <c r="V124" s="790"/>
      <c r="W124" s="790"/>
      <c r="X124" s="720"/>
      <c r="Y124" s="720"/>
      <c r="Z124" s="908"/>
      <c r="AA124" s="868"/>
    </row>
    <row r="125" spans="2:27" x14ac:dyDescent="0.25">
      <c r="B125" s="941"/>
      <c r="C125" s="951" t="s">
        <v>690</v>
      </c>
      <c r="D125" s="956">
        <f t="shared" ref="D125:D128" si="21">D110+(H125/(L110*G118))</f>
        <v>19.611887366818873</v>
      </c>
      <c r="E125" s="943">
        <v>999999</v>
      </c>
      <c r="F125" s="943">
        <f t="shared" ref="F125:F128" si="22">F110+J125/(L110*Q118)</f>
        <v>125.60509893455099</v>
      </c>
      <c r="G125" s="957"/>
      <c r="H125" s="956">
        <f t="shared" ref="H125:H128" si="23">G110*(N110-D118)</f>
        <v>60.325000000000003</v>
      </c>
      <c r="I125" s="943"/>
      <c r="J125" s="943">
        <f t="shared" ref="J125:J128" si="24">I110*(N110-D118)</f>
        <v>482.6</v>
      </c>
      <c r="K125" s="958"/>
      <c r="L125" s="944"/>
      <c r="M125" s="790"/>
      <c r="N125" s="720"/>
      <c r="O125" s="720"/>
      <c r="P125" s="720"/>
      <c r="Q125" s="790"/>
      <c r="R125" s="790"/>
      <c r="S125" s="720"/>
      <c r="T125" s="720"/>
      <c r="U125" s="720"/>
      <c r="V125" s="790"/>
      <c r="W125" s="790"/>
      <c r="X125" s="720"/>
      <c r="Y125" s="720"/>
      <c r="Z125" s="908"/>
      <c r="AA125" s="868"/>
    </row>
    <row r="126" spans="2:27" x14ac:dyDescent="0.25">
      <c r="B126" s="941"/>
      <c r="C126" s="951" t="s">
        <v>691</v>
      </c>
      <c r="D126" s="956">
        <f t="shared" si="21"/>
        <v>14.838143939393939</v>
      </c>
      <c r="E126" s="943">
        <f>E111+I126/(L111*L119)</f>
        <v>33.282575757575756</v>
      </c>
      <c r="F126" s="943">
        <f t="shared" si="22"/>
        <v>76.985151515151514</v>
      </c>
      <c r="G126" s="957"/>
      <c r="H126" s="956">
        <f t="shared" si="23"/>
        <v>58.1875</v>
      </c>
      <c r="I126" s="943">
        <f>H111*(N111-D119)</f>
        <v>232.75</v>
      </c>
      <c r="J126" s="943">
        <f t="shared" si="24"/>
        <v>465.5</v>
      </c>
      <c r="K126" s="958"/>
      <c r="L126" s="944"/>
      <c r="M126" s="790"/>
      <c r="N126" s="720"/>
      <c r="O126" s="720"/>
      <c r="P126" s="720"/>
      <c r="Q126" s="790"/>
      <c r="R126" s="790"/>
      <c r="S126" s="720"/>
      <c r="T126" s="720"/>
      <c r="U126" s="720"/>
      <c r="V126" s="790"/>
      <c r="W126" s="790"/>
      <c r="X126" s="720"/>
      <c r="Y126" s="720"/>
      <c r="Z126" s="908"/>
      <c r="AA126" s="868"/>
    </row>
    <row r="127" spans="2:27" x14ac:dyDescent="0.25">
      <c r="B127" s="941"/>
      <c r="C127" s="951" t="s">
        <v>692</v>
      </c>
      <c r="D127" s="956">
        <f t="shared" si="21"/>
        <v>14.442931034482758</v>
      </c>
      <c r="E127" s="943">
        <f t="shared" ref="E127:E128" si="25">E112+I127/(L112*L120)</f>
        <v>29.981896551724141</v>
      </c>
      <c r="F127" s="943">
        <f>F112+J127/(L112*Q120)</f>
        <v>30.414597701149425</v>
      </c>
      <c r="G127" s="958">
        <f>J112+K127/L112</f>
        <v>15.624375000000001</v>
      </c>
      <c r="H127" s="956">
        <f t="shared" si="23"/>
        <v>97.754999999999995</v>
      </c>
      <c r="I127" s="943">
        <f t="shared" ref="I127:I128" si="26">H112*(N112-D120)</f>
        <v>349.125</v>
      </c>
      <c r="J127" s="943">
        <f t="shared" si="24"/>
        <v>232.75</v>
      </c>
      <c r="K127" s="958">
        <f>(N112-D120)*K112</f>
        <v>174.5625</v>
      </c>
      <c r="L127" s="944"/>
      <c r="M127" s="790"/>
      <c r="N127" s="720"/>
      <c r="O127" s="720"/>
      <c r="P127" s="720"/>
      <c r="Q127" s="790"/>
      <c r="R127" s="790"/>
      <c r="S127" s="720"/>
      <c r="T127" s="720"/>
      <c r="U127" s="720"/>
      <c r="V127" s="790"/>
      <c r="W127" s="790"/>
      <c r="X127" s="720"/>
      <c r="Y127" s="720"/>
      <c r="Z127" s="908"/>
      <c r="AA127" s="868"/>
    </row>
    <row r="128" spans="2:27" ht="15.75" thickBot="1" x14ac:dyDescent="0.3">
      <c r="B128" s="941"/>
      <c r="C128" s="959" t="s">
        <v>693</v>
      </c>
      <c r="D128" s="960">
        <f t="shared" si="21"/>
        <v>14.106228001050695</v>
      </c>
      <c r="E128" s="961">
        <f t="shared" si="25"/>
        <v>28.326648279485159</v>
      </c>
      <c r="F128" s="961">
        <f t="shared" si="22"/>
        <v>27.198324139742578</v>
      </c>
      <c r="G128" s="962">
        <f>J113+K128/L113</f>
        <v>13.240531914893618</v>
      </c>
      <c r="H128" s="960">
        <f t="shared" si="23"/>
        <v>139.95400000000001</v>
      </c>
      <c r="I128" s="961">
        <f t="shared" si="26"/>
        <v>482.6</v>
      </c>
      <c r="J128" s="961">
        <f t="shared" si="24"/>
        <v>241.3</v>
      </c>
      <c r="K128" s="962">
        <f>(N113-D121)*K113</f>
        <v>180.97500000000002</v>
      </c>
      <c r="L128" s="944"/>
      <c r="M128" s="790"/>
      <c r="N128" s="720"/>
      <c r="O128" s="720"/>
      <c r="P128" s="720"/>
      <c r="Q128" s="790"/>
      <c r="R128" s="790"/>
      <c r="S128" s="720"/>
      <c r="T128" s="720"/>
      <c r="U128" s="720"/>
      <c r="V128" s="790"/>
      <c r="W128" s="790"/>
      <c r="X128" s="720"/>
      <c r="Y128" s="720"/>
      <c r="Z128" s="908"/>
      <c r="AA128" s="868"/>
    </row>
    <row r="129" spans="2:26" ht="15.75" thickBot="1" x14ac:dyDescent="0.3">
      <c r="B129" s="941"/>
      <c r="C129" s="963"/>
      <c r="D129" s="941"/>
      <c r="E129" s="941"/>
      <c r="F129" s="941"/>
      <c r="G129" s="941"/>
      <c r="H129" s="941"/>
      <c r="I129" s="941"/>
      <c r="J129" s="941"/>
      <c r="K129" s="941"/>
      <c r="L129" s="941"/>
    </row>
    <row r="130" spans="2:26" ht="15.75" thickBot="1" x14ac:dyDescent="0.3">
      <c r="C130" s="770"/>
      <c r="D130" s="771" t="s">
        <v>726</v>
      </c>
      <c r="E130" s="771" t="s">
        <v>727</v>
      </c>
      <c r="F130" s="771" t="s">
        <v>728</v>
      </c>
      <c r="G130" s="771" t="s">
        <v>729</v>
      </c>
      <c r="H130" s="772" t="s">
        <v>730</v>
      </c>
      <c r="I130" s="914" t="s">
        <v>731</v>
      </c>
      <c r="J130" s="740" t="s">
        <v>732</v>
      </c>
    </row>
    <row r="131" spans="2:26" x14ac:dyDescent="0.25">
      <c r="C131" s="832" t="s">
        <v>689</v>
      </c>
      <c r="D131" s="964">
        <v>0.4</v>
      </c>
      <c r="E131" s="965">
        <v>0</v>
      </c>
      <c r="F131" s="965">
        <v>0.6</v>
      </c>
      <c r="G131" s="965">
        <v>0</v>
      </c>
      <c r="H131" s="966">
        <f>D131*K117+F131*U117+E131*P117+G131*Z117</f>
        <v>425.06139499999995</v>
      </c>
      <c r="I131" s="967">
        <f>D131*G109+E131*H109+F131*I109+G131*K109</f>
        <v>1.3</v>
      </c>
      <c r="J131" s="968">
        <f>2*H131</f>
        <v>850.1227899999999</v>
      </c>
    </row>
    <row r="132" spans="2:26" x14ac:dyDescent="0.25">
      <c r="C132" s="840" t="s">
        <v>690</v>
      </c>
      <c r="D132" s="969">
        <v>0.78</v>
      </c>
      <c r="E132" s="634">
        <v>0</v>
      </c>
      <c r="F132" s="634">
        <v>0.22</v>
      </c>
      <c r="G132" s="634">
        <v>0</v>
      </c>
      <c r="H132" s="970">
        <f>D132*K118+F132*U118+E132*P118+G132*Z118</f>
        <v>310.08079425000005</v>
      </c>
      <c r="I132" s="967">
        <f>D132*G110+E132*H110+F132*I110+G132*K110</f>
        <v>0.63500000000000001</v>
      </c>
      <c r="J132" s="968">
        <f t="shared" ref="J132:J135" si="27">2*H132</f>
        <v>620.16158850000011</v>
      </c>
    </row>
    <row r="133" spans="2:26" x14ac:dyDescent="0.25">
      <c r="C133" s="840" t="s">
        <v>691</v>
      </c>
      <c r="D133" s="969">
        <v>0.56999999999999995</v>
      </c>
      <c r="E133" s="634">
        <v>0.31</v>
      </c>
      <c r="F133" s="634">
        <v>0.12</v>
      </c>
      <c r="G133" s="634">
        <v>0</v>
      </c>
      <c r="H133" s="970">
        <f>D133*K119+F133*U119+E133*P119+G133*Z119</f>
        <v>409.80893749999996</v>
      </c>
      <c r="I133" s="967">
        <f>D133*G111+E133*H111+F133*I111+G133*K111</f>
        <v>0.6925</v>
      </c>
      <c r="J133" s="968">
        <f t="shared" si="27"/>
        <v>819.61787499999991</v>
      </c>
    </row>
    <row r="134" spans="2:26" x14ac:dyDescent="0.25">
      <c r="C134" s="840" t="s">
        <v>692</v>
      </c>
      <c r="D134" s="969">
        <v>0.52</v>
      </c>
      <c r="E134" s="634">
        <v>0.06</v>
      </c>
      <c r="F134" s="634">
        <v>0.42</v>
      </c>
      <c r="G134" s="634">
        <v>0</v>
      </c>
      <c r="H134" s="970">
        <f>D134*K120+F134*U120+E134*P120+G134*Z120</f>
        <v>578.98649185543002</v>
      </c>
      <c r="I134" s="967">
        <f>D134*G112+E134*H112+F134*I112+G134*K112</f>
        <v>0.72839999999999994</v>
      </c>
      <c r="J134" s="968">
        <f t="shared" si="27"/>
        <v>1157.97298371086</v>
      </c>
    </row>
    <row r="135" spans="2:26" ht="15.75" thickBot="1" x14ac:dyDescent="0.3">
      <c r="C135" s="848" t="s">
        <v>693</v>
      </c>
      <c r="D135" s="971">
        <v>0.59</v>
      </c>
      <c r="E135" s="972">
        <v>0.1</v>
      </c>
      <c r="F135" s="972">
        <v>0.31</v>
      </c>
      <c r="G135" s="972">
        <v>0</v>
      </c>
      <c r="H135" s="973">
        <f>D135*K121+F135*U121+E135*P121+G135*Z121</f>
        <v>796.64355799054874</v>
      </c>
      <c r="I135" s="974">
        <f>D135*G113+E135*H113+F135*I113+G135*K113</f>
        <v>0.85220000000000007</v>
      </c>
      <c r="J135" s="975">
        <f t="shared" si="27"/>
        <v>1593.2871159810975</v>
      </c>
    </row>
    <row r="136" spans="2:26" ht="15.75" thickBot="1" x14ac:dyDescent="0.3"/>
    <row r="137" spans="2:26" x14ac:dyDescent="0.25">
      <c r="C137" s="914"/>
      <c r="D137" s="915"/>
      <c r="E137" s="916"/>
      <c r="F137" s="917"/>
      <c r="G137" s="915" t="s">
        <v>711</v>
      </c>
      <c r="H137" s="916"/>
      <c r="I137" s="916"/>
      <c r="J137" s="916"/>
      <c r="K137" s="917"/>
      <c r="L137" s="915" t="s">
        <v>712</v>
      </c>
      <c r="M137" s="916"/>
      <c r="N137" s="916"/>
      <c r="O137" s="916"/>
      <c r="P137" s="917"/>
      <c r="Q137" s="915" t="s">
        <v>713</v>
      </c>
      <c r="R137" s="916"/>
      <c r="S137" s="916"/>
      <c r="T137" s="916"/>
      <c r="U137" s="917"/>
      <c r="V137" s="915" t="s">
        <v>714</v>
      </c>
      <c r="W137" s="916"/>
      <c r="X137" s="916"/>
      <c r="Y137" s="916"/>
      <c r="Z137" s="740"/>
    </row>
    <row r="138" spans="2:26" ht="15.75" thickBot="1" x14ac:dyDescent="0.3">
      <c r="C138" s="918"/>
      <c r="D138" s="921" t="s">
        <v>687</v>
      </c>
      <c r="E138" s="922" t="s">
        <v>715</v>
      </c>
      <c r="F138" s="923" t="s">
        <v>716</v>
      </c>
      <c r="G138" s="921" t="s">
        <v>717</v>
      </c>
      <c r="H138" s="922" t="s">
        <v>718</v>
      </c>
      <c r="I138" s="922" t="s">
        <v>719</v>
      </c>
      <c r="J138" s="922" t="s">
        <v>720</v>
      </c>
      <c r="K138" s="923" t="s">
        <v>721</v>
      </c>
      <c r="L138" s="921" t="s">
        <v>717</v>
      </c>
      <c r="M138" s="922" t="s">
        <v>718</v>
      </c>
      <c r="N138" s="922" t="s">
        <v>719</v>
      </c>
      <c r="O138" s="922" t="s">
        <v>720</v>
      </c>
      <c r="P138" s="923" t="s">
        <v>721</v>
      </c>
      <c r="Q138" s="921" t="s">
        <v>717</v>
      </c>
      <c r="R138" s="922" t="s">
        <v>718</v>
      </c>
      <c r="S138" s="922" t="s">
        <v>719</v>
      </c>
      <c r="T138" s="922" t="s">
        <v>720</v>
      </c>
      <c r="U138" s="923" t="s">
        <v>721</v>
      </c>
      <c r="V138" s="921" t="s">
        <v>717</v>
      </c>
      <c r="W138" s="922" t="s">
        <v>718</v>
      </c>
      <c r="X138" s="922" t="s">
        <v>719</v>
      </c>
      <c r="Y138" s="922" t="s">
        <v>720</v>
      </c>
      <c r="Z138" s="923" t="s">
        <v>721</v>
      </c>
    </row>
    <row r="139" spans="2:26" x14ac:dyDescent="0.25">
      <c r="C139" s="899" t="s">
        <v>635</v>
      </c>
      <c r="D139" s="925">
        <v>0</v>
      </c>
      <c r="E139" s="926">
        <f>M109</f>
        <v>289.60000000000002</v>
      </c>
      <c r="F139" s="927">
        <f>M109</f>
        <v>289.60000000000002</v>
      </c>
      <c r="G139" s="976">
        <v>0.55000000000000004</v>
      </c>
      <c r="H139" s="977">
        <v>1</v>
      </c>
      <c r="I139" s="926">
        <f>D109*L109*G139</f>
        <v>11.473000000000001</v>
      </c>
      <c r="J139" s="926">
        <f>G109*F139*H139</f>
        <v>72.400000000000006</v>
      </c>
      <c r="K139" s="927">
        <f>I139+J139</f>
        <v>83.873000000000005</v>
      </c>
      <c r="L139" s="978"/>
      <c r="M139" s="979"/>
      <c r="N139" s="980"/>
      <c r="O139" s="980"/>
      <c r="P139" s="981"/>
      <c r="Q139" s="976">
        <v>0.5</v>
      </c>
      <c r="R139" s="977">
        <v>1</v>
      </c>
      <c r="S139" s="926">
        <f>F109*L109*Q139</f>
        <v>104.3</v>
      </c>
      <c r="T139" s="926">
        <f>I109*F139*R139</f>
        <v>579.20000000000005</v>
      </c>
      <c r="U139" s="927">
        <f>S139+T139</f>
        <v>683.5</v>
      </c>
      <c r="V139" s="978"/>
      <c r="W139" s="979"/>
      <c r="X139" s="980">
        <v>999999</v>
      </c>
      <c r="Y139" s="980">
        <v>999999</v>
      </c>
      <c r="Z139" s="981"/>
    </row>
    <row r="140" spans="2:26" x14ac:dyDescent="0.25">
      <c r="C140" s="779" t="s">
        <v>636</v>
      </c>
      <c r="D140" s="934">
        <v>0</v>
      </c>
      <c r="E140" s="720">
        <f>M110</f>
        <v>317.83999999999997</v>
      </c>
      <c r="F140" s="928">
        <f>M110</f>
        <v>317.83999999999997</v>
      </c>
      <c r="G140" s="933">
        <v>0.48</v>
      </c>
      <c r="H140" s="790">
        <v>1</v>
      </c>
      <c r="I140" s="720">
        <f>D110*L110*G140</f>
        <v>45.057600000000001</v>
      </c>
      <c r="J140" s="720">
        <f>G110*F140*H140</f>
        <v>79.459999999999994</v>
      </c>
      <c r="K140" s="928">
        <f>I140+J140</f>
        <v>124.51759999999999</v>
      </c>
      <c r="L140" s="929"/>
      <c r="M140" s="930"/>
      <c r="N140" s="931"/>
      <c r="O140" s="931"/>
      <c r="P140" s="932"/>
      <c r="Q140" s="933">
        <v>0.48</v>
      </c>
      <c r="R140" s="790">
        <v>1</v>
      </c>
      <c r="S140" s="720">
        <f>F110*L110*Q140</f>
        <v>225.28799999999998</v>
      </c>
      <c r="T140" s="720">
        <f>I110*F140*R140</f>
        <v>635.67999999999995</v>
      </c>
      <c r="U140" s="928">
        <f>S140+T140</f>
        <v>860.96799999999996</v>
      </c>
      <c r="V140" s="929"/>
      <c r="W140" s="930"/>
      <c r="X140" s="931">
        <v>999999</v>
      </c>
      <c r="Y140" s="931">
        <v>999999</v>
      </c>
      <c r="Z140" s="932"/>
    </row>
    <row r="141" spans="2:26" x14ac:dyDescent="0.25">
      <c r="C141" s="779" t="s">
        <v>637</v>
      </c>
      <c r="D141" s="934">
        <v>0</v>
      </c>
      <c r="E141" s="720">
        <f>M111</f>
        <v>335.31999999999994</v>
      </c>
      <c r="F141" s="928">
        <f>M111</f>
        <v>335.31999999999994</v>
      </c>
      <c r="G141" s="933">
        <v>0.5</v>
      </c>
      <c r="H141" s="790">
        <v>1</v>
      </c>
      <c r="I141" s="720">
        <f>D111*L111*G141</f>
        <v>78.224999999999994</v>
      </c>
      <c r="J141" s="720">
        <f>G111*F141*H141</f>
        <v>83.829999999999984</v>
      </c>
      <c r="K141" s="928">
        <f>I141+J141</f>
        <v>162.05499999999998</v>
      </c>
      <c r="L141" s="933">
        <v>0.5</v>
      </c>
      <c r="M141" s="790">
        <v>1</v>
      </c>
      <c r="N141" s="720">
        <f>E111*L111*L141</f>
        <v>117.375</v>
      </c>
      <c r="O141" s="720">
        <f>H111*F141*M141</f>
        <v>335.31999999999994</v>
      </c>
      <c r="P141" s="928">
        <f>N141+O141</f>
        <v>452.69499999999994</v>
      </c>
      <c r="Q141" s="933">
        <v>0.5</v>
      </c>
      <c r="R141" s="790">
        <v>1</v>
      </c>
      <c r="S141" s="720">
        <f>F111*L111*Q141</f>
        <v>312.89999999999998</v>
      </c>
      <c r="T141" s="720">
        <f>I111*F141*R141</f>
        <v>670.63999999999987</v>
      </c>
      <c r="U141" s="928">
        <f>S141+T141</f>
        <v>983.53999999999985</v>
      </c>
      <c r="V141" s="929"/>
      <c r="W141" s="930"/>
      <c r="X141" s="931">
        <v>999999</v>
      </c>
      <c r="Y141" s="931">
        <v>999999</v>
      </c>
      <c r="Z141" s="932"/>
    </row>
    <row r="142" spans="2:26" x14ac:dyDescent="0.25">
      <c r="C142" s="779" t="s">
        <v>638</v>
      </c>
      <c r="D142" s="934">
        <v>0</v>
      </c>
      <c r="E142" s="720">
        <f>M112</f>
        <v>330.50782195340497</v>
      </c>
      <c r="F142" s="928">
        <f>M112</f>
        <v>330.50782195340497</v>
      </c>
      <c r="G142" s="933">
        <v>0.5</v>
      </c>
      <c r="H142" s="790">
        <v>1</v>
      </c>
      <c r="I142" s="720">
        <f>D112*L112*G142</f>
        <v>146.01999999999998</v>
      </c>
      <c r="J142" s="720">
        <f>G112*F142*H142</f>
        <v>138.81328522043009</v>
      </c>
      <c r="K142" s="928">
        <f>I142+J142</f>
        <v>284.83328522043007</v>
      </c>
      <c r="L142" s="933">
        <v>0.5</v>
      </c>
      <c r="M142" s="790">
        <v>1</v>
      </c>
      <c r="N142" s="720">
        <f>E112*L112*L142</f>
        <v>219.1</v>
      </c>
      <c r="O142" s="720">
        <f>H112*F142*M142</f>
        <v>495.76173293010743</v>
      </c>
      <c r="P142" s="928">
        <f>N142+O142</f>
        <v>714.86173293010745</v>
      </c>
      <c r="Q142" s="933">
        <v>0.5</v>
      </c>
      <c r="R142" s="790">
        <v>1</v>
      </c>
      <c r="S142" s="720">
        <f>F112*L112*Q142</f>
        <v>292.03999999999996</v>
      </c>
      <c r="T142" s="720">
        <f>I112*F142*R142</f>
        <v>330.50782195340497</v>
      </c>
      <c r="U142" s="928">
        <f>S142+T142</f>
        <v>622.54782195340499</v>
      </c>
      <c r="V142" s="933">
        <v>1</v>
      </c>
      <c r="W142" s="790">
        <v>1</v>
      </c>
      <c r="X142" s="720">
        <f>J112*L112</f>
        <v>262.92</v>
      </c>
      <c r="Y142" s="720">
        <f>K112*F142*W142</f>
        <v>247.88086646505371</v>
      </c>
      <c r="Z142" s="906">
        <f>X142+Y142</f>
        <v>510.80086646505373</v>
      </c>
    </row>
    <row r="143" spans="2:26" ht="15.75" thickBot="1" x14ac:dyDescent="0.3">
      <c r="C143" s="783" t="s">
        <v>639</v>
      </c>
      <c r="D143" s="936">
        <v>0</v>
      </c>
      <c r="E143" s="937">
        <f>M113</f>
        <v>344.93011556101555</v>
      </c>
      <c r="F143" s="938">
        <f>M113</f>
        <v>344.93011556101555</v>
      </c>
      <c r="G143" s="940">
        <v>0.5</v>
      </c>
      <c r="H143" s="939">
        <v>1</v>
      </c>
      <c r="I143" s="937">
        <f>D113*L113*G143</f>
        <v>245.10499999999999</v>
      </c>
      <c r="J143" s="937">
        <f>G113*F143*H143</f>
        <v>200.05946702538901</v>
      </c>
      <c r="K143" s="938">
        <f>I143+J143</f>
        <v>445.164467025389</v>
      </c>
      <c r="L143" s="940">
        <v>0.5</v>
      </c>
      <c r="M143" s="939">
        <v>1</v>
      </c>
      <c r="N143" s="937">
        <f>E113*L113*L143</f>
        <v>367.77500000000003</v>
      </c>
      <c r="O143" s="937">
        <f>H113*F143*M143</f>
        <v>689.86023112203111</v>
      </c>
      <c r="P143" s="938">
        <f>N143+O143</f>
        <v>1057.6352311220312</v>
      </c>
      <c r="Q143" s="940">
        <v>0.5</v>
      </c>
      <c r="R143" s="939">
        <v>1</v>
      </c>
      <c r="S143" s="937">
        <f>F113*L113*Q143</f>
        <v>490.21</v>
      </c>
      <c r="T143" s="937">
        <f>I113*F143*R143</f>
        <v>344.93011556101555</v>
      </c>
      <c r="U143" s="938">
        <f>S143+T143</f>
        <v>835.14011556101559</v>
      </c>
      <c r="V143" s="940">
        <v>1</v>
      </c>
      <c r="W143" s="939">
        <v>1</v>
      </c>
      <c r="X143" s="937">
        <f>J113*L113</f>
        <v>441.33000000000004</v>
      </c>
      <c r="Y143" s="937">
        <f>K113*F143*W143</f>
        <v>258.69758667076167</v>
      </c>
      <c r="Z143" s="911">
        <f>X143+Y143</f>
        <v>700.02758667076171</v>
      </c>
    </row>
    <row r="144" spans="2:26" ht="15.75" thickBot="1" x14ac:dyDescent="0.3">
      <c r="C144" s="913"/>
    </row>
    <row r="145" spans="1:15" ht="15.75" thickBot="1" x14ac:dyDescent="0.3">
      <c r="C145" s="770"/>
      <c r="D145" s="771" t="s">
        <v>726</v>
      </c>
      <c r="E145" s="771" t="s">
        <v>727</v>
      </c>
      <c r="F145" s="771" t="s">
        <v>728</v>
      </c>
      <c r="G145" s="771" t="s">
        <v>729</v>
      </c>
      <c r="H145" s="772" t="s">
        <v>730</v>
      </c>
      <c r="I145" s="914" t="s">
        <v>731</v>
      </c>
      <c r="J145" s="740" t="s">
        <v>732</v>
      </c>
    </row>
    <row r="146" spans="1:15" x14ac:dyDescent="0.25">
      <c r="C146" s="899" t="s">
        <v>635</v>
      </c>
      <c r="D146" s="964">
        <v>0.4</v>
      </c>
      <c r="E146" s="965">
        <v>0</v>
      </c>
      <c r="F146" s="965">
        <v>0.6</v>
      </c>
      <c r="G146" s="965">
        <v>0</v>
      </c>
      <c r="H146" s="902">
        <f>D146*K139+F146*U139+E146*P139+G146*Z139</f>
        <v>443.64919999999995</v>
      </c>
      <c r="I146" s="737">
        <f>I131</f>
        <v>1.3</v>
      </c>
      <c r="J146" s="740">
        <f>2*H146</f>
        <v>887.2983999999999</v>
      </c>
    </row>
    <row r="147" spans="1:15" x14ac:dyDescent="0.25">
      <c r="C147" s="779" t="s">
        <v>636</v>
      </c>
      <c r="D147" s="969">
        <v>0.78</v>
      </c>
      <c r="E147" s="634">
        <v>0</v>
      </c>
      <c r="F147" s="634">
        <v>0.22</v>
      </c>
      <c r="G147" s="634">
        <v>0</v>
      </c>
      <c r="H147" s="906">
        <f>D147*K140+F147*U140+E147*P140+G147*Z140</f>
        <v>286.53668800000003</v>
      </c>
      <c r="I147" s="967">
        <f t="shared" ref="I147:I150" si="28">I132</f>
        <v>0.63500000000000001</v>
      </c>
      <c r="J147" s="968">
        <f t="shared" ref="J147:J150" si="29">2*H147</f>
        <v>573.07337600000005</v>
      </c>
    </row>
    <row r="148" spans="1:15" x14ac:dyDescent="0.25">
      <c r="C148" s="779" t="s">
        <v>637</v>
      </c>
      <c r="D148" s="969">
        <v>0.56999999999999995</v>
      </c>
      <c r="E148" s="634">
        <v>0.31</v>
      </c>
      <c r="F148" s="634">
        <v>0.12</v>
      </c>
      <c r="G148" s="634">
        <v>0</v>
      </c>
      <c r="H148" s="906">
        <f>D148*K141+F148*U141+E148*P141+G148*Z141</f>
        <v>350.73159999999996</v>
      </c>
      <c r="I148" s="967">
        <f t="shared" si="28"/>
        <v>0.6925</v>
      </c>
      <c r="J148" s="968">
        <f t="shared" si="29"/>
        <v>701.46319999999992</v>
      </c>
    </row>
    <row r="149" spans="1:15" x14ac:dyDescent="0.25">
      <c r="C149" s="779" t="s">
        <v>638</v>
      </c>
      <c r="D149" s="969">
        <v>0.52</v>
      </c>
      <c r="E149" s="634">
        <v>0.06</v>
      </c>
      <c r="F149" s="634">
        <v>0.42</v>
      </c>
      <c r="G149" s="634">
        <v>0</v>
      </c>
      <c r="H149" s="906">
        <f>D149*K142+F149*U142+E149*P142+G149*Z142</f>
        <v>452.47509751086011</v>
      </c>
      <c r="I149" s="967">
        <f t="shared" si="28"/>
        <v>0.72839999999999994</v>
      </c>
      <c r="J149" s="968">
        <f t="shared" si="29"/>
        <v>904.95019502172022</v>
      </c>
    </row>
    <row r="150" spans="1:15" ht="15.75" thickBot="1" x14ac:dyDescent="0.3">
      <c r="C150" s="783" t="s">
        <v>639</v>
      </c>
      <c r="D150" s="971">
        <v>0.59</v>
      </c>
      <c r="E150" s="972">
        <v>0.1</v>
      </c>
      <c r="F150" s="972">
        <v>0.31</v>
      </c>
      <c r="G150" s="972">
        <v>0</v>
      </c>
      <c r="H150" s="911">
        <f>D150*K143+F150*U143+E150*P143+G150*Z143</f>
        <v>627.30399448109733</v>
      </c>
      <c r="I150" s="974">
        <f t="shared" si="28"/>
        <v>0.85220000000000007</v>
      </c>
      <c r="J150" s="975">
        <f t="shared" si="29"/>
        <v>1254.6079889621947</v>
      </c>
    </row>
    <row r="152" spans="1:15" ht="15.75" thickBot="1" x14ac:dyDescent="0.3">
      <c r="A152" t="s">
        <v>744</v>
      </c>
    </row>
    <row r="153" spans="1:15" ht="45" x14ac:dyDescent="0.25">
      <c r="B153" t="s">
        <v>745</v>
      </c>
      <c r="C153" s="989" t="s">
        <v>746</v>
      </c>
      <c r="D153" s="990" t="s">
        <v>747</v>
      </c>
    </row>
    <row r="154" spans="1:15" ht="15.75" thickBot="1" x14ac:dyDescent="0.3">
      <c r="C154" s="984">
        <v>0.5</v>
      </c>
      <c r="D154" s="975">
        <v>200</v>
      </c>
    </row>
    <row r="155" spans="1:15" ht="15.75" thickBot="1" x14ac:dyDescent="0.3">
      <c r="A155" t="s">
        <v>748</v>
      </c>
      <c r="D155" t="s">
        <v>749</v>
      </c>
      <c r="E155" t="s">
        <v>750</v>
      </c>
      <c r="F155" t="s">
        <v>751</v>
      </c>
      <c r="G155" t="s">
        <v>752</v>
      </c>
      <c r="H155" t="s">
        <v>679</v>
      </c>
      <c r="I155" t="s">
        <v>753</v>
      </c>
    </row>
    <row r="156" spans="1:15" x14ac:dyDescent="0.25">
      <c r="C156" s="775">
        <v>40</v>
      </c>
      <c r="D156" s="991">
        <f>$C$154*E142</f>
        <v>165.25391097670249</v>
      </c>
      <c r="E156" s="992">
        <f>$C$154*AA120</f>
        <v>22.043330488351256</v>
      </c>
      <c r="F156" s="743">
        <f t="shared" ref="F156:F157" si="30">$D$154</f>
        <v>200</v>
      </c>
      <c r="G156" s="992">
        <f>D156+E156+F156</f>
        <v>387.29724146505373</v>
      </c>
      <c r="H156" s="993">
        <f>D156+E156</f>
        <v>187.29724146505373</v>
      </c>
      <c r="I156" s="993">
        <f>G156-J134</f>
        <v>-770.6757422458063</v>
      </c>
    </row>
    <row r="157" spans="1:15" ht="15.75" thickBot="1" x14ac:dyDescent="0.3">
      <c r="C157" s="783">
        <v>60</v>
      </c>
      <c r="D157" s="994">
        <f>$C$154*E143</f>
        <v>172.46505778050778</v>
      </c>
      <c r="E157" s="995">
        <f>$C$154*AA121</f>
        <v>23.556903890253896</v>
      </c>
      <c r="F157" s="912">
        <f t="shared" si="30"/>
        <v>200</v>
      </c>
      <c r="G157" s="995">
        <f>D157+E157+F157</f>
        <v>396.0219616707617</v>
      </c>
      <c r="H157" s="996">
        <f>D157+E157</f>
        <v>196.02196167076167</v>
      </c>
      <c r="I157" s="996">
        <f>G157-J135</f>
        <v>-1197.2651543103357</v>
      </c>
    </row>
    <row r="158" spans="1:15" x14ac:dyDescent="0.25">
      <c r="C158" s="899"/>
      <c r="D158" s="997"/>
      <c r="E158" s="997"/>
      <c r="G158" s="997"/>
    </row>
    <row r="159" spans="1:15" ht="15.75" thickBot="1" x14ac:dyDescent="0.3">
      <c r="A159" t="s">
        <v>754</v>
      </c>
    </row>
    <row r="160" spans="1:15" ht="15.75" thickBot="1" x14ac:dyDescent="0.3">
      <c r="C160" s="998"/>
      <c r="D160" s="743" t="s">
        <v>755</v>
      </c>
      <c r="E160" s="743"/>
      <c r="F160" s="743"/>
      <c r="G160" s="743"/>
      <c r="H160" s="743" t="s">
        <v>756</v>
      </c>
      <c r="I160" s="743"/>
      <c r="J160" s="743"/>
      <c r="K160" s="743"/>
      <c r="L160" s="743" t="s">
        <v>757</v>
      </c>
      <c r="M160" s="743"/>
      <c r="N160" s="743"/>
      <c r="O160" s="740"/>
    </row>
    <row r="161" spans="3:19" ht="15.75" thickBot="1" x14ac:dyDescent="0.3">
      <c r="C161" s="924"/>
      <c r="D161" s="771" t="s">
        <v>711</v>
      </c>
      <c r="E161" s="771" t="s">
        <v>758</v>
      </c>
      <c r="F161" s="771" t="s">
        <v>713</v>
      </c>
      <c r="G161" s="771" t="s">
        <v>714</v>
      </c>
      <c r="H161" s="771" t="s">
        <v>711</v>
      </c>
      <c r="I161" s="771" t="s">
        <v>758</v>
      </c>
      <c r="J161" s="771" t="s">
        <v>713</v>
      </c>
      <c r="K161" s="771" t="s">
        <v>714</v>
      </c>
      <c r="L161" s="771" t="s">
        <v>711</v>
      </c>
      <c r="M161" s="771" t="s">
        <v>758</v>
      </c>
      <c r="N161" s="771" t="s">
        <v>713</v>
      </c>
      <c r="O161" s="772" t="s">
        <v>714</v>
      </c>
    </row>
    <row r="162" spans="3:19" x14ac:dyDescent="0.25">
      <c r="C162" s="924" t="s">
        <v>759</v>
      </c>
      <c r="D162" s="982">
        <f t="shared" ref="D162:F163" si="31">G112</f>
        <v>0.42</v>
      </c>
      <c r="E162" s="743">
        <f t="shared" si="31"/>
        <v>1.5</v>
      </c>
      <c r="F162" s="743">
        <f t="shared" si="31"/>
        <v>1</v>
      </c>
      <c r="G162" s="743">
        <f>K112</f>
        <v>0.75</v>
      </c>
      <c r="H162" s="992">
        <f>D162*$F142</f>
        <v>138.81328522043009</v>
      </c>
      <c r="I162" s="992">
        <f t="shared" ref="I162:K163" si="32">E162*$F142</f>
        <v>495.76173293010743</v>
      </c>
      <c r="J162" s="992">
        <f t="shared" si="32"/>
        <v>330.50782195340497</v>
      </c>
      <c r="K162" s="992">
        <f t="shared" si="32"/>
        <v>247.88086646505371</v>
      </c>
      <c r="L162" s="992">
        <f>H162-$H156</f>
        <v>-48.483956244623641</v>
      </c>
      <c r="M162" s="992">
        <f t="shared" ref="M162:O163" si="33">I162-$H156</f>
        <v>308.4644914650537</v>
      </c>
      <c r="N162" s="992">
        <f t="shared" si="33"/>
        <v>143.21058048835124</v>
      </c>
      <c r="O162" s="993">
        <f t="shared" si="33"/>
        <v>60.583624999999984</v>
      </c>
    </row>
    <row r="163" spans="3:19" ht="15.75" thickBot="1" x14ac:dyDescent="0.3">
      <c r="C163" s="935" t="s">
        <v>639</v>
      </c>
      <c r="D163" s="984">
        <f t="shared" si="31"/>
        <v>0.57999999999999996</v>
      </c>
      <c r="E163" s="912">
        <f t="shared" si="31"/>
        <v>2</v>
      </c>
      <c r="F163" s="912">
        <f t="shared" si="31"/>
        <v>1</v>
      </c>
      <c r="G163" s="912">
        <f>K113</f>
        <v>0.75</v>
      </c>
      <c r="H163" s="995">
        <f>D163*$F143</f>
        <v>200.05946702538901</v>
      </c>
      <c r="I163" s="995">
        <f t="shared" si="32"/>
        <v>689.86023112203111</v>
      </c>
      <c r="J163" s="995">
        <f t="shared" si="32"/>
        <v>344.93011556101555</v>
      </c>
      <c r="K163" s="995">
        <f>G163*$F143</f>
        <v>258.69758667076167</v>
      </c>
      <c r="L163" s="995">
        <f>H163-$H157</f>
        <v>4.0375053546273421</v>
      </c>
      <c r="M163" s="995">
        <f t="shared" si="33"/>
        <v>493.83826945126941</v>
      </c>
      <c r="N163" s="995">
        <f t="shared" si="33"/>
        <v>148.90815389025389</v>
      </c>
      <c r="O163" s="996">
        <f t="shared" si="33"/>
        <v>62.675624999999997</v>
      </c>
    </row>
    <row r="164" spans="3:19" ht="15.75" thickBot="1" x14ac:dyDescent="0.3">
      <c r="D164" t="s">
        <v>760</v>
      </c>
    </row>
    <row r="165" spans="3:19" x14ac:dyDescent="0.25">
      <c r="C165" s="998" t="s">
        <v>692</v>
      </c>
      <c r="D165" s="743">
        <f>H165/ $E120</f>
        <v>0.86061110836287791</v>
      </c>
      <c r="E165" s="743">
        <f t="shared" ref="E165:G166" si="34">I165/ $E120</f>
        <v>-5.4753775981259567</v>
      </c>
      <c r="F165" s="743">
        <f t="shared" si="34"/>
        <v>-2.5420494932700151</v>
      </c>
      <c r="G165" s="743">
        <f t="shared" si="34"/>
        <v>-1.0753854408420436</v>
      </c>
      <c r="H165" s="992">
        <f>-L162</f>
        <v>48.483956244623641</v>
      </c>
      <c r="I165" s="992">
        <f t="shared" ref="I165:K166" si="35">-M162</f>
        <v>-308.4644914650537</v>
      </c>
      <c r="J165" s="992">
        <f t="shared" si="35"/>
        <v>-143.21058048835124</v>
      </c>
      <c r="K165" s="992">
        <f t="shared" si="35"/>
        <v>-60.583624999999984</v>
      </c>
      <c r="L165" s="992">
        <f>L162+H165</f>
        <v>0</v>
      </c>
      <c r="M165" s="992">
        <f t="shared" ref="M165:O166" si="36">M162+I165</f>
        <v>0</v>
      </c>
      <c r="N165" s="992">
        <f t="shared" si="36"/>
        <v>0</v>
      </c>
      <c r="O165" s="993">
        <f t="shared" si="36"/>
        <v>0</v>
      </c>
    </row>
    <row r="166" spans="3:19" ht="15.75" thickBot="1" x14ac:dyDescent="0.3">
      <c r="C166" s="935" t="s">
        <v>693</v>
      </c>
      <c r="D166" s="912">
        <f>H166/ $E121</f>
        <v>-6.7501225961793559E-2</v>
      </c>
      <c r="E166" s="912">
        <f t="shared" si="34"/>
        <v>-8.2562586763152392</v>
      </c>
      <c r="F166" s="912">
        <f t="shared" si="34"/>
        <v>-2.4895280774747848</v>
      </c>
      <c r="G166" s="912">
        <f t="shared" si="34"/>
        <v>-1.0478454277646709</v>
      </c>
      <c r="H166" s="995">
        <f>-L163</f>
        <v>-4.0375053546273421</v>
      </c>
      <c r="I166" s="995">
        <f t="shared" si="35"/>
        <v>-493.83826945126941</v>
      </c>
      <c r="J166" s="995">
        <f t="shared" si="35"/>
        <v>-148.90815389025389</v>
      </c>
      <c r="K166" s="995">
        <f t="shared" si="35"/>
        <v>-62.675624999999997</v>
      </c>
      <c r="L166" s="995">
        <f>L163+H166</f>
        <v>0</v>
      </c>
      <c r="M166" s="995">
        <f t="shared" si="36"/>
        <v>0</v>
      </c>
      <c r="N166" s="995">
        <f t="shared" si="36"/>
        <v>0</v>
      </c>
      <c r="O166" s="996">
        <f t="shared" si="36"/>
        <v>0</v>
      </c>
    </row>
    <row r="168" spans="3:19" ht="15.75" thickBot="1" x14ac:dyDescent="0.3">
      <c r="D168" t="s">
        <v>761</v>
      </c>
      <c r="H168" t="s">
        <v>762</v>
      </c>
      <c r="L168" t="s">
        <v>763</v>
      </c>
      <c r="P168" t="s">
        <v>764</v>
      </c>
    </row>
    <row r="169" spans="3:19" ht="15.75" thickBot="1" x14ac:dyDescent="0.3">
      <c r="C169" s="737"/>
      <c r="D169" s="771" t="s">
        <v>711</v>
      </c>
      <c r="E169" s="771" t="s">
        <v>758</v>
      </c>
      <c r="F169" s="771" t="s">
        <v>713</v>
      </c>
      <c r="G169" s="771" t="s">
        <v>714</v>
      </c>
      <c r="H169" s="771" t="s">
        <v>711</v>
      </c>
      <c r="I169" s="771" t="s">
        <v>758</v>
      </c>
      <c r="J169" s="771" t="s">
        <v>713</v>
      </c>
      <c r="K169" s="771" t="s">
        <v>714</v>
      </c>
      <c r="L169" s="771" t="s">
        <v>711</v>
      </c>
      <c r="M169" s="771" t="s">
        <v>758</v>
      </c>
      <c r="N169" s="771" t="s">
        <v>713</v>
      </c>
      <c r="O169" s="771" t="s">
        <v>714</v>
      </c>
      <c r="P169" s="771" t="s">
        <v>711</v>
      </c>
      <c r="Q169" s="771" t="s">
        <v>758</v>
      </c>
      <c r="R169" s="771" t="s">
        <v>713</v>
      </c>
      <c r="S169" s="772" t="s">
        <v>714</v>
      </c>
    </row>
    <row r="170" spans="3:19" x14ac:dyDescent="0.25">
      <c r="C170" s="924" t="s">
        <v>759</v>
      </c>
      <c r="D170" s="999">
        <f>I120</f>
        <v>254.07479999999995</v>
      </c>
      <c r="E170" s="999">
        <f>N120</f>
        <v>381.23399999999998</v>
      </c>
      <c r="F170" s="999">
        <f>S120</f>
        <v>508.14959999999991</v>
      </c>
      <c r="G170" s="999">
        <f>X120</f>
        <v>262.92</v>
      </c>
      <c r="H170" s="999">
        <f>$F156-D170</f>
        <v>-54.074799999999954</v>
      </c>
      <c r="I170" s="999">
        <f t="shared" ref="I170:K171" si="37">$F156-E170</f>
        <v>-181.23399999999998</v>
      </c>
      <c r="J170" s="999">
        <f t="shared" si="37"/>
        <v>-308.14959999999991</v>
      </c>
      <c r="K170" s="999">
        <f t="shared" si="37"/>
        <v>-62.920000000000016</v>
      </c>
      <c r="L170" s="999">
        <f>D170+H162</f>
        <v>392.88808522043007</v>
      </c>
      <c r="M170" s="999">
        <f t="shared" ref="M170:O171" si="38">E170+I162</f>
        <v>876.99573293010735</v>
      </c>
      <c r="N170" s="999">
        <f t="shared" si="38"/>
        <v>838.65742195340488</v>
      </c>
      <c r="O170" s="999">
        <f t="shared" si="38"/>
        <v>510.80086646505373</v>
      </c>
      <c r="P170" s="999">
        <f>$G156-L170</f>
        <v>-5.5908437553763406</v>
      </c>
      <c r="Q170" s="999">
        <f t="shared" ref="Q170:S171" si="39">$G156-M170</f>
        <v>-489.69849146505362</v>
      </c>
      <c r="R170" s="999">
        <f t="shared" si="39"/>
        <v>-451.36018048835115</v>
      </c>
      <c r="S170" s="1000">
        <f t="shared" si="39"/>
        <v>-123.503625</v>
      </c>
    </row>
    <row r="171" spans="3:19" ht="15.75" thickBot="1" x14ac:dyDescent="0.3">
      <c r="C171" s="935" t="s">
        <v>639</v>
      </c>
      <c r="D171" s="995">
        <f>I121</f>
        <v>397.07010000000002</v>
      </c>
      <c r="E171" s="995">
        <f>N121</f>
        <v>595.79550000000006</v>
      </c>
      <c r="F171" s="995">
        <f>S121</f>
        <v>794.14020000000005</v>
      </c>
      <c r="G171" s="995">
        <f>X121</f>
        <v>441.33000000000004</v>
      </c>
      <c r="H171" s="995">
        <f>$F157-D171</f>
        <v>-197.07010000000002</v>
      </c>
      <c r="I171" s="995">
        <f t="shared" si="37"/>
        <v>-395.79550000000006</v>
      </c>
      <c r="J171" s="995">
        <f t="shared" si="37"/>
        <v>-594.14020000000005</v>
      </c>
      <c r="K171" s="995">
        <f t="shared" si="37"/>
        <v>-241.33000000000004</v>
      </c>
      <c r="L171" s="995">
        <f>D171+H163</f>
        <v>597.12956702538906</v>
      </c>
      <c r="M171" s="995">
        <f t="shared" si="38"/>
        <v>1285.6557311220313</v>
      </c>
      <c r="N171" s="995">
        <f t="shared" si="38"/>
        <v>1139.0703155610156</v>
      </c>
      <c r="O171" s="995">
        <f t="shared" si="38"/>
        <v>700.02758667076171</v>
      </c>
      <c r="P171" s="995">
        <f>$G157-L171</f>
        <v>-201.10760535462737</v>
      </c>
      <c r="Q171" s="995">
        <f t="shared" si="39"/>
        <v>-889.63376945126959</v>
      </c>
      <c r="R171" s="995">
        <f t="shared" si="39"/>
        <v>-743.04835389025391</v>
      </c>
      <c r="S171" s="996">
        <f t="shared" si="39"/>
        <v>-304.00562500000001</v>
      </c>
    </row>
    <row r="173" spans="3:19" ht="15.75" thickBot="1" x14ac:dyDescent="0.3">
      <c r="C173" t="s">
        <v>765</v>
      </c>
      <c r="D173" t="s">
        <v>755</v>
      </c>
      <c r="H173" t="s">
        <v>756</v>
      </c>
      <c r="L173" t="s">
        <v>766</v>
      </c>
    </row>
    <row r="174" spans="3:19" ht="15.75" thickBot="1" x14ac:dyDescent="0.3">
      <c r="C174" s="737"/>
      <c r="D174" s="771" t="s">
        <v>711</v>
      </c>
      <c r="E174" s="771" t="s">
        <v>758</v>
      </c>
      <c r="F174" s="771" t="s">
        <v>713</v>
      </c>
      <c r="G174" s="771" t="s">
        <v>714</v>
      </c>
      <c r="H174" s="771" t="s">
        <v>711</v>
      </c>
      <c r="I174" s="771" t="s">
        <v>758</v>
      </c>
      <c r="J174" s="771" t="s">
        <v>713</v>
      </c>
      <c r="K174" s="771" t="s">
        <v>714</v>
      </c>
      <c r="L174" s="771" t="s">
        <v>711</v>
      </c>
      <c r="M174" s="771" t="s">
        <v>758</v>
      </c>
      <c r="N174" s="771" t="s">
        <v>713</v>
      </c>
      <c r="O174" s="772" t="s">
        <v>714</v>
      </c>
    </row>
    <row r="175" spans="3:19" x14ac:dyDescent="0.25">
      <c r="C175" s="924" t="s">
        <v>692</v>
      </c>
      <c r="D175" s="1001">
        <f t="shared" ref="D175:E176" si="40">IF(2*$C$154-D162&lt;=0,0.1,2*$C$154-D162)</f>
        <v>0.58000000000000007</v>
      </c>
      <c r="E175" s="1002">
        <f t="shared" si="40"/>
        <v>0.1</v>
      </c>
      <c r="F175" s="1002">
        <f>IF(2*$C$154-F162&lt;=0,0.1,2*$C$154-F162)</f>
        <v>0.1</v>
      </c>
      <c r="G175" s="1002">
        <f>IF(2*$C$154-G162&lt;=0,0.1,2*$C$154-G162)</f>
        <v>0.25</v>
      </c>
      <c r="H175" s="992">
        <f>D175*$E120</f>
        <v>32.675263366487464</v>
      </c>
      <c r="I175" s="992">
        <f t="shared" ref="I175:K176" si="41">E175*$E120</f>
        <v>5.6336660976702513</v>
      </c>
      <c r="J175" s="992">
        <f t="shared" si="41"/>
        <v>5.6336660976702513</v>
      </c>
      <c r="K175" s="992">
        <f t="shared" si="41"/>
        <v>14.084165244175628</v>
      </c>
      <c r="L175" s="992">
        <f>P170-H175</f>
        <v>-38.266107121863804</v>
      </c>
      <c r="M175" s="992">
        <f>Q170-I175</f>
        <v>-495.33215756272386</v>
      </c>
      <c r="N175" s="992">
        <f t="shared" ref="N175:O175" si="42">R170-J175</f>
        <v>-456.99384658602139</v>
      </c>
      <c r="O175" s="993">
        <f t="shared" si="42"/>
        <v>-137.58779024417564</v>
      </c>
    </row>
    <row r="176" spans="3:19" ht="15.75" thickBot="1" x14ac:dyDescent="0.3">
      <c r="C176" s="935" t="s">
        <v>693</v>
      </c>
      <c r="D176" s="1003">
        <f t="shared" si="40"/>
        <v>0.42000000000000004</v>
      </c>
      <c r="E176" s="1004">
        <f t="shared" si="40"/>
        <v>0.1</v>
      </c>
      <c r="F176" s="1004">
        <f>IF(2*$C$154-F163&lt;=0,0.1,2*$C$154-F163)</f>
        <v>0.1</v>
      </c>
      <c r="G176" s="1004">
        <f>IF(2*$C$154-G163&lt;=0,0.1,2*$C$154-G163)</f>
        <v>0.25</v>
      </c>
      <c r="H176" s="995">
        <f>D176*$E121</f>
        <v>25.121799267813277</v>
      </c>
      <c r="I176" s="995">
        <f t="shared" si="41"/>
        <v>5.9813807780507799</v>
      </c>
      <c r="J176" s="995">
        <f t="shared" si="41"/>
        <v>5.9813807780507799</v>
      </c>
      <c r="K176" s="995">
        <f t="shared" si="41"/>
        <v>14.953451945126949</v>
      </c>
      <c r="L176" s="995">
        <f>P171-H176</f>
        <v>-226.22940462244065</v>
      </c>
      <c r="M176" s="995">
        <f t="shared" ref="M176:O176" si="43">Q171-I176</f>
        <v>-895.61515022932042</v>
      </c>
      <c r="N176" s="995">
        <f t="shared" si="43"/>
        <v>-749.02973466830474</v>
      </c>
      <c r="O176" s="996">
        <f t="shared" si="43"/>
        <v>-318.95907694512698</v>
      </c>
    </row>
    <row r="178" spans="2:16" ht="15.75" thickBot="1" x14ac:dyDescent="0.3">
      <c r="B178" t="s">
        <v>767</v>
      </c>
      <c r="D178" t="s">
        <v>768</v>
      </c>
      <c r="H178" t="s">
        <v>769</v>
      </c>
      <c r="L178" t="s">
        <v>770</v>
      </c>
    </row>
    <row r="179" spans="2:16" ht="15.75" thickBot="1" x14ac:dyDescent="0.3">
      <c r="C179" s="737"/>
      <c r="D179" s="771" t="s">
        <v>711</v>
      </c>
      <c r="E179" s="771" t="s">
        <v>758</v>
      </c>
      <c r="F179" s="771" t="s">
        <v>713</v>
      </c>
      <c r="G179" s="771" t="s">
        <v>714</v>
      </c>
      <c r="H179" s="771" t="s">
        <v>711</v>
      </c>
      <c r="I179" s="771" t="s">
        <v>758</v>
      </c>
      <c r="J179" s="771" t="s">
        <v>713</v>
      </c>
      <c r="K179" s="771" t="s">
        <v>714</v>
      </c>
      <c r="L179" s="771" t="s">
        <v>711</v>
      </c>
      <c r="M179" s="771" t="s">
        <v>758</v>
      </c>
      <c r="N179" s="771" t="s">
        <v>713</v>
      </c>
      <c r="O179" s="772" t="s">
        <v>714</v>
      </c>
    </row>
    <row r="180" spans="2:16" x14ac:dyDescent="0.25">
      <c r="C180" s="924" t="s">
        <v>692</v>
      </c>
      <c r="D180" s="612">
        <f>G142*$L112</f>
        <v>14</v>
      </c>
      <c r="E180" s="612">
        <f>L142*$L112</f>
        <v>14</v>
      </c>
      <c r="F180" s="612">
        <f>Q142*$L112</f>
        <v>14</v>
      </c>
      <c r="G180" s="612">
        <f>V142*$L112</f>
        <v>28</v>
      </c>
      <c r="H180" s="1005">
        <f>L175/D180</f>
        <v>-2.7332933658474148</v>
      </c>
      <c r="I180" s="1005">
        <f t="shared" ref="I180:K181" si="44">M175/E180</f>
        <v>-35.380868397337416</v>
      </c>
      <c r="J180" s="1005">
        <f t="shared" si="44"/>
        <v>-32.642417613287243</v>
      </c>
      <c r="K180" s="1005">
        <f t="shared" si="44"/>
        <v>-4.913849651577701</v>
      </c>
      <c r="L180" s="999">
        <f>D180*H180</f>
        <v>-38.266107121863804</v>
      </c>
      <c r="M180" s="999">
        <f t="shared" ref="M180:O181" si="45">E180*I180</f>
        <v>-495.33215756272381</v>
      </c>
      <c r="N180" s="999">
        <f t="shared" si="45"/>
        <v>-456.99384658602139</v>
      </c>
      <c r="O180" s="1000">
        <f t="shared" si="45"/>
        <v>-137.58779024417564</v>
      </c>
    </row>
    <row r="181" spans="2:16" ht="15.75" thickBot="1" x14ac:dyDescent="0.3">
      <c r="C181" s="935" t="s">
        <v>693</v>
      </c>
      <c r="D181" s="912">
        <f>G143*$L113</f>
        <v>23.5</v>
      </c>
      <c r="E181" s="912">
        <f>L143*$L113</f>
        <v>23.5</v>
      </c>
      <c r="F181" s="912">
        <f>Q143*$L113</f>
        <v>23.5</v>
      </c>
      <c r="G181" s="912">
        <f>V143*$L113</f>
        <v>47</v>
      </c>
      <c r="H181" s="1006">
        <f>L176/D181</f>
        <v>-9.6267831754230073</v>
      </c>
      <c r="I181" s="1006">
        <f t="shared" si="44"/>
        <v>-38.111282988481719</v>
      </c>
      <c r="J181" s="1006">
        <f t="shared" si="44"/>
        <v>-31.873605730566158</v>
      </c>
      <c r="K181" s="1006">
        <f t="shared" si="44"/>
        <v>-6.7863633392580205</v>
      </c>
      <c r="L181" s="995">
        <f>D181*H181</f>
        <v>-226.22940462244068</v>
      </c>
      <c r="M181" s="995">
        <f t="shared" si="45"/>
        <v>-895.61515022932042</v>
      </c>
      <c r="N181" s="995">
        <f t="shared" si="45"/>
        <v>-749.02973466830474</v>
      </c>
      <c r="O181" s="996">
        <f t="shared" si="45"/>
        <v>-318.95907694512698</v>
      </c>
    </row>
    <row r="182" spans="2:16" ht="15.75" thickBot="1" x14ac:dyDescent="0.3">
      <c r="H182" t="s">
        <v>771</v>
      </c>
    </row>
    <row r="183" spans="2:16" ht="15.75" thickBot="1" x14ac:dyDescent="0.3">
      <c r="B183" t="s">
        <v>772</v>
      </c>
      <c r="C183" s="737" t="s">
        <v>773</v>
      </c>
      <c r="D183" s="771" t="s">
        <v>711</v>
      </c>
      <c r="E183" s="771" t="s">
        <v>758</v>
      </c>
      <c r="F183" s="771" t="s">
        <v>713</v>
      </c>
      <c r="G183" s="771" t="s">
        <v>714</v>
      </c>
      <c r="H183" s="771" t="s">
        <v>711</v>
      </c>
      <c r="I183" s="771" t="s">
        <v>758</v>
      </c>
      <c r="J183" s="771" t="s">
        <v>713</v>
      </c>
      <c r="K183" s="772" t="s">
        <v>714</v>
      </c>
    </row>
    <row r="184" spans="2:16" x14ac:dyDescent="0.25">
      <c r="C184" s="967">
        <v>40</v>
      </c>
      <c r="D184" s="999">
        <f>L180+H175+L170</f>
        <v>387.29724146505373</v>
      </c>
      <c r="E184" s="999">
        <f t="shared" ref="E184:G185" si="46">M180+I175+M170</f>
        <v>387.29724146505379</v>
      </c>
      <c r="F184" s="999">
        <f t="shared" si="46"/>
        <v>387.29724146505373</v>
      </c>
      <c r="G184" s="999">
        <f t="shared" si="46"/>
        <v>387.29724146505373</v>
      </c>
      <c r="H184" s="999">
        <f>D184-$G156</f>
        <v>0</v>
      </c>
      <c r="I184" s="999">
        <f t="shared" ref="I184:K185" si="47">E184-$G156</f>
        <v>0</v>
      </c>
      <c r="J184" s="999">
        <f t="shared" si="47"/>
        <v>0</v>
      </c>
      <c r="K184" s="1000">
        <f t="shared" si="47"/>
        <v>0</v>
      </c>
    </row>
    <row r="185" spans="2:16" ht="15.75" thickBot="1" x14ac:dyDescent="0.3">
      <c r="C185" s="974">
        <v>60</v>
      </c>
      <c r="D185" s="995">
        <f>L181+H176+L171</f>
        <v>396.0219616707617</v>
      </c>
      <c r="E185" s="995">
        <f t="shared" si="46"/>
        <v>396.0219616707617</v>
      </c>
      <c r="F185" s="995">
        <f t="shared" si="46"/>
        <v>396.0219616707617</v>
      </c>
      <c r="G185" s="995">
        <f t="shared" si="46"/>
        <v>396.0219616707617</v>
      </c>
      <c r="H185" s="995">
        <f>D185-$G157</f>
        <v>0</v>
      </c>
      <c r="I185" s="995">
        <f t="shared" si="47"/>
        <v>0</v>
      </c>
      <c r="J185" s="995">
        <f t="shared" si="47"/>
        <v>0</v>
      </c>
      <c r="K185" s="996">
        <f t="shared" si="47"/>
        <v>0</v>
      </c>
    </row>
    <row r="187" spans="2:16" ht="15.75" thickBot="1" x14ac:dyDescent="0.3">
      <c r="B187" t="s">
        <v>774</v>
      </c>
    </row>
    <row r="188" spans="2:16" ht="15.75" thickBot="1" x14ac:dyDescent="0.3">
      <c r="C188" s="737"/>
      <c r="D188" s="743" t="s">
        <v>768</v>
      </c>
      <c r="E188" s="743"/>
      <c r="F188" s="743"/>
      <c r="G188" s="743"/>
      <c r="H188" s="743" t="s">
        <v>769</v>
      </c>
      <c r="I188" s="743"/>
      <c r="J188" s="743"/>
      <c r="K188" s="743"/>
      <c r="L188" s="743" t="s">
        <v>770</v>
      </c>
      <c r="M188" s="743"/>
      <c r="N188" s="743"/>
      <c r="O188" s="740"/>
    </row>
    <row r="189" spans="2:16" ht="15.75" thickBot="1" x14ac:dyDescent="0.3">
      <c r="C189" s="967"/>
      <c r="D189" s="771" t="s">
        <v>711</v>
      </c>
      <c r="E189" s="771" t="s">
        <v>758</v>
      </c>
      <c r="F189" s="771" t="s">
        <v>713</v>
      </c>
      <c r="G189" s="771" t="s">
        <v>714</v>
      </c>
      <c r="H189" s="771" t="s">
        <v>711</v>
      </c>
      <c r="I189" s="771" t="s">
        <v>758</v>
      </c>
      <c r="J189" s="771" t="s">
        <v>713</v>
      </c>
      <c r="K189" s="771" t="s">
        <v>714</v>
      </c>
      <c r="L189" s="771" t="s">
        <v>711</v>
      </c>
      <c r="M189" s="771" t="s">
        <v>758</v>
      </c>
      <c r="N189" s="771" t="s">
        <v>713</v>
      </c>
      <c r="O189" s="772" t="s">
        <v>714</v>
      </c>
    </row>
    <row r="190" spans="2:16" x14ac:dyDescent="0.25">
      <c r="C190" s="924" t="s">
        <v>692</v>
      </c>
      <c r="D190" s="612">
        <f>D180</f>
        <v>14</v>
      </c>
      <c r="E190" s="612">
        <f t="shared" ref="E190:G191" si="48">E180</f>
        <v>14</v>
      </c>
      <c r="F190" s="612">
        <f t="shared" si="48"/>
        <v>14</v>
      </c>
      <c r="G190" s="612">
        <f t="shared" si="48"/>
        <v>28</v>
      </c>
      <c r="H190" s="1005">
        <f>IF(L175/D190&gt;0,L175/D190,0.1)</f>
        <v>0.1</v>
      </c>
      <c r="I190" s="1005">
        <f t="shared" ref="I190:K191" si="49">IF(M175/E190&gt;0,M175/E190,0.1)</f>
        <v>0.1</v>
      </c>
      <c r="J190" s="1005">
        <f t="shared" si="49"/>
        <v>0.1</v>
      </c>
      <c r="K190" s="1005">
        <f t="shared" si="49"/>
        <v>0.1</v>
      </c>
      <c r="L190" s="999">
        <f>D190*H190</f>
        <v>1.4000000000000001</v>
      </c>
      <c r="M190" s="999">
        <f t="shared" ref="M190:O191" si="50">E190*I190</f>
        <v>1.4000000000000001</v>
      </c>
      <c r="N190" s="999">
        <f t="shared" si="50"/>
        <v>1.4000000000000001</v>
      </c>
      <c r="O190" s="1000">
        <f t="shared" si="50"/>
        <v>2.8000000000000003</v>
      </c>
    </row>
    <row r="191" spans="2:16" ht="15.75" thickBot="1" x14ac:dyDescent="0.3">
      <c r="C191" s="935" t="s">
        <v>693</v>
      </c>
      <c r="D191" s="912">
        <f>D181</f>
        <v>23.5</v>
      </c>
      <c r="E191" s="912">
        <f t="shared" si="48"/>
        <v>23.5</v>
      </c>
      <c r="F191" s="912">
        <f t="shared" si="48"/>
        <v>23.5</v>
      </c>
      <c r="G191" s="912">
        <f t="shared" si="48"/>
        <v>47</v>
      </c>
      <c r="H191" s="1006">
        <f>IF(L176/D191&gt;0,L176/D191,0.1)</f>
        <v>0.1</v>
      </c>
      <c r="I191" s="1006">
        <f t="shared" si="49"/>
        <v>0.1</v>
      </c>
      <c r="J191" s="1006">
        <f t="shared" si="49"/>
        <v>0.1</v>
      </c>
      <c r="K191" s="1006">
        <f t="shared" si="49"/>
        <v>0.1</v>
      </c>
      <c r="L191" s="995">
        <f>D191*H191</f>
        <v>2.35</v>
      </c>
      <c r="M191" s="995">
        <f t="shared" si="50"/>
        <v>2.35</v>
      </c>
      <c r="N191" s="995">
        <f t="shared" si="50"/>
        <v>2.35</v>
      </c>
      <c r="O191" s="996">
        <f t="shared" si="50"/>
        <v>4.7</v>
      </c>
    </row>
    <row r="192" spans="2:16" ht="15.75" thickBot="1" x14ac:dyDescent="0.3">
      <c r="H192" t="s">
        <v>771</v>
      </c>
      <c r="L192" s="646" t="s">
        <v>775</v>
      </c>
      <c r="P192" s="646" t="s">
        <v>775</v>
      </c>
    </row>
    <row r="193" spans="2:19" ht="15.75" thickBot="1" x14ac:dyDescent="0.3">
      <c r="B193" t="s">
        <v>772</v>
      </c>
      <c r="C193" s="737" t="s">
        <v>773</v>
      </c>
      <c r="D193" s="771" t="s">
        <v>711</v>
      </c>
      <c r="E193" s="771" t="s">
        <v>758</v>
      </c>
      <c r="F193" s="771" t="s">
        <v>713</v>
      </c>
      <c r="G193" s="771" t="s">
        <v>714</v>
      </c>
      <c r="H193" s="771" t="s">
        <v>711</v>
      </c>
      <c r="I193" s="771" t="s">
        <v>758</v>
      </c>
      <c r="J193" s="771" t="s">
        <v>713</v>
      </c>
      <c r="K193" s="772" t="s">
        <v>714</v>
      </c>
      <c r="L193" s="771" t="s">
        <v>711</v>
      </c>
      <c r="M193" s="771" t="s">
        <v>758</v>
      </c>
      <c r="N193" s="771" t="s">
        <v>713</v>
      </c>
      <c r="O193" s="772" t="s">
        <v>714</v>
      </c>
      <c r="P193" s="771" t="s">
        <v>711</v>
      </c>
      <c r="Q193" s="771" t="s">
        <v>758</v>
      </c>
      <c r="R193" s="771" t="s">
        <v>713</v>
      </c>
      <c r="S193" s="772" t="s">
        <v>714</v>
      </c>
    </row>
    <row r="194" spans="2:19" ht="15.75" thickBot="1" x14ac:dyDescent="0.3">
      <c r="C194" s="967">
        <v>40</v>
      </c>
      <c r="D194" s="999">
        <f>L190+H175+L170</f>
        <v>426.9633485869175</v>
      </c>
      <c r="E194" s="999">
        <f t="shared" ref="E194:G195" si="51">M190+I175+M170</f>
        <v>884.02939902777757</v>
      </c>
      <c r="F194" s="999">
        <f t="shared" si="51"/>
        <v>845.6910880510751</v>
      </c>
      <c r="G194" s="999">
        <f t="shared" si="51"/>
        <v>527.68503170922941</v>
      </c>
      <c r="H194" s="999">
        <f>D194-$G156</f>
        <v>39.666107121863774</v>
      </c>
      <c r="I194" s="999">
        <f t="shared" ref="I194:K195" si="52">E194-$G156</f>
        <v>496.73215756272384</v>
      </c>
      <c r="J194" s="999">
        <f t="shared" si="52"/>
        <v>458.39384658602137</v>
      </c>
      <c r="K194" s="1000">
        <f t="shared" si="52"/>
        <v>140.38779024417568</v>
      </c>
      <c r="L194" s="991">
        <f>D194-2*$K120</f>
        <v>-324.01904663351252</v>
      </c>
      <c r="M194" s="991">
        <f>E194-2*$P120</f>
        <v>-745.6985839023298</v>
      </c>
      <c r="N194" s="992">
        <f>F194-2*$U120</f>
        <v>-748.7814339023297</v>
      </c>
      <c r="O194" s="993">
        <f>G194-2*$Z120</f>
        <v>-431.78495975582439</v>
      </c>
      <c r="P194" s="1007">
        <f>L194/$J134</f>
        <v>-0.2798157221208698</v>
      </c>
      <c r="Q194" s="1007">
        <f t="shared" ref="Q194:S195" si="53">M194/$J134</f>
        <v>-0.64396889598637386</v>
      </c>
      <c r="R194" s="1007">
        <f t="shared" si="53"/>
        <v>-0.64663117744143905</v>
      </c>
      <c r="S194" s="1008">
        <f t="shared" si="53"/>
        <v>-0.37287999446422221</v>
      </c>
    </row>
    <row r="195" spans="2:19" ht="15.75" thickBot="1" x14ac:dyDescent="0.3">
      <c r="C195" s="974">
        <v>60</v>
      </c>
      <c r="D195" s="995">
        <f>L191+H176+L171</f>
        <v>624.60136629320232</v>
      </c>
      <c r="E195" s="995">
        <f t="shared" si="51"/>
        <v>1293.987111900082</v>
      </c>
      <c r="F195" s="995">
        <f t="shared" si="51"/>
        <v>1147.4016963390663</v>
      </c>
      <c r="G195" s="995">
        <f t="shared" si="51"/>
        <v>719.68103861588861</v>
      </c>
      <c r="H195" s="995">
        <f>D195-$G157</f>
        <v>228.57940462244062</v>
      </c>
      <c r="I195" s="995">
        <f t="shared" si="52"/>
        <v>897.96515022932033</v>
      </c>
      <c r="J195" s="995">
        <f t="shared" si="52"/>
        <v>751.37973466830465</v>
      </c>
      <c r="K195" s="996">
        <f t="shared" si="52"/>
        <v>323.65907694512691</v>
      </c>
      <c r="L195" s="1009">
        <f>D195-2*$K121</f>
        <v>-518.83085073218672</v>
      </c>
      <c r="M195" s="1009">
        <f>E195-2*$P121</f>
        <v>-1102.0591192219492</v>
      </c>
      <c r="N195" s="1010">
        <f>F195-2*$U121</f>
        <v>-1043.1063192219494</v>
      </c>
      <c r="O195" s="1011">
        <f>G195-2*$Z121</f>
        <v>-614.64967305487312</v>
      </c>
      <c r="P195" s="1012">
        <f>L195/$J135</f>
        <v>-0.32563550255831109</v>
      </c>
      <c r="Q195" s="1012">
        <f t="shared" si="53"/>
        <v>-0.69168896689617354</v>
      </c>
      <c r="R195" s="1012">
        <f t="shared" si="53"/>
        <v>-0.6546882283546468</v>
      </c>
      <c r="S195" s="1013">
        <f t="shared" si="53"/>
        <v>-0.38577458318075375</v>
      </c>
    </row>
  </sheetData>
  <mergeCells count="2">
    <mergeCell ref="C45:C52"/>
    <mergeCell ref="C91:C104"/>
  </mergeCells>
  <conditionalFormatting sqref="D165:G166">
    <cfRule type="cellIs" dxfId="1" priority="2" operator="lessThan">
      <formula>0</formula>
    </cfRule>
  </conditionalFormatting>
  <conditionalFormatting sqref="L175:O176">
    <cfRule type="cellIs" dxfId="0" priority="1" operator="lessThan">
      <formula>0</formula>
    </cfRule>
  </conditionalFormatting>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Beskrivning</vt:lpstr>
      <vt:lpstr>Indata</vt:lpstr>
      <vt:lpstr>EMA</vt:lpstr>
      <vt:lpstr>Modell - Tunga fordon</vt:lpstr>
      <vt:lpstr>AVs - antaganden</vt:lpstr>
      <vt:lpstr>Resultat</vt:lpstr>
      <vt:lpstr>Figurer utsläpp</vt:lpstr>
      <vt:lpstr>Beräkningar konsumentöverskott</vt:lpstr>
      <vt:lpstr>Elektrifiering</vt:lpstr>
      <vt:lpstr>Indata - Utsläpp</vt:lpstr>
      <vt:lpstr>Indata - Fordon och Trafik</vt:lpstr>
      <vt:lpstr>Indata - Effektsamband-Faktorer</vt:lpstr>
      <vt:lpstr>Modell - Drivmedelpriser</vt:lpstr>
      <vt:lpstr>Modell - Lätta fordon</vt:lpstr>
      <vt:lpstr>Modell - Tunga fordon AV</vt:lpstr>
      <vt:lpstr>DL-truck costs_base</vt:lpstr>
      <vt:lpstr>DL-truck costs_pess</vt:lpstr>
      <vt:lpstr>DL-truck costs_opt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Samuelsson, Sandra</dc:creator>
  <cp:lastModifiedBy>Albin Engholm</cp:lastModifiedBy>
  <dcterms:created xsi:type="dcterms:W3CDTF">2019-08-20T14:13:18Z</dcterms:created>
  <dcterms:modified xsi:type="dcterms:W3CDTF">2023-02-20T21:18:51Z</dcterms:modified>
</cp:coreProperties>
</file>