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activeTab="2"/>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9" i="17" l="1"/>
  <c r="F79" i="17"/>
  <c r="D8" i="21" l="1"/>
  <c r="B15" i="18" l="1"/>
  <c r="G66" i="13" l="1"/>
  <c r="G12" i="13"/>
  <c r="G79" i="13"/>
  <c r="G53" i="13"/>
  <c r="G52" i="13"/>
  <c r="G50" i="13"/>
  <c r="G34" i="13"/>
  <c r="G33" i="13"/>
  <c r="G31" i="13"/>
  <c r="E32" i="13"/>
  <c r="G14" i="13"/>
  <c r="E14" i="13"/>
  <c r="H15" i="13"/>
  <c r="G15" i="13" s="1"/>
  <c r="E11" i="13"/>
  <c r="E15" i="13"/>
  <c r="B13" i="13"/>
  <c r="G13" i="13" l="1"/>
  <c r="K13" i="13" s="1"/>
  <c r="E31" i="13"/>
  <c r="B20" i="13"/>
  <c r="B24" i="13"/>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84" i="13" l="1"/>
  <c r="E64" i="14"/>
  <c r="E63" i="14"/>
  <c r="G64" i="14"/>
  <c r="G63" i="14"/>
  <c r="I64" i="14"/>
  <c r="I63" i="14"/>
  <c r="H64" i="14"/>
  <c r="H63" i="14"/>
  <c r="F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E75" i="13"/>
  <c r="E74" i="13"/>
  <c r="C56" i="13"/>
  <c r="C55" i="13"/>
  <c r="D42" i="14" l="1"/>
  <c r="C10" i="15"/>
  <c r="J13" i="13" l="1"/>
  <c r="D39" i="14" l="1"/>
  <c r="F39" i="14" s="1"/>
  <c r="D64" i="14" l="1"/>
  <c r="D63" i="14"/>
  <c r="P9" i="15" l="1"/>
  <c r="O9" i="15"/>
  <c r="P25" i="15" l="1"/>
  <c r="O25" i="15"/>
  <c r="O17" i="15"/>
  <c r="P17" i="15"/>
  <c r="D13" i="15"/>
  <c r="C13" i="15"/>
  <c r="H11" i="13"/>
  <c r="F9" i="13"/>
  <c r="H32" i="13" l="1"/>
  <c r="J32" i="13"/>
  <c r="B32" i="13" l="1"/>
  <c r="E12" i="13"/>
  <c r="I35" i="15"/>
  <c r="I36" i="15"/>
  <c r="I37" i="15"/>
  <c r="I38" i="15"/>
  <c r="H36" i="15"/>
  <c r="H37" i="15"/>
  <c r="H38" i="15"/>
  <c r="H35" i="15"/>
  <c r="I28" i="15"/>
  <c r="I29" i="15"/>
  <c r="I30" i="15"/>
  <c r="I31" i="15"/>
  <c r="H29" i="15"/>
  <c r="H30" i="15"/>
  <c r="H31" i="15"/>
  <c r="H28" i="15"/>
  <c r="D57" i="14" s="1"/>
  <c r="G17" i="15"/>
  <c r="B16" i="15"/>
  <c r="G16" i="15" s="1"/>
  <c r="G27" i="14" l="1"/>
  <c r="G28" i="14" s="1"/>
  <c r="H13" i="13" l="1"/>
  <c r="F13" i="13"/>
  <c r="J10" i="13"/>
  <c r="I15" i="13"/>
  <c r="I14"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8" i="13" l="1"/>
  <c r="F29" i="13"/>
  <c r="J66" i="13"/>
  <c r="H66"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E53" i="13"/>
  <c r="E52" i="13"/>
  <c r="F51" i="13"/>
  <c r="E50" i="13"/>
  <c r="F49" i="13"/>
  <c r="F48" i="13"/>
  <c r="E48" i="13"/>
  <c r="F47" i="13"/>
  <c r="E47" i="13"/>
  <c r="E34" i="13"/>
  <c r="E33" i="13"/>
  <c r="F30" i="13"/>
  <c r="E30" i="13"/>
  <c r="E29" i="13"/>
  <c r="E28" i="13"/>
  <c r="E13" i="13"/>
  <c r="F10" i="13"/>
  <c r="E10" i="13"/>
  <c r="E9"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6" i="13"/>
  <c r="E21" i="13" s="1"/>
  <c r="F40" i="13"/>
  <c r="F54" i="13"/>
  <c r="F59" i="13" s="1"/>
  <c r="F72" i="13"/>
  <c r="F70" i="13"/>
  <c r="F73" i="13" s="1"/>
  <c r="I10" i="15"/>
  <c r="H10" i="15"/>
  <c r="S50" i="16" l="1"/>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H21" i="7"/>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J79" i="13"/>
  <c r="H79" i="13"/>
  <c r="H80" i="13" s="1"/>
  <c r="B79" i="13"/>
  <c r="E79" i="13" s="1"/>
  <c r="E80"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E66" i="13" s="1"/>
  <c r="J51" i="13"/>
  <c r="J49" i="13"/>
  <c r="I49" i="13"/>
  <c r="H49" i="13"/>
  <c r="G49" i="13"/>
  <c r="J48" i="13"/>
  <c r="I48" i="13"/>
  <c r="H48" i="13"/>
  <c r="G48" i="13"/>
  <c r="J47" i="13"/>
  <c r="I47" i="13"/>
  <c r="H47" i="13"/>
  <c r="G47" i="13"/>
  <c r="C57" i="13"/>
  <c r="B57" i="13"/>
  <c r="B60" i="13" s="1"/>
  <c r="I53" i="13"/>
  <c r="I52" i="13"/>
  <c r="H51" i="13"/>
  <c r="B51" i="13"/>
  <c r="B54" i="13" s="1"/>
  <c r="I50" i="13"/>
  <c r="C38" i="13"/>
  <c r="J16" i="13"/>
  <c r="H28" i="13"/>
  <c r="I28" i="13"/>
  <c r="J28" i="13"/>
  <c r="H29" i="13"/>
  <c r="I29" i="13"/>
  <c r="J29" i="13"/>
  <c r="G29" i="13"/>
  <c r="G28" i="13"/>
  <c r="J30" i="13"/>
  <c r="I30" i="13"/>
  <c r="H30" i="13"/>
  <c r="G30" i="13"/>
  <c r="B38" i="13"/>
  <c r="B41" i="13" s="1"/>
  <c r="I34" i="13"/>
  <c r="I33" i="13"/>
  <c r="I31" i="13"/>
  <c r="J11" i="13"/>
  <c r="J18" i="13" s="1"/>
  <c r="G11" i="13"/>
  <c r="I12" i="13"/>
  <c r="I13" i="13" s="1"/>
  <c r="H18" i="13"/>
  <c r="I11" i="13"/>
  <c r="I17" i="13" s="1"/>
  <c r="H9" i="13"/>
  <c r="H10" i="13"/>
  <c r="G10" i="13"/>
  <c r="G9" i="13"/>
  <c r="G16" i="13" s="1"/>
  <c r="B19" i="13"/>
  <c r="H16" i="13" l="1"/>
  <c r="G18" i="13"/>
  <c r="G17" i="13"/>
  <c r="O54" i="16"/>
  <c r="O55" i="16"/>
  <c r="N54" i="16"/>
  <c r="N55" i="16"/>
  <c r="E58" i="16"/>
  <c r="E59" i="16"/>
  <c r="E61" i="16"/>
  <c r="O64" i="16"/>
  <c r="O65" i="16"/>
  <c r="I32" i="13"/>
  <c r="I35" i="13" s="1"/>
  <c r="G32" i="13"/>
  <c r="G35" i="13" s="1"/>
  <c r="J35" i="13"/>
  <c r="J40" i="13" s="1"/>
  <c r="D32" i="14"/>
  <c r="F32" i="14" s="1"/>
  <c r="N6" i="7"/>
  <c r="G32" i="14"/>
  <c r="I32" i="14"/>
  <c r="E62" i="13"/>
  <c r="D54" i="14"/>
  <c r="D6" i="16" s="1"/>
  <c r="E43" i="13"/>
  <c r="N7" i="7" s="1"/>
  <c r="F62" i="13"/>
  <c r="E54" i="14"/>
  <c r="E6" i="16" s="1"/>
  <c r="E56" i="16" s="1"/>
  <c r="I79" i="13"/>
  <c r="I80" i="13" s="1"/>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H21" i="13"/>
  <c r="J70" i="13"/>
  <c r="J73" i="13" s="1"/>
  <c r="B67" i="13"/>
  <c r="B72" i="13" s="1"/>
  <c r="B74" i="13" s="1"/>
  <c r="J80" i="13"/>
  <c r="J85" i="13" s="1"/>
  <c r="H85" i="13"/>
  <c r="G80" i="13"/>
  <c r="H83" i="13"/>
  <c r="H86" i="13" s="1"/>
  <c r="H54" i="13"/>
  <c r="H59" i="13" s="1"/>
  <c r="I70" i="13"/>
  <c r="I73" i="13" s="1"/>
  <c r="J54" i="13"/>
  <c r="J59" i="13" s="1"/>
  <c r="I66" i="13"/>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5" i="13" s="1"/>
  <c r="G72" i="13"/>
  <c r="G74" i="13" s="1"/>
  <c r="B62" i="13"/>
  <c r="G40" i="13"/>
  <c r="I40" i="13"/>
  <c r="I22" i="13"/>
  <c r="H20" i="13"/>
  <c r="G20" i="13"/>
  <c r="J19" i="13"/>
  <c r="G21" i="13"/>
  <c r="D57" i="16" l="1"/>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G54" i="14"/>
  <c r="G6"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S6" i="16" l="1"/>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20" i="7"/>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C6" i="16"/>
  <c r="S8" i="16"/>
  <c r="AA6" i="16"/>
  <c r="Q8" i="16"/>
  <c r="AB6" i="16"/>
  <c r="G43" i="13"/>
  <c r="P7" i="7" s="1"/>
  <c r="Z7" i="7" s="1"/>
  <c r="AJ7" i="7" s="1"/>
  <c r="F8" i="17" s="1"/>
  <c r="Q7" i="7"/>
  <c r="AA7" i="7" s="1"/>
  <c r="AK7" i="7" s="1"/>
  <c r="G8" i="17" s="1"/>
  <c r="S7" i="7"/>
  <c r="AC7" i="7" s="1"/>
  <c r="AM7" i="7" s="1"/>
  <c r="I8" i="17" s="1"/>
  <c r="J24"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D42" i="17" s="1"/>
  <c r="D44" i="17" s="1"/>
  <c r="D45" i="17" s="1"/>
  <c r="AJ57" i="16"/>
  <c r="F24" i="17" s="1"/>
  <c r="AJ74" i="16"/>
  <c r="AJ77" i="16"/>
  <c r="AL68" i="16"/>
  <c r="F25" i="17"/>
  <c r="G33" i="17"/>
  <c r="G51" i="17"/>
  <c r="I33" i="17"/>
  <c r="I36" i="17" s="1"/>
  <c r="I51" i="17"/>
  <c r="H77" i="17"/>
  <c r="AL91" i="16"/>
  <c r="AI60" i="7"/>
  <c r="E42" i="17" s="1"/>
  <c r="E44" i="17" s="1"/>
  <c r="E45" i="17" s="1"/>
  <c r="AH64" i="7"/>
  <c r="D46" i="17" s="1"/>
  <c r="D48" i="17" s="1"/>
  <c r="D49"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D77" i="14" s="1"/>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l="1"/>
  <c r="F3" i="17" s="1"/>
  <c r="D74" i="14"/>
  <c r="F41" i="17"/>
  <c r="D67" i="14" s="1"/>
  <c r="F60" i="17"/>
  <c r="D72" i="14" s="1"/>
  <c r="F61" i="17"/>
  <c r="D71" i="14" s="1"/>
  <c r="F34" i="17"/>
  <c r="D69" i="14" s="1"/>
  <c r="F76" i="17"/>
  <c r="F78" i="17" s="1"/>
  <c r="F70" i="17"/>
  <c r="F35" i="17"/>
  <c r="F23" i="17"/>
  <c r="D76" i="14" l="1"/>
  <c r="F63" i="17"/>
  <c r="D70" i="14" s="1"/>
  <c r="D75"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<sst xmlns="http://schemas.openxmlformats.org/spreadsheetml/2006/main" count="1719" uniqueCount="411">
  <si>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</si>
  <si>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</si>
  <si>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</si>
  <si>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</si>
  <si>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</si>
  <si>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</si>
  <si>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</si>
  <si>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</si>
  <si>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</si>
  <si>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</si>
  <si>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</si>
  <si>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</si>
  <si>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</si>
  <si>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</si>
  <si>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</si>
  <si>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</si>
  <si>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</si>
  <si>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</si>
  <si>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</si>
  <si>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</si>
  <si>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</si>
  <si>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</si>
  <si>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</si>
  <si>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</si>
  <si>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</si>
  <si>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</si>
  <si>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</si>
  <si>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</si>
  <si>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</si>
  <si>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</si>
  <si>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</si>
  <si>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</si>
  <si>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</si>
  <si>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</si>
  <si>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</si>
  <si>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</si>
  <si>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</si>
  <si>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</si>
  <si>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</si>
  <si>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</si>
  <si>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</si>
  <si>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</si>
  <si>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</si>
  <si>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</si>
  <si>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</si>
  <si>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</si>
  <si>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</si>
  <si>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</si>
  <si>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</si>
  <si>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</si>
  <si>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</si>
  <si>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</si>
  <si>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</si>
  <si>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</si>
  <si>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</si>
  <si>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</si>
  <si>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</si>
  <si>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</si>
  <si>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</si>
  <si>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</si>
  <si>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</si>
  <si>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</si>
  <si>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</si>
  <si>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</si>
  <si>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</si>
  <si>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</si>
  <si>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</si>
  <si>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</si>
  <si>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</si>
  <si>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</si>
  <si>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</si>
  <si>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</si>
  <si>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</si>
  <si>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</si>
  <si>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</si>
  <si>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</si>
  <si>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</si>
  <si>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</si>
  <si>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</si>
  <si>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</si>
  <si>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</si>
  <si>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</si>
  <si>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</si>
  <si>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</si>
  <si>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</si>
  <si>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</si>
  <si>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</si>
  <si>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</si>
  <si>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</si>
  <si>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</si>
  <si>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</si>
  <si>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</si>
  <si>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</si>
  <si>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</si>
  <si>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</si>
  <si>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</si>
  <si>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</si>
  <si>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</si>
  <si>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</si>
  <si>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</si>
  <si>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</si>
  <si>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</si>
  <si>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</si>
  <si>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</si>
  <si>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</si>
  <si>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</si>
  <si>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</si>
  <si>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</si>
  <si>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</si>
  <si>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</si>
  <si>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</si>
  <si>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</si>
  <si>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</si>
  <si>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</si>
  <si>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</si>
  <si>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</si>
  <si>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</si>
  <si>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</si>
  <si>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</si>
  <si>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</si>
  <si>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</si>
  <si>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</si>
  <si>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</si>
  <si>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</si>
  <si>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</si>
  <si>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</si>
  <si>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</si>
  <si>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</si>
  <si>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</si>
  <si>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</si>
  <si>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</si>
  <si>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</si>
  <si>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</si>
  <si>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</si>
  <si>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</si>
  <si>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</si>
  <si>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</si>
  <si>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</si>
  <si>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</si>
  <si>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</si>
  <si>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</si>
  <si>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</si>
  <si>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</si>
  <si>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</si>
  <si>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</si>
  <si>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</si>
  <si>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</si>
  <si>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</si>
  <si>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</si>
  <si>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</si>
  <si>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</si>
  <si>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</si>
  <si>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</si>
  <si>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</si>
  <si>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</si>
  <si>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</si>
  <si>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</si>
  <si>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</si>
  <si>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</si>
  <si>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</si>
  <si>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</si>
  <si>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</si>
  <si>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</si>
  <si>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</si>
  <si>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</si>
  <si>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</si>
  <si>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</si>
  <si>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</si>
  <si>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</si>
  <si>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</si>
  <si>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</si>
  <si>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</si>
  <si>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</si>
  <si>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</si>
  <si>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</si>
  <si>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</si>
  <si>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</si>
  <si>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</si>
  <si>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</si>
  <si>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</si>
  <si>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</si>
  <si>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</si>
  <si>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</si>
  <si>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</si>
  <si>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</si>
  <si>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</si>
  <si>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</si>
  <si>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</si>
  <si>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</si>
  <si>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</si>
  <si>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</si>
  <si>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</si>
  <si>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</si>
  <si>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</si>
  <si>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</si>
  <si>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</si>
  <si>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</si>
  <si>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</si>
  <si>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</si>
  <si>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</si>
  <si>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</si>
  <si>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</si>
  <si>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</si>
  <si>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</si>
  <si>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</si>
  <si>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</si>
  <si>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</si>
  <si>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</si>
  <si>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</si>
  <si>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</si>
  <si>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</si>
  <si>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</si>
  <si>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</si>
  <si>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</si>
  <si>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</si>
  <si>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</si>
  <si>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</si>
  <si>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</si>
  <si>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</si>
  <si>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</si>
  <si>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</si>
  <si>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</si>
  <si>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</si>
  <si>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</si>
  <si>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</si>
  <si>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</si>
  <si>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</si>
  <si>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</si>
  <si>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</si>
  <si>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</si>
  <si>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</si>
  <si>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</si>
  <si>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</si>
  <si>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</si>
  <si>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</si>
  <si>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</si>
  <si>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</si>
  <si>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</si>
  <si>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</si>
  <si>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</si>
  <si>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</si>
  <si>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</si>
  <si>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</si>
  <si>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</si>
  <si>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</si>
  <si>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</si>
  <si>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</si>
  <si>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</si>
  <si>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</si>
  <si>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</si>
  <si>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</si>
  <si>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</si>
  <si>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</si>
  <si>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</si>
  <si>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</si>
  <si>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</si>
  <si>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</si>
  <si>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</si>
  <si>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</si>
  <si>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</si>
  <si>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</si>
  <si>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</si>
  <si>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</si>
  <si>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</si>
  <si>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</si>
  <si>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</si>
  <si>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</si>
  <si>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</si>
  <si>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</si>
  <si>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</si>
  <si>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</si>
  <si>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</si>
  <si>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</si>
  <si>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</si>
  <si>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</si>
  <si>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</si>
  <si>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</si>
  <si>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</si>
  <si>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</si>
  <si>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</si>
  <si>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</si>
  <si>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</si>
  <si>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</si>
  <si>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</si>
  <si>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</si>
  <si>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</si>
  <si>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</si>
  <si>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</si>
  <si>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</si>
  <si>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</si>
  <si>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</si>
  <si>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</si>
  <si>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</si>
  <si>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</si>
  <si>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</si>
  <si>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</si>
  <si>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</si>
  <si>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</si>
  <si>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</si>
  <si>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</si>
  <si>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</si>
  <si>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</si>
  <si>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</si>
  <si>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</si>
  <si>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</si>
  <si>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</si>
  <si>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</si>
  <si>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</si>
  <si>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</si>
  <si>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</si>
  <si>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</si>
  <si>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</si>
  <si>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</si>
  <si>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</si>
  <si>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</si>
  <si>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</si>
  <si>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</si>
  <si>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</si>
  <si>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</si>
  <si>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</si>
  <si>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</si>
  <si>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</si>
  <si>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</si>
  <si>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</si>
  <si>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</si>
  <si>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</si>
  <si>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</si>
  <si>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</si>
  <si>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</si>
  <si>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</si>
  <si>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</si>
  <si>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</si>
  <si>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</si>
  <si>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</si>
  <si>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</si>
  <si>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</si>
  <si>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</si>
  <si>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</si>
  <si>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</si>
  <si>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</si>
  <si>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</si>
  <si>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</si>
  <si>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</si>
  <si>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</si>
  <si>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</si>
  <si>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</si>
  <si>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</si>
  <si>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</si>
  <si>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</si>
  <si>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</si>
  <si>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</si>
  <si>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</si>
  <si>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</si>
  <si>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</si>
  <si>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</si>
  <si>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</si>
  <si>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</si>
  <si>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</si>
  <si>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</si>
  <si>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</si>
  <si>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</si>
  <si>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</si>
  <si>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</si>
  <si>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</si>
  <si>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</si>
  <si>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</si>
  <si>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</si>
  <si>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</si>
  <si>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</si>
  <si>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</si>
  <si>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</si>
  <si>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</si>
  <si>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</si>
  <si>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</si>
  <si>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</si>
  <si>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</si>
  <si>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</si>
  <si>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</si>
  <si>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</si>
  <si>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</si>
  <si>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</si>
  <si>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</si>
  <si>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</si>
  <si>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</si>
  <si>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</si>
  <si>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</si>
  <si>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</si>
  <si>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</si>
  <si>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</si>
  <si>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</si>
  <si>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</si>
  <si>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</si>
  <si>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</si>
  <si>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</si>
  <si>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</si>
  <si>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</si>
  <si>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Global truck electrification share 2030</t>
  </si>
  <si>
    <t>1 Beslutad politik</t>
  </si>
  <si>
    <t>2 Mer ambitios politik</t>
  </si>
  <si>
    <t>Level 1</t>
  </si>
  <si>
    <t>Level 2</t>
  </si>
  <si>
    <t>Fossile fuel cost adjutment (before tax)</t>
  </si>
  <si>
    <t>Note Albin</t>
  </si>
  <si>
    <t>Fossile gasoline cost is calculated "backwards" from product price for gas with 5% ethanol</t>
  </si>
  <si>
    <t>Electricity cost adjustment (before tax)</t>
  </si>
  <si>
    <t>Biofouel cost adjustment (before tax)</t>
  </si>
  <si>
    <t>Förändring i utsläpp bilar</t>
  </si>
  <si>
    <t>Andel elenergi</t>
  </si>
  <si>
    <t>Driving cost light veh comp. Reference</t>
  </si>
  <si>
    <t>Driving cost truck comp. Reference</t>
  </si>
  <si>
    <t>Konsumentöverskott (delta) beräknat m.h.a "rule of half"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</si>
</sst>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53">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8" fillId="3" borderId="0" xfId="0" applyFont="1" applyFill="1" applyAlignment="1">
      <alignment horizontal="left" vertical="top"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Fill="1" applyBorder="1" applyAlignment="1">
      <alignment horizontal="center" vertical="center" wrapText="1"/>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0.13567038962689609</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18.829784271650912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8.3056692406978012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8.3913137334473351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9" t="s">
        <v>383</v>
      </c>
      <c r="B3" s="589"/>
      <c r="C3" s="589"/>
      <c r="D3" s="589"/>
      <c r="E3" s="589"/>
      <c r="F3" s="589"/>
      <c r="G3" s="589"/>
      <c r="H3" s="589"/>
      <c r="I3" s="589"/>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8" t="s">
        <v>67</v>
      </c>
      <c r="B3" s="640" t="s">
        <v>226</v>
      </c>
      <c r="C3" s="641"/>
      <c r="D3" s="638" t="s">
        <v>64</v>
      </c>
      <c r="E3" s="651"/>
      <c r="F3" s="638" t="s">
        <v>65</v>
      </c>
      <c r="G3" s="651"/>
      <c r="H3" s="652" t="s">
        <v>66</v>
      </c>
      <c r="I3" s="651"/>
      <c r="K3" s="638" t="s">
        <v>67</v>
      </c>
      <c r="L3" s="640" t="s">
        <v>240</v>
      </c>
      <c r="M3" s="641"/>
      <c r="N3" s="638" t="s">
        <v>64</v>
      </c>
      <c r="O3" s="651"/>
      <c r="P3" s="638" t="s">
        <v>65</v>
      </c>
      <c r="Q3" s="651"/>
      <c r="R3" s="652" t="s">
        <v>66</v>
      </c>
      <c r="S3" s="651"/>
      <c r="U3" s="638" t="s">
        <v>67</v>
      </c>
      <c r="V3" s="640" t="s">
        <v>241</v>
      </c>
      <c r="W3" s="641"/>
      <c r="X3" s="638" t="s">
        <v>64</v>
      </c>
      <c r="Y3" s="651"/>
      <c r="Z3" s="638" t="s">
        <v>65</v>
      </c>
      <c r="AA3" s="651"/>
      <c r="AB3" s="652" t="s">
        <v>66</v>
      </c>
      <c r="AC3" s="651"/>
      <c r="AE3" s="638" t="s">
        <v>67</v>
      </c>
      <c r="AF3" s="640" t="s">
        <v>238</v>
      </c>
      <c r="AG3" s="641"/>
      <c r="AH3" s="638" t="s">
        <v>64</v>
      </c>
      <c r="AI3" s="651"/>
      <c r="AJ3" s="638" t="s">
        <v>65</v>
      </c>
      <c r="AK3" s="651"/>
      <c r="AL3" s="652" t="s">
        <v>66</v>
      </c>
      <c r="AM3" s="651"/>
    </row>
    <row r="4" spans="1:39" s="127" customFormat="1" ht="25.9" customHeight="1" thickBot="1" x14ac:dyDescent="0.25">
      <c r="A4" s="639"/>
      <c r="B4" s="642"/>
      <c r="C4" s="643"/>
      <c r="D4" s="265">
        <v>2030</v>
      </c>
      <c r="E4" s="266">
        <v>2040</v>
      </c>
      <c r="F4" s="265">
        <v>2030</v>
      </c>
      <c r="G4" s="266">
        <v>2040</v>
      </c>
      <c r="H4" s="267">
        <v>2030</v>
      </c>
      <c r="I4" s="266">
        <v>2040</v>
      </c>
      <c r="K4" s="639"/>
      <c r="L4" s="642"/>
      <c r="M4" s="643"/>
      <c r="N4" s="265">
        <v>2030</v>
      </c>
      <c r="O4" s="266">
        <v>2040</v>
      </c>
      <c r="P4" s="265">
        <v>2030</v>
      </c>
      <c r="Q4" s="266">
        <v>2040</v>
      </c>
      <c r="R4" s="267">
        <v>2030</v>
      </c>
      <c r="S4" s="266">
        <v>2040</v>
      </c>
      <c r="U4" s="639"/>
      <c r="V4" s="642"/>
      <c r="W4" s="643"/>
      <c r="X4" s="265">
        <v>2030</v>
      </c>
      <c r="Y4" s="266">
        <v>2040</v>
      </c>
      <c r="Z4" s="265">
        <v>2030</v>
      </c>
      <c r="AA4" s="266">
        <v>2040</v>
      </c>
      <c r="AB4" s="267">
        <v>2030</v>
      </c>
      <c r="AC4" s="266">
        <v>2040</v>
      </c>
      <c r="AE4" s="639"/>
      <c r="AF4" s="642"/>
      <c r="AG4" s="643"/>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48" t="s">
        <v>0</v>
      </c>
      <c r="B6" s="135" t="s">
        <v>9</v>
      </c>
      <c r="C6" s="190" t="s">
        <v>262</v>
      </c>
      <c r="D6" s="202">
        <f>Indata!D54</f>
        <v>13.466674098111907</v>
      </c>
      <c r="E6" s="203">
        <f>Indata!E54</f>
        <v>16.350158148247193</v>
      </c>
      <c r="F6" s="202">
        <f>Indata!F54</f>
        <v>12.410383353593298</v>
      </c>
      <c r="G6" s="203">
        <f>Indata!G54</f>
        <v>19.161594511883557</v>
      </c>
      <c r="H6" s="204">
        <f>Indata!H54</f>
        <v>22.874610096061375</v>
      </c>
      <c r="I6" s="203">
        <f>Indata!I54</f>
        <v>19.161594511883557</v>
      </c>
      <c r="K6" s="648" t="s">
        <v>0</v>
      </c>
      <c r="L6" s="135" t="s">
        <v>9</v>
      </c>
      <c r="M6" s="190" t="s">
        <v>262</v>
      </c>
      <c r="N6" s="202">
        <f>'Modell - Drivmedelpriser'!E58</f>
        <v>13.466674098111907</v>
      </c>
      <c r="O6" s="203">
        <f>'Modell - Drivmedelpriser'!F58</f>
        <v>16.350158148247193</v>
      </c>
      <c r="P6" s="202">
        <f>'Modell - Drivmedelpriser'!G58</f>
        <v>12.410383353593298</v>
      </c>
      <c r="Q6" s="203">
        <f>'Modell - Drivmedelpriser'!H58</f>
        <v>19.161594511883557</v>
      </c>
      <c r="R6" s="204">
        <f>'Modell - Drivmedelpriser'!I58</f>
        <v>22.874610096061375</v>
      </c>
      <c r="S6" s="203">
        <f>'Modell - Drivmedelpriser'!J58</f>
        <v>19.161594511883557</v>
      </c>
      <c r="U6" s="648"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22.874610096061375</v>
      </c>
      <c r="AC6" s="203">
        <f t="shared" ref="AC6:AC7" si="4">S6</f>
        <v>19.161594511883557</v>
      </c>
      <c r="AE6" s="648"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22.874610096061375</v>
      </c>
      <c r="AM6" s="203">
        <f t="shared" ref="AM6:AM7" si="9">AC6</f>
        <v>19.161594511883557</v>
      </c>
    </row>
    <row r="7" spans="1:39" x14ac:dyDescent="0.25">
      <c r="A7" s="649"/>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49"/>
      <c r="L7" s="136" t="s">
        <v>7</v>
      </c>
      <c r="M7" s="191" t="s">
        <v>263</v>
      </c>
      <c r="N7" s="281">
        <f>'Modell - Drivmedelpriser'!E84</f>
        <v>1.1975304347826086</v>
      </c>
      <c r="O7" s="282">
        <f>'Modell - Drivmedelpriser'!F84</f>
        <v>1.4034</v>
      </c>
      <c r="P7" s="281">
        <f>'Modell - Drivmedelpriser'!G84</f>
        <v>1.1975304347826086</v>
      </c>
      <c r="Q7" s="283">
        <f>'Modell - Drivmedelpriser'!H84</f>
        <v>1.4034</v>
      </c>
      <c r="R7" s="284">
        <f>'Modell - Drivmedelpriser'!I84</f>
        <v>1.1975304347826086</v>
      </c>
      <c r="S7" s="283">
        <f>'Modell - Drivmedelpriser'!J84</f>
        <v>1.4034</v>
      </c>
      <c r="U7" s="649"/>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49"/>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50"/>
      <c r="B8" s="188" t="s">
        <v>244</v>
      </c>
      <c r="C8" s="192" t="s">
        <v>25</v>
      </c>
      <c r="D8" s="285" t="s">
        <v>78</v>
      </c>
      <c r="E8" s="286" t="s">
        <v>78</v>
      </c>
      <c r="F8" s="285" t="s">
        <v>78</v>
      </c>
      <c r="G8" s="287" t="s">
        <v>78</v>
      </c>
      <c r="H8" s="288" t="s">
        <v>78</v>
      </c>
      <c r="I8" s="287" t="s">
        <v>78</v>
      </c>
      <c r="K8" s="650"/>
      <c r="L8" s="188" t="s">
        <v>244</v>
      </c>
      <c r="M8" s="192" t="s">
        <v>25</v>
      </c>
      <c r="N8" s="224">
        <f>N6/D6-1</f>
        <v>0</v>
      </c>
      <c r="O8" s="307">
        <f t="shared" ref="O8:S8" si="12">O6/E6-1</f>
        <v>0</v>
      </c>
      <c r="P8" s="224">
        <f t="shared" si="12"/>
        <v>0</v>
      </c>
      <c r="Q8" s="225">
        <f t="shared" si="12"/>
        <v>0</v>
      </c>
      <c r="R8" s="226">
        <f t="shared" si="12"/>
        <v>0</v>
      </c>
      <c r="S8" s="225">
        <f t="shared" si="12"/>
        <v>0</v>
      </c>
      <c r="U8" s="650"/>
      <c r="V8" s="188" t="s">
        <v>244</v>
      </c>
      <c r="W8" s="192" t="s">
        <v>25</v>
      </c>
      <c r="X8" s="224">
        <f>X6/D6-1</f>
        <v>0</v>
      </c>
      <c r="Y8" s="307">
        <f t="shared" ref="Y8:AC8" si="13">Y6/E6-1</f>
        <v>0</v>
      </c>
      <c r="Z8" s="224">
        <f t="shared" si="13"/>
        <v>0</v>
      </c>
      <c r="AA8" s="225">
        <f t="shared" si="13"/>
        <v>0</v>
      </c>
      <c r="AB8" s="226">
        <f t="shared" si="13"/>
        <v>0</v>
      </c>
      <c r="AC8" s="225">
        <f t="shared" si="13"/>
        <v>0</v>
      </c>
      <c r="AE8" s="650"/>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5"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5"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1.4801087144471103</v>
      </c>
      <c r="S11" s="203">
        <f>I11*(100%+S8*'Indata - Effektsamband-Faktorer'!$E$6)*(1-Indata!I$20)</f>
        <v>1.0975404858629165</v>
      </c>
      <c r="U11" s="635"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1.4801087144471103</v>
      </c>
      <c r="AC11" s="203">
        <f t="shared" ref="AC11:AC14" si="19">S11</f>
        <v>1.0975404858629165</v>
      </c>
      <c r="AE11" s="635"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1.4801087144471103</v>
      </c>
      <c r="AM11" s="203">
        <f t="shared" ref="AM11:AM14" si="24">AC11</f>
        <v>1.0975404858629165</v>
      </c>
    </row>
    <row r="12" spans="1:39" x14ac:dyDescent="0.25">
      <c r="A12" s="636"/>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6"/>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1.944759805699529</v>
      </c>
      <c r="S12" s="206">
        <f>I12*(100%+S9*'Indata - Effektsamband-Faktorer'!$E$6)*(1-Indata!I$20)</f>
        <v>1.4301687678393367</v>
      </c>
      <c r="U12" s="636"/>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1.944759805699529</v>
      </c>
      <c r="AC12" s="206">
        <f t="shared" si="19"/>
        <v>1.4301687678393367</v>
      </c>
      <c r="AE12" s="636"/>
      <c r="AF12" s="136" t="s">
        <v>138</v>
      </c>
      <c r="AG12" s="136" t="s">
        <v>39</v>
      </c>
      <c r="AH12" s="205">
        <f>X12</f>
        <v>1.8521521959043132</v>
      </c>
      <c r="AI12" s="228">
        <f t="shared" si="20"/>
        <v>1.4301687678393367</v>
      </c>
      <c r="AJ12" s="205">
        <f t="shared" si="21"/>
        <v>1.8521521959043132</v>
      </c>
      <c r="AK12" s="206">
        <f t="shared" si="22"/>
        <v>1.4301687678393367</v>
      </c>
      <c r="AL12" s="207">
        <f t="shared" si="23"/>
        <v>1.944759805699529</v>
      </c>
      <c r="AM12" s="206">
        <f t="shared" si="24"/>
        <v>1.4301687678393367</v>
      </c>
    </row>
    <row r="13" spans="1:39" x14ac:dyDescent="0.25">
      <c r="A13" s="636"/>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6"/>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2.3903761932731387</v>
      </c>
      <c r="S13" s="283">
        <f>I13*(100%+S10*'Indata - Effektsamband-Faktorer'!$E$6)*(1-Indata!I$20)</f>
        <v>1.7743995375527619</v>
      </c>
      <c r="U13" s="636"/>
      <c r="V13" s="136" t="s">
        <v>139</v>
      </c>
      <c r="W13" s="136" t="s">
        <v>39</v>
      </c>
      <c r="X13" s="281">
        <f t="shared" si="25"/>
        <v>2.2765487554982271</v>
      </c>
      <c r="Y13" s="282">
        <f t="shared" si="15"/>
        <v>1.7743995375527619</v>
      </c>
      <c r="Z13" s="281">
        <f t="shared" si="16"/>
        <v>2.2765487554982271</v>
      </c>
      <c r="AA13" s="283">
        <f t="shared" si="17"/>
        <v>1.7743995375527619</v>
      </c>
      <c r="AB13" s="284">
        <f t="shared" si="18"/>
        <v>2.3903761932731387</v>
      </c>
      <c r="AC13" s="283">
        <f t="shared" si="19"/>
        <v>1.7743995375527619</v>
      </c>
      <c r="AE13" s="636"/>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2.3903761932731387</v>
      </c>
      <c r="AM13" s="283">
        <f t="shared" si="24"/>
        <v>1.7743995375527619</v>
      </c>
    </row>
    <row r="14" spans="1:39" x14ac:dyDescent="0.25">
      <c r="A14" s="636"/>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6"/>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3.0833060105040446</v>
      </c>
      <c r="S14" s="283">
        <f>I14*(100%+S11*'Indata - Effektsamband-Faktorer'!$E$6)*(1-Indata!I$20)</f>
        <v>2.3008116808806713</v>
      </c>
      <c r="U14" s="636"/>
      <c r="V14" s="136" t="s">
        <v>140</v>
      </c>
      <c r="W14" s="136" t="s">
        <v>39</v>
      </c>
      <c r="X14" s="281">
        <f t="shared" si="25"/>
        <v>2.9364819147657566</v>
      </c>
      <c r="Y14" s="282">
        <f t="shared" si="15"/>
        <v>2.3008116808806713</v>
      </c>
      <c r="Z14" s="281">
        <f t="shared" si="16"/>
        <v>2.9364819147657566</v>
      </c>
      <c r="AA14" s="283">
        <f t="shared" si="17"/>
        <v>2.3008116808806713</v>
      </c>
      <c r="AB14" s="284">
        <f t="shared" si="18"/>
        <v>3.0833060105040446</v>
      </c>
      <c r="AC14" s="283">
        <f t="shared" si="19"/>
        <v>2.3008116808806713</v>
      </c>
      <c r="AE14" s="636"/>
      <c r="AF14" s="136" t="s">
        <v>140</v>
      </c>
      <c r="AG14" s="136" t="s">
        <v>39</v>
      </c>
      <c r="AH14" s="281">
        <f t="shared" si="26"/>
        <v>2.9364819147657566</v>
      </c>
      <c r="AI14" s="282">
        <f t="shared" si="20"/>
        <v>2.3008116808806713</v>
      </c>
      <c r="AJ14" s="281">
        <f t="shared" si="21"/>
        <v>2.9364819147657566</v>
      </c>
      <c r="AK14" s="283">
        <f t="shared" si="22"/>
        <v>2.3008116808806713</v>
      </c>
      <c r="AL14" s="284">
        <f t="shared" si="23"/>
        <v>3.0833060105040446</v>
      </c>
      <c r="AM14" s="283">
        <f t="shared" si="24"/>
        <v>2.3008116808806713</v>
      </c>
    </row>
    <row r="15" spans="1:39" x14ac:dyDescent="0.25">
      <c r="A15" s="636"/>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6"/>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2.8093912244981758</v>
      </c>
      <c r="S15" s="279">
        <f t="shared" si="28"/>
        <v>2.1274953516263264</v>
      </c>
      <c r="U15" s="636"/>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2.8093912244981754</v>
      </c>
      <c r="AC15" s="279">
        <f t="shared" si="29"/>
        <v>2.127495351626326</v>
      </c>
      <c r="AE15" s="636"/>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2.8093912244981762</v>
      </c>
      <c r="AM15" s="279">
        <f t="shared" si="30"/>
        <v>2.1274953516263264</v>
      </c>
    </row>
    <row r="16" spans="1:39" x14ac:dyDescent="0.25">
      <c r="A16" s="636"/>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6"/>
      <c r="L16" s="136" t="s">
        <v>142</v>
      </c>
      <c r="M16" s="136" t="s">
        <v>40</v>
      </c>
      <c r="N16" s="281">
        <f>D16*(1-Indata!D$20)</f>
        <v>8.4732522945626005</v>
      </c>
      <c r="O16" s="282">
        <f>E16*(1-Indata!E$20)</f>
        <v>8.4732522945626005</v>
      </c>
      <c r="P16" s="281">
        <f>F16*(1-Indata!F$20)</f>
        <v>8.4732522945626005</v>
      </c>
      <c r="Q16" s="283">
        <f>G16*(1-Indata!G$20)</f>
        <v>8.4732522945626005</v>
      </c>
      <c r="R16" s="284">
        <f>H16*(1-Indata!H$20)</f>
        <v>8.8969149092907305</v>
      </c>
      <c r="S16" s="283">
        <f>I16*(1-Indata!I$20)</f>
        <v>8.4732522945626005</v>
      </c>
      <c r="U16" s="636"/>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8.8969149092907305</v>
      </c>
      <c r="AC16" s="283">
        <f t="shared" ref="AC16:AC19" si="36">S16</f>
        <v>8.4732522945626005</v>
      </c>
      <c r="AE16" s="636"/>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8.8969149092907305</v>
      </c>
      <c r="AM16" s="283">
        <f t="shared" ref="AM16:AM19" si="42">AC16</f>
        <v>8.4732522945626005</v>
      </c>
    </row>
    <row r="17" spans="1:39" x14ac:dyDescent="0.25">
      <c r="A17" s="636"/>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6"/>
      <c r="L17" s="136" t="s">
        <v>143</v>
      </c>
      <c r="M17" s="136" t="s">
        <v>40</v>
      </c>
      <c r="N17" s="281">
        <f>D17*(1-Indata!D$20)</f>
        <v>8.4732522945626005</v>
      </c>
      <c r="O17" s="282">
        <f>E17*(1-Indata!E$20)</f>
        <v>8.4732522945626005</v>
      </c>
      <c r="P17" s="281">
        <f>F17*(1-Indata!F$20)</f>
        <v>8.4732522945626005</v>
      </c>
      <c r="Q17" s="283">
        <f>G17*(1-Indata!G$20)</f>
        <v>8.4732522945626005</v>
      </c>
      <c r="R17" s="284">
        <f>H17*(1-Indata!H$20)</f>
        <v>8.8969149092907305</v>
      </c>
      <c r="S17" s="283">
        <f>I17*(1-Indata!I$20)</f>
        <v>8.4732522945626005</v>
      </c>
      <c r="U17" s="636"/>
      <c r="V17" s="136" t="s">
        <v>143</v>
      </c>
      <c r="W17" s="136" t="s">
        <v>40</v>
      </c>
      <c r="X17" s="281">
        <f t="shared" si="31"/>
        <v>8.4732522945626005</v>
      </c>
      <c r="Y17" s="282">
        <f t="shared" si="32"/>
        <v>8.4732522945626005</v>
      </c>
      <c r="Z17" s="281">
        <f t="shared" si="33"/>
        <v>8.4732522945626005</v>
      </c>
      <c r="AA17" s="283">
        <f t="shared" si="34"/>
        <v>8.4732522945626005</v>
      </c>
      <c r="AB17" s="284">
        <f t="shared" si="35"/>
        <v>8.8969149092907305</v>
      </c>
      <c r="AC17" s="283">
        <f t="shared" si="36"/>
        <v>8.4732522945626005</v>
      </c>
      <c r="AE17" s="636"/>
      <c r="AF17" s="136" t="s">
        <v>143</v>
      </c>
      <c r="AG17" s="136" t="s">
        <v>40</v>
      </c>
      <c r="AH17" s="281">
        <f t="shared" si="37"/>
        <v>8.4732522945626005</v>
      </c>
      <c r="AI17" s="282">
        <f t="shared" si="38"/>
        <v>8.4732522945626005</v>
      </c>
      <c r="AJ17" s="281">
        <f t="shared" si="39"/>
        <v>8.4732522945626005</v>
      </c>
      <c r="AK17" s="283">
        <f t="shared" si="40"/>
        <v>8.4732522945626005</v>
      </c>
      <c r="AL17" s="284">
        <f t="shared" si="41"/>
        <v>8.8969149092907305</v>
      </c>
      <c r="AM17" s="283">
        <f t="shared" si="42"/>
        <v>8.4732522945626005</v>
      </c>
    </row>
    <row r="18" spans="1:39" x14ac:dyDescent="0.25">
      <c r="A18" s="636"/>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6"/>
      <c r="L18" s="136" t="s">
        <v>144</v>
      </c>
      <c r="M18" s="136" t="s">
        <v>40</v>
      </c>
      <c r="N18" s="281">
        <f>D18*(1-Indata!D$20)</f>
        <v>13.374188060932356</v>
      </c>
      <c r="O18" s="282">
        <f>E18*(1-Indata!E$20)</f>
        <v>13.374188060932356</v>
      </c>
      <c r="P18" s="281">
        <f>F18*(1-Indata!F$20)</f>
        <v>13.374188060932356</v>
      </c>
      <c r="Q18" s="283">
        <f>G18*(1-Indata!G$20)</f>
        <v>13.374188060932356</v>
      </c>
      <c r="R18" s="284">
        <f>H18*(1-Indata!H$20)</f>
        <v>14.042897463978974</v>
      </c>
      <c r="S18" s="283">
        <f>I18*(1-Indata!I$20)</f>
        <v>13.374188060932356</v>
      </c>
      <c r="U18" s="636"/>
      <c r="V18" s="136" t="s">
        <v>144</v>
      </c>
      <c r="W18" s="136" t="s">
        <v>40</v>
      </c>
      <c r="X18" s="281">
        <f t="shared" si="31"/>
        <v>13.374188060932356</v>
      </c>
      <c r="Y18" s="282">
        <f t="shared" si="32"/>
        <v>13.374188060932356</v>
      </c>
      <c r="Z18" s="281">
        <f t="shared" si="33"/>
        <v>13.374188060932356</v>
      </c>
      <c r="AA18" s="283">
        <f t="shared" si="34"/>
        <v>13.374188060932356</v>
      </c>
      <c r="AB18" s="284">
        <f t="shared" si="35"/>
        <v>14.042897463978974</v>
      </c>
      <c r="AC18" s="283">
        <f t="shared" si="36"/>
        <v>13.374188060932356</v>
      </c>
      <c r="AE18" s="636"/>
      <c r="AF18" s="136" t="s">
        <v>144</v>
      </c>
      <c r="AG18" s="136" t="s">
        <v>40</v>
      </c>
      <c r="AH18" s="281">
        <f t="shared" si="37"/>
        <v>13.374188060932356</v>
      </c>
      <c r="AI18" s="282">
        <f t="shared" si="38"/>
        <v>13.374188060932356</v>
      </c>
      <c r="AJ18" s="281">
        <f t="shared" si="39"/>
        <v>13.374188060932356</v>
      </c>
      <c r="AK18" s="283">
        <f t="shared" si="40"/>
        <v>13.374188060932356</v>
      </c>
      <c r="AL18" s="284">
        <f t="shared" si="41"/>
        <v>14.042897463978974</v>
      </c>
      <c r="AM18" s="283">
        <f t="shared" si="42"/>
        <v>13.374188060932356</v>
      </c>
    </row>
    <row r="19" spans="1:39" x14ac:dyDescent="0.25">
      <c r="A19" s="636"/>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6"/>
      <c r="L19" s="136" t="s">
        <v>145</v>
      </c>
      <c r="M19" s="136" t="s">
        <v>40</v>
      </c>
      <c r="N19" s="281">
        <f>D19*(1-Indata!D$20)</f>
        <v>15.182448650666799</v>
      </c>
      <c r="O19" s="282">
        <f>E19*(1-Indata!E$20)</f>
        <v>15.182448650666799</v>
      </c>
      <c r="P19" s="281">
        <f>F19*(1-Indata!F$20)</f>
        <v>15.182448650666799</v>
      </c>
      <c r="Q19" s="283">
        <f>G19*(1-Indata!G$20)</f>
        <v>15.182448650666799</v>
      </c>
      <c r="R19" s="284">
        <f>H19*(1-Indata!H$20)</f>
        <v>15.94157108320014</v>
      </c>
      <c r="S19" s="283">
        <f>I19*(1-Indata!I$20)</f>
        <v>15.182448650666799</v>
      </c>
      <c r="U19" s="636"/>
      <c r="V19" s="136" t="s">
        <v>145</v>
      </c>
      <c r="W19" s="136" t="s">
        <v>40</v>
      </c>
      <c r="X19" s="281">
        <f t="shared" si="31"/>
        <v>15.182448650666799</v>
      </c>
      <c r="Y19" s="282">
        <f t="shared" si="32"/>
        <v>15.182448650666799</v>
      </c>
      <c r="Z19" s="281">
        <f t="shared" si="33"/>
        <v>15.182448650666799</v>
      </c>
      <c r="AA19" s="283">
        <f t="shared" si="34"/>
        <v>15.182448650666799</v>
      </c>
      <c r="AB19" s="284">
        <f t="shared" si="35"/>
        <v>15.94157108320014</v>
      </c>
      <c r="AC19" s="283">
        <f t="shared" si="36"/>
        <v>15.182448650666799</v>
      </c>
      <c r="AE19" s="636"/>
      <c r="AF19" s="136" t="s">
        <v>145</v>
      </c>
      <c r="AG19" s="136" t="s">
        <v>40</v>
      </c>
      <c r="AH19" s="281">
        <f t="shared" si="37"/>
        <v>15.182448650666799</v>
      </c>
      <c r="AI19" s="282">
        <f t="shared" si="38"/>
        <v>15.182448650666799</v>
      </c>
      <c r="AJ19" s="281">
        <f t="shared" si="39"/>
        <v>15.182448650666799</v>
      </c>
      <c r="AK19" s="283">
        <f t="shared" si="40"/>
        <v>15.182448650666799</v>
      </c>
      <c r="AL19" s="284">
        <f t="shared" si="41"/>
        <v>15.94157108320014</v>
      </c>
      <c r="AM19" s="283">
        <f t="shared" si="42"/>
        <v>15.182448650666799</v>
      </c>
    </row>
    <row r="20" spans="1:39" ht="15.75" thickBot="1" x14ac:dyDescent="0.3">
      <c r="A20" s="637"/>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7"/>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12.275859514403006</v>
      </c>
      <c r="S20" s="210">
        <f t="shared" si="44"/>
        <v>12.957606815551204</v>
      </c>
      <c r="U20" s="637"/>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12.275859514403008</v>
      </c>
      <c r="AC20" s="210">
        <f t="shared" si="45"/>
        <v>12.957606815551202</v>
      </c>
      <c r="AE20" s="637"/>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12.27585951440301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5" t="s">
        <v>149</v>
      </c>
      <c r="B23" s="135" t="s">
        <v>116</v>
      </c>
      <c r="C23" s="135" t="s">
        <v>25</v>
      </c>
      <c r="D23" s="233">
        <f>Indata!D42</f>
        <v>0.5</v>
      </c>
      <c r="E23" s="233">
        <f>Indata!E42</f>
        <v>0.85</v>
      </c>
      <c r="F23" s="233">
        <f>Indata!F42</f>
        <v>0.1</v>
      </c>
      <c r="G23" s="233">
        <f>Indata!G42</f>
        <v>0.85</v>
      </c>
      <c r="H23" s="233">
        <f>Indata!H42</f>
        <v>0.5</v>
      </c>
      <c r="I23" s="233">
        <f>Indata!I42</f>
        <v>0.85</v>
      </c>
      <c r="K23" s="635"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5" t="s">
        <v>149</v>
      </c>
      <c r="V23" s="135" t="s">
        <v>116</v>
      </c>
      <c r="W23" s="135" t="s">
        <v>25</v>
      </c>
      <c r="X23" s="233">
        <f>N23</f>
        <v>0.5</v>
      </c>
      <c r="Y23" s="234">
        <f>O23</f>
        <v>0.85</v>
      </c>
      <c r="Z23" s="233">
        <f t="shared" ref="Y23:AC26" si="52">P23</f>
        <v>0.1</v>
      </c>
      <c r="AA23" s="235">
        <f t="shared" si="52"/>
        <v>0.85</v>
      </c>
      <c r="AB23" s="236">
        <f t="shared" si="52"/>
        <v>0.5</v>
      </c>
      <c r="AC23" s="235">
        <f t="shared" si="52"/>
        <v>0.85</v>
      </c>
      <c r="AE23" s="635"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6"/>
      <c r="B24" s="136" t="s">
        <v>117</v>
      </c>
      <c r="C24" s="136" t="s">
        <v>25</v>
      </c>
      <c r="D24" s="233">
        <f>Indata!D43</f>
        <v>0.5</v>
      </c>
      <c r="E24" s="233">
        <f>Indata!E43</f>
        <v>0.85</v>
      </c>
      <c r="F24" s="233">
        <f>Indata!F43</f>
        <v>0.1</v>
      </c>
      <c r="G24" s="233">
        <f>Indata!G43</f>
        <v>0.85</v>
      </c>
      <c r="H24" s="233">
        <f>Indata!H43</f>
        <v>0.5</v>
      </c>
      <c r="I24" s="233">
        <f>Indata!I43</f>
        <v>0.85</v>
      </c>
      <c r="K24" s="636"/>
      <c r="L24" s="136" t="s">
        <v>117</v>
      </c>
      <c r="M24" s="136" t="s">
        <v>25</v>
      </c>
      <c r="N24" s="237">
        <f t="shared" ref="N24:N26" si="57">D24</f>
        <v>0.5</v>
      </c>
      <c r="O24" s="238">
        <f t="shared" si="47"/>
        <v>0.85</v>
      </c>
      <c r="P24" s="237">
        <f t="shared" si="48"/>
        <v>0.1</v>
      </c>
      <c r="Q24" s="239">
        <f t="shared" si="49"/>
        <v>0.85</v>
      </c>
      <c r="R24" s="240">
        <f t="shared" si="50"/>
        <v>0.5</v>
      </c>
      <c r="S24" s="239">
        <f t="shared" si="51"/>
        <v>0.85</v>
      </c>
      <c r="U24" s="636"/>
      <c r="V24" s="136" t="s">
        <v>117</v>
      </c>
      <c r="W24" s="136" t="s">
        <v>25</v>
      </c>
      <c r="X24" s="237">
        <f t="shared" ref="X24" si="58">N24</f>
        <v>0.5</v>
      </c>
      <c r="Y24" s="238">
        <f t="shared" si="52"/>
        <v>0.85</v>
      </c>
      <c r="Z24" s="237">
        <f t="shared" si="52"/>
        <v>0.1</v>
      </c>
      <c r="AA24" s="239">
        <f t="shared" si="52"/>
        <v>0.85</v>
      </c>
      <c r="AB24" s="240">
        <f t="shared" si="52"/>
        <v>0.5</v>
      </c>
      <c r="AC24" s="239">
        <f t="shared" si="52"/>
        <v>0.85</v>
      </c>
      <c r="AE24" s="636"/>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6"/>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6"/>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6"/>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6"/>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7"/>
      <c r="B26" s="137" t="s">
        <v>119</v>
      </c>
      <c r="C26" s="137" t="s">
        <v>25</v>
      </c>
      <c r="D26" s="233">
        <f>Indata!D45</f>
        <v>0.02</v>
      </c>
      <c r="E26" s="233">
        <f>Indata!E45</f>
        <v>0.185</v>
      </c>
      <c r="F26" s="233">
        <f>Indata!F45</f>
        <v>0.1</v>
      </c>
      <c r="G26" s="233">
        <f>Indata!G45</f>
        <v>0.185</v>
      </c>
      <c r="H26" s="233">
        <f>Indata!H45</f>
        <v>0.02</v>
      </c>
      <c r="I26" s="233">
        <f>Indata!I45</f>
        <v>0.185</v>
      </c>
      <c r="K26" s="637"/>
      <c r="L26" s="137" t="s">
        <v>119</v>
      </c>
      <c r="M26" s="137" t="s">
        <v>25</v>
      </c>
      <c r="N26" s="241">
        <f t="shared" si="57"/>
        <v>0.02</v>
      </c>
      <c r="O26" s="242">
        <f t="shared" si="47"/>
        <v>0.185</v>
      </c>
      <c r="P26" s="241">
        <f t="shared" si="48"/>
        <v>0.1</v>
      </c>
      <c r="Q26" s="243">
        <f t="shared" si="49"/>
        <v>0.185</v>
      </c>
      <c r="R26" s="244">
        <f t="shared" si="50"/>
        <v>0.02</v>
      </c>
      <c r="S26" s="243">
        <f t="shared" si="51"/>
        <v>0.185</v>
      </c>
      <c r="U26" s="637"/>
      <c r="V26" s="137" t="s">
        <v>119</v>
      </c>
      <c r="W26" s="137" t="s">
        <v>25</v>
      </c>
      <c r="X26" s="241">
        <f>N26</f>
        <v>0.02</v>
      </c>
      <c r="Y26" s="242">
        <f>O26</f>
        <v>0.185</v>
      </c>
      <c r="Z26" s="241">
        <f t="shared" si="52"/>
        <v>0.1</v>
      </c>
      <c r="AA26" s="243">
        <f t="shared" si="52"/>
        <v>0.185</v>
      </c>
      <c r="AB26" s="244">
        <f t="shared" si="52"/>
        <v>0.02</v>
      </c>
      <c r="AC26" s="243">
        <f t="shared" si="52"/>
        <v>0.185</v>
      </c>
      <c r="AE26" s="637"/>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48" t="s">
        <v>21</v>
      </c>
      <c r="B29" s="135" t="s">
        <v>116</v>
      </c>
      <c r="C29" s="135" t="s">
        <v>74</v>
      </c>
      <c r="D29" s="202">
        <f>Indata!D$16*10</f>
        <v>0</v>
      </c>
      <c r="E29" s="227">
        <f>Indata!E$16*10</f>
        <v>0</v>
      </c>
      <c r="F29" s="202">
        <f>Indata!F$16*10</f>
        <v>35.041693098526949</v>
      </c>
      <c r="G29" s="203">
        <f>Indata!G$16*10</f>
        <v>0</v>
      </c>
      <c r="H29" s="204">
        <f>Indata!H$16*10</f>
        <v>10</v>
      </c>
      <c r="I29" s="203">
        <f>Indata!I$16*10</f>
        <v>0</v>
      </c>
      <c r="K29" s="648" t="s">
        <v>21</v>
      </c>
      <c r="L29" s="135" t="s">
        <v>116</v>
      </c>
      <c r="M29" s="135" t="s">
        <v>74</v>
      </c>
      <c r="N29" s="202">
        <f>D29</f>
        <v>0</v>
      </c>
      <c r="O29" s="227">
        <f t="shared" ref="O29:O32" si="61">E29</f>
        <v>0</v>
      </c>
      <c r="P29" s="202">
        <f t="shared" ref="P29:P32" si="62">F29</f>
        <v>35.041693098526949</v>
      </c>
      <c r="Q29" s="203">
        <f t="shared" ref="Q29:Q32" si="63">G29</f>
        <v>0</v>
      </c>
      <c r="R29" s="204">
        <f t="shared" ref="R29:R32" si="64">H29</f>
        <v>10</v>
      </c>
      <c r="S29" s="203">
        <f t="shared" ref="S29:S32" si="65">I29</f>
        <v>0</v>
      </c>
      <c r="U29" s="648"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10</v>
      </c>
      <c r="AC29" s="203">
        <f t="shared" ref="AC29:AC32" si="70">S29</f>
        <v>0</v>
      </c>
      <c r="AE29" s="648"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10</v>
      </c>
      <c r="AM29" s="203">
        <f t="shared" ref="AM29:AM32" si="75">AC29</f>
        <v>0</v>
      </c>
    </row>
    <row r="30" spans="1:39" x14ac:dyDescent="0.25">
      <c r="A30" s="649"/>
      <c r="B30" s="136" t="s">
        <v>117</v>
      </c>
      <c r="C30" s="136" t="s">
        <v>74</v>
      </c>
      <c r="D30" s="205">
        <f>Indata!D$16*10</f>
        <v>0</v>
      </c>
      <c r="E30" s="228">
        <f>Indata!E$16*10</f>
        <v>0</v>
      </c>
      <c r="F30" s="205">
        <f>Indata!F$16*10</f>
        <v>35.041693098526949</v>
      </c>
      <c r="G30" s="206">
        <f>Indata!G$16*10</f>
        <v>0</v>
      </c>
      <c r="H30" s="207">
        <f>Indata!H$16*10</f>
        <v>10</v>
      </c>
      <c r="I30" s="206">
        <f>Indata!I$16*10</f>
        <v>0</v>
      </c>
      <c r="K30" s="649"/>
      <c r="L30" s="136" t="s">
        <v>117</v>
      </c>
      <c r="M30" s="136" t="s">
        <v>74</v>
      </c>
      <c r="N30" s="205">
        <f t="shared" ref="N30:N32" si="76">D30</f>
        <v>0</v>
      </c>
      <c r="O30" s="228">
        <f t="shared" si="61"/>
        <v>0</v>
      </c>
      <c r="P30" s="205">
        <f t="shared" si="62"/>
        <v>35.041693098526949</v>
      </c>
      <c r="Q30" s="206">
        <f t="shared" si="63"/>
        <v>0</v>
      </c>
      <c r="R30" s="207">
        <f t="shared" si="64"/>
        <v>10</v>
      </c>
      <c r="S30" s="206">
        <f t="shared" si="65"/>
        <v>0</v>
      </c>
      <c r="U30" s="649"/>
      <c r="V30" s="136" t="s">
        <v>117</v>
      </c>
      <c r="W30" s="136" t="s">
        <v>74</v>
      </c>
      <c r="X30" s="205">
        <f t="shared" ref="X30:X32" si="77">N30</f>
        <v>0</v>
      </c>
      <c r="Y30" s="228">
        <f t="shared" si="66"/>
        <v>0</v>
      </c>
      <c r="Z30" s="205">
        <f t="shared" si="67"/>
        <v>35.041693098526949</v>
      </c>
      <c r="AA30" s="206">
        <f t="shared" si="68"/>
        <v>0</v>
      </c>
      <c r="AB30" s="207">
        <f t="shared" si="69"/>
        <v>10</v>
      </c>
      <c r="AC30" s="206">
        <f t="shared" si="70"/>
        <v>0</v>
      </c>
      <c r="AE30" s="649"/>
      <c r="AF30" s="136" t="s">
        <v>117</v>
      </c>
      <c r="AG30" s="136" t="s">
        <v>74</v>
      </c>
      <c r="AH30" s="205">
        <f t="shared" ref="AH30:AH32" si="78">X30</f>
        <v>0</v>
      </c>
      <c r="AI30" s="228">
        <f t="shared" si="71"/>
        <v>0</v>
      </c>
      <c r="AJ30" s="205">
        <f t="shared" si="72"/>
        <v>35.041693098526949</v>
      </c>
      <c r="AK30" s="206">
        <f t="shared" si="73"/>
        <v>0</v>
      </c>
      <c r="AL30" s="207">
        <f t="shared" si="74"/>
        <v>10</v>
      </c>
      <c r="AM30" s="206">
        <f t="shared" si="75"/>
        <v>0</v>
      </c>
    </row>
    <row r="31" spans="1:39" x14ac:dyDescent="0.25">
      <c r="A31" s="649"/>
      <c r="B31" s="136" t="s">
        <v>118</v>
      </c>
      <c r="C31" s="136" t="s">
        <v>74</v>
      </c>
      <c r="D31" s="281">
        <f>Indata!D$16*10</f>
        <v>0</v>
      </c>
      <c r="E31" s="282">
        <f>Indata!E$16*10</f>
        <v>0</v>
      </c>
      <c r="F31" s="281">
        <f>Indata!F$16*10</f>
        <v>35.041693098526949</v>
      </c>
      <c r="G31" s="283">
        <f>Indata!G$16*10</f>
        <v>0</v>
      </c>
      <c r="H31" s="284">
        <f>Indata!H$16*10</f>
        <v>10</v>
      </c>
      <c r="I31" s="283">
        <f>Indata!I$16*10</f>
        <v>0</v>
      </c>
      <c r="K31" s="649"/>
      <c r="L31" s="136" t="s">
        <v>118</v>
      </c>
      <c r="M31" s="136" t="s">
        <v>74</v>
      </c>
      <c r="N31" s="281">
        <f t="shared" si="76"/>
        <v>0</v>
      </c>
      <c r="O31" s="282">
        <f t="shared" si="61"/>
        <v>0</v>
      </c>
      <c r="P31" s="281">
        <f t="shared" si="62"/>
        <v>35.041693098526949</v>
      </c>
      <c r="Q31" s="283">
        <f t="shared" si="63"/>
        <v>0</v>
      </c>
      <c r="R31" s="284">
        <f t="shared" si="64"/>
        <v>10</v>
      </c>
      <c r="S31" s="283">
        <f t="shared" si="65"/>
        <v>0</v>
      </c>
      <c r="U31" s="649"/>
      <c r="V31" s="136" t="s">
        <v>118</v>
      </c>
      <c r="W31" s="136" t="s">
        <v>74</v>
      </c>
      <c r="X31" s="281">
        <f t="shared" si="77"/>
        <v>0</v>
      </c>
      <c r="Y31" s="282">
        <f t="shared" si="66"/>
        <v>0</v>
      </c>
      <c r="Z31" s="281">
        <f t="shared" si="67"/>
        <v>35.041693098526949</v>
      </c>
      <c r="AA31" s="283">
        <f t="shared" si="68"/>
        <v>0</v>
      </c>
      <c r="AB31" s="284">
        <f t="shared" si="69"/>
        <v>10</v>
      </c>
      <c r="AC31" s="283">
        <f t="shared" si="70"/>
        <v>0</v>
      </c>
      <c r="AE31" s="649"/>
      <c r="AF31" s="136" t="s">
        <v>118</v>
      </c>
      <c r="AG31" s="136" t="s">
        <v>74</v>
      </c>
      <c r="AH31" s="281">
        <f t="shared" si="78"/>
        <v>0</v>
      </c>
      <c r="AI31" s="282">
        <f t="shared" si="71"/>
        <v>0</v>
      </c>
      <c r="AJ31" s="281">
        <f t="shared" si="72"/>
        <v>35.041693098526949</v>
      </c>
      <c r="AK31" s="283">
        <f t="shared" si="73"/>
        <v>0</v>
      </c>
      <c r="AL31" s="284">
        <f t="shared" si="74"/>
        <v>10</v>
      </c>
      <c r="AM31" s="283">
        <f t="shared" si="75"/>
        <v>0</v>
      </c>
    </row>
    <row r="32" spans="1:39" ht="15.75" thickBot="1" x14ac:dyDescent="0.3">
      <c r="A32" s="650"/>
      <c r="B32" s="137" t="s">
        <v>119</v>
      </c>
      <c r="C32" s="137" t="s">
        <v>74</v>
      </c>
      <c r="D32" s="229">
        <f>Indata!D$16*10</f>
        <v>0</v>
      </c>
      <c r="E32" s="230">
        <f>Indata!E$16*10</f>
        <v>0</v>
      </c>
      <c r="F32" s="229">
        <f>Indata!F$16*10</f>
        <v>35.041693098526949</v>
      </c>
      <c r="G32" s="231">
        <f>Indata!G$16*10</f>
        <v>0</v>
      </c>
      <c r="H32" s="232">
        <f>Indata!H$16*10</f>
        <v>10</v>
      </c>
      <c r="I32" s="231">
        <f>Indata!I$16*10</f>
        <v>0</v>
      </c>
      <c r="K32" s="650"/>
      <c r="L32" s="137" t="s">
        <v>119</v>
      </c>
      <c r="M32" s="137" t="s">
        <v>74</v>
      </c>
      <c r="N32" s="229">
        <f t="shared" si="76"/>
        <v>0</v>
      </c>
      <c r="O32" s="230">
        <f t="shared" si="61"/>
        <v>0</v>
      </c>
      <c r="P32" s="229">
        <f t="shared" si="62"/>
        <v>35.041693098526949</v>
      </c>
      <c r="Q32" s="231">
        <f t="shared" si="63"/>
        <v>0</v>
      </c>
      <c r="R32" s="232">
        <f t="shared" si="64"/>
        <v>10</v>
      </c>
      <c r="S32" s="231">
        <f t="shared" si="65"/>
        <v>0</v>
      </c>
      <c r="U32" s="650"/>
      <c r="V32" s="137" t="s">
        <v>119</v>
      </c>
      <c r="W32" s="137" t="s">
        <v>74</v>
      </c>
      <c r="X32" s="229">
        <f t="shared" si="77"/>
        <v>0</v>
      </c>
      <c r="Y32" s="230">
        <f t="shared" si="66"/>
        <v>0</v>
      </c>
      <c r="Z32" s="229">
        <f t="shared" si="67"/>
        <v>35.041693098526949</v>
      </c>
      <c r="AA32" s="231">
        <f t="shared" si="68"/>
        <v>0</v>
      </c>
      <c r="AB32" s="232">
        <f t="shared" si="69"/>
        <v>10</v>
      </c>
      <c r="AC32" s="231">
        <f t="shared" si="70"/>
        <v>0</v>
      </c>
      <c r="AE32" s="650"/>
      <c r="AF32" s="137" t="s">
        <v>119</v>
      </c>
      <c r="AG32" s="137" t="s">
        <v>74</v>
      </c>
      <c r="AH32" s="229">
        <f t="shared" si="78"/>
        <v>0</v>
      </c>
      <c r="AI32" s="230">
        <f t="shared" si="71"/>
        <v>0</v>
      </c>
      <c r="AJ32" s="229">
        <f t="shared" si="72"/>
        <v>35.041693098526949</v>
      </c>
      <c r="AK32" s="231">
        <f t="shared" si="73"/>
        <v>0</v>
      </c>
      <c r="AL32" s="232">
        <f t="shared" si="74"/>
        <v>10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5"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5"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5"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8.4984547118986592E-2</v>
      </c>
      <c r="AC36" s="273">
        <f t="shared" si="84"/>
        <v>3.7871735029617534E-2</v>
      </c>
      <c r="AE36" s="635"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9.5182692773264993E-2</v>
      </c>
      <c r="AM36" s="246">
        <f>AC36*(1-Indata!I$22)</f>
        <v>3.7871735029617534E-2</v>
      </c>
    </row>
    <row r="37" spans="1:39" ht="15.75" thickBot="1" x14ac:dyDescent="0.3">
      <c r="A37" s="636"/>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6"/>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6"/>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9.2498143396121973E-2</v>
      </c>
      <c r="AC37" s="273">
        <f t="shared" si="84"/>
        <v>4.1220025242058048E-2</v>
      </c>
      <c r="AE37" s="636"/>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0.10359792060365662</v>
      </c>
      <c r="AM37" s="249">
        <f>AC37*(1-Indata!I$22)</f>
        <v>4.1220025242058048E-2</v>
      </c>
    </row>
    <row r="38" spans="1:39" ht="15.75" thickBot="1" x14ac:dyDescent="0.3">
      <c r="A38" s="636"/>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6"/>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6"/>
      <c r="V38" s="136" t="s">
        <v>139</v>
      </c>
      <c r="W38" s="136" t="s">
        <v>36</v>
      </c>
      <c r="X38" s="273">
        <f t="shared" si="86"/>
        <v>1.6742126020364483</v>
      </c>
      <c r="Y38" s="273">
        <f t="shared" si="84"/>
        <v>1.4756524157323059</v>
      </c>
      <c r="Z38" s="273">
        <f t="shared" si="84"/>
        <v>1.4011643607254343</v>
      </c>
      <c r="AA38" s="273">
        <f t="shared" si="84"/>
        <v>1.4298628959925177</v>
      </c>
      <c r="AB38" s="273">
        <f t="shared" si="84"/>
        <v>1.2878988813179324</v>
      </c>
      <c r="AC38" s="273">
        <f t="shared" si="84"/>
        <v>1.4298628959925177</v>
      </c>
      <c r="AE38" s="636"/>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1.4424467470760844</v>
      </c>
      <c r="AM38" s="249">
        <f>AC38*(1-Indata!I$22)</f>
        <v>1.4298628959925177</v>
      </c>
    </row>
    <row r="39" spans="1:39" ht="15.75" thickBot="1" x14ac:dyDescent="0.3">
      <c r="A39" s="636"/>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6"/>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6"/>
      <c r="V39" s="136" t="s">
        <v>140</v>
      </c>
      <c r="W39" s="136" t="s">
        <v>36</v>
      </c>
      <c r="X39" s="273">
        <f t="shared" si="86"/>
        <v>3.4767773344867821</v>
      </c>
      <c r="Y39" s="273">
        <f t="shared" si="84"/>
        <v>3.4097554293851404</v>
      </c>
      <c r="Z39" s="273">
        <f t="shared" si="84"/>
        <v>2.5256330430812071</v>
      </c>
      <c r="AA39" s="273">
        <f t="shared" si="84"/>
        <v>3.3039506599983066</v>
      </c>
      <c r="AB39" s="273">
        <f t="shared" si="84"/>
        <v>2.6745334697818666</v>
      </c>
      <c r="AC39" s="273">
        <f t="shared" si="84"/>
        <v>3.3039506599983066</v>
      </c>
      <c r="AE39" s="636"/>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2.995477486155691</v>
      </c>
      <c r="AM39" s="275">
        <f>AC39*(1-Indata!I$22)</f>
        <v>3.3039506599983066</v>
      </c>
    </row>
    <row r="40" spans="1:39" ht="15.75" thickBot="1" x14ac:dyDescent="0.3">
      <c r="A40" s="636"/>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6"/>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6"/>
      <c r="V40" s="187" t="s">
        <v>163</v>
      </c>
      <c r="W40" s="187" t="s">
        <v>36</v>
      </c>
      <c r="X40" s="273">
        <f t="shared" si="86"/>
        <v>5.3817097247100616</v>
      </c>
      <c r="Y40" s="273">
        <f t="shared" si="84"/>
        <v>4.9670324172610609</v>
      </c>
      <c r="Z40" s="273">
        <f t="shared" si="84"/>
        <v>4.2552965830081222</v>
      </c>
      <c r="AA40" s="273">
        <f t="shared" si="84"/>
        <v>4.8129053162625004</v>
      </c>
      <c r="AB40" s="273">
        <f t="shared" si="84"/>
        <v>4.1399150416149082</v>
      </c>
      <c r="AC40" s="273">
        <f t="shared" si="84"/>
        <v>4.8129053162625004</v>
      </c>
      <c r="AE40" s="636"/>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4.6367048466086969</v>
      </c>
      <c r="AM40" s="271">
        <f t="shared" ref="AM40" si="95">SUM(AM36:AM39)</f>
        <v>4.8129053162624995</v>
      </c>
    </row>
    <row r="41" spans="1:39" ht="15.75" thickBot="1" x14ac:dyDescent="0.3">
      <c r="A41" s="636"/>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6"/>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6"/>
      <c r="V41" s="136" t="s">
        <v>142</v>
      </c>
      <c r="W41" s="136" t="s">
        <v>36</v>
      </c>
      <c r="X41" s="273">
        <f t="shared" si="86"/>
        <v>0.11047621970085687</v>
      </c>
      <c r="Y41" s="273">
        <f t="shared" si="84"/>
        <v>0.22147899552654329</v>
      </c>
      <c r="Z41" s="273">
        <f t="shared" si="84"/>
        <v>1.7477356300287971E-2</v>
      </c>
      <c r="AA41" s="273">
        <f t="shared" si="84"/>
        <v>0.21460649850116598</v>
      </c>
      <c r="AB41" s="273">
        <f t="shared" si="84"/>
        <v>8.4984547118986592E-2</v>
      </c>
      <c r="AC41" s="273">
        <f t="shared" si="84"/>
        <v>0.21460649850116598</v>
      </c>
      <c r="AE41" s="636"/>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9.5182692773264993E-2</v>
      </c>
      <c r="AM41" s="275">
        <f>AC41*(1-Indata!I$22)</f>
        <v>0.21460649850116598</v>
      </c>
    </row>
    <row r="42" spans="1:39" ht="15.75" thickBot="1" x14ac:dyDescent="0.3">
      <c r="A42" s="636"/>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6"/>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6"/>
      <c r="V42" s="136" t="s">
        <v>143</v>
      </c>
      <c r="W42" s="136" t="s">
        <v>36</v>
      </c>
      <c r="X42" s="273">
        <f t="shared" si="86"/>
        <v>0.12024356848597383</v>
      </c>
      <c r="Y42" s="273">
        <f t="shared" si="84"/>
        <v>0.24106024662060416</v>
      </c>
      <c r="Z42" s="273">
        <f t="shared" si="84"/>
        <v>1.9022552499876527E-2</v>
      </c>
      <c r="AA42" s="273">
        <f t="shared" si="84"/>
        <v>0.23358014303832889</v>
      </c>
      <c r="AB42" s="273">
        <f t="shared" si="84"/>
        <v>9.2498143396121973E-2</v>
      </c>
      <c r="AC42" s="273">
        <f t="shared" si="84"/>
        <v>0.23358014303832889</v>
      </c>
      <c r="AE42" s="636"/>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0.10359792060365662</v>
      </c>
      <c r="AM42" s="275">
        <f>AC42*(1-Indata!I$22)</f>
        <v>0.23358014303832889</v>
      </c>
    </row>
    <row r="43" spans="1:39" ht="15.75" thickBot="1" x14ac:dyDescent="0.3">
      <c r="A43" s="636"/>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6"/>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6"/>
      <c r="V43" s="136" t="s">
        <v>144</v>
      </c>
      <c r="W43" s="136" t="s">
        <v>36</v>
      </c>
      <c r="X43" s="273">
        <f t="shared" si="86"/>
        <v>0.29398923826849277</v>
      </c>
      <c r="Y43" s="273">
        <f t="shared" si="84"/>
        <v>0.84539735015762008</v>
      </c>
      <c r="Z43" s="273">
        <f t="shared" si="84"/>
        <v>0.15568492896949274</v>
      </c>
      <c r="AA43" s="273">
        <f t="shared" si="84"/>
        <v>0.81916465589960497</v>
      </c>
      <c r="AB43" s="273">
        <f t="shared" si="84"/>
        <v>0.22615312453445505</v>
      </c>
      <c r="AC43" s="273">
        <f t="shared" si="84"/>
        <v>0.81916465589960497</v>
      </c>
      <c r="AE43" s="636"/>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0.2532914994785897</v>
      </c>
      <c r="AM43" s="275">
        <f>AC43*(1-Indata!I$22)</f>
        <v>0.81916465589960497</v>
      </c>
    </row>
    <row r="44" spans="1:39" ht="15.75" thickBot="1" x14ac:dyDescent="0.3">
      <c r="A44" s="636"/>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6"/>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6"/>
      <c r="V44" s="136" t="s">
        <v>145</v>
      </c>
      <c r="W44" s="136" t="s">
        <v>36</v>
      </c>
      <c r="X44" s="273">
        <f t="shared" si="86"/>
        <v>7.0954639479322096E-2</v>
      </c>
      <c r="Y44" s="273">
        <f t="shared" si="84"/>
        <v>0.77399356372546135</v>
      </c>
      <c r="Z44" s="273">
        <f t="shared" si="84"/>
        <v>0.28062589367568969</v>
      </c>
      <c r="AA44" s="273">
        <f t="shared" si="84"/>
        <v>0.74997653018366472</v>
      </c>
      <c r="AB44" s="273">
        <f t="shared" si="84"/>
        <v>5.4582315709834024E-2</v>
      </c>
      <c r="AC44" s="273">
        <f t="shared" si="84"/>
        <v>0.74997653018366472</v>
      </c>
      <c r="AE44" s="636"/>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6.1132193595014116E-2</v>
      </c>
      <c r="AM44" s="275">
        <f>AC44*(1-Indata!I$22)</f>
        <v>0.74997653018366472</v>
      </c>
    </row>
    <row r="45" spans="1:39" ht="15.75" thickBot="1" x14ac:dyDescent="0.3">
      <c r="A45" s="636"/>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6"/>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6"/>
      <c r="V45" s="187" t="s">
        <v>164</v>
      </c>
      <c r="W45" s="187" t="s">
        <v>36</v>
      </c>
      <c r="X45" s="273">
        <f t="shared" si="86"/>
        <v>0.59566366593464559</v>
      </c>
      <c r="Y45" s="273">
        <f t="shared" si="84"/>
        <v>2.081930156030229</v>
      </c>
      <c r="Z45" s="273">
        <f t="shared" si="84"/>
        <v>0.47281073144534691</v>
      </c>
      <c r="AA45" s="273">
        <f t="shared" si="84"/>
        <v>2.0173278276227649</v>
      </c>
      <c r="AB45" s="273">
        <f t="shared" si="84"/>
        <v>0.45821813075939766</v>
      </c>
      <c r="AC45" s="273">
        <f t="shared" si="84"/>
        <v>2.0173278276227649</v>
      </c>
      <c r="AE45" s="636"/>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0.51320430645052539</v>
      </c>
      <c r="AM45" s="271">
        <f t="shared" ref="AM45" si="111">SUM(AM41:AM44)</f>
        <v>2.0173278276227644</v>
      </c>
    </row>
    <row r="46" spans="1:39" ht="15.75" thickBot="1" x14ac:dyDescent="0.3">
      <c r="A46" s="636"/>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6"/>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6"/>
      <c r="V46" s="136" t="s">
        <v>165</v>
      </c>
      <c r="W46" s="136" t="s">
        <v>36</v>
      </c>
      <c r="X46" s="273">
        <f t="shared" si="86"/>
        <v>0.22095243940171375</v>
      </c>
      <c r="Y46" s="273">
        <f t="shared" si="84"/>
        <v>0.26056352414887451</v>
      </c>
      <c r="Z46" s="273">
        <f t="shared" si="84"/>
        <v>0.17477356300287974</v>
      </c>
      <c r="AA46" s="273">
        <f t="shared" si="84"/>
        <v>0.25247823353078352</v>
      </c>
      <c r="AB46" s="273">
        <f t="shared" si="84"/>
        <v>0.16996909423797318</v>
      </c>
      <c r="AC46" s="273">
        <f t="shared" si="84"/>
        <v>0.25247823353078352</v>
      </c>
      <c r="AE46" s="636"/>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0.19036538554652999</v>
      </c>
      <c r="AM46" s="275">
        <f t="shared" si="114"/>
        <v>0.25247823353078352</v>
      </c>
    </row>
    <row r="47" spans="1:39" ht="15.75" thickBot="1" x14ac:dyDescent="0.3">
      <c r="A47" s="636"/>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6"/>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6"/>
      <c r="V47" s="136" t="s">
        <v>166</v>
      </c>
      <c r="W47" s="136" t="s">
        <v>36</v>
      </c>
      <c r="X47" s="273">
        <f t="shared" si="86"/>
        <v>0.24048713697194765</v>
      </c>
      <c r="Y47" s="273">
        <f t="shared" si="84"/>
        <v>0.28360029014188726</v>
      </c>
      <c r="Z47" s="273">
        <f t="shared" si="84"/>
        <v>0.19022552499876527</v>
      </c>
      <c r="AA47" s="273">
        <f t="shared" si="84"/>
        <v>0.27480016828038695</v>
      </c>
      <c r="AB47" s="273">
        <f t="shared" si="84"/>
        <v>0.18499628679224395</v>
      </c>
      <c r="AC47" s="273">
        <f t="shared" si="84"/>
        <v>0.27480016828038695</v>
      </c>
      <c r="AE47" s="636"/>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0.20719584120731324</v>
      </c>
      <c r="AM47" s="249">
        <f t="shared" si="117"/>
        <v>0.27480016828038695</v>
      </c>
    </row>
    <row r="48" spans="1:39" ht="15.75" thickBot="1" x14ac:dyDescent="0.3">
      <c r="A48" s="636"/>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6"/>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6"/>
      <c r="V48" s="136" t="s">
        <v>167</v>
      </c>
      <c r="W48" s="136" t="s">
        <v>36</v>
      </c>
      <c r="X48" s="273">
        <f t="shared" si="86"/>
        <v>1.9682018403049411</v>
      </c>
      <c r="Y48" s="273">
        <f t="shared" si="84"/>
        <v>2.3210497658899261</v>
      </c>
      <c r="Z48" s="273">
        <f t="shared" si="84"/>
        <v>1.5568492896949271</v>
      </c>
      <c r="AA48" s="273">
        <f t="shared" si="84"/>
        <v>2.249027551892123</v>
      </c>
      <c r="AB48" s="273">
        <f t="shared" si="84"/>
        <v>1.5140520058523874</v>
      </c>
      <c r="AC48" s="273">
        <f t="shared" si="84"/>
        <v>2.249027551892123</v>
      </c>
      <c r="AE48" s="636"/>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1.6957382465546742</v>
      </c>
      <c r="AM48" s="249">
        <f t="shared" si="120"/>
        <v>2.2490275518921226</v>
      </c>
    </row>
    <row r="49" spans="1:39" x14ac:dyDescent="0.25">
      <c r="A49" s="636"/>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6"/>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6"/>
      <c r="V49" s="136" t="s">
        <v>168</v>
      </c>
      <c r="W49" s="136" t="s">
        <v>36</v>
      </c>
      <c r="X49" s="273">
        <f t="shared" si="86"/>
        <v>3.547731973966104</v>
      </c>
      <c r="Y49" s="273">
        <f t="shared" si="84"/>
        <v>4.1837489931106013</v>
      </c>
      <c r="Z49" s="273">
        <f t="shared" si="84"/>
        <v>2.8062589367568971</v>
      </c>
      <c r="AA49" s="273">
        <f t="shared" si="84"/>
        <v>4.0539271901819705</v>
      </c>
      <c r="AB49" s="273">
        <f t="shared" si="84"/>
        <v>2.7291157854917008</v>
      </c>
      <c r="AC49" s="273">
        <f t="shared" si="84"/>
        <v>4.0539271901819705</v>
      </c>
      <c r="AE49" s="636"/>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3.056609679750705</v>
      </c>
      <c r="AM49" s="275">
        <f t="shared" si="123"/>
        <v>4.0539271901819713</v>
      </c>
    </row>
    <row r="50" spans="1:39" ht="15.75" thickBot="1" x14ac:dyDescent="0.3">
      <c r="A50" s="637"/>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7"/>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7"/>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4.5981331723743049</v>
      </c>
      <c r="AC50" s="208">
        <f>S50*(1+S$68*'Indata - Effektsamband-Faktorer'!$D$9)</f>
        <v>6.8302331438852644</v>
      </c>
      <c r="AE50" s="637"/>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5.1499091530592223</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5"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42.244675945485994</v>
      </c>
      <c r="I53" s="273">
        <f t="shared" si="135"/>
        <v>21.030625750480873</v>
      </c>
      <c r="K53" s="635"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43.856909742760294</v>
      </c>
      <c r="S53" s="273">
        <f t="shared" si="136"/>
        <v>21.030625750480873</v>
      </c>
      <c r="U53" s="635"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43.856909742760294</v>
      </c>
      <c r="AC53" s="246">
        <f t="shared" ref="AC53:AC56" si="141">S53</f>
        <v>21.030625750480873</v>
      </c>
      <c r="AE53" s="635"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43.856909742760294</v>
      </c>
      <c r="AM53" s="246">
        <f t="shared" ref="AM53:AM56" si="145">AC53</f>
        <v>21.030625750480873</v>
      </c>
    </row>
    <row r="54" spans="1:39" ht="15.75" thickBot="1" x14ac:dyDescent="0.3">
      <c r="A54" s="636"/>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52.367259319875046</v>
      </c>
      <c r="I54" s="273">
        <f t="shared" si="146"/>
        <v>27.404314012897501</v>
      </c>
      <c r="K54" s="636"/>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54.4856222858688</v>
      </c>
      <c r="S54" s="273">
        <f t="shared" si="147"/>
        <v>27.404314012897501</v>
      </c>
      <c r="U54" s="636"/>
      <c r="V54" s="136" t="s">
        <v>138</v>
      </c>
      <c r="W54" s="136" t="s">
        <v>74</v>
      </c>
      <c r="X54" s="248">
        <f>N54</f>
        <v>24.942330002345706</v>
      </c>
      <c r="Y54" s="249">
        <f t="shared" si="137"/>
        <v>23.383485532856977</v>
      </c>
      <c r="Z54" s="248">
        <f t="shared" si="138"/>
        <v>58.027611878899108</v>
      </c>
      <c r="AA54" s="249">
        <f t="shared" si="139"/>
        <v>27.404314012897501</v>
      </c>
      <c r="AB54" s="250">
        <f t="shared" si="140"/>
        <v>54.4856222858688</v>
      </c>
      <c r="AC54" s="249">
        <f t="shared" si="141"/>
        <v>27.404314012897501</v>
      </c>
      <c r="AE54" s="636"/>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54.4856222858688</v>
      </c>
      <c r="AM54" s="249">
        <f t="shared" si="145"/>
        <v>27.404314012897501</v>
      </c>
    </row>
    <row r="55" spans="1:39" ht="15.75" thickBot="1" x14ac:dyDescent="0.3">
      <c r="A55" s="636"/>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62.075165146695703</v>
      </c>
      <c r="I55" s="273">
        <f t="shared" si="149"/>
        <v>34.000324440659725</v>
      </c>
      <c r="K55" s="636"/>
      <c r="L55" s="136" t="s">
        <v>139</v>
      </c>
      <c r="M55" s="136" t="s">
        <v>74</v>
      </c>
      <c r="N55" s="273">
        <f t="shared" si="147"/>
        <v>30.657540158756873</v>
      </c>
      <c r="O55" s="273">
        <f t="shared" si="147"/>
        <v>29.011713057164339</v>
      </c>
      <c r="P55" s="273">
        <f t="shared" si="147"/>
        <v>63.294535877405686</v>
      </c>
      <c r="Q55" s="273">
        <f t="shared" si="147"/>
        <v>34.000324440659725</v>
      </c>
      <c r="R55" s="273">
        <f t="shared" si="147"/>
        <v>64.678923404030485</v>
      </c>
      <c r="S55" s="273">
        <f t="shared" si="147"/>
        <v>34.000324440659725</v>
      </c>
      <c r="U55" s="636"/>
      <c r="V55" s="136" t="s">
        <v>139</v>
      </c>
      <c r="W55" s="136" t="s">
        <v>74</v>
      </c>
      <c r="X55" s="248">
        <f>N55</f>
        <v>30.657540158756873</v>
      </c>
      <c r="Y55" s="249">
        <f t="shared" si="137"/>
        <v>29.011713057164339</v>
      </c>
      <c r="Z55" s="248">
        <f t="shared" si="138"/>
        <v>63.294535877405686</v>
      </c>
      <c r="AA55" s="249">
        <f t="shared" si="139"/>
        <v>34.000324440659725</v>
      </c>
      <c r="AB55" s="250">
        <f t="shared" si="140"/>
        <v>64.678923404030485</v>
      </c>
      <c r="AC55" s="249">
        <f t="shared" si="141"/>
        <v>34.000324440659725</v>
      </c>
      <c r="AE55" s="636"/>
      <c r="AF55" s="136" t="s">
        <v>139</v>
      </c>
      <c r="AG55" s="136" t="s">
        <v>74</v>
      </c>
      <c r="AH55" s="248">
        <f>X55</f>
        <v>30.657540158756873</v>
      </c>
      <c r="AI55" s="249">
        <f t="shared" si="142"/>
        <v>29.011713057164339</v>
      </c>
      <c r="AJ55" s="248">
        <f t="shared" si="148"/>
        <v>63.294535877405686</v>
      </c>
      <c r="AK55" s="249">
        <f t="shared" si="143"/>
        <v>34.000324440659725</v>
      </c>
      <c r="AL55" s="250">
        <f t="shared" si="144"/>
        <v>64.678923404030485</v>
      </c>
      <c r="AM55" s="249">
        <f t="shared" si="145"/>
        <v>34.000324440659725</v>
      </c>
    </row>
    <row r="56" spans="1:39" x14ac:dyDescent="0.25">
      <c r="A56" s="636"/>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77.170878854402417</v>
      </c>
      <c r="I56" s="273">
        <f t="shared" si="150"/>
        <v>44.087220477240656</v>
      </c>
      <c r="K56" s="636"/>
      <c r="L56" s="136" t="s">
        <v>140</v>
      </c>
      <c r="M56" s="136" t="s">
        <v>74</v>
      </c>
      <c r="N56" s="273">
        <f t="shared" si="147"/>
        <v>39.544644941150075</v>
      </c>
      <c r="O56" s="273">
        <f t="shared" si="147"/>
        <v>37.618634851733425</v>
      </c>
      <c r="P56" s="273">
        <f t="shared" si="147"/>
        <v>71.484559371663664</v>
      </c>
      <c r="Q56" s="273">
        <f t="shared" si="147"/>
        <v>44.087220477240656</v>
      </c>
      <c r="R56" s="273">
        <f t="shared" si="147"/>
        <v>80.529422797122535</v>
      </c>
      <c r="S56" s="273">
        <f t="shared" si="147"/>
        <v>44.087220477240656</v>
      </c>
      <c r="U56" s="636"/>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80.529422797122535</v>
      </c>
      <c r="AC56" s="275">
        <f t="shared" si="141"/>
        <v>44.087220477240656</v>
      </c>
      <c r="AE56" s="636"/>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80.529422797122535</v>
      </c>
      <c r="AM56" s="275">
        <f t="shared" si="145"/>
        <v>44.087220477240656</v>
      </c>
    </row>
    <row r="57" spans="1:39" x14ac:dyDescent="0.25">
      <c r="A57" s="636"/>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71.203551302563994</v>
      </c>
      <c r="I57" s="271">
        <f t="shared" ref="I57" si="157">SUMPRODUCT(I53:I56,I36:I39)/I40</f>
        <v>40.766203253780795</v>
      </c>
      <c r="K57" s="636"/>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74.263728867692194</v>
      </c>
      <c r="S57" s="271">
        <f t="shared" si="158"/>
        <v>40.766203253780795</v>
      </c>
      <c r="U57" s="636"/>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74.263728867692194</v>
      </c>
      <c r="AC57" s="271">
        <f t="shared" ref="AC57" si="163">SUMPRODUCT(AC53:AC56,AC36:AC39)/AC40</f>
        <v>40.766203253780787</v>
      </c>
      <c r="AE57" s="636"/>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74.263728867692208</v>
      </c>
      <c r="AM57" s="271">
        <f t="shared" ref="AM57" si="167">SUMPRODUCT(AM53:AM56,AM36:AM39)/AM40</f>
        <v>40.766203253780802</v>
      </c>
    </row>
    <row r="58" spans="1:39" x14ac:dyDescent="0.25">
      <c r="A58" s="636"/>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20.146977504330287</v>
      </c>
      <c r="I58" s="274">
        <f t="shared" si="168"/>
        <v>11.891362270189154</v>
      </c>
      <c r="K58" s="636"/>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20.654326379546802</v>
      </c>
      <c r="S58" s="274">
        <f t="shared" si="169"/>
        <v>11.891362270189154</v>
      </c>
      <c r="U58" s="636"/>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20.654326379546802</v>
      </c>
      <c r="AC58" s="275">
        <f t="shared" ref="AC58:AC61" si="174">S58</f>
        <v>11.891362270189154</v>
      </c>
      <c r="AE58" s="636"/>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20.654326379546802</v>
      </c>
      <c r="AM58" s="275">
        <f t="shared" ref="AM58:AM61" si="177">AC58</f>
        <v>11.891362270189154</v>
      </c>
    </row>
    <row r="59" spans="1:39" x14ac:dyDescent="0.25">
      <c r="A59" s="636"/>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20.146977504330287</v>
      </c>
      <c r="I59" s="274">
        <f t="shared" si="178"/>
        <v>11.891362270189154</v>
      </c>
      <c r="K59" s="636"/>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20.654326379546802</v>
      </c>
      <c r="S59" s="274">
        <f t="shared" si="179"/>
        <v>11.891362270189154</v>
      </c>
      <c r="U59" s="636"/>
      <c r="V59" s="136" t="s">
        <v>143</v>
      </c>
      <c r="W59" s="136" t="s">
        <v>74</v>
      </c>
      <c r="X59" s="274">
        <f>N59</f>
        <v>10.146977504330287</v>
      </c>
      <c r="Y59" s="275">
        <f t="shared" si="170"/>
        <v>11.891362270189154</v>
      </c>
      <c r="Z59" s="274">
        <f t="shared" si="171"/>
        <v>45.188670602857236</v>
      </c>
      <c r="AA59" s="275">
        <f t="shared" si="172"/>
        <v>11.891362270189154</v>
      </c>
      <c r="AB59" s="276">
        <f t="shared" si="173"/>
        <v>20.654326379546802</v>
      </c>
      <c r="AC59" s="275">
        <f t="shared" si="174"/>
        <v>11.891362270189154</v>
      </c>
      <c r="AE59" s="636"/>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20.654326379546802</v>
      </c>
      <c r="AM59" s="275">
        <f t="shared" si="177"/>
        <v>11.891362270189154</v>
      </c>
    </row>
    <row r="60" spans="1:39" x14ac:dyDescent="0.25">
      <c r="A60" s="636"/>
      <c r="B60" s="136" t="s">
        <v>144</v>
      </c>
      <c r="C60" s="136" t="s">
        <v>74</v>
      </c>
      <c r="D60" s="274">
        <f t="shared" si="178"/>
        <v>16.015997243472697</v>
      </c>
      <c r="E60" s="274">
        <f>E$7*E18+E31</f>
        <v>18.769335524712467</v>
      </c>
      <c r="F60" s="274">
        <f t="shared" si="178"/>
        <v>51.057690341999646</v>
      </c>
      <c r="G60" s="274">
        <f t="shared" si="178"/>
        <v>18.769335524712467</v>
      </c>
      <c r="H60" s="274">
        <f t="shared" si="178"/>
        <v>26.015997243472697</v>
      </c>
      <c r="I60" s="274">
        <f t="shared" si="178"/>
        <v>18.769335524712467</v>
      </c>
      <c r="K60" s="636"/>
      <c r="L60" s="136" t="s">
        <v>144</v>
      </c>
      <c r="M60" s="136" t="s">
        <v>74</v>
      </c>
      <c r="N60" s="274">
        <f t="shared" si="179"/>
        <v>16.015997243472697</v>
      </c>
      <c r="O60" s="274">
        <f t="shared" si="179"/>
        <v>18.769335524712467</v>
      </c>
      <c r="P60" s="274">
        <f t="shared" si="179"/>
        <v>51.057690341999646</v>
      </c>
      <c r="Q60" s="274">
        <f t="shared" si="179"/>
        <v>18.769335524712467</v>
      </c>
      <c r="R60" s="274">
        <f t="shared" si="179"/>
        <v>26.816797105646334</v>
      </c>
      <c r="S60" s="274">
        <f t="shared" si="179"/>
        <v>18.769335524712467</v>
      </c>
      <c r="U60" s="636"/>
      <c r="V60" s="136" t="s">
        <v>144</v>
      </c>
      <c r="W60" s="136" t="s">
        <v>74</v>
      </c>
      <c r="X60" s="274">
        <f>N60</f>
        <v>16.015997243472697</v>
      </c>
      <c r="Y60" s="275">
        <f t="shared" si="170"/>
        <v>18.769335524712467</v>
      </c>
      <c r="Z60" s="274">
        <f t="shared" si="171"/>
        <v>51.057690341999646</v>
      </c>
      <c r="AA60" s="275">
        <f t="shared" si="172"/>
        <v>18.769335524712467</v>
      </c>
      <c r="AB60" s="276">
        <f t="shared" si="173"/>
        <v>26.816797105646334</v>
      </c>
      <c r="AC60" s="275">
        <f t="shared" si="174"/>
        <v>18.769335524712467</v>
      </c>
      <c r="AE60" s="636"/>
      <c r="AF60" s="136" t="s">
        <v>144</v>
      </c>
      <c r="AG60" s="136" t="s">
        <v>74</v>
      </c>
      <c r="AH60" s="274">
        <f>X60</f>
        <v>16.015997243472697</v>
      </c>
      <c r="AI60" s="275">
        <f t="shared" si="175"/>
        <v>18.769335524712467</v>
      </c>
      <c r="AJ60" s="274">
        <f t="shared" si="180"/>
        <v>51.057690341999646</v>
      </c>
      <c r="AK60" s="275">
        <f t="shared" si="176"/>
        <v>18.769335524712467</v>
      </c>
      <c r="AL60" s="276">
        <f t="shared" si="181"/>
        <v>26.816797105646334</v>
      </c>
      <c r="AM60" s="275">
        <f t="shared" si="177"/>
        <v>18.769335524712467</v>
      </c>
    </row>
    <row r="61" spans="1:39" x14ac:dyDescent="0.25">
      <c r="A61" s="636"/>
      <c r="B61" s="136" t="s">
        <v>145</v>
      </c>
      <c r="C61" s="136" t="s">
        <v>74</v>
      </c>
      <c r="D61" s="274">
        <f t="shared" si="178"/>
        <v>18.181444333697641</v>
      </c>
      <c r="E61" s="274">
        <f t="shared" si="178"/>
        <v>21.307048436345784</v>
      </c>
      <c r="F61" s="274">
        <f t="shared" si="178"/>
        <v>53.22313743222459</v>
      </c>
      <c r="G61" s="274">
        <f t="shared" si="178"/>
        <v>21.307048436345784</v>
      </c>
      <c r="H61" s="274">
        <f t="shared" si="178"/>
        <v>28.181444333697641</v>
      </c>
      <c r="I61" s="274">
        <f t="shared" si="178"/>
        <v>21.307048436345784</v>
      </c>
      <c r="K61" s="636"/>
      <c r="L61" s="136" t="s">
        <v>145</v>
      </c>
      <c r="M61" s="136" t="s">
        <v>74</v>
      </c>
      <c r="N61" s="274">
        <f t="shared" si="179"/>
        <v>18.181444333697641</v>
      </c>
      <c r="O61" s="274">
        <f t="shared" si="179"/>
        <v>21.307048436345784</v>
      </c>
      <c r="P61" s="274">
        <f t="shared" si="179"/>
        <v>53.22313743222459</v>
      </c>
      <c r="Q61" s="274">
        <f t="shared" si="179"/>
        <v>21.307048436345784</v>
      </c>
      <c r="R61" s="274">
        <f t="shared" si="179"/>
        <v>29.090516550382524</v>
      </c>
      <c r="S61" s="274">
        <f t="shared" si="179"/>
        <v>21.307048436345784</v>
      </c>
      <c r="U61" s="636"/>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29.090516550382524</v>
      </c>
      <c r="AC61" s="275">
        <f t="shared" si="174"/>
        <v>21.307048436345784</v>
      </c>
      <c r="AE61" s="636"/>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29.090516550382524</v>
      </c>
      <c r="AM61" s="275">
        <f t="shared" si="177"/>
        <v>21.307048436345784</v>
      </c>
    </row>
    <row r="62" spans="1:39" x14ac:dyDescent="0.25">
      <c r="A62" s="636"/>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24.000681315822145</v>
      </c>
      <c r="I62" s="271">
        <f t="shared" ref="I62" si="187">SUMPRODUCT(I58:I61,I41:I44)/I45</f>
        <v>18.184705404944555</v>
      </c>
      <c r="K62" s="636"/>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24.700715381613257</v>
      </c>
      <c r="S62" s="271">
        <f t="shared" si="188"/>
        <v>18.184705404944555</v>
      </c>
      <c r="U62" s="636"/>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24.700715381613254</v>
      </c>
      <c r="AC62" s="271">
        <f t="shared" ref="AC62" si="193">SUMPRODUCT(AC58:AC61,AC41:AC44)/AC45</f>
        <v>18.184705404944552</v>
      </c>
      <c r="AE62" s="636"/>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24.700715381613261</v>
      </c>
      <c r="AM62" s="271">
        <f t="shared" ref="AM62" si="196">SUMPRODUCT(AM58:AM61,AM41:AM44)/AM45</f>
        <v>18.184705404944559</v>
      </c>
    </row>
    <row r="63" spans="1:39" x14ac:dyDescent="0.25">
      <c r="A63" s="636"/>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31.195826724908141</v>
      </c>
      <c r="I63" s="274">
        <f t="shared" si="197"/>
        <v>13.262251792232911</v>
      </c>
      <c r="K63" s="636"/>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32.255618061153548</v>
      </c>
      <c r="S63" s="274">
        <f t="shared" si="198"/>
        <v>13.262251792232911</v>
      </c>
      <c r="U63" s="636"/>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32.255618061153548</v>
      </c>
      <c r="AC63" s="275">
        <f t="shared" ref="AC63:AC66" si="202">S63</f>
        <v>13.262251792232911</v>
      </c>
      <c r="AE63" s="636"/>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32.255618061153548</v>
      </c>
      <c r="AM63" s="275">
        <f t="shared" ref="AM63:AM66" si="205">AC63</f>
        <v>13.262251792232911</v>
      </c>
    </row>
    <row r="64" spans="1:39" x14ac:dyDescent="0.25">
      <c r="A64" s="636"/>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36.25711841210267</v>
      </c>
      <c r="I64" s="274">
        <f t="shared" si="206"/>
        <v>14.218305031595406</v>
      </c>
      <c r="K64" s="636"/>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37.569974332707801</v>
      </c>
      <c r="S64" s="274">
        <f t="shared" si="207"/>
        <v>14.218305031595406</v>
      </c>
      <c r="U64" s="636"/>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37.569974332707801</v>
      </c>
      <c r="AC64" s="249">
        <f t="shared" si="202"/>
        <v>14.218305031595406</v>
      </c>
      <c r="AE64" s="636"/>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37.569974332707801</v>
      </c>
      <c r="AM64" s="249">
        <f t="shared" si="205"/>
        <v>14.218305031595406</v>
      </c>
    </row>
    <row r="65" spans="1:39" x14ac:dyDescent="0.25">
      <c r="A65" s="636"/>
      <c r="B65" s="136" t="s">
        <v>167</v>
      </c>
      <c r="C65" s="136" t="s">
        <v>74</v>
      </c>
      <c r="D65" s="274">
        <f t="shared" si="206"/>
        <v>28.470540857875754</v>
      </c>
      <c r="E65" s="274">
        <f t="shared" si="206"/>
        <v>25.28112573736648</v>
      </c>
      <c r="F65" s="274">
        <f t="shared" si="206"/>
        <v>62.070851323865085</v>
      </c>
      <c r="G65" s="274">
        <f t="shared" si="206"/>
        <v>28.452732200695429</v>
      </c>
      <c r="H65" s="274">
        <f t="shared" si="206"/>
        <v>56.689026851640691</v>
      </c>
      <c r="I65" s="274">
        <f t="shared" si="206"/>
        <v>28.452732200695429</v>
      </c>
      <c r="K65" s="636"/>
      <c r="L65" s="136" t="s">
        <v>167</v>
      </c>
      <c r="M65" s="136" t="s">
        <v>74</v>
      </c>
      <c r="N65" s="274">
        <f t="shared" si="207"/>
        <v>28.470540857875754</v>
      </c>
      <c r="O65" s="274">
        <f t="shared" si="207"/>
        <v>25.28112573736648</v>
      </c>
      <c r="P65" s="274">
        <f t="shared" si="207"/>
        <v>62.070851323865085</v>
      </c>
      <c r="Q65" s="274">
        <f t="shared" si="207"/>
        <v>28.452732200695429</v>
      </c>
      <c r="R65" s="274">
        <f t="shared" si="207"/>
        <v>59.023478194222726</v>
      </c>
      <c r="S65" s="274">
        <f t="shared" si="207"/>
        <v>28.452732200695429</v>
      </c>
      <c r="U65" s="636"/>
      <c r="V65" s="136" t="s">
        <v>167</v>
      </c>
      <c r="W65" s="136" t="s">
        <v>74</v>
      </c>
      <c r="X65" s="248">
        <f>N65</f>
        <v>28.470540857875754</v>
      </c>
      <c r="Y65" s="249">
        <f t="shared" si="199"/>
        <v>25.28112573736648</v>
      </c>
      <c r="Z65" s="248">
        <f t="shared" si="200"/>
        <v>62.070851323865085</v>
      </c>
      <c r="AA65" s="249">
        <f t="shared" si="201"/>
        <v>28.452732200695429</v>
      </c>
      <c r="AB65" s="250">
        <f t="shared" si="208"/>
        <v>59.023478194222726</v>
      </c>
      <c r="AC65" s="249">
        <f t="shared" si="202"/>
        <v>28.452732200695429</v>
      </c>
      <c r="AE65" s="636"/>
      <c r="AF65" s="136" t="s">
        <v>167</v>
      </c>
      <c r="AG65" s="136" t="s">
        <v>74</v>
      </c>
      <c r="AH65" s="248">
        <f>X65</f>
        <v>28.470540857875754</v>
      </c>
      <c r="AI65" s="249">
        <f t="shared" si="203"/>
        <v>25.28112573736648</v>
      </c>
      <c r="AJ65" s="248">
        <f t="shared" si="209"/>
        <v>62.070851323865085</v>
      </c>
      <c r="AK65" s="249">
        <f t="shared" si="204"/>
        <v>28.452732200695429</v>
      </c>
      <c r="AL65" s="250">
        <f t="shared" si="210"/>
        <v>59.023478194222726</v>
      </c>
      <c r="AM65" s="249">
        <f t="shared" si="205"/>
        <v>28.452732200695429</v>
      </c>
    </row>
    <row r="66" spans="1:39" x14ac:dyDescent="0.25">
      <c r="A66" s="636"/>
      <c r="B66" s="136" t="s">
        <v>168</v>
      </c>
      <c r="C66" s="136" t="s">
        <v>74</v>
      </c>
      <c r="D66" s="274">
        <f t="shared" si="206"/>
        <v>39.117380929001023</v>
      </c>
      <c r="E66" s="274">
        <f t="shared" si="206"/>
        <v>34.600991364886717</v>
      </c>
      <c r="F66" s="274">
        <f t="shared" si="206"/>
        <v>69.65841717771977</v>
      </c>
      <c r="G66" s="274">
        <f t="shared" si="206"/>
        <v>39.872888649675104</v>
      </c>
      <c r="H66" s="274">
        <f t="shared" si="206"/>
        <v>76.191090163988321</v>
      </c>
      <c r="I66" s="274">
        <f t="shared" si="206"/>
        <v>39.872888649675104</v>
      </c>
      <c r="K66" s="636"/>
      <c r="L66" s="136" t="s">
        <v>168</v>
      </c>
      <c r="M66" s="136" t="s">
        <v>74</v>
      </c>
      <c r="N66" s="274">
        <f t="shared" si="207"/>
        <v>39.117380929001023</v>
      </c>
      <c r="O66" s="274">
        <f t="shared" si="207"/>
        <v>34.600991364886717</v>
      </c>
      <c r="P66" s="274">
        <f t="shared" si="207"/>
        <v>69.65841717771977</v>
      </c>
      <c r="Q66" s="274">
        <f t="shared" si="207"/>
        <v>39.872888649675104</v>
      </c>
      <c r="R66" s="274">
        <f t="shared" si="207"/>
        <v>79.500644672187747</v>
      </c>
      <c r="S66" s="274">
        <f t="shared" si="207"/>
        <v>39.872888649675104</v>
      </c>
      <c r="U66" s="636"/>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79.500644672187747</v>
      </c>
      <c r="AC66" s="275">
        <f t="shared" si="202"/>
        <v>39.872888649675104</v>
      </c>
      <c r="AE66" s="636"/>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79.500644672187747</v>
      </c>
      <c r="AM66" s="275">
        <f t="shared" si="205"/>
        <v>39.872888649675104</v>
      </c>
    </row>
    <row r="67" spans="1:39" x14ac:dyDescent="0.25">
      <c r="A67" s="636"/>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66.499639945286987</v>
      </c>
      <c r="I67" s="199">
        <f t="shared" si="213"/>
        <v>34.096696804993876</v>
      </c>
      <c r="K67" s="636"/>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69.324621942551346</v>
      </c>
      <c r="S67" s="199">
        <f t="shared" si="214"/>
        <v>34.096696804993876</v>
      </c>
      <c r="U67" s="636"/>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69.324621942551346</v>
      </c>
      <c r="AC67" s="199">
        <f t="shared" si="215"/>
        <v>34.096696804993869</v>
      </c>
      <c r="AE67" s="636"/>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69.324621942551346</v>
      </c>
      <c r="AM67" s="199">
        <f t="shared" si="216"/>
        <v>34.096696804993869</v>
      </c>
    </row>
    <row r="68" spans="1:39" ht="15.75" thickBot="1" x14ac:dyDescent="0.3">
      <c r="A68" s="637"/>
      <c r="B68" s="188" t="s">
        <v>234</v>
      </c>
      <c r="C68" s="188" t="s">
        <v>25</v>
      </c>
      <c r="D68" s="224" t="s">
        <v>78</v>
      </c>
      <c r="E68" s="225" t="s">
        <v>78</v>
      </c>
      <c r="F68" s="224" t="s">
        <v>78</v>
      </c>
      <c r="G68" s="225" t="s">
        <v>78</v>
      </c>
      <c r="H68" s="226" t="s">
        <v>78</v>
      </c>
      <c r="I68" s="225" t="s">
        <v>78</v>
      </c>
      <c r="K68" s="637"/>
      <c r="L68" s="188" t="s">
        <v>234</v>
      </c>
      <c r="M68" s="188" t="s">
        <v>25</v>
      </c>
      <c r="N68" s="224">
        <f>N67/D67-1</f>
        <v>0</v>
      </c>
      <c r="O68" s="225">
        <f t="shared" ref="O68" si="217">O67/E67-1</f>
        <v>0</v>
      </c>
      <c r="P68" s="224">
        <f>P67/D67-1</f>
        <v>0.94999622633465042</v>
      </c>
      <c r="Q68" s="225">
        <f>Q67/E67-1</f>
        <v>0.14104553241429318</v>
      </c>
      <c r="R68" s="226">
        <f>R67/D67-1</f>
        <v>1.0488342135733175</v>
      </c>
      <c r="S68" s="225">
        <f>S67/E67-1</f>
        <v>0.14104553241429318</v>
      </c>
      <c r="U68" s="637"/>
      <c r="V68" s="188" t="s">
        <v>234</v>
      </c>
      <c r="W68" s="188" t="s">
        <v>25</v>
      </c>
      <c r="X68" s="224">
        <f>X67/D67-1</f>
        <v>0</v>
      </c>
      <c r="Y68" s="225">
        <f t="shared" ref="Y68" si="218">Y67/E67-1</f>
        <v>0</v>
      </c>
      <c r="Z68" s="224">
        <f>Z67/D67-1</f>
        <v>0.94999622633465086</v>
      </c>
      <c r="AA68" s="225">
        <f>AA67/E67-1</f>
        <v>0.14104553241429274</v>
      </c>
      <c r="AB68" s="226">
        <f>AB67/D67-1</f>
        <v>1.0488342135733175</v>
      </c>
      <c r="AC68" s="225">
        <f>AC67/E67-1</f>
        <v>0.14104553241429274</v>
      </c>
      <c r="AE68" s="637"/>
      <c r="AF68" s="188" t="s">
        <v>234</v>
      </c>
      <c r="AG68" s="188" t="s">
        <v>25</v>
      </c>
      <c r="AH68" s="224">
        <f>AH67/D67-1</f>
        <v>0</v>
      </c>
      <c r="AI68" s="225">
        <f t="shared" ref="AI68" si="219">AI67/E67-1</f>
        <v>0</v>
      </c>
      <c r="AJ68" s="224">
        <f>AJ67/D67-1</f>
        <v>0.94999622633465042</v>
      </c>
      <c r="AK68" s="225">
        <f>AK67/E67-1</f>
        <v>0.14104553241429274</v>
      </c>
      <c r="AL68" s="226">
        <f>AL67/D67-1</f>
        <v>1.0488342135733175</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5"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2.2333622050952515</v>
      </c>
      <c r="AM71" s="246">
        <f>(1-Indata!I$11-Indata!I$12)*'Indata - Effektsamband-Faktorer'!$E$11*'Modell - Tunga fordon'!AM$15*'Modell - Tunga fordon'!AM$40/10</f>
        <v>0.78544647935184519</v>
      </c>
    </row>
    <row r="72" spans="1:39" x14ac:dyDescent="0.25">
      <c r="AE72" s="636"/>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7"/>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2.2333622050952515</v>
      </c>
      <c r="AM73" s="222">
        <f t="shared" si="220"/>
        <v>0.78544647935184519</v>
      </c>
    </row>
    <row r="74" spans="1:39" x14ac:dyDescent="0.25">
      <c r="AE74" s="635"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1.5541061452648421</v>
      </c>
      <c r="AM74" s="246">
        <f>'Indata - Effektsamband-Faktorer'!$E$15*'Modell - Tunga fordon'!AM$40</f>
        <v>1.3781200730826015</v>
      </c>
    </row>
    <row r="75" spans="1:39" x14ac:dyDescent="0.25">
      <c r="AE75" s="636"/>
      <c r="AF75" s="136" t="s">
        <v>7</v>
      </c>
      <c r="AG75" s="136" t="s">
        <v>325</v>
      </c>
      <c r="AH75" s="400">
        <v>0</v>
      </c>
      <c r="AI75" s="401">
        <v>0</v>
      </c>
      <c r="AJ75" s="400">
        <v>0</v>
      </c>
      <c r="AK75" s="401">
        <v>0</v>
      </c>
      <c r="AL75" s="400">
        <v>0</v>
      </c>
      <c r="AM75" s="401">
        <v>0</v>
      </c>
    </row>
    <row r="76" spans="1:39" ht="15.75" thickBot="1" x14ac:dyDescent="0.3">
      <c r="AE76" s="637"/>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1.5541061452648421</v>
      </c>
      <c r="AM76" s="222">
        <f t="shared" si="221"/>
        <v>1.3781200730826015</v>
      </c>
    </row>
    <row r="77" spans="1:39" x14ac:dyDescent="0.25">
      <c r="AE77" s="635"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2.5246253562002861E-2</v>
      </c>
      <c r="AM77" s="246">
        <f>'Indata - Effektsamband-Faktorer'!$E$18*'Modell - Tunga fordon'!AM$40</f>
        <v>2.2224673024880251E-2</v>
      </c>
    </row>
    <row r="78" spans="1:39" x14ac:dyDescent="0.25">
      <c r="AE78" s="636"/>
      <c r="AF78" s="136" t="s">
        <v>7</v>
      </c>
      <c r="AG78" s="136" t="s">
        <v>325</v>
      </c>
      <c r="AH78" s="400">
        <v>0</v>
      </c>
      <c r="AI78" s="401">
        <v>0</v>
      </c>
      <c r="AJ78" s="400">
        <v>0</v>
      </c>
      <c r="AK78" s="401">
        <v>0</v>
      </c>
      <c r="AL78" s="400">
        <v>0</v>
      </c>
      <c r="AM78" s="401">
        <v>0</v>
      </c>
    </row>
    <row r="79" spans="1:39" ht="15.75" thickBot="1" x14ac:dyDescent="0.3">
      <c r="AE79" s="637"/>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2.5246253562002861E-2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1.0299818306118445</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5"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8.6169092952493962</v>
      </c>
      <c r="AM83" s="246">
        <f>(1-Indata!I$11-Indata!I$12)*'Indata - Effektsamband-Faktorer'!$E22*'Modell - Tunga fordon'!AM$15*'Modell - Tunga fordon'!AM$40/10</f>
        <v>3.0304627943496394</v>
      </c>
    </row>
    <row r="84" spans="31:39" x14ac:dyDescent="0.25">
      <c r="AE84" s="636"/>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3.9718545929168458</v>
      </c>
      <c r="AM84" s="249">
        <f>(Indata!I$11*'Indata - Effektsamband-Faktorer'!$E$25+Indata!I$12*'Indata - Effektsamband-Faktorer'!$E$26)*'Modell - Tunga fordon'!AM$15*'Modell - Tunga fordon'!AM$40/10</f>
        <v>6.7275332006662678</v>
      </c>
    </row>
    <row r="85" spans="31:39" ht="15.75" thickBot="1" x14ac:dyDescent="0.3">
      <c r="AE85" s="637"/>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0.63000239681732795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5" t="s">
        <v>243</v>
      </c>
      <c r="AF88" s="135" t="s">
        <v>97</v>
      </c>
      <c r="AG88" s="135" t="s">
        <v>136</v>
      </c>
      <c r="AH88" s="245">
        <f>(1-Indata!D$11-Indata!D$12)*'Modell - Drivmedelpriser'!E$57*'Modell - Tunga fordon'!AH$15*'Modell - Tunga fordon'!AH$40/10</f>
        <v>5.5150848171925801</v>
      </c>
      <c r="AI88" s="467">
        <f>(1-Indata!E$11-Indata!E$12)*'Modell - Drivmedelpriser'!F$57*'Modell - Tunga fordon'!AI$15*'Modell - Tunga fordon'!AI$40/10</f>
        <v>4.9337408731061823</v>
      </c>
      <c r="AJ88" s="245">
        <f>(1-Indata!F$11-Indata!F$12)*'Modell - Drivmedelpriser'!G$57*'Modell - Tunga fordon'!AJ$15*'Modell - Tunga fordon'!AJ$40/10</f>
        <v>5.1934811181720688</v>
      </c>
      <c r="AK88" s="467">
        <f>(1-Indata!G$11-Indata!G$12)*'Modell - Drivmedelpriser'!H$57*'Modell - Tunga fordon'!AK$15*'Modell - Tunga fordon'!AK$40/10</f>
        <v>2.1231696123625103</v>
      </c>
      <c r="AL88" s="245">
        <f>(1-Indata!H$11-Indata!H$12)*'Modell - Drivmedelpriser'!I$57*'Modell - Tunga fordon'!AL$15*'Modell - Tunga fordon'!AL$40/10</f>
        <v>13.193166519438611</v>
      </c>
      <c r="AM88" s="246">
        <f>(1-Indata!I$11-Indata!I$12)*'Modell - Drivmedelpriser'!J$57*'Modell - Tunga fordon'!AM$15*'Modell - Tunga fordon'!AM$40/10</f>
        <v>2.1231696123625103</v>
      </c>
    </row>
    <row r="89" spans="31:39" x14ac:dyDescent="0.25">
      <c r="AE89" s="636"/>
      <c r="AF89" s="136" t="s">
        <v>100</v>
      </c>
      <c r="AG89" s="136" t="s">
        <v>136</v>
      </c>
      <c r="AH89" s="248">
        <f>(Indata!D$11+Indata!D$12)*'Modell - Drivmedelpriser'!E$57*'Modell - Tunga fordon'!AH$15*'Modell - Tunga fordon'!AH$40/10</f>
        <v>2.5953340316200384</v>
      </c>
      <c r="AI89" s="468">
        <f>(Indata!E$11+Indata!E$12)*'Modell - Drivmedelpriser'!F$57*'Modell - Tunga fordon'!AI$15*'Modell - Tunga fordon'!AI$40/10</f>
        <v>2.3217604108734977</v>
      </c>
      <c r="AJ89" s="248">
        <f>(Indata!F$11+Indata!F$12)*'Modell - Drivmedelpriser'!G$57*'Modell - Tunga fordon'!AJ$15*'Modell - Tunga fordon'!AJ$40/10</f>
        <v>1.0839904143973147</v>
      </c>
      <c r="AK89" s="468">
        <f>(Indata!G$11+Indata!G$12)*'Modell - Drivmedelpriser'!H$57*'Modell - Tunga fordon'!AK$15*'Modell - Tunga fordon'!AK$40/10</f>
        <v>4.9071933424802392</v>
      </c>
      <c r="AL89" s="248">
        <f>(Indata!H$11+Indata!H$12)*'Modell - Drivmedelpriser'!I$57*'Modell - Tunga fordon'!AL$15*'Modell - Tunga fordon'!AL$40/10</f>
        <v>6.3522653612111837</v>
      </c>
      <c r="AM89" s="249">
        <f>(Indata!I$11+Indata!I$12)*'Modell - Drivmedelpriser'!J$57*'Modell - Tunga fordon'!AM$15*'Modell - Tunga fordon'!AM$40/10</f>
        <v>4.9071933424802392</v>
      </c>
    </row>
    <row r="90" spans="31:39" x14ac:dyDescent="0.25">
      <c r="AE90" s="636"/>
      <c r="AF90" s="136" t="s">
        <v>7</v>
      </c>
      <c r="AG90" s="136" t="s">
        <v>136</v>
      </c>
      <c r="AH90" s="248">
        <f>'Modell - Drivmedelpriser'!E83*'Modell - Tunga fordon'!AH$20*'Modell - Tunga fordon'!AH$45/10</f>
        <v>0.23441091615746995</v>
      </c>
      <c r="AI90" s="468">
        <f>'Modell - Drivmedelpriser'!F83*'Modell - Tunga fordon'!AI$20*'Modell - Tunga fordon'!AI$45/10</f>
        <v>0.90804017788652691</v>
      </c>
      <c r="AJ90" s="248">
        <f>'Modell - Drivmedelpriser'!G83*'Modell - Tunga fordon'!AJ$20*'Modell - Tunga fordon'!AJ$45/10</f>
        <v>0.22390701592258186</v>
      </c>
      <c r="AK90" s="468">
        <f>'Modell - Drivmedelpriser'!H83*'Modell - Tunga fordon'!AK$20*'Modell - Tunga fordon'!AK$45/10</f>
        <v>0.87986367561094048</v>
      </c>
      <c r="AL90" s="248">
        <f>'Modell - Drivmedelpriser'!I83*'Modell - Tunga fordon'!AL$20*'Modell - Tunga fordon'!AL$45/10</f>
        <v>0.21205880676871258</v>
      </c>
      <c r="AM90" s="249">
        <f>'Modell - Drivmedelpriser'!J83*'Modell - Tunga fordon'!AM$20*'Modell - Tunga fordon'!AM$45/10</f>
        <v>0.87986367561094048</v>
      </c>
    </row>
    <row r="91" spans="31:39" ht="15.75" thickBot="1" x14ac:dyDescent="0.3">
      <c r="AE91" s="636"/>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19.757490687418507</v>
      </c>
      <c r="AM91" s="222">
        <f t="shared" si="224"/>
        <v>7.9102266304536899</v>
      </c>
    </row>
    <row r="92" spans="31:39" ht="14.45" customHeight="1" x14ac:dyDescent="0.25">
      <c r="AE92" s="635" t="s">
        <v>201</v>
      </c>
      <c r="AF92" s="135" t="s">
        <v>116</v>
      </c>
      <c r="AG92" s="135" t="s">
        <v>136</v>
      </c>
      <c r="AH92" s="465">
        <f t="shared" ref="AH92:AM95" si="225">AH46/10*AH29</f>
        <v>0</v>
      </c>
      <c r="AI92" s="466">
        <f t="shared" si="225"/>
        <v>0</v>
      </c>
      <c r="AJ92" s="465">
        <f t="shared" si="225"/>
        <v>0.61243615564829745</v>
      </c>
      <c r="AK92" s="466">
        <f t="shared" si="225"/>
        <v>0</v>
      </c>
      <c r="AL92" s="470">
        <f t="shared" si="225"/>
        <v>0.19036538554652999</v>
      </c>
      <c r="AM92" s="466">
        <f t="shared" si="225"/>
        <v>0</v>
      </c>
    </row>
    <row r="93" spans="31:39" x14ac:dyDescent="0.25">
      <c r="AE93" s="636"/>
      <c r="AF93" s="136" t="s">
        <v>117</v>
      </c>
      <c r="AG93" s="136" t="s">
        <v>136</v>
      </c>
      <c r="AH93" s="205">
        <f t="shared" si="225"/>
        <v>0</v>
      </c>
      <c r="AI93" s="206">
        <f t="shared" si="225"/>
        <v>0</v>
      </c>
      <c r="AJ93" s="205">
        <f t="shared" si="225"/>
        <v>0.66658244665128985</v>
      </c>
      <c r="AK93" s="206">
        <f t="shared" si="225"/>
        <v>0</v>
      </c>
      <c r="AL93" s="207">
        <f t="shared" si="225"/>
        <v>0.20719584120731324</v>
      </c>
      <c r="AM93" s="206">
        <f t="shared" si="225"/>
        <v>0</v>
      </c>
    </row>
    <row r="94" spans="31:39" x14ac:dyDescent="0.25">
      <c r="AE94" s="636"/>
      <c r="AF94" s="136" t="s">
        <v>118</v>
      </c>
      <c r="AG94" s="136" t="s">
        <v>136</v>
      </c>
      <c r="AH94" s="205">
        <f t="shared" si="225"/>
        <v>0</v>
      </c>
      <c r="AI94" s="206">
        <f t="shared" si="225"/>
        <v>0</v>
      </c>
      <c r="AJ94" s="205">
        <f t="shared" si="225"/>
        <v>5.4554635010149308</v>
      </c>
      <c r="AK94" s="206">
        <f t="shared" si="225"/>
        <v>0</v>
      </c>
      <c r="AL94" s="207">
        <f t="shared" si="225"/>
        <v>1.6957382465546742</v>
      </c>
      <c r="AM94" s="206">
        <f t="shared" si="225"/>
        <v>0</v>
      </c>
    </row>
    <row r="95" spans="31:39" x14ac:dyDescent="0.25">
      <c r="AE95" s="636"/>
      <c r="AF95" s="136" t="s">
        <v>119</v>
      </c>
      <c r="AG95" s="136" t="s">
        <v>136</v>
      </c>
      <c r="AH95" s="205">
        <f t="shared" si="225"/>
        <v>0</v>
      </c>
      <c r="AI95" s="206">
        <f t="shared" si="225"/>
        <v>0</v>
      </c>
      <c r="AJ95" s="205">
        <f t="shared" si="225"/>
        <v>9.8336064416833722</v>
      </c>
      <c r="AK95" s="206">
        <f t="shared" si="225"/>
        <v>0</v>
      </c>
      <c r="AL95" s="207">
        <f t="shared" si="225"/>
        <v>3.0566096797507045</v>
      </c>
      <c r="AM95" s="206">
        <f t="shared" si="225"/>
        <v>0</v>
      </c>
    </row>
    <row r="96" spans="31:39" ht="15.75" thickBot="1" x14ac:dyDescent="0.3">
      <c r="AE96" s="637"/>
      <c r="AF96" s="189" t="s">
        <v>16</v>
      </c>
      <c r="AG96" s="189" t="s">
        <v>136</v>
      </c>
      <c r="AH96" s="208">
        <f>SUM(AH92:AH95)</f>
        <v>0</v>
      </c>
      <c r="AI96" s="210">
        <f t="shared" ref="AI96:AM96" si="226">SUM(AI92:AI95)</f>
        <v>0</v>
      </c>
      <c r="AJ96" s="208">
        <f t="shared" si="226"/>
        <v>16.568088544997892</v>
      </c>
      <c r="AK96" s="210">
        <f t="shared" si="226"/>
        <v>0</v>
      </c>
      <c r="AL96" s="211">
        <f t="shared" si="226"/>
        <v>5.1499091530592214</v>
      </c>
      <c r="AM96" s="210">
        <f t="shared" si="226"/>
        <v>0</v>
      </c>
    </row>
    <row r="99" spans="33:33" x14ac:dyDescent="0.25">
      <c r="AG99" s="27"/>
    </row>
  </sheetData>
  <mergeCells count="50">
    <mergeCell ref="AE6:AE8"/>
    <mergeCell ref="AE11:AE20"/>
    <mergeCell ref="U29:U32"/>
    <mergeCell ref="AE29:AE32"/>
    <mergeCell ref="U23:U26"/>
    <mergeCell ref="AE23:AE26"/>
    <mergeCell ref="U6:U8"/>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H3:AI3"/>
    <mergeCell ref="AJ3:AK3"/>
    <mergeCell ref="AL3:AM3"/>
    <mergeCell ref="D3:E3"/>
    <mergeCell ref="F3:G3"/>
    <mergeCell ref="H3:I3"/>
    <mergeCell ref="N3:O3"/>
    <mergeCell ref="P3:Q3"/>
    <mergeCell ref="R3:S3"/>
    <mergeCell ref="AF3:AG4"/>
    <mergeCell ref="X3:Y3"/>
    <mergeCell ref="Z3:AA3"/>
    <mergeCell ref="AB3:AC3"/>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81"/>
  <sheetViews>
    <sheetView zoomScale="80" zoomScaleNormal="80" workbookViewId="0">
      <pane xSplit="3" ySplit="7" topLeftCell="D8" activePane="bottomRight" state="frozen"/>
      <selection pane="topRight" activeCell="D1" sqref="D1"/>
      <selection pane="bottomLeft" activeCell="A8" sqref="A8"/>
      <selection pane="bottomRight" activeCell="D76" sqref="D76"/>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90" t="s">
        <v>64</v>
      </c>
      <c r="E5" s="591"/>
      <c r="F5" s="590" t="s">
        <v>65</v>
      </c>
      <c r="G5" s="591"/>
      <c r="H5" s="590" t="s">
        <v>66</v>
      </c>
      <c r="I5" s="591"/>
      <c r="J5" s="598" t="s">
        <v>15</v>
      </c>
      <c r="K5" s="599"/>
      <c r="L5" s="127"/>
      <c r="M5" s="127"/>
      <c r="N5" s="127"/>
      <c r="O5" s="127"/>
      <c r="P5" s="127"/>
      <c r="Q5" s="127"/>
      <c r="R5" s="127"/>
      <c r="S5" s="127"/>
    </row>
    <row r="6" spans="1:19" s="67" customFormat="1" ht="61.5" customHeight="1" thickBot="1" x14ac:dyDescent="0.3">
      <c r="A6" s="75" t="s">
        <v>207</v>
      </c>
      <c r="B6" s="138"/>
      <c r="C6" s="139"/>
      <c r="D6" s="594" t="s">
        <v>337</v>
      </c>
      <c r="E6" s="595"/>
      <c r="F6" s="596" t="s">
        <v>382</v>
      </c>
      <c r="G6" s="597"/>
      <c r="H6" s="596" t="s">
        <v>382</v>
      </c>
      <c r="I6" s="597"/>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8" t="s">
        <v>15</v>
      </c>
      <c r="K7" s="599"/>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8" t="s">
        <v>15</v>
      </c>
      <c r="K8" s="599"/>
      <c r="L8" s="127"/>
      <c r="M8" s="127"/>
      <c r="N8" s="127"/>
      <c r="O8" s="127"/>
      <c r="P8" s="127"/>
      <c r="Q8" s="127"/>
      <c r="R8" s="127"/>
      <c r="S8" s="127"/>
    </row>
    <row r="9" spans="1:19" x14ac:dyDescent="0.25">
      <c r="A9" s="592" t="s">
        <v>1</v>
      </c>
      <c r="B9" s="106" t="s">
        <v>11</v>
      </c>
      <c r="C9" s="106" t="s">
        <v>10</v>
      </c>
      <c r="D9" s="45">
        <v>7.4999999999999997E-2</v>
      </c>
      <c r="E9" s="46">
        <v>7.4999999999999997E-2</v>
      </c>
      <c r="F9" s="112">
        <v>0.1</v>
      </c>
      <c r="G9" s="113">
        <v>0.1</v>
      </c>
      <c r="H9" s="112">
        <v>0.1</v>
      </c>
      <c r="I9" s="113">
        <v>0.1</v>
      </c>
      <c r="J9" s="40" t="s">
        <v>363</v>
      </c>
    </row>
    <row r="10" spans="1:19" x14ac:dyDescent="0.25">
      <c r="A10" s="593"/>
      <c r="B10" s="43" t="s">
        <v>12</v>
      </c>
      <c r="C10" s="43" t="s">
        <v>10</v>
      </c>
      <c r="D10" s="48">
        <v>0</v>
      </c>
      <c r="E10" s="49">
        <v>0</v>
      </c>
      <c r="F10" s="114">
        <v>0.38512682720134916</v>
      </c>
      <c r="G10" s="115">
        <v>0.628</v>
      </c>
      <c r="H10" s="114">
        <v>0.255</v>
      </c>
      <c r="I10" s="115">
        <v>0.628</v>
      </c>
      <c r="J10" s="40" t="s">
        <v>363</v>
      </c>
    </row>
    <row r="11" spans="1:19" x14ac:dyDescent="0.25">
      <c r="A11" s="593"/>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93"/>
      <c r="B12" s="43" t="s">
        <v>37</v>
      </c>
      <c r="C12" s="43" t="s">
        <v>10</v>
      </c>
      <c r="D12" s="68">
        <v>0.25</v>
      </c>
      <c r="E12" s="69">
        <v>0.25</v>
      </c>
      <c r="F12" s="116">
        <v>0.10267946318406238</v>
      </c>
      <c r="G12" s="117">
        <v>0.628</v>
      </c>
      <c r="H12" s="116">
        <v>0.255</v>
      </c>
      <c r="I12" s="117">
        <v>0.628</v>
      </c>
      <c r="J12" s="40" t="s">
        <v>363</v>
      </c>
    </row>
    <row r="13" spans="1:19" x14ac:dyDescent="0.25">
      <c r="A13" s="592" t="s">
        <v>41</v>
      </c>
      <c r="B13" s="106" t="s">
        <v>8</v>
      </c>
      <c r="C13" s="106" t="s">
        <v>42</v>
      </c>
      <c r="D13" s="45">
        <v>0.02</v>
      </c>
      <c r="E13" s="46">
        <v>0.02</v>
      </c>
      <c r="F13" s="112">
        <v>0.02</v>
      </c>
      <c r="G13" s="113">
        <v>0.02</v>
      </c>
      <c r="H13" s="112">
        <v>0.125</v>
      </c>
      <c r="I13" s="113">
        <v>0.02</v>
      </c>
      <c r="J13" s="40" t="s">
        <v>314</v>
      </c>
    </row>
    <row r="14" spans="1:19" ht="15.75" thickBot="1" x14ac:dyDescent="0.3">
      <c r="A14" s="600"/>
      <c r="B14" s="107" t="s">
        <v>9</v>
      </c>
      <c r="C14" s="107" t="s">
        <v>43</v>
      </c>
      <c r="D14" s="51">
        <v>0.02</v>
      </c>
      <c r="E14" s="52">
        <v>0.02</v>
      </c>
      <c r="F14" s="118">
        <v>0.02</v>
      </c>
      <c r="G14" s="119">
        <v>0.02</v>
      </c>
      <c r="H14" s="118">
        <v>0.125</v>
      </c>
      <c r="I14" s="119">
        <v>0.02</v>
      </c>
      <c r="J14" s="40" t="s">
        <v>314</v>
      </c>
    </row>
    <row r="15" spans="1:19" x14ac:dyDescent="0.25">
      <c r="A15" s="592" t="s">
        <v>21</v>
      </c>
      <c r="B15" s="106" t="s">
        <v>187</v>
      </c>
      <c r="C15" s="106" t="s">
        <v>24</v>
      </c>
      <c r="D15" s="54">
        <v>0</v>
      </c>
      <c r="E15" s="55">
        <v>0</v>
      </c>
      <c r="F15" s="120">
        <v>3.5597506644260331</v>
      </c>
      <c r="G15" s="121">
        <v>0</v>
      </c>
      <c r="H15" s="120">
        <v>0.5</v>
      </c>
      <c r="I15" s="121">
        <v>0</v>
      </c>
      <c r="J15" s="40" t="s">
        <v>58</v>
      </c>
    </row>
    <row r="16" spans="1:19" ht="15.75" thickBot="1" x14ac:dyDescent="0.3">
      <c r="A16" s="600"/>
      <c r="B16" s="107" t="s">
        <v>324</v>
      </c>
      <c r="C16" s="107" t="s">
        <v>24</v>
      </c>
      <c r="D16" s="58">
        <v>0</v>
      </c>
      <c r="E16" s="59">
        <v>0</v>
      </c>
      <c r="F16" s="122">
        <v>3.5041693098526947</v>
      </c>
      <c r="G16" s="123">
        <v>0</v>
      </c>
      <c r="H16" s="122">
        <v>1</v>
      </c>
      <c r="I16" s="123">
        <v>0</v>
      </c>
      <c r="J16" s="40" t="s">
        <v>58</v>
      </c>
    </row>
    <row r="17" spans="1:19" ht="15.75" thickBot="1" x14ac:dyDescent="0.3">
      <c r="A17" s="140" t="s">
        <v>53</v>
      </c>
      <c r="B17" s="108" t="s">
        <v>379</v>
      </c>
      <c r="C17" s="108" t="s">
        <v>73</v>
      </c>
      <c r="D17" s="70" t="s">
        <v>397</v>
      </c>
      <c r="E17" s="71" t="s">
        <v>397</v>
      </c>
      <c r="F17" s="124" t="s">
        <v>398</v>
      </c>
      <c r="G17" s="125" t="s">
        <v>398</v>
      </c>
      <c r="H17" s="124" t="s">
        <v>398</v>
      </c>
      <c r="I17" s="125" t="s">
        <v>398</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8" t="s">
        <v>15</v>
      </c>
      <c r="K18" s="599"/>
      <c r="L18" s="127"/>
      <c r="M18" s="127"/>
      <c r="N18" s="127"/>
      <c r="O18" s="127"/>
      <c r="P18" s="127"/>
      <c r="Q18" s="127"/>
      <c r="R18" s="127"/>
      <c r="S18" s="127"/>
    </row>
    <row r="19" spans="1:19" x14ac:dyDescent="0.25">
      <c r="A19" s="592" t="s">
        <v>22</v>
      </c>
      <c r="B19" s="106" t="s">
        <v>187</v>
      </c>
      <c r="C19" s="141" t="s">
        <v>25</v>
      </c>
      <c r="D19" s="47">
        <v>0</v>
      </c>
      <c r="E19" s="92">
        <v>0</v>
      </c>
      <c r="F19" s="112">
        <v>0</v>
      </c>
      <c r="G19" s="113">
        <v>0</v>
      </c>
      <c r="H19" s="112">
        <v>-0.05</v>
      </c>
      <c r="I19" s="113">
        <v>0</v>
      </c>
      <c r="J19" s="78" t="s">
        <v>256</v>
      </c>
    </row>
    <row r="20" spans="1:19" ht="15.75" thickBot="1" x14ac:dyDescent="0.3">
      <c r="A20" s="600"/>
      <c r="B20" s="107" t="s">
        <v>324</v>
      </c>
      <c r="C20" s="142" t="s">
        <v>25</v>
      </c>
      <c r="D20" s="53">
        <v>0</v>
      </c>
      <c r="E20" s="93">
        <v>0</v>
      </c>
      <c r="F20" s="118">
        <v>0</v>
      </c>
      <c r="G20" s="119">
        <v>0</v>
      </c>
      <c r="H20" s="118">
        <v>-0.05</v>
      </c>
      <c r="I20" s="119">
        <v>0</v>
      </c>
      <c r="J20" s="78" t="s">
        <v>256</v>
      </c>
    </row>
    <row r="21" spans="1:19" x14ac:dyDescent="0.25">
      <c r="A21" s="593" t="s">
        <v>23</v>
      </c>
      <c r="B21" s="106" t="s">
        <v>187</v>
      </c>
      <c r="C21" s="143" t="s">
        <v>25</v>
      </c>
      <c r="D21" s="94">
        <v>0</v>
      </c>
      <c r="E21" s="95">
        <v>0</v>
      </c>
      <c r="F21" s="129">
        <v>0</v>
      </c>
      <c r="G21" s="130">
        <v>0</v>
      </c>
      <c r="H21" s="112">
        <v>-0.18</v>
      </c>
      <c r="I21" s="113">
        <v>0</v>
      </c>
      <c r="J21" s="78" t="s">
        <v>255</v>
      </c>
    </row>
    <row r="22" spans="1:19" ht="15.75" thickBot="1" x14ac:dyDescent="0.3">
      <c r="A22" s="600"/>
      <c r="B22" s="107" t="s">
        <v>324</v>
      </c>
      <c r="C22" s="144" t="s">
        <v>25</v>
      </c>
      <c r="D22" s="53">
        <v>0</v>
      </c>
      <c r="E22" s="93">
        <v>0</v>
      </c>
      <c r="F22" s="118">
        <v>0</v>
      </c>
      <c r="G22" s="119">
        <v>0</v>
      </c>
      <c r="H22" s="118">
        <v>-0.12</v>
      </c>
      <c r="I22" s="119">
        <v>0</v>
      </c>
      <c r="J22" s="78" t="s">
        <v>255</v>
      </c>
    </row>
    <row r="23" spans="1:19" ht="15.75" thickBot="1" x14ac:dyDescent="0.3">
      <c r="A23" s="365" t="s">
        <v>303</v>
      </c>
      <c r="B23" s="107" t="s">
        <v>304</v>
      </c>
      <c r="C23" s="107" t="s">
        <v>313</v>
      </c>
      <c r="D23" s="70" t="s">
        <v>337</v>
      </c>
      <c r="E23" s="71" t="s">
        <v>337</v>
      </c>
      <c r="F23" s="124" t="s">
        <v>336</v>
      </c>
      <c r="G23" s="125" t="s">
        <v>336</v>
      </c>
      <c r="H23" s="124" t="s">
        <v>400</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8" t="s">
        <v>15</v>
      </c>
      <c r="K24" s="599"/>
      <c r="L24" s="127"/>
      <c r="M24" s="127"/>
      <c r="N24" s="127"/>
      <c r="O24" s="127"/>
      <c r="P24" s="127"/>
      <c r="Q24" s="127"/>
      <c r="R24" s="127"/>
      <c r="S24" s="127"/>
    </row>
    <row r="25" spans="1:19" ht="14.45" customHeight="1" x14ac:dyDescent="0.25">
      <c r="A25" s="592"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93"/>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600"/>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92"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93"/>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600"/>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601" t="s">
        <v>0</v>
      </c>
      <c r="B32" s="106" t="s">
        <v>8</v>
      </c>
      <c r="C32" s="106" t="s">
        <v>209</v>
      </c>
      <c r="D32" s="534">
        <f>'Modell - Drivmedelpriser'!E24</f>
        <v>17.911754192557677</v>
      </c>
      <c r="E32" s="535">
        <f>'Modell - Drivmedelpriser'!F24</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6"/>
      <c r="B33" s="43" t="s">
        <v>9</v>
      </c>
      <c r="C33" s="43" t="s">
        <v>209</v>
      </c>
      <c r="D33" s="536">
        <f>'Modell - Drivmedelpriser'!E43</f>
        <v>19.069168234099362</v>
      </c>
      <c r="E33" s="537">
        <f>'Modell - Drivmedelpriser'!F43</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6"/>
      <c r="B34" s="43" t="s">
        <v>7</v>
      </c>
      <c r="C34" s="43" t="s">
        <v>186</v>
      </c>
      <c r="D34" s="536">
        <f>'Modell - Drivmedelpriser'!E75</f>
        <v>3.4709076086956521</v>
      </c>
      <c r="E34" s="537">
        <f>'Modell - Drivmedelpriser'!F75</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602"/>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603"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7"/>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8" t="s">
        <v>15</v>
      </c>
      <c r="K41" s="599"/>
      <c r="L41" s="127"/>
      <c r="M41" s="127"/>
      <c r="N41" s="127"/>
      <c r="O41" s="127"/>
      <c r="P41" s="127"/>
      <c r="Q41" s="127"/>
      <c r="R41" s="127"/>
      <c r="S41" s="127"/>
    </row>
    <row r="42" spans="1:19" ht="14.45" customHeight="1" thickBot="1" x14ac:dyDescent="0.3">
      <c r="A42" s="601"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6"/>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604"/>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604"/>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601"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6"/>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604"/>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604"/>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601"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6"/>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604"/>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605"/>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6" t="s">
        <v>0</v>
      </c>
      <c r="B54" s="43" t="s">
        <v>9</v>
      </c>
      <c r="C54" s="43" t="s">
        <v>262</v>
      </c>
      <c r="D54" s="562">
        <f>'Modell - Drivmedelpriser'!E58</f>
        <v>13.466674098111907</v>
      </c>
      <c r="E54" s="563">
        <f>'Modell - Drivmedelpriser'!F58</f>
        <v>16.350158148247193</v>
      </c>
      <c r="F54" s="534">
        <f>'Modell - Drivmedelpriser'!G58</f>
        <v>12.410383353593298</v>
      </c>
      <c r="G54" s="535">
        <f>'Modell - Drivmedelpriser'!H58</f>
        <v>19.161594511883557</v>
      </c>
      <c r="H54" s="534">
        <f>'Modell - Drivmedelpriser'!I58</f>
        <v>22.874610096061375</v>
      </c>
      <c r="I54" s="535">
        <f>'Modell - Drivmedelpriser'!J58</f>
        <v>19.161594511883557</v>
      </c>
      <c r="J54" s="40" t="s">
        <v>173</v>
      </c>
    </row>
    <row r="55" spans="1:19" s="40" customFormat="1" ht="15" customHeight="1" thickBot="1" x14ac:dyDescent="0.25">
      <c r="A55" s="606"/>
      <c r="B55" s="43" t="s">
        <v>7</v>
      </c>
      <c r="C55" s="293" t="s">
        <v>263</v>
      </c>
      <c r="D55" s="564">
        <f>'Modell - Drivmedelpriser'!E84</f>
        <v>1.1975304347826086</v>
      </c>
      <c r="E55" s="565">
        <f>'Modell - Drivmedelpriser'!F84</f>
        <v>1.4034</v>
      </c>
      <c r="F55" s="561">
        <f>'Modell - Drivmedelpriser'!G84</f>
        <v>1.1975304347826086</v>
      </c>
      <c r="G55" s="560">
        <f>'Modell - Drivmedelpriser'!H84</f>
        <v>1.4034</v>
      </c>
      <c r="H55" s="561">
        <f>'Modell - Drivmedelpriser'!I84</f>
        <v>1.1975304347826086</v>
      </c>
      <c r="I55" s="560">
        <f>'Modell - Drivmedelpriser'!J84</f>
        <v>1.4034</v>
      </c>
      <c r="J55" s="40" t="s">
        <v>173</v>
      </c>
    </row>
    <row r="56" spans="1:19" s="40" customFormat="1" ht="15" customHeight="1" x14ac:dyDescent="0.2">
      <c r="A56" s="603"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604"/>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604"/>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604"/>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605"/>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8" t="s">
        <v>15</v>
      </c>
      <c r="K62" s="599"/>
    </row>
    <row r="63" spans="1:19" x14ac:dyDescent="0.25">
      <c r="A63" s="601"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602"/>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4" spans="2:9" x14ac:dyDescent="0.25">
      <c r="C74" s="40" t="s">
        <v>406</v>
      </c>
      <c r="D74" s="40">
        <f>Resultat!F37/'Indata - Utsläpp'!B15-1</f>
        <v>-0.73481851843620594</v>
      </c>
    </row>
    <row r="75" spans="2:9" x14ac:dyDescent="0.25">
      <c r="C75" s="40" t="s">
        <v>407</v>
      </c>
      <c r="D75" s="40">
        <f>D73/D70</f>
        <v>0.11067922200266737</v>
      </c>
    </row>
    <row r="76" spans="2:9" x14ac:dyDescent="0.25">
      <c r="C76" s="40" t="s">
        <v>408</v>
      </c>
      <c r="D76" s="40">
        <f>Resultat!F23/Resultat!D23</f>
        <v>2.6929197009211712</v>
      </c>
    </row>
    <row r="77" spans="2:9" x14ac:dyDescent="0.25">
      <c r="C77" s="40" t="s">
        <v>409</v>
      </c>
      <c r="D77" s="40">
        <f>Resultat!F26/Resultat!D26</f>
        <v>1.9499962263346504</v>
      </c>
    </row>
    <row r="78" spans="2:9" ht="24.75" thickBot="1" x14ac:dyDescent="0.3">
      <c r="B78" s="40" t="s">
        <v>395</v>
      </c>
      <c r="C78" s="585" t="s">
        <v>179</v>
      </c>
      <c r="D78" s="40">
        <v>-0.22</v>
      </c>
    </row>
    <row r="79" spans="2:9" x14ac:dyDescent="0.25">
      <c r="C79" s="40" t="s">
        <v>396</v>
      </c>
      <c r="D79" s="40">
        <v>0.1</v>
      </c>
    </row>
    <row r="80" spans="2:9" ht="15" customHeight="1" x14ac:dyDescent="0.25">
      <c r="C80" s="587" t="s">
        <v>178</v>
      </c>
      <c r="D80" s="588">
        <v>-0.2</v>
      </c>
    </row>
    <row r="81" spans="4:4" ht="15.75" customHeight="1" thickBot="1" x14ac:dyDescent="0.3">
      <c r="D81" s="586"/>
    </row>
  </sheetData>
  <protectedRanges>
    <protectedRange algorithmName="SHA-512" hashValue="bhbLMjBtLJkCl6+oRAIq98NZkcBAWzm8GjbRfoftLGnxxPl6tbwDiFe+9aTX2EHNMDT88cd1rnVmqQcow+/x8w==" saltValue="u4cWX+yqQiFBZXUHKrq6Og==" spinCount="100000" sqref="F9:I23" name="Indata"/>
  </protectedRanges>
  <mergeCells count="28">
    <mergeCell ref="A63:A64"/>
    <mergeCell ref="A56:A60"/>
    <mergeCell ref="A29:A31"/>
    <mergeCell ref="J62:K62"/>
    <mergeCell ref="A42:A45"/>
    <mergeCell ref="A46:A49"/>
    <mergeCell ref="A50:A53"/>
    <mergeCell ref="A39:A40"/>
    <mergeCell ref="A54:A55"/>
    <mergeCell ref="A32:A35"/>
    <mergeCell ref="A13:A14"/>
    <mergeCell ref="A19:A20"/>
    <mergeCell ref="A21:A22"/>
    <mergeCell ref="A15:A16"/>
    <mergeCell ref="A25:A27"/>
    <mergeCell ref="J7:K7"/>
    <mergeCell ref="J41:K41"/>
    <mergeCell ref="J5:K5"/>
    <mergeCell ref="J8:K8"/>
    <mergeCell ref="J18:K18"/>
    <mergeCell ref="J24:K24"/>
    <mergeCell ref="D5:E5"/>
    <mergeCell ref="A9:A12"/>
    <mergeCell ref="D6:E6"/>
    <mergeCell ref="F6:G6"/>
    <mergeCell ref="H6:I6"/>
    <mergeCell ref="F5:G5"/>
    <mergeCell ref="H5:I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tabSelected="1" zoomScale="80" zoomScaleNormal="80" workbookViewId="0">
      <pane xSplit="3" ySplit="6" topLeftCell="D59" activePane="bottomRight" state="frozen"/>
      <selection pane="topRight" activeCell="D1" sqref="D1"/>
      <selection pane="bottomLeft" activeCell="A6" sqref="A6"/>
      <selection pane="bottomRight" activeCell="G84" sqref="G84"/>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590" t="s">
        <v>64</v>
      </c>
      <c r="E4" s="591"/>
      <c r="F4" s="590" t="s">
        <v>65</v>
      </c>
      <c r="G4" s="591"/>
      <c r="H4" s="590" t="s">
        <v>66</v>
      </c>
      <c r="I4" s="591"/>
      <c r="J4" s="40"/>
      <c r="K4" s="40"/>
      <c r="L4" s="40"/>
      <c r="M4" s="40"/>
      <c r="N4" s="40"/>
      <c r="O4" s="40"/>
      <c r="P4" s="40"/>
      <c r="Q4" s="40"/>
    </row>
    <row r="5" spans="1:17" s="67" customFormat="1" ht="61.9" customHeight="1" thickBot="1" x14ac:dyDescent="0.3">
      <c r="A5" s="289" t="s">
        <v>207</v>
      </c>
      <c r="B5" s="290"/>
      <c r="C5" s="291"/>
      <c r="D5" s="616" t="str">
        <f>Indata!D6</f>
        <v>Beslutad politik</v>
      </c>
      <c r="E5" s="617"/>
      <c r="F5" s="616" t="str">
        <f>Indata!F6</f>
        <v>Här kan användaren beskriva sitt scenario, t.ex. "Biodrivmedelsscenario"</v>
      </c>
      <c r="G5" s="617"/>
      <c r="H5" s="616" t="str">
        <f>Indata!H6</f>
        <v>Här kan användaren beskriva sitt scenario, t.ex. "Biodrivmedelsscenario"</v>
      </c>
      <c r="I5" s="617"/>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11"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36.63578430466432</v>
      </c>
      <c r="I7" s="473">
        <f>'Modell - Lätta fordon'!AM6</f>
        <v>27.329509698551796</v>
      </c>
    </row>
    <row r="8" spans="1:17" x14ac:dyDescent="0.25">
      <c r="A8" s="612"/>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30.812648337334288</v>
      </c>
      <c r="I8" s="477">
        <f>'Modell - Lätta fordon'!AM7</f>
        <v>24.89327119863777</v>
      </c>
    </row>
    <row r="9" spans="1:17" x14ac:dyDescent="0.25">
      <c r="A9" s="612"/>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12"/>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22.874610096061375</v>
      </c>
      <c r="I10" s="477">
        <f>'Modell - Tunga fordon'!AM6</f>
        <v>19.161594511883557</v>
      </c>
    </row>
    <row r="11" spans="1:17" ht="15.75" thickBot="1" x14ac:dyDescent="0.3">
      <c r="A11" s="613"/>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11"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0.61198192824324105</v>
      </c>
      <c r="I12" s="473">
        <f>'Modell - Lätta fordon'!AM13</f>
        <v>0.48737280657399518</v>
      </c>
    </row>
    <row r="13" spans="1:17" x14ac:dyDescent="0.25">
      <c r="A13" s="612"/>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0.61123786684233894</v>
      </c>
      <c r="I13" s="477">
        <f>'Modell - Lätta fordon'!AM14</f>
        <v>0.4867802477475246</v>
      </c>
      <c r="J13" s="381"/>
    </row>
    <row r="14" spans="1:17" x14ac:dyDescent="0.25">
      <c r="A14" s="612"/>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1.6957500000000003</v>
      </c>
      <c r="I14" s="477">
        <f>'Modell - Lätta fordon'!AM15</f>
        <v>1.6150000000000002</v>
      </c>
    </row>
    <row r="15" spans="1:17" x14ac:dyDescent="0.25">
      <c r="A15" s="612"/>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2.8093912244981762</v>
      </c>
      <c r="I15" s="477">
        <f>'Modell - Tunga fordon'!AM15</f>
        <v>2.1274953516263264</v>
      </c>
    </row>
    <row r="16" spans="1:17" ht="15.75" thickBot="1" x14ac:dyDescent="0.3">
      <c r="A16" s="613"/>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8.8969149092907305</v>
      </c>
      <c r="I16" s="481">
        <f>'Modell - Tunga fordon'!AM16</f>
        <v>8.4732522945626005</v>
      </c>
    </row>
    <row r="17" spans="1:11" x14ac:dyDescent="0.25">
      <c r="A17" s="611"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5</v>
      </c>
      <c r="I17" s="473">
        <f>'Modell - Lätta fordon'!AM24</f>
        <v>0</v>
      </c>
    </row>
    <row r="18" spans="1:11" ht="15.75" thickBot="1" x14ac:dyDescent="0.3">
      <c r="A18" s="613"/>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10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11"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37.430437921471935</v>
      </c>
      <c r="I20" s="473">
        <f>'Modell - Lätta fordon'!AM40</f>
        <v>23.329659844074406</v>
      </c>
      <c r="J20" s="395"/>
      <c r="K20" s="428">
        <f>AVERAGE(I20:I21)</f>
        <v>22.728606282696809</v>
      </c>
    </row>
    <row r="21" spans="1:11" x14ac:dyDescent="0.25">
      <c r="A21" s="612"/>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33.84385744147535</v>
      </c>
      <c r="I21" s="477">
        <f>'Modell - Lätta fordon'!AM41</f>
        <v>22.127552721319212</v>
      </c>
    </row>
    <row r="22" spans="1:11" x14ac:dyDescent="0.25">
      <c r="A22" s="612"/>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20.89579157744565</v>
      </c>
      <c r="I22" s="477">
        <f>'Modell - Lätta fordon'!AM42</f>
        <v>16.728198124999999</v>
      </c>
    </row>
    <row r="23" spans="1:11" x14ac:dyDescent="0.25">
      <c r="A23" s="612"/>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31.138879122020811</v>
      </c>
      <c r="I23" s="489">
        <f>'Modell - Lätta fordon'!AM43</f>
        <v>18.645576333860962</v>
      </c>
    </row>
    <row r="24" spans="1:11" x14ac:dyDescent="0.25">
      <c r="A24" s="612"/>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74.263728867692208</v>
      </c>
      <c r="I24" s="477">
        <f>'Modell - Tunga fordon'!AM57</f>
        <v>40.766203253780802</v>
      </c>
    </row>
    <row r="25" spans="1:11" x14ac:dyDescent="0.25">
      <c r="A25" s="612"/>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24.700715381613261</v>
      </c>
      <c r="I25" s="493">
        <f>'Modell - Tunga fordon'!AM62</f>
        <v>18.184705404944559</v>
      </c>
    </row>
    <row r="26" spans="1:11" ht="15.75" thickBot="1" x14ac:dyDescent="0.3">
      <c r="A26" s="613"/>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69.324621942551346</v>
      </c>
      <c r="I26" s="429">
        <f>'Modell - Tunga fordon'!AM67</f>
        <v>34.096696804993869</v>
      </c>
    </row>
    <row r="27" spans="1:11" x14ac:dyDescent="0.25">
      <c r="A27" s="611"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30.007739075670557</v>
      </c>
      <c r="I27" s="473">
        <f>'Modell - Lätta fordon'!AM34</f>
        <v>17.107176973052372</v>
      </c>
      <c r="J27" s="381"/>
    </row>
    <row r="28" spans="1:11" x14ac:dyDescent="0.25">
      <c r="A28" s="612"/>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32.086438589461991</v>
      </c>
      <c r="I28" s="569">
        <f>'Modell - Lätta fordon'!AM35</f>
        <v>15.23925117944248</v>
      </c>
      <c r="J28" s="381"/>
    </row>
    <row r="29" spans="1:11" x14ac:dyDescent="0.25">
      <c r="A29" s="612"/>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26.904834540062787</v>
      </c>
      <c r="I29" s="569">
        <f>'Modell - Lätta fordon'!AM36</f>
        <v>69.466815529455232</v>
      </c>
      <c r="J29" s="381"/>
    </row>
    <row r="30" spans="1:11" x14ac:dyDescent="0.25">
      <c r="A30" s="612"/>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88.999012205195328</v>
      </c>
      <c r="I30" s="573">
        <f>'Modell - Lätta fordon'!AM37</f>
        <v>101.81324368195008</v>
      </c>
    </row>
    <row r="31" spans="1:11" x14ac:dyDescent="0.25">
      <c r="A31" s="612"/>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4.6367048466086969</v>
      </c>
      <c r="I31" s="569">
        <f>'Modell - Tunga fordon'!AM40</f>
        <v>4.8129053162624995</v>
      </c>
      <c r="J31" s="381"/>
    </row>
    <row r="32" spans="1:11" x14ac:dyDescent="0.25">
      <c r="A32" s="612"/>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0.51320430645052539</v>
      </c>
      <c r="I32" s="577">
        <f>'Modell - Tunga fordon'!AM45</f>
        <v>2.0173278276227644</v>
      </c>
      <c r="J32" s="381"/>
    </row>
    <row r="33" spans="1:10" x14ac:dyDescent="0.25">
      <c r="A33" s="612"/>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5.1499091530592223</v>
      </c>
      <c r="I33" s="573">
        <f>'Modell - Tunga fordon'!AM50</f>
        <v>6.8302331438852644</v>
      </c>
      <c r="J33" s="381"/>
    </row>
    <row r="34" spans="1:10" ht="15.75" thickBot="1" x14ac:dyDescent="0.3">
      <c r="A34" s="613"/>
      <c r="B34" s="392" t="s">
        <v>338</v>
      </c>
      <c r="C34" s="392" t="s">
        <v>36</v>
      </c>
      <c r="D34" s="579">
        <f>D30+D33</f>
        <v>94.231521913796442</v>
      </c>
      <c r="E34" s="580">
        <f t="shared" ref="E34:I34" si="0">E30+E33</f>
        <v>107.31212186352573</v>
      </c>
      <c r="F34" s="579">
        <f t="shared" si="0"/>
        <v>53.218787217992201</v>
      </c>
      <c r="G34" s="581">
        <f>G30+G33</f>
        <v>108.64347682583535</v>
      </c>
      <c r="H34" s="582">
        <f t="shared" si="0"/>
        <v>94.148921358254555</v>
      </c>
      <c r="I34" s="581">
        <f t="shared" si="0"/>
        <v>108.64347682583535</v>
      </c>
      <c r="J34" s="381"/>
    </row>
    <row r="35" spans="1:10" x14ac:dyDescent="0.25">
      <c r="A35" s="612" t="s">
        <v>290</v>
      </c>
      <c r="B35" s="293" t="s">
        <v>187</v>
      </c>
      <c r="C35" s="293" t="s">
        <v>19</v>
      </c>
      <c r="D35" s="101">
        <f>D29/D30</f>
        <v>0.26</v>
      </c>
      <c r="E35" s="102">
        <f t="shared" ref="E35:I35" si="1">E29/E30</f>
        <v>0.67</v>
      </c>
      <c r="F35" s="101">
        <f t="shared" si="1"/>
        <v>0.2632097639265889</v>
      </c>
      <c r="G35" s="103">
        <f t="shared" si="1"/>
        <v>0.68229645787987625</v>
      </c>
      <c r="H35" s="104">
        <f t="shared" si="1"/>
        <v>0.30230486691280617</v>
      </c>
      <c r="I35" s="103">
        <f t="shared" si="1"/>
        <v>0.68229645787987625</v>
      </c>
    </row>
    <row r="36" spans="1:10" ht="15.75" thickBot="1" x14ac:dyDescent="0.3">
      <c r="A36" s="613"/>
      <c r="B36" s="294" t="s">
        <v>324</v>
      </c>
      <c r="C36" s="294" t="s">
        <v>19</v>
      </c>
      <c r="D36" s="512">
        <f t="shared" ref="D36:I36" si="2">D32/D33</f>
        <v>9.9653079539405956E-2</v>
      </c>
      <c r="E36" s="513">
        <f>E32/E33</f>
        <v>0.29535270394521868</v>
      </c>
      <c r="F36" s="98">
        <f t="shared" si="2"/>
        <v>0.1</v>
      </c>
      <c r="G36" s="99">
        <f t="shared" si="2"/>
        <v>0.29535270394521862</v>
      </c>
      <c r="H36" s="100">
        <f t="shared" si="2"/>
        <v>9.9653079539405942E-2</v>
      </c>
      <c r="I36" s="99">
        <f t="shared" si="2"/>
        <v>0.29535270394521862</v>
      </c>
    </row>
    <row r="37" spans="1:10" x14ac:dyDescent="0.25">
      <c r="A37" s="614"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6.1579515283520836</v>
      </c>
      <c r="I37" s="499">
        <f>'Modell - Lätta fordon'!AM56</f>
        <v>1.1042381898062295</v>
      </c>
    </row>
    <row r="38" spans="1:10" x14ac:dyDescent="0.25">
      <c r="A38" s="615"/>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2.2333622050952515</v>
      </c>
      <c r="I38" s="501">
        <f>'Modell - Tunga fordon'!AM73</f>
        <v>0.78544647935184519</v>
      </c>
    </row>
    <row r="39" spans="1:10" x14ac:dyDescent="0.25">
      <c r="A39" s="615"/>
      <c r="B39" s="293" t="s">
        <v>315</v>
      </c>
      <c r="C39" s="293" t="s">
        <v>191</v>
      </c>
      <c r="D39" s="514">
        <v>0</v>
      </c>
      <c r="E39" s="515">
        <v>0</v>
      </c>
      <c r="F39" s="514">
        <v>0</v>
      </c>
      <c r="G39" s="515">
        <v>0</v>
      </c>
      <c r="H39" s="514">
        <v>0</v>
      </c>
      <c r="I39" s="515">
        <v>0</v>
      </c>
    </row>
    <row r="40" spans="1:10" x14ac:dyDescent="0.25">
      <c r="A40" s="615"/>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8.3913137334473351</v>
      </c>
      <c r="I40" s="503">
        <f t="shared" si="3"/>
        <v>1.8896846691580746</v>
      </c>
    </row>
    <row r="41" spans="1:10" ht="15.75" thickBot="1" x14ac:dyDescent="0.3">
      <c r="A41" s="615"/>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-0.55592116143907</v>
      </c>
      <c r="I41" s="517">
        <f>I40/SUM('Indata - Utsläpp'!$B$15:$B$17)-1</f>
        <v>-0.89999551920204945</v>
      </c>
    </row>
    <row r="42" spans="1:10" x14ac:dyDescent="0.25">
      <c r="A42" s="611"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6.7515630954329593</v>
      </c>
      <c r="I42" s="499">
        <f>'Modell - Lätta fordon'!AM60</f>
        <v>2.2899378725328496</v>
      </c>
    </row>
    <row r="43" spans="1:10" x14ac:dyDescent="0.25">
      <c r="A43" s="612"/>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1.5541061452648421</v>
      </c>
      <c r="I43" s="501">
        <f>'Modell - Tunga fordon'!AM76</f>
        <v>1.3781200730826015</v>
      </c>
      <c r="J43" s="381"/>
    </row>
    <row r="44" spans="1:10" x14ac:dyDescent="0.25">
      <c r="A44" s="612"/>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8.3056692406978012</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-0.86123613950620748</v>
      </c>
      <c r="I45" s="517">
        <f>I44/'Indata - Utsläpp'!$B$26-1</f>
        <v>-0.93871729462155096</v>
      </c>
    </row>
    <row r="46" spans="1:10" x14ac:dyDescent="0.25">
      <c r="A46" s="612"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0.11042413606489322</v>
      </c>
      <c r="I46" s="499">
        <f>'Modell - Lätta fordon'!AM64</f>
        <v>5.364141237064967E-2</v>
      </c>
      <c r="J46" s="381"/>
    </row>
    <row r="47" spans="1:10" x14ac:dyDescent="0.25">
      <c r="A47" s="612"/>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2.5246253562002861E-2</v>
      </c>
      <c r="I47" s="501">
        <f>'Modell - Tunga fordon'!AM79</f>
        <v>2.2224673024880251E-2</v>
      </c>
      <c r="J47" s="381"/>
    </row>
    <row r="48" spans="1:10" x14ac:dyDescent="0.25">
      <c r="A48" s="612"/>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0.13567038962689609</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-0.90275918174677749</v>
      </c>
      <c r="I49" s="517">
        <f>I48/'Indata - Utsläpp'!$B$24-1</f>
        <v>-0.94562350530710304</v>
      </c>
    </row>
    <row r="50" spans="1:15" x14ac:dyDescent="0.25">
      <c r="A50" s="611"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17.799802441039066</v>
      </c>
      <c r="I50" s="499">
        <f>'Modell - Lätta fordon'!AM65</f>
        <v>20.362648736390017</v>
      </c>
      <c r="J50" s="381"/>
    </row>
    <row r="51" spans="1:15" x14ac:dyDescent="0.25">
      <c r="A51" s="612"/>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1.0299818306118445</v>
      </c>
      <c r="I51" s="501">
        <f>'Modell - Tunga fordon'!AM80</f>
        <v>1.366046628777053</v>
      </c>
      <c r="J51" s="381"/>
    </row>
    <row r="52" spans="1:15" x14ac:dyDescent="0.25">
      <c r="A52" s="612"/>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18.829784271650912</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0.34905101603769317</v>
      </c>
      <c r="I53" s="520">
        <f>I52/'Indata - Utsläpp'!$B$25-1</f>
        <v>0.55674213451740751</v>
      </c>
    </row>
    <row r="54" spans="1:15" x14ac:dyDescent="0.25">
      <c r="A54" s="608"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23.752496893956213</v>
      </c>
      <c r="I54" s="499">
        <f>'Modell - Lätta fordon'!AM73</f>
        <v>4.2591965796686129</v>
      </c>
      <c r="J54" s="381"/>
    </row>
    <row r="55" spans="1:15" x14ac:dyDescent="0.25">
      <c r="A55" s="609"/>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11.252023814385749</v>
      </c>
      <c r="I55" s="501">
        <f>'Modell - Lätta fordon'!AM74</f>
        <v>10.053932530177649</v>
      </c>
      <c r="J55" s="381"/>
      <c r="K55" s="381"/>
    </row>
    <row r="56" spans="1:15" x14ac:dyDescent="0.25">
      <c r="A56" s="609"/>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4.5623873171311482</v>
      </c>
      <c r="I56" s="501">
        <f>'Modell - Lätta fordon'!AM75</f>
        <v>11.21889070800702</v>
      </c>
      <c r="J56" s="381"/>
      <c r="K56" s="381"/>
    </row>
    <row r="57" spans="1:15" x14ac:dyDescent="0.25">
      <c r="A57" s="609"/>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8.6169092952493962</v>
      </c>
      <c r="I57" s="501">
        <f>'Modell - Tunga fordon'!AM83</f>
        <v>3.0304627943496394</v>
      </c>
      <c r="J57" s="381"/>
      <c r="K57" s="381"/>
      <c r="L57" s="521"/>
      <c r="M57" s="521"/>
      <c r="N57" s="521"/>
      <c r="O57" s="521"/>
    </row>
    <row r="58" spans="1:15" x14ac:dyDescent="0.25">
      <c r="A58" s="609"/>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6.0368545929168462</v>
      </c>
      <c r="I58" s="501">
        <f>'Modell - Tunga fordon'!AM84+Indata!I63</f>
        <v>8.3375332006662681</v>
      </c>
      <c r="J58" s="381"/>
      <c r="K58" s="381"/>
    </row>
    <row r="59" spans="1:15" x14ac:dyDescent="0.25">
      <c r="A59" s="609"/>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1.9950023968173278</v>
      </c>
      <c r="I59" s="501">
        <f>'Modell - Tunga fordon'!AM85+Indata!I64</f>
        <v>4.7839740808405837</v>
      </c>
      <c r="J59" s="381"/>
      <c r="K59" s="381"/>
      <c r="O59" s="381"/>
    </row>
    <row r="60" spans="1:15" x14ac:dyDescent="0.25">
      <c r="A60" s="609"/>
      <c r="B60" s="391" t="s">
        <v>198</v>
      </c>
      <c r="C60" s="391" t="s">
        <v>129</v>
      </c>
      <c r="D60" s="502">
        <f>D54+D57</f>
        <v>39.38785709538098</v>
      </c>
      <c r="E60" s="503">
        <f t="shared" ref="E60:I60" si="7">E54+E57</f>
        <v>19.398661616531047</v>
      </c>
      <c r="F60" s="502">
        <f t="shared" si="7"/>
        <v>22.992942770397157</v>
      </c>
      <c r="G60" s="503">
        <f>G54+G57</f>
        <v>7.2896593740182523</v>
      </c>
      <c r="H60" s="502">
        <f t="shared" si="7"/>
        <v>32.369406189205606</v>
      </c>
      <c r="I60" s="503">
        <f t="shared" si="7"/>
        <v>7.2896593740182523</v>
      </c>
      <c r="J60" s="381"/>
      <c r="K60" s="381"/>
      <c r="L60" s="521"/>
      <c r="M60" s="521"/>
      <c r="N60" s="521"/>
      <c r="O60" s="521"/>
    </row>
    <row r="61" spans="1:15" x14ac:dyDescent="0.25">
      <c r="A61" s="609"/>
      <c r="B61" s="391" t="s">
        <v>199</v>
      </c>
      <c r="C61" s="391" t="s">
        <v>129</v>
      </c>
      <c r="D61" s="502">
        <f>D55+D58</f>
        <v>14.353808308992939</v>
      </c>
      <c r="E61" s="503">
        <f t="shared" ref="E61:I61" si="8">E55+E58</f>
        <v>7.7411349155785398</v>
      </c>
      <c r="F61" s="502">
        <f>F55+F58</f>
        <v>9.8824447572337952</v>
      </c>
      <c r="G61" s="503">
        <f>G55+G58</f>
        <v>18.391465730843919</v>
      </c>
      <c r="H61" s="502">
        <f t="shared" si="8"/>
        <v>17.288878407302597</v>
      </c>
      <c r="I61" s="503">
        <f t="shared" si="8"/>
        <v>18.391465730843919</v>
      </c>
      <c r="J61" s="381"/>
      <c r="K61" s="381"/>
    </row>
    <row r="62" spans="1:15" s="381" customFormat="1" x14ac:dyDescent="0.25">
      <c r="A62" s="609"/>
      <c r="B62" s="391" t="s">
        <v>200</v>
      </c>
      <c r="C62" s="391" t="s">
        <v>129</v>
      </c>
      <c r="D62" s="502">
        <f>D56+D59</f>
        <v>4.6621996470440932</v>
      </c>
      <c r="E62" s="503">
        <f>E56+E59</f>
        <v>14.106658388927707</v>
      </c>
      <c r="F62" s="502">
        <f>F56+F59</f>
        <v>4.0914621637292967</v>
      </c>
      <c r="G62" s="503">
        <f>G56+G59</f>
        <v>16.002864788847603</v>
      </c>
      <c r="H62" s="502">
        <f>H56+H59</f>
        <v>6.557389713948476</v>
      </c>
      <c r="I62" s="503">
        <f>I56+I59</f>
        <v>16.002864788847603</v>
      </c>
    </row>
    <row r="63" spans="1:15" ht="15.75" thickBot="1" x14ac:dyDescent="0.3">
      <c r="A63" s="610"/>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56.215674310456677</v>
      </c>
      <c r="I63" s="505">
        <f t="shared" si="9"/>
        <v>41.683989893709779</v>
      </c>
      <c r="J63" s="381"/>
      <c r="K63" s="381"/>
    </row>
    <row r="64" spans="1:15" x14ac:dyDescent="0.25">
      <c r="A64" s="609"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44.973089805601759</v>
      </c>
      <c r="I64" s="522">
        <f>'Modell - Lätta fordon'!AM83</f>
        <v>3.7380187346540401</v>
      </c>
    </row>
    <row r="65" spans="1:9" x14ac:dyDescent="0.25">
      <c r="A65" s="609"/>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23.383903599694605</v>
      </c>
      <c r="I65" s="477">
        <f>'Modell - Lätta fordon'!AM84</f>
        <v>9.4429373020743181</v>
      </c>
    </row>
    <row r="66" spans="1:9" x14ac:dyDescent="0.25">
      <c r="A66" s="609"/>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1.5356995709463441</v>
      </c>
      <c r="I66" s="477">
        <f>'Modell - Lätta fordon'!AM85</f>
        <v>3.7762786123151626</v>
      </c>
    </row>
    <row r="67" spans="1:9" x14ac:dyDescent="0.25">
      <c r="A67" s="609"/>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13.193166519438611</v>
      </c>
      <c r="I67" s="477">
        <f>'Modell - Tunga fordon'!AM88</f>
        <v>2.1231696123625103</v>
      </c>
    </row>
    <row r="68" spans="1:9" x14ac:dyDescent="0.25">
      <c r="A68" s="609"/>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6.3522653612111837</v>
      </c>
      <c r="I68" s="477">
        <f>'Modell - Tunga fordon'!AM89</f>
        <v>4.9071933424802392</v>
      </c>
    </row>
    <row r="69" spans="1:9" x14ac:dyDescent="0.25">
      <c r="A69" s="609"/>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0.21205880676871258</v>
      </c>
      <c r="I69" s="477">
        <f>'Modell - Tunga fordon'!AM90</f>
        <v>0.87986367561094048</v>
      </c>
    </row>
    <row r="70" spans="1:9" x14ac:dyDescent="0.25">
      <c r="A70" s="609"/>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58.166256325040372</v>
      </c>
      <c r="I70" s="489">
        <f t="shared" si="10"/>
        <v>5.8611883470165509</v>
      </c>
    </row>
    <row r="71" spans="1:9" x14ac:dyDescent="0.25">
      <c r="A71" s="609"/>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29.73616896090579</v>
      </c>
      <c r="I71" s="489">
        <f t="shared" si="11"/>
        <v>14.350130644554557</v>
      </c>
    </row>
    <row r="72" spans="1:9" ht="15.75" thickBot="1" x14ac:dyDescent="0.3">
      <c r="A72" s="610"/>
      <c r="B72" s="392" t="s">
        <v>200</v>
      </c>
      <c r="C72" s="394" t="s">
        <v>136</v>
      </c>
      <c r="D72" s="508">
        <f>D66+D69</f>
        <v>1.4817804011950417</v>
      </c>
      <c r="E72" s="509">
        <f t="shared" ref="E72:I72" si="12">E66+E69</f>
        <v>4.5598052137130658</v>
      </c>
      <c r="F72" s="508">
        <f>F66+F69</f>
        <v>0.91772716431128087</v>
      </c>
      <c r="G72" s="510">
        <f t="shared" si="12"/>
        <v>4.6561422879261034</v>
      </c>
      <c r="H72" s="511">
        <f t="shared" si="12"/>
        <v>1.7477583777150567</v>
      </c>
      <c r="I72" s="510">
        <f t="shared" si="12"/>
        <v>4.6561422879261034</v>
      </c>
    </row>
    <row r="73" spans="1:9" x14ac:dyDescent="0.25">
      <c r="A73" s="608"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44.499506102597664</v>
      </c>
      <c r="I73" s="473">
        <f>'Modell - Lätta fordon'!AM89</f>
        <v>0</v>
      </c>
    </row>
    <row r="74" spans="1:9" x14ac:dyDescent="0.25">
      <c r="A74" s="609"/>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5.1499091530592214</v>
      </c>
      <c r="I74" s="477">
        <f>'Modell - Tunga fordon'!AM96</f>
        <v>0</v>
      </c>
    </row>
    <row r="75" spans="1:9" ht="15.75" thickBot="1" x14ac:dyDescent="0.3">
      <c r="A75" s="610"/>
      <c r="B75" s="392" t="s">
        <v>278</v>
      </c>
      <c r="C75" s="392" t="s">
        <v>136</v>
      </c>
      <c r="D75" s="495">
        <f>SUM(D73:D74)</f>
        <v>0</v>
      </c>
      <c r="E75" s="496">
        <f t="shared" ref="E75:I75" si="13">SUM(E73:E74)</f>
        <v>0</v>
      </c>
      <c r="F75" s="495">
        <f t="shared" si="13"/>
        <v>189.18281855008999</v>
      </c>
      <c r="G75" s="429">
        <f t="shared" si="13"/>
        <v>0</v>
      </c>
      <c r="H75" s="427">
        <f t="shared" si="13"/>
        <v>49.649415255656884</v>
      </c>
      <c r="I75" s="429">
        <f t="shared" si="13"/>
        <v>0</v>
      </c>
    </row>
    <row r="76" spans="1:9" x14ac:dyDescent="0.25">
      <c r="A76" s="608"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114.39219907884038</v>
      </c>
      <c r="I76" s="473">
        <f t="shared" si="14"/>
        <v>16.957234649043521</v>
      </c>
    </row>
    <row r="77" spans="1:9" x14ac:dyDescent="0.25">
      <c r="A77" s="609"/>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24.90739984047773</v>
      </c>
      <c r="I77" s="477">
        <f t="shared" si="15"/>
        <v>7.9102266304536899</v>
      </c>
    </row>
    <row r="78" spans="1:9" ht="15.75" thickBot="1" x14ac:dyDescent="0.3">
      <c r="A78" s="610"/>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139.2995989193181</v>
      </c>
      <c r="I78" s="429">
        <f t="shared" ref="I78" si="20">SUM(I76:I77)</f>
        <v>24.86746127949721</v>
      </c>
    </row>
    <row r="79" spans="1:9" x14ac:dyDescent="0.25">
      <c r="A79" s="26" t="s">
        <v>410</v>
      </c>
      <c r="B79" s="292" t="s">
        <v>187</v>
      </c>
      <c r="C79" s="292" t="s">
        <v>136</v>
      </c>
      <c r="F79" s="26">
        <f>D30*(D23-F23)+(F30-D30)*(F23-D23)/2</f>
        <v>-3796.7756996424387</v>
      </c>
      <c r="G79" s="381">
        <f>E30*(E23-G23)+(G30-E30)*(G23-E23)/2</f>
        <v>100.42757139416648</v>
      </c>
    </row>
    <row r="80" spans="1:9" x14ac:dyDescent="0.25">
      <c r="B80" s="293" t="s">
        <v>324</v>
      </c>
      <c r="C80" s="296" t="s">
        <v>136</v>
      </c>
      <c r="E80" s="395"/>
      <c r="F80" s="395"/>
    </row>
    <row r="81" spans="2:4" ht="15.75" thickBot="1" x14ac:dyDescent="0.3">
      <c r="B81" s="392" t="s">
        <v>278</v>
      </c>
      <c r="C81" s="392" t="s">
        <v>136</v>
      </c>
      <c r="D81" s="395"/>
    </row>
  </sheetData>
  <mergeCells count="20">
    <mergeCell ref="D4:E4"/>
    <mergeCell ref="F4:G4"/>
    <mergeCell ref="H4:I4"/>
    <mergeCell ref="D5:E5"/>
    <mergeCell ref="F5:G5"/>
    <mergeCell ref="H5:I5"/>
    <mergeCell ref="A17:A18"/>
    <mergeCell ref="A20:A26"/>
    <mergeCell ref="A35:A36"/>
    <mergeCell ref="A7:A11"/>
    <mergeCell ref="A12:A16"/>
    <mergeCell ref="A73:A75"/>
    <mergeCell ref="A76:A78"/>
    <mergeCell ref="A27:A34"/>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C32" sqref="C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8" t="s">
        <v>61</v>
      </c>
      <c r="B3" s="618"/>
      <c r="C3" s="618"/>
      <c r="D3" s="618"/>
      <c r="E3" s="83"/>
      <c r="F3" s="618" t="s">
        <v>258</v>
      </c>
      <c r="G3" s="618"/>
      <c r="H3" s="618"/>
      <c r="I3" s="618"/>
      <c r="M3" s="618" t="s">
        <v>310</v>
      </c>
      <c r="N3" s="619"/>
      <c r="O3" s="619"/>
      <c r="P3" s="619"/>
    </row>
    <row r="4" spans="1:16" s="41" customFormat="1" ht="13.5" thickBot="1" x14ac:dyDescent="0.25">
      <c r="A4" s="620" t="s">
        <v>54</v>
      </c>
      <c r="B4" s="620"/>
      <c r="C4" s="620"/>
      <c r="D4" s="620"/>
      <c r="E4" s="183"/>
      <c r="F4" s="620" t="s">
        <v>259</v>
      </c>
      <c r="G4" s="620"/>
      <c r="H4" s="620"/>
      <c r="I4" s="620"/>
      <c r="K4" s="64" t="s">
        <v>63</v>
      </c>
      <c r="M4" s="378" t="s">
        <v>311</v>
      </c>
      <c r="N4" s="366"/>
      <c r="O4" s="366"/>
      <c r="P4" s="366"/>
    </row>
    <row r="5" spans="1:16" ht="15.75" thickBot="1" x14ac:dyDescent="0.3">
      <c r="A5" s="621" t="s">
        <v>55</v>
      </c>
      <c r="B5" s="621"/>
      <c r="C5" s="621"/>
      <c r="D5" s="621"/>
      <c r="E5" s="44"/>
      <c r="F5" s="621" t="s">
        <v>56</v>
      </c>
      <c r="G5" s="621"/>
      <c r="H5" s="621"/>
      <c r="I5" s="621"/>
      <c r="K5" s="62" t="s">
        <v>397</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398</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399</v>
      </c>
    </row>
    <row r="11" spans="1:16" ht="15.75" thickBot="1" x14ac:dyDescent="0.3">
      <c r="A11" s="167"/>
      <c r="B11" s="168"/>
      <c r="C11" s="168"/>
      <c r="D11" s="168"/>
      <c r="F11" s="167"/>
      <c r="G11" s="168"/>
      <c r="H11" s="168"/>
      <c r="I11" s="168"/>
      <c r="K11" s="63" t="s">
        <v>400</v>
      </c>
      <c r="M11" s="618" t="s">
        <v>335</v>
      </c>
      <c r="N11" s="619"/>
      <c r="O11" s="619"/>
      <c r="P11" s="619"/>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8" t="s">
        <v>334</v>
      </c>
      <c r="N19" s="619"/>
      <c r="O19" s="619"/>
      <c r="P19" s="619"/>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9" activeCellId="1" sqref="B8:C8 B9:C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603" t="s">
        <v>294</v>
      </c>
      <c r="B4" s="624" t="s">
        <v>210</v>
      </c>
      <c r="C4" s="625"/>
      <c r="D4" s="326">
        <v>7.0000000000000007E-2</v>
      </c>
      <c r="E4" s="327">
        <v>0.19</v>
      </c>
      <c r="F4" s="29" t="s">
        <v>329</v>
      </c>
      <c r="G4" s="43"/>
      <c r="H4" s="40"/>
      <c r="I4" s="40"/>
      <c r="J4" s="40"/>
      <c r="K4" s="40"/>
      <c r="L4" s="40"/>
      <c r="M4" s="40"/>
      <c r="N4" s="40"/>
      <c r="O4" s="40"/>
    </row>
    <row r="5" spans="1:15" ht="15" customHeight="1" x14ac:dyDescent="0.25">
      <c r="A5" s="628"/>
      <c r="B5" s="626" t="s">
        <v>175</v>
      </c>
      <c r="C5" s="627"/>
      <c r="D5" s="326">
        <v>-0.05</v>
      </c>
      <c r="E5" s="327">
        <v>-0.05</v>
      </c>
      <c r="F5" s="32" t="s">
        <v>70</v>
      </c>
      <c r="G5" s="43"/>
      <c r="H5" s="40"/>
      <c r="I5" s="40"/>
      <c r="J5" s="40"/>
      <c r="K5" s="40"/>
      <c r="L5" s="40"/>
      <c r="M5" s="40"/>
      <c r="N5" s="40"/>
      <c r="O5" s="40"/>
    </row>
    <row r="6" spans="1:15" ht="15" customHeight="1" x14ac:dyDescent="0.25">
      <c r="A6" s="628"/>
      <c r="B6" s="626" t="s">
        <v>176</v>
      </c>
      <c r="C6" s="627"/>
      <c r="D6" s="326">
        <v>0</v>
      </c>
      <c r="E6" s="327">
        <v>0</v>
      </c>
      <c r="F6" s="32" t="s">
        <v>71</v>
      </c>
      <c r="G6" s="43"/>
      <c r="H6" s="40"/>
      <c r="I6" s="40"/>
      <c r="J6" s="40"/>
      <c r="K6" s="40"/>
      <c r="L6" s="40"/>
      <c r="M6" s="40"/>
      <c r="N6" s="40"/>
      <c r="O6" s="40"/>
    </row>
    <row r="7" spans="1:15" ht="15" customHeight="1" x14ac:dyDescent="0.25">
      <c r="A7" s="628"/>
      <c r="B7" s="626" t="s">
        <v>177</v>
      </c>
      <c r="C7" s="627"/>
      <c r="D7" s="326">
        <v>-0.1</v>
      </c>
      <c r="E7" s="327">
        <v>-0.1</v>
      </c>
      <c r="F7" s="32" t="s">
        <v>69</v>
      </c>
      <c r="G7" s="43"/>
      <c r="H7" s="40"/>
      <c r="I7" s="40"/>
      <c r="J7" s="40"/>
      <c r="K7" s="40"/>
      <c r="L7" s="40"/>
      <c r="M7" s="40"/>
      <c r="N7" s="40"/>
      <c r="O7" s="40"/>
    </row>
    <row r="8" spans="1:15" ht="15" customHeight="1" x14ac:dyDescent="0.25">
      <c r="A8" s="628"/>
      <c r="B8" s="626" t="s">
        <v>178</v>
      </c>
      <c r="C8" s="627"/>
      <c r="D8" s="326">
        <f>Indata!D80</f>
        <v>-0.2</v>
      </c>
      <c r="E8" s="327">
        <v>-0.2</v>
      </c>
      <c r="F8" s="32" t="s">
        <v>211</v>
      </c>
      <c r="G8" s="43"/>
      <c r="H8" s="40"/>
      <c r="I8" s="40"/>
      <c r="J8" s="40"/>
      <c r="K8" s="40"/>
      <c r="L8" s="40"/>
      <c r="M8" s="40"/>
      <c r="N8" s="40"/>
      <c r="O8" s="40"/>
    </row>
    <row r="9" spans="1:15" ht="15" customHeight="1" thickBot="1" x14ac:dyDescent="0.3">
      <c r="A9" s="607"/>
      <c r="B9" s="622" t="s">
        <v>179</v>
      </c>
      <c r="C9" s="623"/>
      <c r="D9" s="328">
        <f>Indata!D78</f>
        <v>-0.22</v>
      </c>
      <c r="E9" s="329">
        <v>-0.22</v>
      </c>
      <c r="F9" s="32" t="s">
        <v>328</v>
      </c>
      <c r="G9" s="43"/>
      <c r="H9" s="40"/>
      <c r="I9" s="40"/>
      <c r="J9" s="40"/>
      <c r="K9" s="40"/>
      <c r="L9" s="40"/>
      <c r="M9" s="40"/>
      <c r="N9" s="40"/>
      <c r="O9" s="40"/>
    </row>
    <row r="10" spans="1:15" ht="15" customHeight="1" x14ac:dyDescent="0.25">
      <c r="A10" s="592"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93"/>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93" t="s">
        <v>68</v>
      </c>
      <c r="B12" s="43" t="s">
        <v>7</v>
      </c>
      <c r="C12" s="331" t="s">
        <v>274</v>
      </c>
      <c r="D12" s="58">
        <v>0</v>
      </c>
      <c r="E12" s="59">
        <v>0</v>
      </c>
      <c r="F12" s="411" t="s">
        <v>293</v>
      </c>
      <c r="G12" s="43"/>
      <c r="H12" s="40"/>
      <c r="I12" s="40"/>
      <c r="J12" s="40"/>
      <c r="K12" s="40"/>
      <c r="L12" s="40"/>
      <c r="M12" s="40"/>
      <c r="N12" s="40"/>
      <c r="O12" s="40"/>
    </row>
    <row r="13" spans="1:15" ht="15" customHeight="1" x14ac:dyDescent="0.25">
      <c r="A13" s="592"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93"/>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93"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92"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93"/>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600"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9"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9"/>
      <c r="B20" s="293" t="s">
        <v>296</v>
      </c>
      <c r="C20" s="293" t="s">
        <v>284</v>
      </c>
      <c r="D20" s="334">
        <v>0.2</v>
      </c>
      <c r="E20" s="335">
        <v>0.2</v>
      </c>
      <c r="F20" s="293" t="s">
        <v>326</v>
      </c>
      <c r="G20" s="43"/>
      <c r="H20" s="40"/>
      <c r="I20" s="40"/>
      <c r="J20" s="40"/>
      <c r="K20" s="40"/>
      <c r="L20" s="40"/>
      <c r="M20" s="40"/>
      <c r="N20" s="40"/>
      <c r="O20" s="40"/>
    </row>
    <row r="21" spans="1:15" x14ac:dyDescent="0.25">
      <c r="A21" s="601"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6"/>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6"/>
      <c r="B23" s="43" t="s">
        <v>134</v>
      </c>
      <c r="C23" s="143" t="s">
        <v>99</v>
      </c>
      <c r="D23" s="56">
        <v>5.86</v>
      </c>
      <c r="E23" s="57">
        <v>5.86</v>
      </c>
      <c r="F23" s="411" t="s">
        <v>288</v>
      </c>
      <c r="G23" s="43"/>
      <c r="H23" s="40"/>
      <c r="I23" s="40"/>
      <c r="J23" s="40"/>
      <c r="K23" s="40"/>
      <c r="L23" s="40"/>
      <c r="M23" s="40"/>
      <c r="N23" s="40"/>
      <c r="O23" s="40"/>
    </row>
    <row r="24" spans="1:15" x14ac:dyDescent="0.25">
      <c r="A24" s="606"/>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6"/>
      <c r="B25" s="43" t="s">
        <v>135</v>
      </c>
      <c r="C25" s="143" t="s">
        <v>99</v>
      </c>
      <c r="D25" s="56">
        <v>9.17</v>
      </c>
      <c r="E25" s="57">
        <v>9.17</v>
      </c>
      <c r="F25" s="411" t="s">
        <v>288</v>
      </c>
      <c r="G25" s="43"/>
      <c r="H25" s="40"/>
      <c r="I25" s="40"/>
      <c r="J25" s="40"/>
      <c r="K25" s="40"/>
      <c r="L25" s="40"/>
      <c r="M25" s="40"/>
      <c r="N25" s="40"/>
      <c r="O25" s="40"/>
    </row>
    <row r="26" spans="1:15" ht="15.75" thickBot="1" x14ac:dyDescent="0.3">
      <c r="A26" s="602"/>
      <c r="B26" s="107" t="s">
        <v>100</v>
      </c>
      <c r="C26" s="144" t="s">
        <v>99</v>
      </c>
      <c r="D26" s="60">
        <v>9.44</v>
      </c>
      <c r="E26" s="61">
        <v>9.44</v>
      </c>
      <c r="F26" s="337" t="s">
        <v>288</v>
      </c>
      <c r="G26" s="43"/>
      <c r="H26" s="40"/>
      <c r="I26" s="40"/>
      <c r="J26" s="40"/>
      <c r="K26" s="40"/>
      <c r="L26" s="40"/>
      <c r="M26" s="40"/>
      <c r="N26" s="40"/>
      <c r="O26" s="40"/>
    </row>
  </sheetData>
  <mergeCells count="12">
    <mergeCell ref="A13:A15"/>
    <mergeCell ref="A19:A20"/>
    <mergeCell ref="A16:A18"/>
    <mergeCell ref="A21:A26"/>
    <mergeCell ref="A4:A9"/>
    <mergeCell ref="B9:C9"/>
    <mergeCell ref="A10:A12"/>
    <mergeCell ref="B4:C4"/>
    <mergeCell ref="B5:C5"/>
    <mergeCell ref="B6:C6"/>
    <mergeCell ref="B7:C7"/>
    <mergeCell ref="B8:C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9" t="s">
        <v>44</v>
      </c>
      <c r="B2" s="629"/>
      <c r="C2" s="629"/>
      <c r="D2" s="629"/>
      <c r="E2" s="629"/>
      <c r="F2" s="629"/>
      <c r="G2" s="629"/>
      <c r="H2" s="629"/>
      <c r="I2" s="629"/>
      <c r="J2" s="629"/>
    </row>
    <row r="3" spans="1:14" x14ac:dyDescent="0.25">
      <c r="A3" s="630" t="s">
        <v>355</v>
      </c>
      <c r="B3" s="631"/>
      <c r="C3" s="631"/>
      <c r="D3" s="197"/>
      <c r="E3" s="197"/>
      <c r="F3" s="197"/>
      <c r="G3" s="197"/>
      <c r="H3" s="197"/>
      <c r="I3" s="197"/>
      <c r="J3" s="197"/>
    </row>
    <row r="4" spans="1:14" s="381" customFormat="1" ht="18" x14ac:dyDescent="0.25">
      <c r="A4" s="126" t="s">
        <v>404</v>
      </c>
      <c r="B4" s="584"/>
      <c r="C4" s="584"/>
      <c r="D4" s="197"/>
      <c r="E4" s="197"/>
      <c r="F4" s="197"/>
      <c r="G4" s="197">
        <v>1</v>
      </c>
      <c r="H4" s="197"/>
      <c r="I4" s="197"/>
      <c r="J4" s="197"/>
    </row>
    <row r="5" spans="1:14" ht="18" x14ac:dyDescent="0.25">
      <c r="A5" s="126" t="s">
        <v>401</v>
      </c>
      <c r="B5" s="40"/>
      <c r="C5" s="40"/>
      <c r="D5" s="40"/>
      <c r="E5" s="40"/>
      <c r="F5" s="40"/>
      <c r="G5" s="40">
        <v>1</v>
      </c>
      <c r="H5" s="40">
        <v>1</v>
      </c>
      <c r="I5" s="40"/>
      <c r="J5" s="40"/>
      <c r="K5" s="40"/>
      <c r="L5" s="40"/>
      <c r="M5" s="40"/>
      <c r="N5" s="40"/>
    </row>
    <row r="6" spans="1:14" ht="18.75" thickBot="1" x14ac:dyDescent="0.3">
      <c r="A6" s="126" t="s">
        <v>405</v>
      </c>
      <c r="B6" s="40"/>
      <c r="C6" s="40"/>
      <c r="D6" s="40"/>
      <c r="E6" s="40"/>
      <c r="F6" s="40"/>
      <c r="G6" s="40">
        <v>1</v>
      </c>
      <c r="H6" s="40">
        <v>1</v>
      </c>
      <c r="I6" s="40">
        <v>1</v>
      </c>
      <c r="J6" s="40">
        <v>1</v>
      </c>
      <c r="K6" s="40"/>
      <c r="L6" s="40"/>
      <c r="M6" s="40"/>
      <c r="N6" s="40"/>
    </row>
    <row r="7" spans="1:14" ht="15.75" thickBot="1" x14ac:dyDescent="0.3">
      <c r="B7" s="194"/>
      <c r="C7" s="194"/>
      <c r="D7" s="194"/>
      <c r="E7" s="634" t="s">
        <v>64</v>
      </c>
      <c r="F7" s="633"/>
      <c r="G7" s="634" t="s">
        <v>65</v>
      </c>
      <c r="H7" s="633"/>
      <c r="I7" s="632" t="s">
        <v>66</v>
      </c>
      <c r="J7" s="633"/>
      <c r="L7" s="26" t="s">
        <v>402</v>
      </c>
    </row>
    <row r="8" spans="1:14" ht="15.75" thickBot="1" x14ac:dyDescent="0.3">
      <c r="A8" s="196" t="s">
        <v>45</v>
      </c>
      <c r="B8" s="110">
        <v>2017</v>
      </c>
      <c r="C8" s="111">
        <v>2019</v>
      </c>
      <c r="D8" s="111">
        <v>2020</v>
      </c>
      <c r="E8" s="372">
        <v>2030</v>
      </c>
      <c r="F8" s="373">
        <v>2040</v>
      </c>
      <c r="G8" s="110">
        <v>2030</v>
      </c>
      <c r="H8" s="195">
        <v>2040</v>
      </c>
      <c r="I8" s="111">
        <v>2030</v>
      </c>
      <c r="J8" s="195">
        <v>2040</v>
      </c>
    </row>
    <row r="9" spans="1:14" x14ac:dyDescent="0.25">
      <c r="A9" s="358" t="s">
        <v>298</v>
      </c>
      <c r="B9" s="87">
        <v>0.05</v>
      </c>
      <c r="C9" s="1"/>
      <c r="D9" s="1"/>
      <c r="E9" s="374">
        <f>Indata!D9</f>
        <v>7.4999999999999997E-2</v>
      </c>
      <c r="F9" s="375">
        <f>Indata!E9</f>
        <v>7.4999999999999997E-2</v>
      </c>
      <c r="G9" s="5">
        <f>Indata!F9</f>
        <v>0.1</v>
      </c>
      <c r="H9" s="4">
        <f>Indata!G9</f>
        <v>0.1</v>
      </c>
      <c r="I9" s="5">
        <f>Indata!H9</f>
        <v>0.1</v>
      </c>
      <c r="J9" s="4">
        <f>Indata!I9</f>
        <v>0.1</v>
      </c>
    </row>
    <row r="10" spans="1:14" ht="15.75" thickBot="1" x14ac:dyDescent="0.3">
      <c r="A10" s="30" t="s">
        <v>299</v>
      </c>
      <c r="B10" s="88">
        <v>0</v>
      </c>
      <c r="C10" s="6"/>
      <c r="D10" s="6"/>
      <c r="E10" s="376">
        <f>Indata!D10</f>
        <v>0</v>
      </c>
      <c r="F10" s="377">
        <f>Indata!E10</f>
        <v>0</v>
      </c>
      <c r="G10" s="5">
        <f>Indata!F10</f>
        <v>0.38512682720134916</v>
      </c>
      <c r="H10" s="4">
        <f>Indata!G10</f>
        <v>0.628</v>
      </c>
      <c r="I10" s="5">
        <f>Indata!H10</f>
        <v>0.255</v>
      </c>
      <c r="J10" s="4">
        <f>Indata!I10</f>
        <v>0.628</v>
      </c>
    </row>
    <row r="11" spans="1:14" ht="15.75" thickBot="1" x14ac:dyDescent="0.3">
      <c r="A11" s="31" t="s">
        <v>172</v>
      </c>
      <c r="B11" s="8"/>
      <c r="C11" s="9">
        <v>1</v>
      </c>
      <c r="D11" s="86">
        <v>1.02</v>
      </c>
      <c r="E11" s="178">
        <f>$D$11*(1+Indata!D13)^(E8-$D$8)</f>
        <v>1.2433743083946522</v>
      </c>
      <c r="F11" s="180">
        <f>$D$11*(1+Indata!E13)^(F8-$D$8)</f>
        <v>1.5156663438979214</v>
      </c>
      <c r="G11" s="10">
        <f>$D$11*(1+Indata!F13)^(G8-$D$8)</f>
        <v>1.2433743083946522</v>
      </c>
      <c r="H11" s="11">
        <f>$D$11*(1+Indata!G13)^(H8-$D$8)</f>
        <v>1.5156663438979214</v>
      </c>
      <c r="I11" s="12">
        <f>$D$11*(1+Indata!H13)^(I8-$D$8)</f>
        <v>3.3122674459777772</v>
      </c>
      <c r="J11" s="11">
        <f>$D$11*(1+Indata!I13)^(J8-$D$8)</f>
        <v>1.5156663438979214</v>
      </c>
    </row>
    <row r="12" spans="1:14" x14ac:dyDescent="0.25">
      <c r="A12" s="32" t="s">
        <v>219</v>
      </c>
      <c r="B12" s="150">
        <v>5.0999999999999996</v>
      </c>
      <c r="C12" s="21"/>
      <c r="D12" s="25"/>
      <c r="E12" s="23">
        <f>$B12+(F12-$B12)/(F$8-$B$8)*(E$8-$B$8)</f>
        <v>6.3491304347826087</v>
      </c>
      <c r="F12" s="153">
        <v>7.31</v>
      </c>
      <c r="G12" s="23">
        <f>($B12+(H12-$B12)/(H$8-$B$8)*(G$8-$B$8))*G5</f>
        <v>6.3491304347826087</v>
      </c>
      <c r="H12" s="153">
        <v>7.31</v>
      </c>
      <c r="I12" s="23">
        <f>$B12+(J12-$B12)/(J$8-$B$8)*(I$8-$B$8)</f>
        <v>6.3491304347826087</v>
      </c>
      <c r="J12" s="153">
        <v>7.31</v>
      </c>
      <c r="L12" s="364"/>
    </row>
    <row r="13" spans="1:14" x14ac:dyDescent="0.25">
      <c r="A13" s="32" t="s">
        <v>220</v>
      </c>
      <c r="B13" s="359">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64" t="s">
        <v>403</v>
      </c>
    </row>
    <row r="14" spans="1:14" x14ac:dyDescent="0.25">
      <c r="A14" s="32" t="s">
        <v>221</v>
      </c>
      <c r="B14" s="17">
        <v>5.86</v>
      </c>
      <c r="C14" s="25"/>
      <c r="D14" s="25"/>
      <c r="E14" s="17">
        <f>$B14+(F14-$B14)/(F$8-$B$8)*(E$8-$B$8)</f>
        <v>7.2108695652173918</v>
      </c>
      <c r="F14" s="154">
        <v>8.25</v>
      </c>
      <c r="G14" s="17">
        <f>($B14+(H14-$B14)/(H$8-$B$8)*(G$8-$B$8))*G6</f>
        <v>7.2108695652173918</v>
      </c>
      <c r="H14" s="154">
        <v>8.25</v>
      </c>
      <c r="I14" s="17">
        <f>$B14+(J14-$B14)/(J$8-$B$8)*(I$8-$B$8)</f>
        <v>7.2108695652173918</v>
      </c>
      <c r="J14" s="154">
        <v>8.25</v>
      </c>
      <c r="L14" s="364"/>
    </row>
    <row r="15" spans="1:14" ht="15.75" thickBot="1" x14ac:dyDescent="0.3">
      <c r="A15" s="32" t="s">
        <v>222</v>
      </c>
      <c r="B15" s="24">
        <v>10.59</v>
      </c>
      <c r="C15" s="22"/>
      <c r="D15" s="25"/>
      <c r="E15" s="24">
        <f>$B15+(F15-$B15)/(F$8-$B$8)*(E$8-$B$8)</f>
        <v>13.031739130434783</v>
      </c>
      <c r="F15" s="154">
        <v>14.91</v>
      </c>
      <c r="G15" s="24">
        <f>($B15+(H15-$B15)/(H$8-$B$8)*(G$8-$B$8))*G6</f>
        <v>13.031739130434783</v>
      </c>
      <c r="H15" s="154">
        <f>14.91*H6</f>
        <v>14.91</v>
      </c>
      <c r="I15" s="24">
        <f>$B15+(J15-$B15)/(J$8-$B$8)*(I$8-$B$8)</f>
        <v>13.031739130434783</v>
      </c>
      <c r="J15" s="154">
        <v>14.91</v>
      </c>
      <c r="L15" s="364"/>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8.9856043185154029</v>
      </c>
      <c r="H16" s="16">
        <f t="shared" si="0"/>
        <v>12.163343157894738</v>
      </c>
      <c r="I16" s="13">
        <f>I13*(1-I9-I10)+I14*I9+I15*I10</f>
        <v>8.1101157894736851</v>
      </c>
      <c r="J16" s="16">
        <f t="shared" si="0"/>
        <v>12.163343157894738</v>
      </c>
      <c r="L16" s="364"/>
    </row>
    <row r="17" spans="1:11" x14ac:dyDescent="0.25">
      <c r="A17" s="32" t="s">
        <v>170</v>
      </c>
      <c r="B17" s="151">
        <v>3.71</v>
      </c>
      <c r="C17" s="318">
        <v>3.86</v>
      </c>
      <c r="D17" s="19"/>
      <c r="E17" s="17">
        <f t="shared" ref="E17:J18" si="1">PRODUCT($C17,E$11)</f>
        <v>4.7994248304033578</v>
      </c>
      <c r="F17" s="154">
        <f t="shared" si="1"/>
        <v>5.8504720874459766</v>
      </c>
      <c r="G17" s="17">
        <f t="shared" si="1"/>
        <v>4.7994248304033578</v>
      </c>
      <c r="H17" s="154">
        <f t="shared" si="1"/>
        <v>5.8504720874459766</v>
      </c>
      <c r="I17" s="23">
        <f t="shared" si="1"/>
        <v>12.785352341474219</v>
      </c>
      <c r="J17" s="154">
        <f t="shared" si="1"/>
        <v>5.8504720874459766</v>
      </c>
      <c r="K17" s="74"/>
    </row>
    <row r="18" spans="1:11" ht="15.75" thickBot="1" x14ac:dyDescent="0.3">
      <c r="A18" s="32" t="s">
        <v>171</v>
      </c>
      <c r="B18" s="151">
        <v>2.4900000000000002</v>
      </c>
      <c r="C18" s="319">
        <v>2.54</v>
      </c>
      <c r="D18" s="19"/>
      <c r="E18" s="17">
        <f t="shared" si="1"/>
        <v>3.1581707433224167</v>
      </c>
      <c r="F18" s="154">
        <f t="shared" si="1"/>
        <v>3.8497925135007205</v>
      </c>
      <c r="G18" s="17">
        <f t="shared" si="1"/>
        <v>3.1581707433224167</v>
      </c>
      <c r="H18" s="154">
        <f t="shared" si="1"/>
        <v>3.8497925135007205</v>
      </c>
      <c r="I18" s="24">
        <f t="shared" si="1"/>
        <v>8.413159312783554</v>
      </c>
      <c r="J18" s="154">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21.198511654257771</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16.943199892241175</v>
      </c>
      <c r="H20" s="16">
        <f t="shared" ref="H20:J20" si="3" xml:space="preserve"> H16+H19</f>
        <v>21.863607758841436</v>
      </c>
      <c r="I20" s="13">
        <f t="shared" si="3"/>
        <v>29.308627443731456</v>
      </c>
      <c r="J20" s="16">
        <f t="shared" si="3"/>
        <v>21.863607758841436</v>
      </c>
    </row>
    <row r="21" spans="1:11" x14ac:dyDescent="0.25">
      <c r="A21" s="32" t="s">
        <v>4</v>
      </c>
      <c r="B21" s="151">
        <f>PRODUCT(B16,0.25)</f>
        <v>1.2749999999999999</v>
      </c>
      <c r="C21" s="18"/>
      <c r="D21" s="19"/>
      <c r="E21" s="17">
        <f>PRODUCT(E16,0.25)</f>
        <v>1.5929519450800917</v>
      </c>
      <c r="F21" s="154">
        <f>PRODUCT(F16,0.25)</f>
        <v>1.833684210526316</v>
      </c>
      <c r="G21" s="17">
        <f>PRODUCT(G16,0.25)</f>
        <v>2.2464010796288507</v>
      </c>
      <c r="H21" s="154">
        <f t="shared" ref="H21:J21" si="4">PRODUCT(H16,0.25)</f>
        <v>3.0408357894736846</v>
      </c>
      <c r="I21" s="17">
        <f t="shared" si="4"/>
        <v>2.0275289473684213</v>
      </c>
      <c r="J21" s="154">
        <f t="shared" si="4"/>
        <v>3.0408357894736846</v>
      </c>
    </row>
    <row r="22" spans="1:11" ht="15.75" thickBot="1" x14ac:dyDescent="0.3">
      <c r="A22" s="32" t="s">
        <v>5</v>
      </c>
      <c r="B22" s="151">
        <f t="shared" ref="B22" si="5">PRODUCT(B19,0.25)</f>
        <v>1.55</v>
      </c>
      <c r="C22" s="18"/>
      <c r="D22" s="19"/>
      <c r="E22" s="17">
        <f t="shared" ref="E22:F22" si="6">PRODUCT(E19,0.25)</f>
        <v>1.9893988934314435</v>
      </c>
      <c r="F22" s="154">
        <f t="shared" si="6"/>
        <v>2.4250661502366744</v>
      </c>
      <c r="G22" s="17">
        <f t="shared" ref="G22:J22" si="7">PRODUCT(G19,0.25)</f>
        <v>1.9893988934314435</v>
      </c>
      <c r="H22" s="154">
        <f t="shared" si="7"/>
        <v>2.4250661502366744</v>
      </c>
      <c r="I22" s="17">
        <f t="shared" si="7"/>
        <v>5.2996279135644428</v>
      </c>
      <c r="J22" s="154">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4.2357999730602938</v>
      </c>
      <c r="H23" s="16">
        <f t="shared" si="10"/>
        <v>5.465901939710359</v>
      </c>
      <c r="I23" s="13">
        <f t="shared" si="10"/>
        <v>7.3271568609328641</v>
      </c>
      <c r="J23" s="16">
        <f t="shared" si="10"/>
        <v>5.465901939710359</v>
      </c>
    </row>
    <row r="24" spans="1:11" ht="15.75" thickBot="1" x14ac:dyDescent="0.3">
      <c r="A24" s="34" t="s">
        <v>215</v>
      </c>
      <c r="B24" s="155">
        <f>SUM(B20,B23)</f>
        <v>14.125</v>
      </c>
      <c r="C24" s="156"/>
      <c r="D24" s="156"/>
      <c r="E24" s="155">
        <f>SUM(E20,E23)</f>
        <v>17.911754192557677</v>
      </c>
      <c r="F24" s="157">
        <f>SUM(F20,F23)</f>
        <v>21.293751803814949</v>
      </c>
      <c r="G24" s="155">
        <f>SUM(G20,G23)</f>
        <v>21.178999865301471</v>
      </c>
      <c r="H24" s="157">
        <f t="shared" ref="H24:J24" si="11">SUM(H20,H23)</f>
        <v>27.329509698551796</v>
      </c>
      <c r="I24" s="155">
        <f t="shared" si="11"/>
        <v>36.63578430466432</v>
      </c>
      <c r="J24" s="157">
        <f t="shared" si="11"/>
        <v>27.329509698551796</v>
      </c>
    </row>
    <row r="25" spans="1:11" ht="15.75" thickBot="1" x14ac:dyDescent="0.3">
      <c r="B25" s="362"/>
      <c r="C25" s="363"/>
      <c r="D25" s="363"/>
      <c r="E25" s="363"/>
      <c r="F25" s="363"/>
      <c r="G25" s="363"/>
      <c r="H25" s="363"/>
    </row>
    <row r="26" spans="1:11" ht="15.75" thickBot="1" x14ac:dyDescent="0.3">
      <c r="B26" s="194"/>
      <c r="C26" s="194"/>
      <c r="D26" s="194"/>
      <c r="E26" s="634" t="s">
        <v>64</v>
      </c>
      <c r="F26" s="633"/>
      <c r="G26" s="634" t="s">
        <v>65</v>
      </c>
      <c r="H26" s="633"/>
      <c r="I26" s="632" t="s">
        <v>66</v>
      </c>
      <c r="J26" s="633"/>
    </row>
    <row r="27" spans="1:11" ht="15.75" thickBot="1" x14ac:dyDescent="0.3">
      <c r="A27" s="196" t="s">
        <v>46</v>
      </c>
      <c r="B27" s="110">
        <v>2017</v>
      </c>
      <c r="C27" s="111">
        <v>2019</v>
      </c>
      <c r="D27" s="111">
        <v>2020</v>
      </c>
      <c r="E27" s="110">
        <v>2030</v>
      </c>
      <c r="F27" s="195">
        <v>2040</v>
      </c>
      <c r="G27" s="110">
        <v>2030</v>
      </c>
      <c r="H27" s="195">
        <v>2040</v>
      </c>
      <c r="I27" s="111">
        <v>2030</v>
      </c>
      <c r="J27" s="195">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0.10267946318406238</v>
      </c>
      <c r="H29" s="4">
        <f>Indata!G12</f>
        <v>0.628</v>
      </c>
      <c r="I29" s="5">
        <f>Indata!H12</f>
        <v>0.255</v>
      </c>
      <c r="J29" s="4">
        <f>Indata!I12</f>
        <v>0.628</v>
      </c>
    </row>
    <row r="30" spans="1:11" ht="15.75" thickBot="1" x14ac:dyDescent="0.3">
      <c r="A30" s="31" t="s">
        <v>172</v>
      </c>
      <c r="B30" s="8"/>
      <c r="C30" s="9">
        <v>1</v>
      </c>
      <c r="D30" s="86">
        <v>1.02</v>
      </c>
      <c r="E30" s="172">
        <f>$D$11*(1+Indata!D13)^(E27-$D$8)</f>
        <v>1.2433743083946522</v>
      </c>
      <c r="F30" s="174">
        <f>$D$11*(1+Indata!E13)^(F27-$D$8)</f>
        <v>1.5156663438979214</v>
      </c>
      <c r="G30" s="172">
        <f>$D$11*(1+Indata!F13)^(G27-$D$8)</f>
        <v>1.2433743083946522</v>
      </c>
      <c r="H30" s="174">
        <f>$D$11*(1+Indata!G13)^(H27-$D$8)</f>
        <v>1.5156663438979214</v>
      </c>
      <c r="I30" s="173">
        <f>$D$11*(1+Indata!H13)^(I27-$D$8)</f>
        <v>3.3122674459777772</v>
      </c>
      <c r="J30" s="174">
        <f>$D$11*(1+Indata!I13)^(J27-$D$8)</f>
        <v>1.5156663438979214</v>
      </c>
    </row>
    <row r="31" spans="1:11" x14ac:dyDescent="0.25">
      <c r="A31" s="32" t="s">
        <v>223</v>
      </c>
      <c r="B31" s="150">
        <v>6.59</v>
      </c>
      <c r="C31" s="21"/>
      <c r="D31" s="25"/>
      <c r="E31" s="23">
        <f>$B31+(F31-$B31)/(F$8-$B$8)*(E$8-$B$8)</f>
        <v>8.4891304347826093</v>
      </c>
      <c r="F31" s="370">
        <v>9.9499999999999993</v>
      </c>
      <c r="G31" s="23">
        <f>($B31+(H31-$B31)/(H$8-$B$8)*(G$8-$B$8))*G5</f>
        <v>8.4891304347826093</v>
      </c>
      <c r="H31" s="370">
        <v>9.9499999999999993</v>
      </c>
      <c r="I31" s="23">
        <f>$B31+(J31-$B31)/(J$8-$B$8)*(I$8-$B$8)</f>
        <v>8.4891304347826093</v>
      </c>
      <c r="J31" s="153">
        <v>9.9499999999999993</v>
      </c>
    </row>
    <row r="32" spans="1:11" x14ac:dyDescent="0.25">
      <c r="A32" s="32" t="s">
        <v>224</v>
      </c>
      <c r="B32" s="359">
        <f>(B31-0.05*B33-0.18*B34)/(1-0.05-0.18)</f>
        <v>5.6380519480519471</v>
      </c>
      <c r="C32" s="25"/>
      <c r="D32" s="361"/>
      <c r="E32" s="17">
        <f>(E31-0.05*E33)/(1-0.05)</f>
        <v>8.4921052631578959</v>
      </c>
      <c r="F32" s="25">
        <f>(F31-0.05*F33)/(1-0.05)</f>
        <v>9.965789473684211</v>
      </c>
      <c r="G32" s="359">
        <f t="shared" ref="G32:J32" si="12">(G31-0.05*G33)/(1-0.05)</f>
        <v>8.4921052631578959</v>
      </c>
      <c r="H32" s="361">
        <f t="shared" si="12"/>
        <v>9.965789473684211</v>
      </c>
      <c r="I32" s="359">
        <f t="shared" si="12"/>
        <v>8.4921052631578959</v>
      </c>
      <c r="J32" s="360">
        <f t="shared" si="12"/>
        <v>9.965789473684211</v>
      </c>
    </row>
    <row r="33" spans="1:11" x14ac:dyDescent="0.25">
      <c r="A33" s="32" t="s">
        <v>225</v>
      </c>
      <c r="B33" s="17">
        <v>6.85</v>
      </c>
      <c r="C33" s="25"/>
      <c r="D33" s="25"/>
      <c r="E33" s="17">
        <f>$B33+(F33-$B33)/(F$8-$B$8)*(E$8-$B$8)</f>
        <v>8.4326086956521742</v>
      </c>
      <c r="F33" s="159">
        <v>9.65</v>
      </c>
      <c r="G33" s="17">
        <f>($B33+(H33-$B33)/(H$8-$B$8)*(G$8-$B$8))*G6</f>
        <v>8.4326086956521742</v>
      </c>
      <c r="H33" s="159">
        <v>9.65</v>
      </c>
      <c r="I33" s="17">
        <f>$B33+(J33-$B33)/(J$8-$B$8)*(I$8-$B$8)</f>
        <v>8.4326086956521742</v>
      </c>
      <c r="J33" s="154">
        <v>9.65</v>
      </c>
    </row>
    <row r="34" spans="1:11" ht="15.75" thickBot="1" x14ac:dyDescent="0.3">
      <c r="A34" s="32" t="s">
        <v>300</v>
      </c>
      <c r="B34" s="24">
        <v>10.59</v>
      </c>
      <c r="C34" s="22"/>
      <c r="D34" s="25"/>
      <c r="E34" s="24">
        <f>$B34+(F34-$B34)/(F$8-$B$8)*(E$8-$B$8)</f>
        <v>13.031739130434783</v>
      </c>
      <c r="F34" s="371">
        <v>14.91</v>
      </c>
      <c r="G34" s="24">
        <f>($B34+(H34-$B34)/(H$8-$B$8)*(G$8-$B$8))*G6</f>
        <v>13.031739130434783</v>
      </c>
      <c r="H34" s="371">
        <v>14.91</v>
      </c>
      <c r="I34" s="24">
        <f>$B34+(J34-$B34)/(J$8-$B$8)*(I$8-$B$8)</f>
        <v>13.031739130434783</v>
      </c>
      <c r="J34" s="160">
        <v>14.91</v>
      </c>
    </row>
    <row r="35" spans="1:11" ht="15.75" thickBot="1" x14ac:dyDescent="0.3">
      <c r="A35" s="33" t="s">
        <v>2</v>
      </c>
      <c r="B35" s="13">
        <f>B32*(1-B28-B29)+B33*B28+B34*B29</f>
        <v>6.59</v>
      </c>
      <c r="C35" s="14"/>
      <c r="D35" s="15"/>
      <c r="E35" s="368">
        <f>E32*(1-E28-E29)+E33*E28+E34*E29</f>
        <v>9.6228489702517166</v>
      </c>
      <c r="F35" s="369">
        <f>F32*(1-F28-F29)+F33*F28+F34*F29</f>
        <v>11.179736842105264</v>
      </c>
      <c r="G35" s="368">
        <f>G32*(1-G28-G29)+G33*G28+G34*G29</f>
        <v>8.9540676719766736</v>
      </c>
      <c r="H35" s="369">
        <f t="shared" ref="H35" si="13">H32*(1-H28-H29)+H33*H28+H34*H29</f>
        <v>13.048648421052633</v>
      </c>
      <c r="I35" s="368">
        <f>I32*(1-I28-I29)+I33*I28+I34*I29</f>
        <v>9.6455471395881016</v>
      </c>
      <c r="J35" s="369">
        <f>J32*(1-J28-J29)+J33*J28+J34*J29</f>
        <v>13.048648421052633</v>
      </c>
    </row>
    <row r="36" spans="1:11" x14ac:dyDescent="0.25">
      <c r="A36" s="32" t="s">
        <v>170</v>
      </c>
      <c r="B36" s="151">
        <v>2</v>
      </c>
      <c r="C36" s="21">
        <v>2.36</v>
      </c>
      <c r="D36" s="19"/>
      <c r="E36" s="17">
        <f>PRODUCT($C36,E$30)</f>
        <v>2.934363367811379</v>
      </c>
      <c r="F36" s="154">
        <f t="shared" ref="F36:J37" si="14">PRODUCT($C36,F$30)</f>
        <v>3.5769725715990943</v>
      </c>
      <c r="G36" s="17">
        <f t="shared" si="14"/>
        <v>2.934363367811379</v>
      </c>
      <c r="H36" s="154">
        <f t="shared" si="14"/>
        <v>3.5769725715990943</v>
      </c>
      <c r="I36" s="23">
        <f t="shared" si="14"/>
        <v>7.8169511725075536</v>
      </c>
      <c r="J36" s="154">
        <f t="shared" si="14"/>
        <v>3.5769725715990943</v>
      </c>
      <c r="K36" s="74"/>
    </row>
    <row r="37" spans="1:11" ht="15.75" thickBot="1" x14ac:dyDescent="0.3">
      <c r="A37" s="32" t="s">
        <v>171</v>
      </c>
      <c r="B37" s="151">
        <v>2.4900000000000002</v>
      </c>
      <c r="C37" s="22">
        <v>2.17</v>
      </c>
      <c r="D37" s="19"/>
      <c r="E37" s="17">
        <f t="shared" ref="E37" si="15">PRODUCT($C37,E$30)</f>
        <v>2.6981222492163952</v>
      </c>
      <c r="F37" s="154">
        <f t="shared" si="14"/>
        <v>3.2889959662584896</v>
      </c>
      <c r="G37" s="17">
        <f t="shared" si="14"/>
        <v>2.6981222492163952</v>
      </c>
      <c r="H37" s="154">
        <f t="shared" si="14"/>
        <v>3.2889959662584896</v>
      </c>
      <c r="I37" s="24">
        <f t="shared" si="14"/>
        <v>7.1876203577717765</v>
      </c>
      <c r="J37" s="154">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15.00457153027933</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14.586553289004447</v>
      </c>
      <c r="H39" s="16">
        <f t="shared" ref="H39" si="21" xml:space="preserve"> H35+H38</f>
        <v>19.914616958910216</v>
      </c>
      <c r="I39" s="13">
        <f t="shared" ref="I39" si="22" xml:space="preserve"> I35+I38</f>
        <v>24.650118669867432</v>
      </c>
      <c r="J39" s="16">
        <f t="shared" ref="J39" si="23" xml:space="preserve"> J35+J38</f>
        <v>19.914616958910216</v>
      </c>
    </row>
    <row r="40" spans="1:11" x14ac:dyDescent="0.25">
      <c r="A40" s="32" t="s">
        <v>4</v>
      </c>
      <c r="B40" s="151">
        <f>PRODUCT(B35,0.25)</f>
        <v>1.6475</v>
      </c>
      <c r="C40" s="18"/>
      <c r="D40" s="19"/>
      <c r="E40" s="17">
        <f>PRODUCT(E35,0.25)</f>
        <v>2.4057122425629291</v>
      </c>
      <c r="F40" s="154">
        <f t="shared" ref="F40" si="24">PRODUCT(F35,0.25)</f>
        <v>2.794934210526316</v>
      </c>
      <c r="G40" s="17">
        <f>PRODUCT(G35,0.25)</f>
        <v>2.2385169179941684</v>
      </c>
      <c r="H40" s="154">
        <f t="shared" ref="H40:J40" si="25">PRODUCT(H35,0.25)</f>
        <v>3.2621621052631582</v>
      </c>
      <c r="I40" s="17">
        <f t="shared" si="25"/>
        <v>2.4113867848970254</v>
      </c>
      <c r="J40" s="154">
        <f t="shared" si="25"/>
        <v>3.2621621052631582</v>
      </c>
    </row>
    <row r="41" spans="1:11" ht="15.75" thickBot="1" x14ac:dyDescent="0.3">
      <c r="A41" s="32" t="s">
        <v>5</v>
      </c>
      <c r="B41" s="151">
        <f>PRODUCT(B38,0.25)</f>
        <v>1.1225000000000001</v>
      </c>
      <c r="C41" s="18"/>
      <c r="D41" s="19"/>
      <c r="E41" s="17">
        <f t="shared" ref="E41:F41" si="26">PRODUCT(E38,0.25)</f>
        <v>1.4081214042569434</v>
      </c>
      <c r="F41" s="154">
        <f t="shared" si="26"/>
        <v>1.716492134464396</v>
      </c>
      <c r="G41" s="17">
        <f t="shared" ref="G41:J41" si="27">PRODUCT(G38,0.25)</f>
        <v>1.4081214042569434</v>
      </c>
      <c r="H41" s="154">
        <f t="shared" si="27"/>
        <v>1.716492134464396</v>
      </c>
      <c r="I41" s="17">
        <f t="shared" si="27"/>
        <v>3.7511428825698325</v>
      </c>
      <c r="J41" s="154">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3.6466383222511118</v>
      </c>
      <c r="H42" s="16">
        <f t="shared" si="30"/>
        <v>4.9786542397275539</v>
      </c>
      <c r="I42" s="13">
        <f t="shared" si="30"/>
        <v>6.1625296674668579</v>
      </c>
      <c r="J42" s="16">
        <f t="shared" si="30"/>
        <v>4.9786542397275539</v>
      </c>
    </row>
    <row r="43" spans="1:11" ht="15.75" thickBot="1" x14ac:dyDescent="0.3">
      <c r="A43" s="34" t="s">
        <v>216</v>
      </c>
      <c r="B43" s="155">
        <f>SUM(B39,B42)</f>
        <v>13.85</v>
      </c>
      <c r="C43" s="156"/>
      <c r="D43" s="156"/>
      <c r="E43" s="155">
        <f>SUM(E39,E42)</f>
        <v>19.069168234099362</v>
      </c>
      <c r="F43" s="157">
        <f t="shared" ref="F43" si="31">SUM(F39,F42)</f>
        <v>22.557131724953557</v>
      </c>
      <c r="G43" s="155">
        <f>SUM(G39,G42)</f>
        <v>18.23319161125556</v>
      </c>
      <c r="H43" s="157">
        <f t="shared" ref="H43" si="32">SUM(H39,H42)</f>
        <v>24.89327119863777</v>
      </c>
      <c r="I43" s="155">
        <f t="shared" ref="I43" si="33">SUM(I39,I42)</f>
        <v>30.812648337334288</v>
      </c>
      <c r="J43" s="157">
        <f t="shared" ref="J43" si="34">SUM(J39,J42)</f>
        <v>24.89327119863777</v>
      </c>
    </row>
    <row r="44" spans="1:11" ht="15.75" thickBot="1" x14ac:dyDescent="0.3">
      <c r="B44" s="18"/>
      <c r="F44" s="363">
        <f>F38+F42</f>
        <v>11.377394882848296</v>
      </c>
    </row>
    <row r="45" spans="1:11" ht="15.75" thickBot="1" x14ac:dyDescent="0.3">
      <c r="B45" s="194"/>
      <c r="C45" s="194"/>
      <c r="D45" s="194"/>
      <c r="E45" s="634" t="s">
        <v>64</v>
      </c>
      <c r="F45" s="633"/>
      <c r="G45" s="634" t="s">
        <v>65</v>
      </c>
      <c r="H45" s="633"/>
      <c r="I45" s="632" t="s">
        <v>66</v>
      </c>
      <c r="J45" s="633"/>
    </row>
    <row r="46" spans="1:11" ht="15.75" thickBot="1" x14ac:dyDescent="0.3">
      <c r="A46" s="196" t="s">
        <v>49</v>
      </c>
      <c r="B46" s="110">
        <v>2017</v>
      </c>
      <c r="C46" s="111">
        <v>2019</v>
      </c>
      <c r="D46" s="111">
        <v>2020</v>
      </c>
      <c r="E46" s="110">
        <v>2030</v>
      </c>
      <c r="F46" s="195">
        <v>2040</v>
      </c>
      <c r="G46" s="110">
        <v>2030</v>
      </c>
      <c r="H46" s="195">
        <v>2040</v>
      </c>
      <c r="I46" s="111">
        <v>2030</v>
      </c>
      <c r="J46" s="195">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0.10267946318406238</v>
      </c>
      <c r="H48" s="4">
        <f>Indata!G12</f>
        <v>0.628</v>
      </c>
      <c r="I48" s="5">
        <f>Indata!H12</f>
        <v>0.255</v>
      </c>
      <c r="J48" s="4">
        <f>Indata!I12</f>
        <v>0.628</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3.3122674459777772</v>
      </c>
      <c r="J49" s="11">
        <f>$D$11*(1+Indata!I13)^(J46-$D$8)</f>
        <v>1.5156663438979214</v>
      </c>
    </row>
    <row r="50" spans="1:10" x14ac:dyDescent="0.25">
      <c r="A50" s="32" t="s">
        <v>223</v>
      </c>
      <c r="B50" s="150">
        <v>5.15</v>
      </c>
      <c r="C50" s="21"/>
      <c r="D50" s="25"/>
      <c r="E50" s="23">
        <f>$B50+(F50-$B50)/(F$8-$B$8)*(E$8-$B$8)</f>
        <v>7.280869565217392</v>
      </c>
      <c r="F50" s="153">
        <v>8.92</v>
      </c>
      <c r="G50" s="23">
        <f>($B50+(H50-$B50)/(H$8-$B$8)*(G$8-$B$8))*G5</f>
        <v>7.280869565217392</v>
      </c>
      <c r="H50" s="153">
        <v>8.92</v>
      </c>
      <c r="I50" s="23">
        <f>$B50+(J50-$B50)/(J$8-$B$8)*(I$8-$B$8)</f>
        <v>7.280869565217392</v>
      </c>
      <c r="J50" s="153">
        <v>8.92</v>
      </c>
    </row>
    <row r="51" spans="1:10" x14ac:dyDescent="0.25">
      <c r="A51" s="32" t="s">
        <v>224</v>
      </c>
      <c r="B51" s="359">
        <f>(B50-0.05*B52-0.18*B53)/(1-0.05-0.18)</f>
        <v>3.7679220779220777</v>
      </c>
      <c r="C51" s="25"/>
      <c r="D51" s="361"/>
      <c r="E51" s="359">
        <f>(E50-0.05*E52-0.18*E53)/(1-0.05-0.18)</f>
        <v>5.8617221908526265</v>
      </c>
      <c r="F51" s="360">
        <f t="shared" ref="F51:J51" si="35">(F50-0.05*F52-0.18*F53)/(1-0.05-0.18)</f>
        <v>7.4723376623376625</v>
      </c>
      <c r="G51" s="359">
        <f t="shared" si="35"/>
        <v>5.8617221908526265</v>
      </c>
      <c r="H51" s="360">
        <f t="shared" si="35"/>
        <v>7.4723376623376625</v>
      </c>
      <c r="I51" s="359">
        <f t="shared" si="35"/>
        <v>5.8617221908526265</v>
      </c>
      <c r="J51" s="360">
        <f t="shared" si="35"/>
        <v>7.4723376623376625</v>
      </c>
    </row>
    <row r="52" spans="1:10" x14ac:dyDescent="0.25">
      <c r="A52" s="32" t="s">
        <v>225</v>
      </c>
      <c r="B52" s="17">
        <v>6.85</v>
      </c>
      <c r="C52" s="25"/>
      <c r="D52" s="25"/>
      <c r="E52" s="17">
        <f>$B52+(F52-$B52)/(F$8-$B$8)*(E$8-$B$8)</f>
        <v>8.4326086956521742</v>
      </c>
      <c r="F52" s="154">
        <v>9.65</v>
      </c>
      <c r="G52" s="17">
        <f>($B52+(H52-$B52)/(H$8-$B$8)*(G$8-$B$8))*G6</f>
        <v>8.4326086956521742</v>
      </c>
      <c r="H52" s="154">
        <v>9.65</v>
      </c>
      <c r="I52" s="17">
        <f>$B52+(J52-$B52)/(J$8-$B$8)*(I$8-$B$8)</f>
        <v>8.4326086956521742</v>
      </c>
      <c r="J52" s="154">
        <v>9.65</v>
      </c>
    </row>
    <row r="53" spans="1:10" ht="15.75" thickBot="1" x14ac:dyDescent="0.3">
      <c r="A53" s="32" t="s">
        <v>222</v>
      </c>
      <c r="B53" s="24">
        <v>10.59</v>
      </c>
      <c r="C53" s="22"/>
      <c r="D53" s="25"/>
      <c r="E53" s="24">
        <f>$B53+(F53-$B53)/(F$8-$B$8)*(E$8-$B$8)</f>
        <v>13.031739130434783</v>
      </c>
      <c r="F53" s="154">
        <v>14.91</v>
      </c>
      <c r="G53" s="24">
        <f>($B53+(H53-$B53)/(H$8-$B$8)*(G$8-$B$8))*G6</f>
        <v>13.031739130434783</v>
      </c>
      <c r="H53" s="154">
        <v>14.91</v>
      </c>
      <c r="I53" s="24">
        <f>$B53+(J53-$B53)/(J$8-$B$8)*(I$8-$B$8)</f>
        <v>13.031739130434783</v>
      </c>
      <c r="J53" s="154">
        <v>14.91</v>
      </c>
    </row>
    <row r="54" spans="1:10" ht="15.75" thickBot="1" x14ac:dyDescent="0.3">
      <c r="A54" s="33" t="s">
        <v>2</v>
      </c>
      <c r="B54" s="396">
        <f>B51*(1-B47-B48)+B52*B47+B53*B48</f>
        <v>5.15</v>
      </c>
      <c r="C54" s="1"/>
      <c r="D54" s="2"/>
      <c r="E54" s="13">
        <f>E51*(1-E47-E48)+E52*E47+E53*E48</f>
        <v>7.8341884810841336</v>
      </c>
      <c r="F54" s="16">
        <f t="shared" ref="F54" si="36">F51*(1-F47-F48)+F52*F47+F53*F48</f>
        <v>9.4841896103896097</v>
      </c>
      <c r="G54" s="13">
        <f>G51*(1-G47-G48)+G52*G47+G53*G48</f>
        <v>6.7778977365655244</v>
      </c>
      <c r="H54" s="16">
        <f t="shared" ref="H54" si="37">H51*(1-H47-H48)+H52*H47+H53*H48</f>
        <v>12.295625974025974</v>
      </c>
      <c r="I54" s="13">
        <f t="shared" ref="I54" si="38">I51*(1-I47-I48)+I52*I47+I53*I48</f>
        <v>7.8700385657820444</v>
      </c>
      <c r="J54" s="16">
        <f t="shared" ref="J54" si="39">J51*(1-J47-J48)+J52*J47+J53*J48</f>
        <v>12.295625974025974</v>
      </c>
    </row>
    <row r="55" spans="1:10" x14ac:dyDescent="0.25">
      <c r="A55" s="32" t="s">
        <v>170</v>
      </c>
      <c r="B55" s="150">
        <v>2</v>
      </c>
      <c r="C55" s="21">
        <f>C36</f>
        <v>2.36</v>
      </c>
      <c r="D55" s="398"/>
      <c r="E55" s="25">
        <f t="shared" ref="E55:J55" si="40">E36</f>
        <v>2.934363367811379</v>
      </c>
      <c r="F55" s="154">
        <f t="shared" si="40"/>
        <v>3.5769725715990943</v>
      </c>
      <c r="G55" s="17">
        <f t="shared" si="40"/>
        <v>2.934363367811379</v>
      </c>
      <c r="H55" s="154">
        <f t="shared" si="40"/>
        <v>3.5769725715990943</v>
      </c>
      <c r="I55" s="17">
        <f>I36</f>
        <v>7.8169511725075536</v>
      </c>
      <c r="J55" s="154">
        <f t="shared" si="40"/>
        <v>3.5769725715990943</v>
      </c>
    </row>
    <row r="56" spans="1:10" ht="15.75" thickBot="1" x14ac:dyDescent="0.3">
      <c r="A56" s="32" t="s">
        <v>171</v>
      </c>
      <c r="B56" s="152">
        <v>2.4900000000000002</v>
      </c>
      <c r="C56" s="22">
        <f>C37</f>
        <v>2.17</v>
      </c>
      <c r="D56" s="399"/>
      <c r="E56" s="22">
        <f t="shared" ref="E56:J56" si="41">E37</f>
        <v>2.6981222492163952</v>
      </c>
      <c r="F56" s="154">
        <f t="shared" si="41"/>
        <v>3.2889959662584896</v>
      </c>
      <c r="G56" s="24">
        <f t="shared" si="41"/>
        <v>2.6981222492163952</v>
      </c>
      <c r="H56" s="154">
        <f t="shared" si="41"/>
        <v>3.2889959662584896</v>
      </c>
      <c r="I56" s="24">
        <f t="shared" si="41"/>
        <v>7.1876203577717765</v>
      </c>
      <c r="J56" s="154">
        <f t="shared" si="41"/>
        <v>3.2889959662584896</v>
      </c>
    </row>
    <row r="57" spans="1:10" ht="15.75" thickBot="1" x14ac:dyDescent="0.3">
      <c r="A57" s="33" t="s">
        <v>3</v>
      </c>
      <c r="B57" s="368">
        <f>SUM(B55,B56)</f>
        <v>4.49</v>
      </c>
      <c r="C57" s="397">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15.00457153027933</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12.410383353593298</v>
      </c>
      <c r="H58" s="16">
        <f t="shared" ref="H58" si="47" xml:space="preserve"> H54+H57</f>
        <v>19.161594511883557</v>
      </c>
      <c r="I58" s="13">
        <f t="shared" ref="I58" si="48" xml:space="preserve"> I54+I57</f>
        <v>22.874610096061375</v>
      </c>
      <c r="J58" s="16">
        <f xml:space="preserve"> J54+J57</f>
        <v>19.161594511883557</v>
      </c>
    </row>
    <row r="59" spans="1:10" x14ac:dyDescent="0.25">
      <c r="A59" s="32" t="s">
        <v>4</v>
      </c>
      <c r="B59" s="151">
        <f>PRODUCT(B54,0.25)</f>
        <v>1.2875000000000001</v>
      </c>
      <c r="C59" s="18"/>
      <c r="D59" s="19"/>
      <c r="E59" s="17">
        <f>PRODUCT(E54,0.25)</f>
        <v>1.9585471202710334</v>
      </c>
      <c r="F59" s="154">
        <f t="shared" ref="F59" si="49">PRODUCT(F54,0.25)</f>
        <v>2.3710474025974024</v>
      </c>
      <c r="G59" s="17">
        <f>PRODUCT(G54,0.25)</f>
        <v>1.6944744341413811</v>
      </c>
      <c r="H59" s="154">
        <f t="shared" ref="H59:J59" si="50">PRODUCT(H54,0.25)</f>
        <v>3.0739064935064935</v>
      </c>
      <c r="I59" s="17">
        <f t="shared" si="50"/>
        <v>1.9675096414455111</v>
      </c>
      <c r="J59" s="154">
        <f t="shared" si="50"/>
        <v>3.0739064935064935</v>
      </c>
    </row>
    <row r="60" spans="1:10" ht="15.75" thickBot="1" x14ac:dyDescent="0.3">
      <c r="A60" s="32" t="s">
        <v>5</v>
      </c>
      <c r="B60" s="151">
        <f>PRODUCT(B57,0.25)</f>
        <v>1.1225000000000001</v>
      </c>
      <c r="C60" s="18"/>
      <c r="D60" s="19"/>
      <c r="E60" s="17">
        <f>PRODUCT(E57,0.25)</f>
        <v>1.4081214042569434</v>
      </c>
      <c r="F60" s="154">
        <f t="shared" ref="F60" si="51">PRODUCT(F57,0.25)</f>
        <v>1.716492134464396</v>
      </c>
      <c r="G60" s="17">
        <f t="shared" ref="G60:J60" si="52">PRODUCT(G57,0.25)</f>
        <v>1.4081214042569434</v>
      </c>
      <c r="H60" s="154">
        <f t="shared" si="52"/>
        <v>1.716492134464396</v>
      </c>
      <c r="I60" s="17">
        <f t="shared" si="52"/>
        <v>3.7511428825698325</v>
      </c>
      <c r="J60" s="154">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3.1025958383983245</v>
      </c>
      <c r="H61" s="16">
        <f t="shared" si="55"/>
        <v>4.7903986279708892</v>
      </c>
      <c r="I61" s="13">
        <f t="shared" si="55"/>
        <v>5.7186525240153436</v>
      </c>
      <c r="J61" s="16">
        <f t="shared" si="55"/>
        <v>4.7903986279708892</v>
      </c>
    </row>
    <row r="62" spans="1:10" ht="15.75" thickBot="1" x14ac:dyDescent="0.3">
      <c r="A62" s="34" t="s">
        <v>216</v>
      </c>
      <c r="B62" s="155">
        <f>SUM(B58,B61)</f>
        <v>12.05</v>
      </c>
      <c r="C62" s="156"/>
      <c r="D62" s="156"/>
      <c r="E62" s="155">
        <f>SUM(E58,E61)</f>
        <v>16.833342622639883</v>
      </c>
      <c r="F62" s="157">
        <f t="shared" ref="F62" si="56">SUM(F58,F61)</f>
        <v>20.43769768530899</v>
      </c>
      <c r="G62" s="155">
        <f>SUM(G58,G61)</f>
        <v>15.512979191991622</v>
      </c>
      <c r="H62" s="157">
        <f t="shared" ref="H62" si="57">SUM(H58,H61)</f>
        <v>23.951993139854444</v>
      </c>
      <c r="I62" s="155">
        <f t="shared" ref="I62" si="58">SUM(I58,I61)</f>
        <v>28.593262620076718</v>
      </c>
      <c r="J62" s="157">
        <f t="shared" ref="J62" si="59">SUM(J58,J61)</f>
        <v>23.951993139854444</v>
      </c>
    </row>
    <row r="63" spans="1:10" ht="15.75" thickBot="1" x14ac:dyDescent="0.3"/>
    <row r="64" spans="1:10" ht="15.75" thickBot="1" x14ac:dyDescent="0.3">
      <c r="B64" s="194"/>
      <c r="C64" s="194"/>
      <c r="D64" s="194"/>
      <c r="E64" s="634" t="s">
        <v>64</v>
      </c>
      <c r="F64" s="633"/>
      <c r="G64" s="634" t="s">
        <v>65</v>
      </c>
      <c r="H64" s="633"/>
      <c r="I64" s="632" t="s">
        <v>66</v>
      </c>
      <c r="J64" s="633"/>
    </row>
    <row r="65" spans="1:10" ht="15.75" thickBot="1" x14ac:dyDescent="0.3">
      <c r="A65" s="196" t="s">
        <v>50</v>
      </c>
      <c r="B65" s="110">
        <v>2017</v>
      </c>
      <c r="C65" s="111">
        <v>2018</v>
      </c>
      <c r="D65" s="111">
        <v>2020</v>
      </c>
      <c r="E65" s="110">
        <v>2030</v>
      </c>
      <c r="F65" s="195">
        <v>2040</v>
      </c>
      <c r="G65" s="110">
        <v>2030</v>
      </c>
      <c r="H65" s="195">
        <v>2040</v>
      </c>
      <c r="I65" s="111">
        <v>2030</v>
      </c>
      <c r="J65" s="195">
        <v>2040</v>
      </c>
    </row>
    <row r="66" spans="1:10" ht="15.75" thickBot="1" x14ac:dyDescent="0.3">
      <c r="A66" s="35" t="s">
        <v>217</v>
      </c>
      <c r="B66" s="150">
        <f>172.36/100</f>
        <v>1.7236000000000002</v>
      </c>
      <c r="C66" s="21"/>
      <c r="D66" s="25"/>
      <c r="E66" s="23">
        <f>$B66+(F66-$B66)/(F$8-$B$8)*(E$8-$B$8)</f>
        <v>2.4401260869565218</v>
      </c>
      <c r="F66" s="153">
        <f>299.13/100</f>
        <v>2.9912999999999998</v>
      </c>
      <c r="G66" s="23">
        <f>($B66+(H66-$B66)/(H$8-$B$8)*(G$8-$B$8))*G4</f>
        <v>2.4401260869565218</v>
      </c>
      <c r="H66" s="153">
        <f>299.13/100</f>
        <v>2.9912999999999998</v>
      </c>
      <c r="I66" s="23">
        <f>$B66+(J66-$B66)/(J$8-$B$8)*(I$8-$B$8)</f>
        <v>2.4401260869565218</v>
      </c>
      <c r="J66" s="153">
        <f>299.13/100</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51">
        <v>0.31</v>
      </c>
      <c r="C68" s="21"/>
      <c r="D68" s="19"/>
      <c r="E68" s="23">
        <f>F68</f>
        <v>0.33659999999999995</v>
      </c>
      <c r="F68" s="159">
        <f>33.66/100</f>
        <v>0.33659999999999995</v>
      </c>
      <c r="G68" s="23">
        <f>H68</f>
        <v>0.33659999999999995</v>
      </c>
      <c r="H68" s="159">
        <f>33.66/100</f>
        <v>0.33659999999999995</v>
      </c>
      <c r="I68" s="23">
        <f>J68</f>
        <v>0.33659999999999995</v>
      </c>
      <c r="J68" s="153">
        <f>33.66/100</f>
        <v>0.33659999999999995</v>
      </c>
    </row>
    <row r="69" spans="1:10" ht="15.75" thickBot="1" x14ac:dyDescent="0.3">
      <c r="A69" s="32" t="s">
        <v>171</v>
      </c>
      <c r="B69" s="151">
        <f>0/100</f>
        <v>0</v>
      </c>
      <c r="C69" s="22"/>
      <c r="D69" s="19"/>
      <c r="E69" s="24">
        <f>F69</f>
        <v>0</v>
      </c>
      <c r="F69" s="159">
        <f>0/100</f>
        <v>0</v>
      </c>
      <c r="G69" s="24">
        <f>H69</f>
        <v>0</v>
      </c>
      <c r="H69" s="159">
        <f>0/100</f>
        <v>0</v>
      </c>
      <c r="I69" s="24">
        <f>J69</f>
        <v>0</v>
      </c>
      <c r="J69" s="160">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55">
        <f>SUM(B71,B74)</f>
        <v>2.5420000000000003</v>
      </c>
      <c r="C75" s="156"/>
      <c r="D75" s="156"/>
      <c r="E75" s="155">
        <f>SUM(E71,E74)</f>
        <v>3.4709076086956521</v>
      </c>
      <c r="F75" s="157">
        <f t="shared" ref="F75" si="75">SUM(F71,F74)</f>
        <v>4.1598749999999995</v>
      </c>
      <c r="G75" s="155">
        <f>SUM(G71,G74)</f>
        <v>3.4709076086956521</v>
      </c>
      <c r="H75" s="157">
        <f t="shared" ref="H75" si="76">SUM(H71,H74)</f>
        <v>4.1598749999999995</v>
      </c>
      <c r="I75" s="155">
        <f t="shared" ref="I75" si="77">SUM(I71,I74)</f>
        <v>3.4709076086956521</v>
      </c>
      <c r="J75" s="157">
        <f t="shared" ref="J75" si="78">SUM(J71,J74)</f>
        <v>4.1598749999999995</v>
      </c>
    </row>
    <row r="76" spans="1:10" ht="15.75" thickBot="1" x14ac:dyDescent="0.3">
      <c r="F76" s="363"/>
    </row>
    <row r="77" spans="1:10" ht="15.75" thickBot="1" x14ac:dyDescent="0.3">
      <c r="B77" s="194"/>
      <c r="C77" s="194"/>
      <c r="D77" s="194"/>
      <c r="E77" s="634" t="s">
        <v>64</v>
      </c>
      <c r="F77" s="633"/>
      <c r="G77" s="634" t="s">
        <v>65</v>
      </c>
      <c r="H77" s="633"/>
      <c r="I77" s="632" t="s">
        <v>66</v>
      </c>
      <c r="J77" s="633"/>
    </row>
    <row r="78" spans="1:10" ht="15.75" thickBot="1" x14ac:dyDescent="0.3">
      <c r="A78" s="196" t="s">
        <v>52</v>
      </c>
      <c r="B78" s="110">
        <v>2017</v>
      </c>
      <c r="C78" s="111">
        <v>2018</v>
      </c>
      <c r="D78" s="111">
        <v>2020</v>
      </c>
      <c r="E78" s="110">
        <v>2030</v>
      </c>
      <c r="F78" s="195">
        <v>2040</v>
      </c>
      <c r="G78" s="110">
        <v>2030</v>
      </c>
      <c r="H78" s="195">
        <v>2040</v>
      </c>
      <c r="I78" s="111">
        <v>2030</v>
      </c>
      <c r="J78" s="195">
        <v>2040</v>
      </c>
    </row>
    <row r="79" spans="1:10" ht="15.75" thickBot="1" x14ac:dyDescent="0.3">
      <c r="A79" s="35" t="s">
        <v>217</v>
      </c>
      <c r="B79" s="150">
        <f>59.33/100</f>
        <v>0.59329999999999994</v>
      </c>
      <c r="C79" s="21"/>
      <c r="D79" s="25"/>
      <c r="E79" s="23">
        <f>$B79+(F79-$B79)/(F$8-$B$8)*(E$8-$B$8)</f>
        <v>0.86093043478260867</v>
      </c>
      <c r="F79" s="153">
        <f>106.68/100</f>
        <v>1.0668</v>
      </c>
      <c r="G79" s="23">
        <f>($B79+(H79-$B79)/(H$8-$B$8)*(G$8-$B$8))*G4</f>
        <v>0.86093043478260867</v>
      </c>
      <c r="H79" s="153">
        <f>106.68/100</f>
        <v>1.0668</v>
      </c>
      <c r="I79" s="23">
        <f>$B79+(J79-$B79)/(J$8-$B$8)*(I$8-$B$8)</f>
        <v>0.86093043478260867</v>
      </c>
      <c r="J79" s="153">
        <f>106.68/100</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51">
        <v>0.31</v>
      </c>
      <c r="C81" s="21"/>
      <c r="D81" s="19"/>
      <c r="E81" s="23">
        <f>F81</f>
        <v>0.33659999999999995</v>
      </c>
      <c r="F81" s="159">
        <f>33.66/100</f>
        <v>0.33659999999999995</v>
      </c>
      <c r="G81" s="23">
        <f>H81</f>
        <v>0.33659999999999995</v>
      </c>
      <c r="H81" s="159">
        <f>33.66/100</f>
        <v>0.33659999999999995</v>
      </c>
      <c r="I81" s="23">
        <f>J81</f>
        <v>0.33659999999999995</v>
      </c>
      <c r="J81" s="153">
        <f>33.66/100</f>
        <v>0.33659999999999995</v>
      </c>
    </row>
    <row r="82" spans="1:10" ht="15.75" thickBot="1" x14ac:dyDescent="0.3">
      <c r="A82" s="32" t="s">
        <v>171</v>
      </c>
      <c r="B82" s="151">
        <f>0/100</f>
        <v>0</v>
      </c>
      <c r="C82" s="22"/>
      <c r="D82" s="19"/>
      <c r="E82" s="24">
        <f>F82</f>
        <v>0</v>
      </c>
      <c r="F82" s="159">
        <f>0/100</f>
        <v>0</v>
      </c>
      <c r="G82" s="24">
        <f>H82</f>
        <v>0</v>
      </c>
      <c r="H82" s="159">
        <f>0/100</f>
        <v>0</v>
      </c>
      <c r="I82" s="24">
        <f>J82</f>
        <v>0</v>
      </c>
      <c r="J82" s="160">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55">
        <f>SUM(B84,B87)</f>
        <v>1.1291249999999999</v>
      </c>
      <c r="C88" s="156"/>
      <c r="D88" s="156"/>
      <c r="E88" s="155">
        <f>SUM(E84,E87)</f>
        <v>1.4969130434782607</v>
      </c>
      <c r="F88" s="157">
        <f t="shared" ref="F88" si="92">SUM(F84,F87)</f>
        <v>1.7542499999999999</v>
      </c>
      <c r="G88" s="155">
        <f>SUM(G84,G87)</f>
        <v>1.4969130434782607</v>
      </c>
      <c r="H88" s="157">
        <f t="shared" ref="H88" si="93">SUM(H84,H87)</f>
        <v>1.7542499999999999</v>
      </c>
      <c r="I88" s="155">
        <f t="shared" ref="I88" si="94">SUM(I84,I87)</f>
        <v>1.4969130434782607</v>
      </c>
      <c r="J88" s="157">
        <f t="shared" ref="J88" si="95">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O1" zoomScale="70" zoomScaleNormal="70" workbookViewId="0">
      <pane ySplit="4" topLeftCell="A71" activePane="bottomLeft" state="frozen"/>
      <selection pane="bottomLeft" activeCell="AJ55" sqref="AJ55"/>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8" t="s">
        <v>67</v>
      </c>
      <c r="B3" s="640" t="s">
        <v>226</v>
      </c>
      <c r="C3" s="641"/>
      <c r="D3" s="638" t="s">
        <v>64</v>
      </c>
      <c r="E3" s="651"/>
      <c r="F3" s="638" t="s">
        <v>65</v>
      </c>
      <c r="G3" s="651"/>
      <c r="H3" s="652" t="s">
        <v>66</v>
      </c>
      <c r="I3" s="651"/>
      <c r="K3" s="638" t="s">
        <v>67</v>
      </c>
      <c r="L3" s="644" t="s">
        <v>237</v>
      </c>
      <c r="M3" s="645"/>
      <c r="N3" s="638" t="s">
        <v>64</v>
      </c>
      <c r="O3" s="651"/>
      <c r="P3" s="638" t="s">
        <v>65</v>
      </c>
      <c r="Q3" s="651"/>
      <c r="R3" s="652" t="s">
        <v>66</v>
      </c>
      <c r="S3" s="651"/>
      <c r="U3" s="638" t="s">
        <v>67</v>
      </c>
      <c r="V3" s="644" t="s">
        <v>227</v>
      </c>
      <c r="W3" s="645"/>
      <c r="X3" s="638" t="s">
        <v>64</v>
      </c>
      <c r="Y3" s="651"/>
      <c r="Z3" s="638" t="s">
        <v>65</v>
      </c>
      <c r="AA3" s="651"/>
      <c r="AB3" s="652" t="s">
        <v>66</v>
      </c>
      <c r="AC3" s="651"/>
      <c r="AE3" s="638" t="s">
        <v>67</v>
      </c>
      <c r="AF3" s="644" t="s">
        <v>238</v>
      </c>
      <c r="AG3" s="645"/>
      <c r="AH3" s="638" t="s">
        <v>64</v>
      </c>
      <c r="AI3" s="651"/>
      <c r="AJ3" s="638" t="s">
        <v>65</v>
      </c>
      <c r="AK3" s="651"/>
      <c r="AL3" s="652" t="s">
        <v>66</v>
      </c>
      <c r="AM3" s="651"/>
    </row>
    <row r="4" spans="1:39" s="127" customFormat="1" ht="25.9" customHeight="1" thickBot="1" x14ac:dyDescent="0.25">
      <c r="A4" s="639"/>
      <c r="B4" s="642"/>
      <c r="C4" s="643"/>
      <c r="D4" s="265">
        <v>2030</v>
      </c>
      <c r="E4" s="266">
        <v>2040</v>
      </c>
      <c r="F4" s="265">
        <v>2030</v>
      </c>
      <c r="G4" s="266">
        <v>2040</v>
      </c>
      <c r="H4" s="267">
        <v>2030</v>
      </c>
      <c r="I4" s="266">
        <v>2040</v>
      </c>
      <c r="K4" s="639"/>
      <c r="L4" s="646"/>
      <c r="M4" s="647"/>
      <c r="N4" s="265">
        <v>2030</v>
      </c>
      <c r="O4" s="266">
        <v>2040</v>
      </c>
      <c r="P4" s="265">
        <v>2030</v>
      </c>
      <c r="Q4" s="266">
        <v>2040</v>
      </c>
      <c r="R4" s="267">
        <v>2030</v>
      </c>
      <c r="S4" s="266">
        <v>2040</v>
      </c>
      <c r="U4" s="639"/>
      <c r="V4" s="646"/>
      <c r="W4" s="647"/>
      <c r="X4" s="265">
        <v>2030</v>
      </c>
      <c r="Y4" s="266">
        <v>2040</v>
      </c>
      <c r="Z4" s="265">
        <v>2030</v>
      </c>
      <c r="AA4" s="266">
        <v>2040</v>
      </c>
      <c r="AB4" s="267">
        <v>2030</v>
      </c>
      <c r="AC4" s="266">
        <v>2040</v>
      </c>
      <c r="AE4" s="639"/>
      <c r="AF4" s="646"/>
      <c r="AG4" s="647"/>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48"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48" t="s">
        <v>0</v>
      </c>
      <c r="L6" s="135" t="s">
        <v>8</v>
      </c>
      <c r="M6" s="135" t="s">
        <v>209</v>
      </c>
      <c r="N6" s="202">
        <f>'Modell - Drivmedelpriser'!E24</f>
        <v>17.911754192557677</v>
      </c>
      <c r="O6" s="203">
        <f>'Modell - Drivmedelpriser'!F24</f>
        <v>21.293751803814949</v>
      </c>
      <c r="P6" s="202">
        <f>'Modell - Drivmedelpriser'!G24</f>
        <v>21.178999865301471</v>
      </c>
      <c r="Q6" s="203">
        <f>'Modell - Drivmedelpriser'!H24</f>
        <v>27.329509698551796</v>
      </c>
      <c r="R6" s="204">
        <f>'Modell - Drivmedelpriser'!I24</f>
        <v>36.63578430466432</v>
      </c>
      <c r="S6" s="203">
        <f>'Modell - Drivmedelpriser'!J24</f>
        <v>27.329509698551796</v>
      </c>
      <c r="U6" s="648"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36.63578430466432</v>
      </c>
      <c r="AC6" s="203">
        <f t="shared" ref="AC6:AC8" si="4">S6</f>
        <v>27.329509698551796</v>
      </c>
      <c r="AE6" s="648"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36.63578430466432</v>
      </c>
      <c r="AM6" s="203">
        <f t="shared" ref="AM6:AM8" si="9">AC6</f>
        <v>27.329509698551796</v>
      </c>
    </row>
    <row r="7" spans="1:39" x14ac:dyDescent="0.25">
      <c r="A7" s="649"/>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49"/>
      <c r="L7" s="136" t="s">
        <v>9</v>
      </c>
      <c r="M7" s="136" t="s">
        <v>209</v>
      </c>
      <c r="N7" s="205">
        <f>'Modell - Drivmedelpriser'!E43</f>
        <v>19.069168234099362</v>
      </c>
      <c r="O7" s="206">
        <f>'Modell - Drivmedelpriser'!F43</f>
        <v>22.557131724953557</v>
      </c>
      <c r="P7" s="205">
        <f>'Modell - Drivmedelpriser'!G43</f>
        <v>18.23319161125556</v>
      </c>
      <c r="Q7" s="206">
        <f>'Modell - Drivmedelpriser'!H43</f>
        <v>24.89327119863777</v>
      </c>
      <c r="R7" s="207">
        <f>'Modell - Drivmedelpriser'!I43</f>
        <v>30.812648337334288</v>
      </c>
      <c r="S7" s="206">
        <f>'Modell - Drivmedelpriser'!J43</f>
        <v>24.89327119863777</v>
      </c>
      <c r="U7" s="649"/>
      <c r="V7" s="136" t="s">
        <v>9</v>
      </c>
      <c r="W7" s="136" t="s">
        <v>209</v>
      </c>
      <c r="X7" s="205">
        <f t="shared" ref="X7:X8" si="10">N7</f>
        <v>19.069168234099362</v>
      </c>
      <c r="Y7" s="206">
        <f t="shared" si="0"/>
        <v>22.557131724953557</v>
      </c>
      <c r="Z7" s="205">
        <f t="shared" si="1"/>
        <v>18.23319161125556</v>
      </c>
      <c r="AA7" s="206">
        <f t="shared" si="2"/>
        <v>24.89327119863777</v>
      </c>
      <c r="AB7" s="207">
        <f t="shared" si="3"/>
        <v>30.812648337334288</v>
      </c>
      <c r="AC7" s="206">
        <f t="shared" si="4"/>
        <v>24.89327119863777</v>
      </c>
      <c r="AE7" s="649"/>
      <c r="AF7" s="136" t="s">
        <v>9</v>
      </c>
      <c r="AG7" s="136" t="s">
        <v>209</v>
      </c>
      <c r="AH7" s="205">
        <f t="shared" ref="AH7:AH8" si="11">X7</f>
        <v>19.069168234099362</v>
      </c>
      <c r="AI7" s="206">
        <f t="shared" si="5"/>
        <v>22.557131724953557</v>
      </c>
      <c r="AJ7" s="205">
        <f t="shared" si="6"/>
        <v>18.23319161125556</v>
      </c>
      <c r="AK7" s="206">
        <f t="shared" si="7"/>
        <v>24.89327119863777</v>
      </c>
      <c r="AL7" s="207">
        <f t="shared" si="8"/>
        <v>30.812648337334288</v>
      </c>
      <c r="AM7" s="206">
        <f t="shared" si="9"/>
        <v>24.89327119863777</v>
      </c>
    </row>
    <row r="8" spans="1:39" x14ac:dyDescent="0.25">
      <c r="A8" s="649"/>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49"/>
      <c r="L8" s="136" t="s">
        <v>7</v>
      </c>
      <c r="M8" s="136" t="s">
        <v>186</v>
      </c>
      <c r="N8" s="205">
        <f>'Modell - Drivmedelpriser'!E75</f>
        <v>3.4709076086956521</v>
      </c>
      <c r="O8" s="206">
        <f>'Modell - Drivmedelpriser'!F75</f>
        <v>4.1598749999999995</v>
      </c>
      <c r="P8" s="205">
        <f>'Modell - Drivmedelpriser'!G75</f>
        <v>3.4709076086956521</v>
      </c>
      <c r="Q8" s="206">
        <f>'Modell - Drivmedelpriser'!H75</f>
        <v>4.1598749999999995</v>
      </c>
      <c r="R8" s="207">
        <f>'Modell - Drivmedelpriser'!I75</f>
        <v>3.4709076086956521</v>
      </c>
      <c r="S8" s="206">
        <f>'Modell - Drivmedelpriser'!J75</f>
        <v>4.1598749999999995</v>
      </c>
      <c r="U8" s="649"/>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49"/>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49"/>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49"/>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33.626747038377438</v>
      </c>
      <c r="S9" s="309">
        <f t="shared" si="12"/>
        <v>26.181733806320725</v>
      </c>
      <c r="U9" s="649"/>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33.626747038377438</v>
      </c>
      <c r="AC9" s="199">
        <f t="shared" si="13"/>
        <v>26.181733806320722</v>
      </c>
      <c r="AE9" s="649"/>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33.626747038377438</v>
      </c>
      <c r="AM9" s="199">
        <f t="shared" si="14"/>
        <v>26.181733806320722</v>
      </c>
    </row>
    <row r="10" spans="1:39" ht="15.75" thickBot="1" x14ac:dyDescent="0.3">
      <c r="A10" s="650"/>
      <c r="B10" s="188" t="s">
        <v>234</v>
      </c>
      <c r="C10" s="188" t="s">
        <v>25</v>
      </c>
      <c r="D10" s="224" t="s">
        <v>78</v>
      </c>
      <c r="E10" s="225" t="s">
        <v>78</v>
      </c>
      <c r="F10" s="224" t="s">
        <v>78</v>
      </c>
      <c r="G10" s="225" t="s">
        <v>78</v>
      </c>
      <c r="H10" s="226" t="s">
        <v>78</v>
      </c>
      <c r="I10" s="225" t="s">
        <v>78</v>
      </c>
      <c r="K10" s="650"/>
      <c r="L10" s="188" t="s">
        <v>234</v>
      </c>
      <c r="M10" s="188" t="s">
        <v>25</v>
      </c>
      <c r="N10" s="224">
        <f t="shared" ref="N10:S10" si="15">N9/D9-1</f>
        <v>0</v>
      </c>
      <c r="O10" s="225">
        <f t="shared" si="15"/>
        <v>0</v>
      </c>
      <c r="P10" s="224">
        <f>P9/F9-1</f>
        <v>6.1964554567352836E-2</v>
      </c>
      <c r="Q10" s="225">
        <f t="shared" si="15"/>
        <v>0.1961157556599078</v>
      </c>
      <c r="R10" s="226">
        <f t="shared" si="15"/>
        <v>0.81669627244799514</v>
      </c>
      <c r="S10" s="225">
        <f t="shared" si="15"/>
        <v>0.1961157556599078</v>
      </c>
      <c r="U10" s="650"/>
      <c r="V10" s="188" t="s">
        <v>234</v>
      </c>
      <c r="W10" s="188" t="s">
        <v>25</v>
      </c>
      <c r="X10" s="224">
        <f>X9/D9-1</f>
        <v>0</v>
      </c>
      <c r="Y10" s="225">
        <f t="shared" ref="Y10:AC10" si="16">Y9/E9-1</f>
        <v>0</v>
      </c>
      <c r="Z10" s="224">
        <f t="shared" si="16"/>
        <v>6.1964554567352614E-2</v>
      </c>
      <c r="AA10" s="225">
        <f t="shared" si="16"/>
        <v>0.1961157556599078</v>
      </c>
      <c r="AB10" s="226">
        <f t="shared" si="16"/>
        <v>0.81669627244799514</v>
      </c>
      <c r="AC10" s="225">
        <f t="shared" si="16"/>
        <v>0.1961157556599078</v>
      </c>
      <c r="AE10" s="650"/>
      <c r="AF10" s="188" t="s">
        <v>234</v>
      </c>
      <c r="AG10" s="188" t="s">
        <v>25</v>
      </c>
      <c r="AH10" s="224">
        <f>AH9/D9-1</f>
        <v>0</v>
      </c>
      <c r="AI10" s="225">
        <f t="shared" ref="AI10:AM10" si="17">AI9/E9-1</f>
        <v>0</v>
      </c>
      <c r="AJ10" s="224">
        <f t="shared" si="17"/>
        <v>6.1964554567352614E-2</v>
      </c>
      <c r="AK10" s="225">
        <f t="shared" si="17"/>
        <v>0.1961157556599078</v>
      </c>
      <c r="AL10" s="226">
        <f t="shared" si="17"/>
        <v>0.81669627244799514</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48"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48"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0.61198192824324105</v>
      </c>
      <c r="S13" s="203">
        <f>I13*(100%+S$10*'Indata - Effektsamband-Faktorer'!$E$5)*(1-Indata!I$19)</f>
        <v>0.48737280657399518</v>
      </c>
      <c r="U13" s="648"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0.61198192824324105</v>
      </c>
      <c r="AC13" s="203">
        <f t="shared" ref="AC13:AC15" si="22">S13</f>
        <v>0.48737280657399518</v>
      </c>
      <c r="AE13" s="648"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0.61198192824324105</v>
      </c>
      <c r="AM13" s="203">
        <f t="shared" ref="AM13:AM15" si="27">AC13</f>
        <v>0.48737280657399518</v>
      </c>
    </row>
    <row r="14" spans="1:39" x14ac:dyDescent="0.25">
      <c r="A14" s="649"/>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49"/>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0.61123786684233894</v>
      </c>
      <c r="S14" s="206">
        <f>I14*(100%+S$10*'Indata - Effektsamband-Faktorer'!$E$5)*(1-Indata!I$19)</f>
        <v>0.4867802477475246</v>
      </c>
      <c r="U14" s="649"/>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0.61123786684233894</v>
      </c>
      <c r="AC14" s="206">
        <f t="shared" si="22"/>
        <v>0.4867802477475246</v>
      </c>
      <c r="AE14" s="649"/>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0.61123786684233894</v>
      </c>
      <c r="AM14" s="206">
        <f t="shared" si="27"/>
        <v>0.4867802477475246</v>
      </c>
    </row>
    <row r="15" spans="1:39" ht="15.75" thickBot="1" x14ac:dyDescent="0.3">
      <c r="A15" s="650"/>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50"/>
      <c r="L15" s="137" t="s">
        <v>7</v>
      </c>
      <c r="M15" s="137" t="s">
        <v>40</v>
      </c>
      <c r="N15" s="229">
        <f>D15*(1-Indata!D$19)</f>
        <v>1.6150000000000002</v>
      </c>
      <c r="O15" s="230">
        <f>E15*(1-Indata!E$19)</f>
        <v>1.6150000000000002</v>
      </c>
      <c r="P15" s="229">
        <f>F15*(1-Indata!F$19)</f>
        <v>1.6150000000000002</v>
      </c>
      <c r="Q15" s="231">
        <f>G15*(1-Indata!G$19)</f>
        <v>1.6150000000000002</v>
      </c>
      <c r="R15" s="232">
        <f>H15*(1-Indata!H$19)</f>
        <v>1.6957500000000003</v>
      </c>
      <c r="S15" s="231">
        <f>I15*(1-Indata!I$19)</f>
        <v>1.6150000000000002</v>
      </c>
      <c r="U15" s="650"/>
      <c r="V15" s="137" t="s">
        <v>7</v>
      </c>
      <c r="W15" s="137" t="s">
        <v>40</v>
      </c>
      <c r="X15" s="229">
        <f t="shared" si="28"/>
        <v>1.6150000000000002</v>
      </c>
      <c r="Y15" s="230">
        <f t="shared" si="18"/>
        <v>1.6150000000000002</v>
      </c>
      <c r="Z15" s="229">
        <f t="shared" si="19"/>
        <v>1.6150000000000002</v>
      </c>
      <c r="AA15" s="231">
        <f t="shared" si="20"/>
        <v>1.6150000000000002</v>
      </c>
      <c r="AB15" s="232">
        <f t="shared" si="21"/>
        <v>1.6957500000000003</v>
      </c>
      <c r="AC15" s="231">
        <f t="shared" si="22"/>
        <v>1.6150000000000002</v>
      </c>
      <c r="AE15" s="650"/>
      <c r="AF15" s="137" t="s">
        <v>7</v>
      </c>
      <c r="AG15" s="137" t="s">
        <v>40</v>
      </c>
      <c r="AH15" s="229">
        <f t="shared" si="29"/>
        <v>1.6150000000000002</v>
      </c>
      <c r="AI15" s="230">
        <f t="shared" si="23"/>
        <v>1.6150000000000002</v>
      </c>
      <c r="AJ15" s="229">
        <f t="shared" si="24"/>
        <v>1.6150000000000002</v>
      </c>
      <c r="AK15" s="231">
        <f t="shared" si="25"/>
        <v>1.6150000000000002</v>
      </c>
      <c r="AL15" s="232">
        <f t="shared" si="26"/>
        <v>1.6957500000000003</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5"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5"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0.3371693497730624</v>
      </c>
      <c r="S18" s="235">
        <f t="shared" si="30"/>
        <v>0.16802506584008586</v>
      </c>
      <c r="U18" s="635"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0.3371693497730624</v>
      </c>
      <c r="AC18" s="235">
        <f t="shared" ref="AC18:AC21" si="35">S18</f>
        <v>0.16802506584008586</v>
      </c>
      <c r="AE18" s="635"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0.3371693497730624</v>
      </c>
      <c r="AM18" s="235">
        <f t="shared" ref="AM18:AM21" si="40">AC18</f>
        <v>0.16802506584008586</v>
      </c>
    </row>
    <row r="19" spans="1:39" x14ac:dyDescent="0.25">
      <c r="A19" s="636"/>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6"/>
      <c r="L19" s="136" t="s">
        <v>9</v>
      </c>
      <c r="M19" s="136" t="s">
        <v>25</v>
      </c>
      <c r="N19" s="237">
        <f t="shared" si="30"/>
        <v>0.38238632749515761</v>
      </c>
      <c r="O19" s="238">
        <f t="shared" si="30"/>
        <v>0.1554716602867986</v>
      </c>
      <c r="P19" s="237">
        <f t="shared" si="30"/>
        <v>0.38072771960324575</v>
      </c>
      <c r="Q19" s="239">
        <f t="shared" si="30"/>
        <v>0.14967847628003786</v>
      </c>
      <c r="R19" s="240">
        <f t="shared" si="30"/>
        <v>0.36052578331413143</v>
      </c>
      <c r="S19" s="239">
        <f t="shared" si="30"/>
        <v>0.14967847628003786</v>
      </c>
      <c r="U19" s="636"/>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0.36052578331413143</v>
      </c>
      <c r="AC19" s="239">
        <f t="shared" si="35"/>
        <v>0.14967847628003786</v>
      </c>
      <c r="AE19" s="636"/>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0.36052578331413143</v>
      </c>
      <c r="AM19" s="239">
        <f t="shared" si="40"/>
        <v>0.14967847628003786</v>
      </c>
    </row>
    <row r="20" spans="1:39" x14ac:dyDescent="0.25">
      <c r="A20" s="636"/>
      <c r="B20" s="136" t="s">
        <v>7</v>
      </c>
      <c r="C20" s="136" t="s">
        <v>25</v>
      </c>
      <c r="D20" s="237">
        <f>Indata!D28</f>
        <v>0.26</v>
      </c>
      <c r="E20" s="238">
        <f>Indata!E28</f>
        <v>0.67</v>
      </c>
      <c r="F20" s="237">
        <f>Indata!F28</f>
        <v>0.26</v>
      </c>
      <c r="G20" s="239">
        <f>Indata!G28</f>
        <v>0.67</v>
      </c>
      <c r="H20" s="240">
        <f>Indata!H28</f>
        <v>0.26</v>
      </c>
      <c r="I20" s="239">
        <f>Indata!I28</f>
        <v>0.67</v>
      </c>
      <c r="K20" s="636"/>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0.30230486691280617</v>
      </c>
      <c r="S20" s="239">
        <f>I20+(1-I20)*'Indata - Effektsamband-Faktorer'!$E$4*S$10</f>
        <v>0.68229645787987625</v>
      </c>
      <c r="U20" s="636"/>
      <c r="V20" s="136" t="s">
        <v>7</v>
      </c>
      <c r="W20" s="136" t="s">
        <v>25</v>
      </c>
      <c r="X20" s="237">
        <f t="shared" si="41"/>
        <v>0.26</v>
      </c>
      <c r="Y20" s="238">
        <f t="shared" si="31"/>
        <v>0.67</v>
      </c>
      <c r="Z20" s="237">
        <f t="shared" si="32"/>
        <v>0.2632097639265889</v>
      </c>
      <c r="AA20" s="239">
        <f t="shared" si="33"/>
        <v>0.68229645787987625</v>
      </c>
      <c r="AB20" s="240">
        <f t="shared" si="34"/>
        <v>0.30230486691280617</v>
      </c>
      <c r="AC20" s="239">
        <f t="shared" si="35"/>
        <v>0.68229645787987625</v>
      </c>
      <c r="AE20" s="636"/>
      <c r="AF20" s="136" t="s">
        <v>7</v>
      </c>
      <c r="AG20" s="136" t="s">
        <v>25</v>
      </c>
      <c r="AH20" s="237">
        <f t="shared" si="42"/>
        <v>0.26</v>
      </c>
      <c r="AI20" s="238">
        <f t="shared" si="36"/>
        <v>0.67</v>
      </c>
      <c r="AJ20" s="237">
        <f t="shared" si="37"/>
        <v>0.2632097639265889</v>
      </c>
      <c r="AK20" s="239">
        <f t="shared" si="38"/>
        <v>0.68229645787987625</v>
      </c>
      <c r="AL20" s="240">
        <f t="shared" si="39"/>
        <v>0.30230486691280617</v>
      </c>
      <c r="AM20" s="239">
        <f t="shared" si="40"/>
        <v>0.68229645787987625</v>
      </c>
    </row>
    <row r="21" spans="1:39" s="303" customFormat="1" ht="15.75" thickBot="1" x14ac:dyDescent="0.3">
      <c r="A21" s="637"/>
      <c r="B21" s="189" t="s">
        <v>16</v>
      </c>
      <c r="C21" s="189" t="s">
        <v>25</v>
      </c>
      <c r="D21" s="213">
        <f t="shared" ref="D21:I21" si="43">SUM(D18:D20)</f>
        <v>1</v>
      </c>
      <c r="E21" s="214">
        <f t="shared" si="43"/>
        <v>1</v>
      </c>
      <c r="F21" s="213">
        <f>SUM(F18:F20)</f>
        <v>1</v>
      </c>
      <c r="G21" s="215">
        <f t="shared" si="43"/>
        <v>1</v>
      </c>
      <c r="H21" s="216">
        <f t="shared" si="43"/>
        <v>1</v>
      </c>
      <c r="I21" s="215">
        <f t="shared" si="43"/>
        <v>1</v>
      </c>
      <c r="K21" s="637"/>
      <c r="L21" s="189" t="s">
        <v>16</v>
      </c>
      <c r="M21" s="189" t="s">
        <v>25</v>
      </c>
      <c r="N21" s="213">
        <f>SUM(N18:N20)</f>
        <v>1</v>
      </c>
      <c r="O21" s="214">
        <f t="shared" ref="O21:S21" si="44">SUM(O18:O20)</f>
        <v>1</v>
      </c>
      <c r="P21" s="213">
        <f t="shared" si="44"/>
        <v>1</v>
      </c>
      <c r="Q21" s="215">
        <f t="shared" si="44"/>
        <v>1</v>
      </c>
      <c r="R21" s="216">
        <f t="shared" si="44"/>
        <v>1</v>
      </c>
      <c r="S21" s="215">
        <f t="shared" si="44"/>
        <v>1</v>
      </c>
      <c r="U21" s="637"/>
      <c r="V21" s="189" t="s">
        <v>16</v>
      </c>
      <c r="W21" s="189" t="s">
        <v>25</v>
      </c>
      <c r="X21" s="213">
        <f t="shared" si="41"/>
        <v>1</v>
      </c>
      <c r="Y21" s="214">
        <f t="shared" si="31"/>
        <v>1</v>
      </c>
      <c r="Z21" s="213">
        <f t="shared" si="32"/>
        <v>1</v>
      </c>
      <c r="AA21" s="215">
        <f t="shared" si="33"/>
        <v>1</v>
      </c>
      <c r="AB21" s="216">
        <f t="shared" si="34"/>
        <v>1</v>
      </c>
      <c r="AC21" s="215">
        <f t="shared" si="35"/>
        <v>1</v>
      </c>
      <c r="AE21" s="637"/>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48" t="s">
        <v>21</v>
      </c>
      <c r="B24" s="135" t="s">
        <v>8</v>
      </c>
      <c r="C24" s="135" t="s">
        <v>74</v>
      </c>
      <c r="D24" s="202">
        <f>Indata!D$15*10</f>
        <v>0</v>
      </c>
      <c r="E24" s="227">
        <f>Indata!E$15*10</f>
        <v>0</v>
      </c>
      <c r="F24" s="202">
        <f>Indata!F$15*10</f>
        <v>35.597506644260328</v>
      </c>
      <c r="G24" s="203">
        <f>Indata!G$15*10</f>
        <v>0</v>
      </c>
      <c r="H24" s="204">
        <f>Indata!H$15*10</f>
        <v>5</v>
      </c>
      <c r="I24" s="203">
        <f>Indata!I$15*10</f>
        <v>0</v>
      </c>
      <c r="K24" s="648" t="s">
        <v>21</v>
      </c>
      <c r="L24" s="135" t="s">
        <v>8</v>
      </c>
      <c r="M24" s="135" t="s">
        <v>74</v>
      </c>
      <c r="N24" s="202">
        <f>D24</f>
        <v>0</v>
      </c>
      <c r="O24" s="227">
        <f t="shared" ref="O24:S24" si="45">E24</f>
        <v>0</v>
      </c>
      <c r="P24" s="202">
        <f t="shared" si="45"/>
        <v>35.597506644260328</v>
      </c>
      <c r="Q24" s="203">
        <f t="shared" si="45"/>
        <v>0</v>
      </c>
      <c r="R24" s="204">
        <f t="shared" si="45"/>
        <v>5</v>
      </c>
      <c r="S24" s="203">
        <f t="shared" si="45"/>
        <v>0</v>
      </c>
      <c r="U24" s="648"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5</v>
      </c>
      <c r="AC24" s="203">
        <f t="shared" ref="AC24:AC26" si="50">S24</f>
        <v>0</v>
      </c>
      <c r="AE24" s="648"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5</v>
      </c>
      <c r="AM24" s="203">
        <f t="shared" ref="AM24:AM26" si="55">AC24</f>
        <v>0</v>
      </c>
    </row>
    <row r="25" spans="1:39" x14ac:dyDescent="0.25">
      <c r="A25" s="649"/>
      <c r="B25" s="136" t="s">
        <v>9</v>
      </c>
      <c r="C25" s="136" t="s">
        <v>74</v>
      </c>
      <c r="D25" s="205">
        <f>Indata!D$15*10</f>
        <v>0</v>
      </c>
      <c r="E25" s="228">
        <f>Indata!E$15*10</f>
        <v>0</v>
      </c>
      <c r="F25" s="205">
        <f>Indata!F$15*10</f>
        <v>35.597506644260328</v>
      </c>
      <c r="G25" s="206">
        <f>Indata!G$15*10</f>
        <v>0</v>
      </c>
      <c r="H25" s="207">
        <f>Indata!H$15*10</f>
        <v>5</v>
      </c>
      <c r="I25" s="206">
        <f>Indata!I$15*10</f>
        <v>0</v>
      </c>
      <c r="K25" s="649"/>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5</v>
      </c>
      <c r="S25" s="206">
        <f t="shared" ref="S25:S26" si="61">I25</f>
        <v>0</v>
      </c>
      <c r="U25" s="649"/>
      <c r="V25" s="136" t="s">
        <v>9</v>
      </c>
      <c r="W25" s="136" t="s">
        <v>74</v>
      </c>
      <c r="X25" s="205">
        <f t="shared" ref="X25:X26" si="62">N25</f>
        <v>0</v>
      </c>
      <c r="Y25" s="228">
        <f t="shared" si="46"/>
        <v>0</v>
      </c>
      <c r="Z25" s="205">
        <f t="shared" si="47"/>
        <v>35.597506644260328</v>
      </c>
      <c r="AA25" s="206">
        <f t="shared" si="48"/>
        <v>0</v>
      </c>
      <c r="AB25" s="207">
        <f t="shared" si="49"/>
        <v>5</v>
      </c>
      <c r="AC25" s="206">
        <f t="shared" si="50"/>
        <v>0</v>
      </c>
      <c r="AE25" s="649"/>
      <c r="AF25" s="136" t="s">
        <v>9</v>
      </c>
      <c r="AG25" s="136" t="s">
        <v>74</v>
      </c>
      <c r="AH25" s="205">
        <f t="shared" ref="AH25:AH26" si="63">X25</f>
        <v>0</v>
      </c>
      <c r="AI25" s="228">
        <f t="shared" si="51"/>
        <v>0</v>
      </c>
      <c r="AJ25" s="205">
        <f t="shared" si="52"/>
        <v>35.597506644260328</v>
      </c>
      <c r="AK25" s="206">
        <f t="shared" si="53"/>
        <v>0</v>
      </c>
      <c r="AL25" s="207">
        <f t="shared" si="54"/>
        <v>5</v>
      </c>
      <c r="AM25" s="206">
        <f t="shared" si="55"/>
        <v>0</v>
      </c>
    </row>
    <row r="26" spans="1:39" ht="15.75" thickBot="1" x14ac:dyDescent="0.3">
      <c r="A26" s="650"/>
      <c r="B26" s="137" t="s">
        <v>7</v>
      </c>
      <c r="C26" s="137" t="s">
        <v>74</v>
      </c>
      <c r="D26" s="229">
        <f>Indata!D$15*10</f>
        <v>0</v>
      </c>
      <c r="E26" s="230">
        <f>Indata!E$15*10</f>
        <v>0</v>
      </c>
      <c r="F26" s="229">
        <f>Indata!F$15*10</f>
        <v>35.597506644260328</v>
      </c>
      <c r="G26" s="231">
        <f>Indata!G$15*10</f>
        <v>0</v>
      </c>
      <c r="H26" s="232">
        <f>Indata!H$15*10</f>
        <v>5</v>
      </c>
      <c r="I26" s="231">
        <f>Indata!I$15*10</f>
        <v>0</v>
      </c>
      <c r="K26" s="650"/>
      <c r="L26" s="137" t="s">
        <v>7</v>
      </c>
      <c r="M26" s="137" t="s">
        <v>74</v>
      </c>
      <c r="N26" s="229">
        <f t="shared" si="56"/>
        <v>0</v>
      </c>
      <c r="O26" s="230">
        <f t="shared" si="57"/>
        <v>0</v>
      </c>
      <c r="P26" s="229">
        <f t="shared" si="58"/>
        <v>35.597506644260328</v>
      </c>
      <c r="Q26" s="231">
        <f t="shared" si="59"/>
        <v>0</v>
      </c>
      <c r="R26" s="232">
        <f t="shared" si="60"/>
        <v>5</v>
      </c>
      <c r="S26" s="231">
        <f t="shared" si="61"/>
        <v>0</v>
      </c>
      <c r="U26" s="650"/>
      <c r="V26" s="137" t="s">
        <v>7</v>
      </c>
      <c r="W26" s="137" t="s">
        <v>74</v>
      </c>
      <c r="X26" s="229">
        <f t="shared" si="62"/>
        <v>0</v>
      </c>
      <c r="Y26" s="230">
        <f t="shared" si="46"/>
        <v>0</v>
      </c>
      <c r="Z26" s="229">
        <f t="shared" si="47"/>
        <v>35.597506644260328</v>
      </c>
      <c r="AA26" s="231">
        <f t="shared" si="48"/>
        <v>0</v>
      </c>
      <c r="AB26" s="232">
        <f t="shared" si="49"/>
        <v>5</v>
      </c>
      <c r="AC26" s="231">
        <f t="shared" si="50"/>
        <v>0</v>
      </c>
      <c r="AE26" s="650"/>
      <c r="AF26" s="137" t="s">
        <v>7</v>
      </c>
      <c r="AG26" s="137" t="s">
        <v>74</v>
      </c>
      <c r="AH26" s="229">
        <f t="shared" si="63"/>
        <v>0</v>
      </c>
      <c r="AI26" s="230">
        <f t="shared" si="51"/>
        <v>0</v>
      </c>
      <c r="AJ26" s="229">
        <f t="shared" si="52"/>
        <v>35.597506644260328</v>
      </c>
      <c r="AK26" s="231">
        <f t="shared" si="53"/>
        <v>0</v>
      </c>
      <c r="AL26" s="232">
        <f t="shared" si="54"/>
        <v>5</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48"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48"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48"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48"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49"/>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49"/>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49"/>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49"/>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50"/>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50"/>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50"/>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50"/>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5"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5"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29.756593872326349</v>
      </c>
      <c r="S34" s="246">
        <f t="shared" si="83"/>
        <v>16.846723941076657</v>
      </c>
      <c r="U34" s="635"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25.430287352263186</v>
      </c>
      <c r="AC34" s="246">
        <f>S34*(1+S$50)*(1+S$44*'Indata - Effektsamband-Faktorer'!$E$8)</f>
        <v>17.107176973052372</v>
      </c>
      <c r="AE34" s="635"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30.007739075670557</v>
      </c>
      <c r="AM34" s="246">
        <f>AC34*(1-Indata!I$21)</f>
        <v>17.107176973052372</v>
      </c>
    </row>
    <row r="35" spans="1:39" x14ac:dyDescent="0.25">
      <c r="A35" s="636"/>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6"/>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31.817896027030976</v>
      </c>
      <c r="S35" s="249">
        <f t="shared" si="84"/>
        <v>15.007236909585012</v>
      </c>
      <c r="U35" s="636"/>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27.191897109713555</v>
      </c>
      <c r="AC35" s="249">
        <f>S35*(1+S$50)*(1+S$44*'Indata - Effektsamband-Faktorer'!$E$8)</f>
        <v>15.23925117944248</v>
      </c>
      <c r="AE35" s="636"/>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32.086438589461991</v>
      </c>
      <c r="AM35" s="249">
        <f>AC35*(1-Indata!I$21)</f>
        <v>15.23925117944248</v>
      </c>
    </row>
    <row r="36" spans="1:39" x14ac:dyDescent="0.25">
      <c r="A36" s="636"/>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6"/>
      <c r="L36" s="136" t="s">
        <v>7</v>
      </c>
      <c r="M36" s="136" t="s">
        <v>36</v>
      </c>
      <c r="N36" s="248">
        <f>N20*N$37</f>
        <v>22.946078616019452</v>
      </c>
      <c r="O36" s="249">
        <f t="shared" si="84"/>
        <v>67.176316724457081</v>
      </c>
      <c r="P36" s="248">
        <f t="shared" si="84"/>
        <v>23.229353598320884</v>
      </c>
      <c r="Q36" s="249">
        <f t="shared" si="84"/>
        <v>68.409198439572762</v>
      </c>
      <c r="R36" s="250">
        <f t="shared" si="84"/>
        <v>26.679658623794417</v>
      </c>
      <c r="S36" s="249">
        <f t="shared" si="84"/>
        <v>68.409198439572762</v>
      </c>
      <c r="U36" s="636"/>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22.800707237341346</v>
      </c>
      <c r="AC36" s="249">
        <f>S36*(1+S$50)*(1+S$44*'Indata - Effektsamband-Faktorer'!$E$8)</f>
        <v>69.466815529455232</v>
      </c>
      <c r="AE36" s="636"/>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26.904834540062787</v>
      </c>
      <c r="AM36" s="249">
        <f>AC36*(1-Indata!I$21)</f>
        <v>69.466815529455232</v>
      </c>
    </row>
    <row r="37" spans="1:39" ht="15.75" thickBot="1" x14ac:dyDescent="0.3">
      <c r="A37" s="637"/>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7"/>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7"/>
      <c r="V37" s="189" t="s">
        <v>16</v>
      </c>
      <c r="W37" s="189" t="s">
        <v>36</v>
      </c>
      <c r="X37" s="221">
        <f>SUM(X34:X36)</f>
        <v>88.254148523151741</v>
      </c>
      <c r="Y37" s="222">
        <f>SUM(Y34:Y36)</f>
        <v>100.26315929023444</v>
      </c>
      <c r="Z37" s="221">
        <f>SUM(Z34:Z36)</f>
        <v>48.490679903538734</v>
      </c>
      <c r="AA37" s="222">
        <f>SUM(AA34:AA36)</f>
        <v>101.81324368195008</v>
      </c>
      <c r="AB37" s="223">
        <f>SUM(AB34:AB36)</f>
        <v>75.422891699318086</v>
      </c>
      <c r="AC37" s="222">
        <f t="shared" ref="AC37" si="86">SUM(AC34:AC36)</f>
        <v>101.81324368195008</v>
      </c>
      <c r="AE37" s="637"/>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88.999012205195328</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48"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25.894137307914438</v>
      </c>
      <c r="I40" s="203">
        <f t="shared" si="90"/>
        <v>20.490767763608162</v>
      </c>
      <c r="K40" s="648"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37.430437921471935</v>
      </c>
      <c r="S40" s="203">
        <f t="shared" si="91"/>
        <v>23.329659844074406</v>
      </c>
      <c r="U40" s="648"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37.430437921471935</v>
      </c>
      <c r="AC40" s="203">
        <f t="shared" ref="AC40:AC42" si="96">S40</f>
        <v>23.329659844074406</v>
      </c>
      <c r="AE40" s="648"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37.430437921471935</v>
      </c>
      <c r="AM40" s="203">
        <f t="shared" ref="AM40:AM42" si="100">AC40</f>
        <v>23.329659844074406</v>
      </c>
    </row>
    <row r="41" spans="1:39" x14ac:dyDescent="0.25">
      <c r="A41" s="649"/>
      <c r="B41" s="136" t="s">
        <v>9</v>
      </c>
      <c r="C41" s="136" t="s">
        <v>74</v>
      </c>
      <c r="D41" s="205">
        <f t="shared" si="90"/>
        <v>21.583355544123954</v>
      </c>
      <c r="E41" s="206">
        <f t="shared" si="90"/>
        <v>21.099103565816492</v>
      </c>
      <c r="F41" s="205">
        <f t="shared" si="90"/>
        <v>57.180862188384282</v>
      </c>
      <c r="G41" s="206">
        <f t="shared" si="90"/>
        <v>21.099103565816492</v>
      </c>
      <c r="H41" s="207">
        <f t="shared" si="90"/>
        <v>26.583355544123954</v>
      </c>
      <c r="I41" s="206">
        <f t="shared" si="90"/>
        <v>21.099103565816492</v>
      </c>
      <c r="K41" s="649"/>
      <c r="L41" s="136" t="s">
        <v>9</v>
      </c>
      <c r="M41" s="136" t="s">
        <v>74</v>
      </c>
      <c r="N41" s="205">
        <f t="shared" si="91"/>
        <v>21.583355544123954</v>
      </c>
      <c r="O41" s="206">
        <f t="shared" si="91"/>
        <v>21.099103565816492</v>
      </c>
      <c r="P41" s="205">
        <f t="shared" si="91"/>
        <v>56.639210863000059</v>
      </c>
      <c r="Q41" s="206">
        <f t="shared" si="91"/>
        <v>22.127552721319212</v>
      </c>
      <c r="R41" s="207">
        <f t="shared" si="91"/>
        <v>33.84385744147535</v>
      </c>
      <c r="S41" s="206">
        <f t="shared" si="91"/>
        <v>22.127552721319212</v>
      </c>
      <c r="U41" s="649"/>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33.84385744147535</v>
      </c>
      <c r="AC41" s="206">
        <f t="shared" si="96"/>
        <v>22.127552721319212</v>
      </c>
      <c r="AE41" s="649"/>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33.84385744147535</v>
      </c>
      <c r="AM41" s="206">
        <f t="shared" si="100"/>
        <v>22.127552721319212</v>
      </c>
    </row>
    <row r="42" spans="1:39" x14ac:dyDescent="0.25">
      <c r="A42" s="649"/>
      <c r="B42" s="136" t="s">
        <v>7</v>
      </c>
      <c r="C42" s="136" t="s">
        <v>74</v>
      </c>
      <c r="D42" s="205">
        <f t="shared" si="90"/>
        <v>15.615515788043478</v>
      </c>
      <c r="E42" s="206">
        <f t="shared" si="90"/>
        <v>16.728198124999999</v>
      </c>
      <c r="F42" s="205">
        <f t="shared" si="90"/>
        <v>51.213022432303802</v>
      </c>
      <c r="G42" s="206">
        <f t="shared" si="90"/>
        <v>16.728198124999999</v>
      </c>
      <c r="H42" s="207">
        <f t="shared" si="90"/>
        <v>20.615515788043478</v>
      </c>
      <c r="I42" s="206">
        <f t="shared" si="90"/>
        <v>16.728198124999999</v>
      </c>
      <c r="K42" s="649"/>
      <c r="L42" s="136" t="s">
        <v>7</v>
      </c>
      <c r="M42" s="136" t="s">
        <v>74</v>
      </c>
      <c r="N42" s="205">
        <f t="shared" si="91"/>
        <v>15.615515788043478</v>
      </c>
      <c r="O42" s="206">
        <f t="shared" si="91"/>
        <v>16.728198124999999</v>
      </c>
      <c r="P42" s="205">
        <f t="shared" si="91"/>
        <v>51.213022432303802</v>
      </c>
      <c r="Q42" s="206">
        <f>Q8*Q15+Q26+Q31</f>
        <v>16.728198124999999</v>
      </c>
      <c r="R42" s="207">
        <f t="shared" si="91"/>
        <v>20.89579157744565</v>
      </c>
      <c r="S42" s="206">
        <f t="shared" si="91"/>
        <v>16.728198124999999</v>
      </c>
      <c r="U42" s="649"/>
      <c r="V42" s="136" t="s">
        <v>7</v>
      </c>
      <c r="W42" s="136" t="s">
        <v>74</v>
      </c>
      <c r="X42" s="205">
        <f t="shared" si="101"/>
        <v>15.615515788043478</v>
      </c>
      <c r="Y42" s="206">
        <f t="shared" si="92"/>
        <v>16.728198124999999</v>
      </c>
      <c r="Z42" s="205">
        <f t="shared" si="93"/>
        <v>51.213022432303802</v>
      </c>
      <c r="AA42" s="206">
        <f t="shared" si="94"/>
        <v>16.728198124999999</v>
      </c>
      <c r="AB42" s="207">
        <f t="shared" si="95"/>
        <v>20.89579157744565</v>
      </c>
      <c r="AC42" s="206">
        <f t="shared" si="96"/>
        <v>16.728198124999999</v>
      </c>
      <c r="AE42" s="649"/>
      <c r="AF42" s="136" t="s">
        <v>7</v>
      </c>
      <c r="AG42" s="136" t="s">
        <v>74</v>
      </c>
      <c r="AH42" s="205">
        <f>X42</f>
        <v>15.615515788043478</v>
      </c>
      <c r="AI42" s="206">
        <f t="shared" si="97"/>
        <v>16.728198124999999</v>
      </c>
      <c r="AJ42" s="205">
        <f t="shared" si="103"/>
        <v>51.213022432303802</v>
      </c>
      <c r="AK42" s="206">
        <f>AA42</f>
        <v>16.728198124999999</v>
      </c>
      <c r="AL42" s="207">
        <f t="shared" si="99"/>
        <v>20.89579157744565</v>
      </c>
      <c r="AM42" s="206">
        <f t="shared" si="100"/>
        <v>16.728198124999999</v>
      </c>
    </row>
    <row r="43" spans="1:39" x14ac:dyDescent="0.25">
      <c r="A43" s="649"/>
      <c r="B43" s="187" t="s">
        <v>76</v>
      </c>
      <c r="C43" s="187" t="s">
        <v>74</v>
      </c>
      <c r="D43" s="308">
        <v>20.74</v>
      </c>
      <c r="E43" s="309">
        <v>19.655019213344737</v>
      </c>
      <c r="F43" s="198">
        <f>SUMPRODUCT(F40:F42,F34:F36)/F37</f>
        <v>55.382749987195155</v>
      </c>
      <c r="G43" s="199">
        <f t="shared" ref="G43:I43" si="104">SUMPRODUCT(G40:G42,G34:G36)/G37</f>
        <v>18.064425082921922</v>
      </c>
      <c r="H43" s="200">
        <f t="shared" si="104"/>
        <v>24.785243342934834</v>
      </c>
      <c r="I43" s="199">
        <f t="shared" si="104"/>
        <v>18.064425082921922</v>
      </c>
      <c r="K43" s="649"/>
      <c r="L43" s="187" t="s">
        <v>76</v>
      </c>
      <c r="M43" s="187" t="s">
        <v>74</v>
      </c>
      <c r="N43" s="308">
        <f>D43</f>
        <v>20.74</v>
      </c>
      <c r="O43" s="309">
        <f>E43</f>
        <v>19.655019213344737</v>
      </c>
      <c r="P43" s="198">
        <f>SUMPRODUCT(P40:P42,P34:P36)/P37</f>
        <v>55.851154597105072</v>
      </c>
      <c r="Q43" s="199">
        <f>SUMPRODUCT(Q40:Q42,Q34:Q36)/Q37</f>
        <v>18.645576333860959</v>
      </c>
      <c r="R43" s="200">
        <f>SUMPRODUCT(R40:R42,R34:R36)/R37</f>
        <v>31.138879122020807</v>
      </c>
      <c r="S43" s="199">
        <f t="shared" ref="S43" si="105">SUMPRODUCT(S40:S42,S34:S36)/S37</f>
        <v>18.645576333860959</v>
      </c>
      <c r="U43" s="649"/>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31.138879122020814</v>
      </c>
      <c r="AC43" s="199">
        <f t="shared" si="106"/>
        <v>18.645576333860962</v>
      </c>
      <c r="AE43" s="649"/>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31.138879122020811</v>
      </c>
      <c r="AM43" s="199">
        <f>SUMPRODUCT(AM40:AM42,AM34:AM36)/AM37</f>
        <v>18.645576333860962</v>
      </c>
    </row>
    <row r="44" spans="1:39" ht="15.75" thickBot="1" x14ac:dyDescent="0.3">
      <c r="A44" s="650"/>
      <c r="B44" s="188" t="s">
        <v>234</v>
      </c>
      <c r="C44" s="188" t="s">
        <v>25</v>
      </c>
      <c r="D44" s="224" t="s">
        <v>78</v>
      </c>
      <c r="E44" s="225" t="s">
        <v>78</v>
      </c>
      <c r="F44" s="224" t="s">
        <v>78</v>
      </c>
      <c r="G44" s="225" t="s">
        <v>78</v>
      </c>
      <c r="H44" s="226" t="s">
        <v>78</v>
      </c>
      <c r="I44" s="225" t="s">
        <v>78</v>
      </c>
      <c r="K44" s="650"/>
      <c r="L44" s="188" t="s">
        <v>234</v>
      </c>
      <c r="M44" s="188" t="s">
        <v>25</v>
      </c>
      <c r="N44" s="224">
        <f>N43/D43-1</f>
        <v>0</v>
      </c>
      <c r="O44" s="225">
        <f>O43/E43-1</f>
        <v>0</v>
      </c>
      <c r="P44" s="224">
        <f>P43/D43-1</f>
        <v>1.6929197009211707</v>
      </c>
      <c r="Q44" s="225">
        <f>Q43/E43-1</f>
        <v>-5.1358020489668088E-2</v>
      </c>
      <c r="R44" s="226">
        <f>R43/D43-1</f>
        <v>0.50139243597014516</v>
      </c>
      <c r="S44" s="225">
        <f>S43/E43-1</f>
        <v>-5.1358020489668088E-2</v>
      </c>
      <c r="U44" s="650"/>
      <c r="V44" s="188" t="s">
        <v>234</v>
      </c>
      <c r="W44" s="188" t="s">
        <v>25</v>
      </c>
      <c r="X44" s="224">
        <f>X43/D43-1</f>
        <v>0</v>
      </c>
      <c r="Y44" s="225">
        <f>Y43/E43-1</f>
        <v>0</v>
      </c>
      <c r="Z44" s="224">
        <f>Z43/D43-1</f>
        <v>1.6929197009211712</v>
      </c>
      <c r="AA44" s="225">
        <f>AA43/E43-1</f>
        <v>-5.1358020489667866E-2</v>
      </c>
      <c r="AB44" s="226">
        <f>AB43/D43-1</f>
        <v>0.50139243597014538</v>
      </c>
      <c r="AC44" s="225">
        <f>AC43/E43-1</f>
        <v>-5.1358020489667866E-2</v>
      </c>
      <c r="AE44" s="650"/>
      <c r="AF44" s="188" t="s">
        <v>234</v>
      </c>
      <c r="AG44" s="188" t="s">
        <v>25</v>
      </c>
      <c r="AH44" s="224">
        <f>AH43/D43-1</f>
        <v>0</v>
      </c>
      <c r="AI44" s="225">
        <f>AI43/E43-1</f>
        <v>0</v>
      </c>
      <c r="AJ44" s="224">
        <f>AJ43/D43-1</f>
        <v>1.6929197009211712</v>
      </c>
      <c r="AK44" s="225">
        <f>AK43/E43-1</f>
        <v>-5.1358020489667866E-2</v>
      </c>
      <c r="AL44" s="226">
        <f>AL43/D43-1</f>
        <v>0.50139243597014538</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48"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48"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48"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48"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49"/>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49"/>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0.50274896826333704</v>
      </c>
      <c r="S48" s="260">
        <f>(1+'Indata - Effektsamband-Faktorer'!$E$7*S44)*'Modell - Lätta fordon'!I48</f>
        <v>0.53200533240081493</v>
      </c>
      <c r="U48" s="649"/>
      <c r="V48" s="136" t="s">
        <v>29</v>
      </c>
      <c r="W48" s="191" t="s">
        <v>30</v>
      </c>
      <c r="X48" s="258">
        <f>N48</f>
        <v>0.52928701904391762</v>
      </c>
      <c r="Y48" s="259">
        <f t="shared" si="108"/>
        <v>0.52928701904391762</v>
      </c>
      <c r="Z48" s="258">
        <f t="shared" si="109"/>
        <v>0.43968297684578894</v>
      </c>
      <c r="AA48" s="260">
        <f t="shared" si="110"/>
        <v>0.53200533240081493</v>
      </c>
      <c r="AB48" s="261">
        <f t="shared" si="111"/>
        <v>0.50274896826333704</v>
      </c>
      <c r="AC48" s="260">
        <f t="shared" si="112"/>
        <v>0.53200533240081493</v>
      </c>
      <c r="AE48" s="649"/>
      <c r="AF48" s="136" t="s">
        <v>29</v>
      </c>
      <c r="AG48" s="191" t="s">
        <v>30</v>
      </c>
      <c r="AH48" s="258">
        <f>X48</f>
        <v>0.52928701904391762</v>
      </c>
      <c r="AI48" s="259">
        <f t="shared" si="113"/>
        <v>0.52928701904391762</v>
      </c>
      <c r="AJ48" s="258">
        <f t="shared" si="114"/>
        <v>0.43968297684578894</v>
      </c>
      <c r="AK48" s="260">
        <f t="shared" si="115"/>
        <v>0.53200533240081493</v>
      </c>
      <c r="AL48" s="261">
        <f t="shared" si="116"/>
        <v>0.50274896826333704</v>
      </c>
      <c r="AM48" s="260">
        <f t="shared" si="117"/>
        <v>0.53200533240081493</v>
      </c>
    </row>
    <row r="49" spans="1:39" x14ac:dyDescent="0.25">
      <c r="A49" s="649"/>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49"/>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5559247.2663655011</v>
      </c>
      <c r="S49" s="263">
        <f t="shared" ref="S49" si="121">S47*S48</f>
        <v>6197170.5155373728</v>
      </c>
      <c r="U49" s="649"/>
      <c r="V49" s="136" t="s">
        <v>34</v>
      </c>
      <c r="W49" s="191" t="s">
        <v>35</v>
      </c>
      <c r="X49" s="262">
        <f>N49</f>
        <v>5852697.0704819271</v>
      </c>
      <c r="Y49" s="263">
        <f t="shared" si="108"/>
        <v>6165505.6987368828</v>
      </c>
      <c r="Z49" s="262">
        <f t="shared" si="109"/>
        <v>4861882.4530676799</v>
      </c>
      <c r="AA49" s="263">
        <f t="shared" si="110"/>
        <v>6197170.5155373728</v>
      </c>
      <c r="AB49" s="264">
        <f t="shared" si="111"/>
        <v>5559247.2663655011</v>
      </c>
      <c r="AC49" s="263">
        <f t="shared" si="112"/>
        <v>6197170.5155373728</v>
      </c>
      <c r="AE49" s="649"/>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5559247.2663655011</v>
      </c>
      <c r="AM49" s="263">
        <f t="shared" si="117"/>
        <v>6197170.5155373728</v>
      </c>
    </row>
    <row r="50" spans="1:39" ht="15.75" thickBot="1" x14ac:dyDescent="0.3">
      <c r="A50" s="650"/>
      <c r="B50" s="188" t="s">
        <v>234</v>
      </c>
      <c r="C50" s="192" t="s">
        <v>25</v>
      </c>
      <c r="D50" s="224" t="s">
        <v>78</v>
      </c>
      <c r="E50" s="225" t="s">
        <v>78</v>
      </c>
      <c r="F50" s="224" t="s">
        <v>78</v>
      </c>
      <c r="G50" s="225" t="s">
        <v>78</v>
      </c>
      <c r="H50" s="226" t="s">
        <v>78</v>
      </c>
      <c r="I50" s="225" t="s">
        <v>78</v>
      </c>
      <c r="K50" s="650"/>
      <c r="L50" s="188" t="s">
        <v>234</v>
      </c>
      <c r="M50" s="192" t="s">
        <v>25</v>
      </c>
      <c r="N50" s="224">
        <f t="shared" ref="N50:O50" si="123">N49/D49-1</f>
        <v>0</v>
      </c>
      <c r="O50" s="225">
        <f t="shared" si="123"/>
        <v>0</v>
      </c>
      <c r="P50" s="421">
        <f>P49/D49-1</f>
        <v>-0.16929197009211705</v>
      </c>
      <c r="Q50" s="225">
        <f>Q49/E49-1</f>
        <v>5.1358020489669087E-3</v>
      </c>
      <c r="R50" s="226">
        <f>R49/D49-1</f>
        <v>-5.0139243597014382E-2</v>
      </c>
      <c r="S50" s="225">
        <f>S49/E49-1</f>
        <v>5.1358020489669087E-3</v>
      </c>
      <c r="U50" s="650"/>
      <c r="V50" s="188" t="s">
        <v>234</v>
      </c>
      <c r="W50" s="192" t="s">
        <v>25</v>
      </c>
      <c r="X50" s="224">
        <f>X49/D49-1</f>
        <v>0</v>
      </c>
      <c r="Y50" s="225">
        <f t="shared" ref="Y50" si="124">Y49/E49-1</f>
        <v>0</v>
      </c>
      <c r="Z50" s="224">
        <f>Z49/D49-1</f>
        <v>-0.16929197009211705</v>
      </c>
      <c r="AA50" s="225">
        <f>AA49/E49-1</f>
        <v>5.1358020489669087E-3</v>
      </c>
      <c r="AB50" s="226">
        <f>AB49/D49-1</f>
        <v>-5.0139243597014382E-2</v>
      </c>
      <c r="AC50" s="225">
        <f>AC49/E49-1</f>
        <v>5.1358020489669087E-3</v>
      </c>
      <c r="AE50" s="650"/>
      <c r="AF50" s="188" t="s">
        <v>234</v>
      </c>
      <c r="AG50" s="192" t="s">
        <v>25</v>
      </c>
      <c r="AH50" s="224">
        <f>AH49/D49-1</f>
        <v>0</v>
      </c>
      <c r="AI50" s="225">
        <f t="shared" ref="AI50" si="125">AI49/E49-1</f>
        <v>0</v>
      </c>
      <c r="AJ50" s="224">
        <f>AJ49/D49-1</f>
        <v>-0.16929197009211705</v>
      </c>
      <c r="AK50" s="225">
        <f>AK49/E49-1</f>
        <v>5.1358020489669087E-3</v>
      </c>
      <c r="AL50" s="226">
        <f>AL49/D49-1</f>
        <v>-5.0139243597014382E-2</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5"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2.7953976139906205</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6"/>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3.3625539143614631</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6"/>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7"/>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6.1579515283520836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5"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1.3606632752773133</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6"/>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5.3908998201556457</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6"/>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7"/>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6.7515630954329593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5"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4.0937255691654878E-2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6"/>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6.9486880373238344E-2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6"/>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7"/>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0.11042413606489322</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17.799802441039066</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5"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10.778863681065527</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6"/>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12.973633212890686</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6"/>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5.2719928197636801</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6"/>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5.9800309946220693</v>
      </c>
      <c r="AM71" s="249">
        <f>(Indata!I$11*'Indata - Effektsamband-Faktorer'!$E$25+Indata!I$12*'Indata - Effektsamband-Faktorer'!$E$26)*'Modell - Lätta fordon'!AM$14*'Modell - Lätta fordon'!AM$35/10</f>
        <v>4.8738985669147805</v>
      </c>
    </row>
    <row r="72" spans="4:39" x14ac:dyDescent="0.25">
      <c r="AE72" s="636"/>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4.5623873171311482</v>
      </c>
      <c r="AM72" s="249">
        <f t="shared" si="129"/>
        <v>11.21889070800702</v>
      </c>
    </row>
    <row r="73" spans="4:39" x14ac:dyDescent="0.25">
      <c r="AE73" s="636"/>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23.752496893956213</v>
      </c>
      <c r="AM73" s="219">
        <f t="shared" si="130"/>
        <v>4.2591965796686129</v>
      </c>
    </row>
    <row r="74" spans="4:39" x14ac:dyDescent="0.25">
      <c r="AE74" s="636"/>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11.252023814385749</v>
      </c>
      <c r="AM74" s="219">
        <f t="shared" si="131"/>
        <v>10.053932530177649</v>
      </c>
    </row>
    <row r="75" spans="4:39" ht="15.75" thickBot="1" x14ac:dyDescent="0.3">
      <c r="AE75" s="637"/>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4.5623873171311482</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5" t="s">
        <v>236</v>
      </c>
      <c r="AF78" s="135" t="s">
        <v>96</v>
      </c>
      <c r="AG78" s="190" t="s">
        <v>136</v>
      </c>
      <c r="AH78" s="245">
        <f>(1-Indata!D$9-Indata!D$10)*'Modell - Drivmedelpriser'!E$19*'Modell - Lätta fordon'!AH$13*'Modell - Lätta fordon'!AH$34/10</f>
        <v>14.116555217899636</v>
      </c>
      <c r="AI78" s="246">
        <f>(1-Indata!E$9-Indata!E$10)*'Modell - Drivmedelpriser'!F$19*'Modell - Lätta fordon'!AI$13*'Modell - Lätta fordon'!AI$34/10</f>
        <v>7.7281148249382525</v>
      </c>
      <c r="AJ78" s="245">
        <f>(1-Indata!F$9-Indata!F$10)*'Modell - Drivmedelpriser'!G$19*'Modell - Lätta fordon'!AJ$13*'Modell - Lätta fordon'!AJ$34/10</f>
        <v>4.2852376984478528</v>
      </c>
      <c r="AK78" s="246">
        <f>(1-Indata!G$9-Indata!G$10)*'Modell - Drivmedelpriser'!H$19*'Modell - Lätta fordon'!AK$13*'Modell - Lätta fordon'!AK$34/10</f>
        <v>2.1998452285038494</v>
      </c>
      <c r="AL78" s="247">
        <f>(1-Indata!H$9-Indata!H$10)*'Modell - Drivmedelpriser'!I$19*'Modell - Lätta fordon'!AL$13*'Modell - Lätta fordon'!AL$34/10</f>
        <v>25.109435973925649</v>
      </c>
      <c r="AM78" s="246">
        <f>(1-Indata!I$9-Indata!I$10)*'Modell - Drivmedelpriser'!J$19*'Modell - Lätta fordon'!AM$13*'Modell - Lätta fordon'!AM$34/10</f>
        <v>2.1998452285038494</v>
      </c>
    </row>
    <row r="79" spans="4:39" x14ac:dyDescent="0.25">
      <c r="AE79" s="636"/>
      <c r="AF79" s="136" t="s">
        <v>97</v>
      </c>
      <c r="AG79" s="191" t="s">
        <v>136</v>
      </c>
      <c r="AH79" s="248">
        <f>(1-Indata!D$11-Indata!D$12)*'Modell - Drivmedelpriser'!E$38*'Modell - Lätta fordon'!AH$14*'Modell - Lätta fordon'!AH$35/10</f>
        <v>7.8446583450253282</v>
      </c>
      <c r="AI79" s="249">
        <f>(1-Indata!E$11-Indata!E$12)*'Modell - Drivmedelpriser'!F$38*'Modell - Lätta fordon'!AI$14*'Modell - Lätta fordon'!AI$35/10</f>
        <v>3.5777987429607117</v>
      </c>
      <c r="AJ79" s="248">
        <f>(1-Indata!F$11-Indata!F$12)*'Modell - Drivmedelpriser'!G$38*'Modell - Lätta fordon'!AJ$14*'Modell - Lätta fordon'!AJ$35/10</f>
        <v>5.2050700747532224</v>
      </c>
      <c r="AK79" s="249">
        <f>(1-Indata!G$11-Indata!G$12)*'Modell - Drivmedelpriser'!H$38*'Modell - Lätta fordon'!AK$14*'Modell - Lätta fordon'!AK$35/10</f>
        <v>1.5381735061501904</v>
      </c>
      <c r="AL79" s="250">
        <f>(1-Indata!H$11-Indata!H$12)*'Modell - Drivmedelpriser'!I$38*'Modell - Lätta fordon'!AL$14*'Modell - Lätta fordon'!AL$35/10</f>
        <v>19.86365383167611</v>
      </c>
      <c r="AM79" s="249">
        <f>(1-Indata!I$11-Indata!I$12)*'Modell - Drivmedelpriser'!J$38*'Modell - Lätta fordon'!AM$14*'Modell - Lätta fordon'!AM$35/10</f>
        <v>1.5381735061501904</v>
      </c>
    </row>
    <row r="80" spans="4:39" x14ac:dyDescent="0.25">
      <c r="AE80" s="636"/>
      <c r="AF80" s="136" t="s">
        <v>98</v>
      </c>
      <c r="AG80" s="191" t="s">
        <v>136</v>
      </c>
      <c r="AH80" s="248">
        <f>(Indata!D$9+Indata!D$10)*'Modell - Drivmedelpriser'!E$19*'Modell - Lätta fordon'!AH$13*'Modell - Lätta fordon'!AH$34/10</f>
        <v>1.1445855582080786</v>
      </c>
      <c r="AI80" s="249">
        <f>(Indata!E$9+Indata!E$10)*'Modell - Drivmedelpriser'!F$19*'Modell - Lätta fordon'!AI$13*'Modell - Lätta fordon'!AI$34/10</f>
        <v>0.62660390472472316</v>
      </c>
      <c r="AJ80" s="248">
        <f>(Indata!F$9+Indata!F$10)*'Modell - Drivmedelpriser'!G$19*'Modell - Lätta fordon'!AJ$13*'Modell - Lätta fordon'!AJ$34/10</f>
        <v>4.037661852047199</v>
      </c>
      <c r="AK80" s="249">
        <f>(Indata!G$9+Indata!G$10)*'Modell - Drivmedelpriser'!H$19*'Modell - Lätta fordon'!AK$13*'Modell - Lätta fordon'!AK$34/10</f>
        <v>5.8878210527603017</v>
      </c>
      <c r="AL80" s="250">
        <f>(Indata!H$9+Indata!H$10)*'Modell - Drivmedelpriser'!I$19*'Modell - Lätta fordon'!AL$13*'Modell - Lätta fordon'!AL$34/10</f>
        <v>13.819922125183883</v>
      </c>
      <c r="AM80" s="249">
        <f>(Indata!I$9+Indata!I$10)*'Modell - Drivmedelpriser'!J$19*'Modell - Lätta fordon'!AM$13*'Modell - Lätta fordon'!AM$34/10</f>
        <v>5.8878210527603017</v>
      </c>
    </row>
    <row r="81" spans="31:39" x14ac:dyDescent="0.25">
      <c r="AE81" s="636"/>
      <c r="AF81" s="136" t="s">
        <v>100</v>
      </c>
      <c r="AG81" s="191" t="s">
        <v>136</v>
      </c>
      <c r="AH81" s="248">
        <f>(Indata!D$11+Indata!D$12)*'Modell - Drivmedelpriser'!E$38*'Modell - Lätta fordon'!AH$14*'Modell - Lätta fordon'!AH$35/10</f>
        <v>3.6916039270707435</v>
      </c>
      <c r="AI81" s="249">
        <f>(Indata!E$11+Indata!E$12)*'Modell - Drivmedelpriser'!F$38*'Modell - Lätta fordon'!AI$14*'Modell - Lätta fordon'!AI$35/10</f>
        <v>1.683669996687394</v>
      </c>
      <c r="AJ81" s="248">
        <f>(Indata!F$11+Indata!F$12)*'Modell - Drivmedelpriser'!G$38*'Modell - Lätta fordon'!AJ$14*'Modell - Lätta fordon'!AJ$35/10</f>
        <v>1.0864092771140541</v>
      </c>
      <c r="AK81" s="249">
        <f>(Indata!G$11+Indata!G$12)*'Modell - Drivmedelpriser'!H$38*'Modell - Lätta fordon'!AK$14*'Modell - Lätta fordon'!AK$35/10</f>
        <v>3.5551162493140169</v>
      </c>
      <c r="AL81" s="250">
        <f>(Indata!H$11+Indata!H$12)*'Modell - Drivmedelpriser'!I$38*'Modell - Lätta fordon'!AL$14*'Modell - Lätta fordon'!AL$35/10</f>
        <v>9.5639814745107241</v>
      </c>
      <c r="AM81" s="249">
        <f>(Indata!I$11+Indata!I$12)*'Modell - Drivmedelpriser'!J$38*'Modell - Lätta fordon'!AM$14*'Modell - Lätta fordon'!AM$35/10</f>
        <v>3.5551162493140169</v>
      </c>
    </row>
    <row r="82" spans="31:39" x14ac:dyDescent="0.25">
      <c r="AE82" s="636"/>
      <c r="AF82" s="136" t="s">
        <v>7</v>
      </c>
      <c r="AG82" s="191" t="s">
        <v>136</v>
      </c>
      <c r="AH82" s="248">
        <f>'Modell - Drivmedelpriser'!E$70*'Modell - Lätta fordon'!AH$15*'Modell - Lätta fordon'!AH$36/10</f>
        <v>1.2473694850375718</v>
      </c>
      <c r="AI82" s="248">
        <f>'Modell - Drivmedelpriser'!F$70*'Modell - Lätta fordon'!AI$15*'Modell - Lätta fordon'!AI$36/10</f>
        <v>3.6517650358265392</v>
      </c>
      <c r="AJ82" s="248">
        <f>'Modell - Drivmedelpriser'!G$70*'Modell - Lätta fordon'!AJ$15*'Modell - Lätta fordon'!AJ$36/10</f>
        <v>0.69382014838869899</v>
      </c>
      <c r="AK82" s="248">
        <f>'Modell - Drivmedelpriser'!H$70*'Modell - Lätta fordon'!AK$15*'Modell - Lätta fordon'!AK$36/10</f>
        <v>3.7762786123151626</v>
      </c>
      <c r="AL82" s="248">
        <f>'Modell - Drivmedelpriser'!I$70*'Modell - Lätta fordon'!AL$15*'Modell - Lätta fordon'!AL$36/10</f>
        <v>1.5356995709463441</v>
      </c>
      <c r="AM82" s="248">
        <f>'Modell - Drivmedelpriser'!J$70*'Modell - Lätta fordon'!AM$15*'Modell - Lätta fordon'!AM$36/10</f>
        <v>3.7762786123151626</v>
      </c>
    </row>
    <row r="83" spans="31:39" x14ac:dyDescent="0.25">
      <c r="AE83" s="636"/>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44.973089805601759</v>
      </c>
      <c r="AM83" s="219">
        <f t="shared" si="133"/>
        <v>3.7380187346540401</v>
      </c>
    </row>
    <row r="84" spans="31:39" x14ac:dyDescent="0.25">
      <c r="AE84" s="636"/>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23.383903599694605</v>
      </c>
      <c r="AM84" s="219">
        <f t="shared" si="134"/>
        <v>9.4429373020743181</v>
      </c>
    </row>
    <row r="85" spans="31:39" ht="15.75" thickBot="1" x14ac:dyDescent="0.3">
      <c r="AE85" s="637"/>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1.5356995709463441</v>
      </c>
      <c r="AM85" s="222">
        <f t="shared" si="135"/>
        <v>3.7762786123151626</v>
      </c>
    </row>
    <row r="86" spans="31:39" ht="14.45" customHeight="1" x14ac:dyDescent="0.25">
      <c r="AE86" s="635" t="s">
        <v>202</v>
      </c>
      <c r="AF86" s="135" t="s">
        <v>8</v>
      </c>
      <c r="AG86" s="190" t="s">
        <v>136</v>
      </c>
      <c r="AH86" s="202">
        <f t="shared" ref="AH86:AM88" si="136">AH34/10*AH24</f>
        <v>0</v>
      </c>
      <c r="AI86" s="227">
        <f t="shared" si="136"/>
        <v>0</v>
      </c>
      <c r="AJ86" s="202">
        <f t="shared" si="136"/>
        <v>61.461635145431231</v>
      </c>
      <c r="AK86" s="203">
        <f t="shared" si="136"/>
        <v>0</v>
      </c>
      <c r="AL86" s="204">
        <f t="shared" si="136"/>
        <v>15.003869537835278</v>
      </c>
      <c r="AM86" s="203">
        <f t="shared" si="136"/>
        <v>0</v>
      </c>
    </row>
    <row r="87" spans="31:39" x14ac:dyDescent="0.25">
      <c r="AE87" s="636"/>
      <c r="AF87" s="136" t="s">
        <v>9</v>
      </c>
      <c r="AG87" s="191" t="s">
        <v>136</v>
      </c>
      <c r="AH87" s="205">
        <f t="shared" si="136"/>
        <v>0</v>
      </c>
      <c r="AI87" s="228">
        <f t="shared" si="136"/>
        <v>0</v>
      </c>
      <c r="AJ87" s="205">
        <f t="shared" si="136"/>
        <v>65.719212524768679</v>
      </c>
      <c r="AK87" s="206">
        <f t="shared" si="136"/>
        <v>0</v>
      </c>
      <c r="AL87" s="207">
        <f t="shared" si="136"/>
        <v>16.043219294730996</v>
      </c>
      <c r="AM87" s="206">
        <f t="shared" si="136"/>
        <v>0</v>
      </c>
    </row>
    <row r="88" spans="31:39" x14ac:dyDescent="0.25">
      <c r="AE88" s="636"/>
      <c r="AF88" s="136" t="s">
        <v>7</v>
      </c>
      <c r="AG88" s="191" t="s">
        <v>136</v>
      </c>
      <c r="AH88" s="205">
        <f t="shared" si="136"/>
        <v>0</v>
      </c>
      <c r="AI88" s="228">
        <f t="shared" si="136"/>
        <v>0</v>
      </c>
      <c r="AJ88" s="205">
        <f t="shared" si="136"/>
        <v>45.433882334892175</v>
      </c>
      <c r="AK88" s="206">
        <f t="shared" si="136"/>
        <v>0</v>
      </c>
      <c r="AL88" s="207">
        <f t="shared" si="136"/>
        <v>13.452417270031393</v>
      </c>
      <c r="AM88" s="206">
        <f t="shared" si="136"/>
        <v>0</v>
      </c>
    </row>
    <row r="89" spans="31:39" ht="15.75" thickBot="1" x14ac:dyDescent="0.3">
      <c r="AE89" s="637"/>
      <c r="AF89" s="189" t="s">
        <v>16</v>
      </c>
      <c r="AG89" s="269" t="s">
        <v>136</v>
      </c>
      <c r="AH89" s="208">
        <f>SUM(AH86:AH88)</f>
        <v>0</v>
      </c>
      <c r="AI89" s="209">
        <f t="shared" ref="AI89:AM89" si="137">SUM(AI86:AI88)</f>
        <v>0</v>
      </c>
      <c r="AJ89" s="208">
        <f t="shared" si="137"/>
        <v>172.6147300050921</v>
      </c>
      <c r="AK89" s="210">
        <f t="shared" si="137"/>
        <v>0</v>
      </c>
      <c r="AL89" s="211">
        <f t="shared" si="137"/>
        <v>44.499506102597664</v>
      </c>
      <c r="AM89" s="210">
        <f t="shared" si="137"/>
        <v>0</v>
      </c>
    </row>
    <row r="92" spans="31:39" x14ac:dyDescent="0.25">
      <c r="AF92" s="27"/>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2022-04-25T07:39:23Z</dcterms:modified>
</cp:coreProperties>
</file>